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To_do\Downloads\"/>
    </mc:Choice>
  </mc:AlternateContent>
  <xr:revisionPtr revIDLastSave="0" documentId="13_ncr:1_{E4124BE7-018A-49F1-9702-EDD68EB7CA74}" xr6:coauthVersionLast="47" xr6:coauthVersionMax="47" xr10:uidLastSave="{00000000-0000-0000-0000-000000000000}"/>
  <workbookProtection lockStructure="1"/>
  <bookViews>
    <workbookView xWindow="-120" yWindow="-120" windowWidth="38640" windowHeight="23520" tabRatio="924" xr2:uid="{00000000-000D-0000-FFFF-FFFF00000000}"/>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 i="1" l="1"/>
  <c r="AA5" i="1"/>
  <c r="F96" i="3"/>
  <c r="U5" i="1"/>
  <c r="AG3" i="1"/>
  <c r="AA3" i="1"/>
  <c r="U3" i="1"/>
  <c r="G17" i="12"/>
  <c r="D17" i="12"/>
  <c r="M189" i="10"/>
  <c r="S185" i="10"/>
  <c r="Q185" i="10"/>
  <c r="O185" i="10"/>
  <c r="B105" i="10"/>
  <c r="V104" i="10"/>
  <c r="B104" i="10"/>
  <c r="V103" i="10"/>
  <c r="B103" i="10"/>
  <c r="V102" i="10"/>
  <c r="B99" i="10"/>
  <c r="V98" i="10"/>
  <c r="B98" i="10"/>
  <c r="V97" i="10"/>
  <c r="B97" i="10"/>
  <c r="V96" i="10"/>
  <c r="V91" i="10"/>
  <c r="V89" i="10"/>
  <c r="B89" i="10"/>
  <c r="V88" i="10"/>
  <c r="B88" i="10"/>
  <c r="V87" i="10"/>
  <c r="B87" i="10"/>
  <c r="V86" i="10"/>
  <c r="B83" i="10"/>
  <c r="V82" i="10"/>
  <c r="B82" i="10"/>
  <c r="V81" i="10"/>
  <c r="B81" i="10"/>
  <c r="V80" i="10"/>
  <c r="V75" i="10"/>
  <c r="V73" i="10"/>
  <c r="B73" i="10"/>
  <c r="V72" i="10"/>
  <c r="B72" i="10"/>
  <c r="V71" i="10"/>
  <c r="B71" i="10"/>
  <c r="V70" i="10"/>
  <c r="B67" i="10"/>
  <c r="V66" i="10"/>
  <c r="B66" i="10"/>
  <c r="V65" i="10"/>
  <c r="B65" i="10"/>
  <c r="V64" i="10"/>
  <c r="V59" i="10"/>
  <c r="V57" i="10"/>
  <c r="B57" i="10"/>
  <c r="V56" i="10"/>
  <c r="B56" i="10"/>
  <c r="V55" i="10"/>
  <c r="B55" i="10"/>
  <c r="V54" i="10"/>
  <c r="B51" i="10"/>
  <c r="V50" i="10"/>
  <c r="B50" i="10"/>
  <c r="V49" i="10"/>
  <c r="B49" i="10"/>
  <c r="V48" i="10"/>
  <c r="B43" i="10"/>
  <c r="B41" i="10"/>
  <c r="V40" i="10"/>
  <c r="B40" i="10"/>
  <c r="V39" i="10"/>
  <c r="B39" i="10"/>
  <c r="V38" i="10"/>
  <c r="B38" i="10"/>
  <c r="V34" i="10"/>
  <c r="B34" i="10"/>
  <c r="V33" i="10"/>
  <c r="B33" i="10"/>
  <c r="V32" i="10"/>
  <c r="B32" i="10"/>
  <c r="V31" i="10"/>
  <c r="B26" i="10"/>
  <c r="B24" i="10"/>
  <c r="V23" i="10"/>
  <c r="B23" i="10"/>
  <c r="B22" i="10"/>
  <c r="V21" i="10"/>
  <c r="B21" i="10"/>
  <c r="V20" i="10"/>
  <c r="B17" i="10"/>
  <c r="V16" i="10"/>
  <c r="B16" i="10"/>
  <c r="V15" i="10"/>
  <c r="B15" i="10"/>
  <c r="V14" i="10"/>
  <c r="B14" i="10"/>
  <c r="B10" i="10"/>
  <c r="V9" i="10"/>
  <c r="V7" i="10"/>
  <c r="B7" i="10"/>
  <c r="V6" i="10"/>
  <c r="B6" i="10"/>
  <c r="V5" i="10"/>
  <c r="B5" i="10"/>
  <c r="V4" i="10"/>
  <c r="U1" i="10"/>
  <c r="B96" i="10" s="1"/>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T221" i="6"/>
  <c r="S221" i="6"/>
  <c r="F212" i="6"/>
  <c r="C212" i="6"/>
  <c r="B212" i="6"/>
  <c r="A129" i="6"/>
  <c r="X92" i="6"/>
  <c r="X91" i="6"/>
  <c r="AB61" i="6"/>
  <c r="E59" i="6"/>
  <c r="J53" i="6"/>
  <c r="E53" i="6"/>
  <c r="J52" i="6"/>
  <c r="E52" i="6"/>
  <c r="D48" i="6"/>
  <c r="C48" i="6"/>
  <c r="D47" i="6"/>
  <c r="C47" i="6"/>
  <c r="S43" i="6"/>
  <c r="S39" i="6"/>
  <c r="AV38" i="6"/>
  <c r="S37" i="6"/>
  <c r="D37" i="6"/>
  <c r="C37" i="6"/>
  <c r="E34" i="6"/>
  <c r="D34" i="6"/>
  <c r="C34" i="6"/>
  <c r="AD32" i="6"/>
  <c r="E32" i="6"/>
  <c r="D32" i="6"/>
  <c r="C32" i="6"/>
  <c r="AE31" i="6"/>
  <c r="AD31" i="6"/>
  <c r="E31" i="6"/>
  <c r="D31" i="6"/>
  <c r="C31" i="6"/>
  <c r="AV30" i="6"/>
  <c r="AE30" i="6"/>
  <c r="AD30" i="6"/>
  <c r="E30" i="6"/>
  <c r="D30" i="6"/>
  <c r="C30" i="6"/>
  <c r="AV29" i="6"/>
  <c r="AC29" i="6"/>
  <c r="E29" i="6"/>
  <c r="D29" i="6"/>
  <c r="C29" i="6"/>
  <c r="BB28" i="6"/>
  <c r="AV28" i="6"/>
  <c r="AE28" i="6"/>
  <c r="E28" i="6"/>
  <c r="D28" i="6"/>
  <c r="C28" i="6"/>
  <c r="BB27" i="6"/>
  <c r="AX27" i="6"/>
  <c r="AC27" i="6"/>
  <c r="AC28" i="6" s="1"/>
  <c r="AD28" i="6" s="1"/>
  <c r="E27" i="6"/>
  <c r="D27" i="6"/>
  <c r="C27" i="6"/>
  <c r="BB26" i="6"/>
  <c r="AV26" i="6"/>
  <c r="AE26" i="6"/>
  <c r="BB25" i="6"/>
  <c r="AV25" i="6"/>
  <c r="AB25" i="6"/>
  <c r="AA25" i="6"/>
  <c r="E25" i="6"/>
  <c r="D25" i="6"/>
  <c r="C25" i="6"/>
  <c r="B25" i="6"/>
  <c r="AE24" i="6"/>
  <c r="AB24" i="6"/>
  <c r="AA24" i="6"/>
  <c r="AB23" i="6"/>
  <c r="AA23" i="6"/>
  <c r="AS22" i="6"/>
  <c r="AR22" i="6"/>
  <c r="AQ22" i="6"/>
  <c r="AP22" i="6"/>
  <c r="AO22" i="6"/>
  <c r="AN22" i="6"/>
  <c r="AM22" i="6"/>
  <c r="AL22" i="6"/>
  <c r="AK22" i="6"/>
  <c r="AJ22" i="6"/>
  <c r="AI22" i="6"/>
  <c r="AH22" i="6"/>
  <c r="AG22" i="6"/>
  <c r="AF22" i="6"/>
  <c r="AE22" i="6"/>
  <c r="AD22" i="6"/>
  <c r="AB22" i="6"/>
  <c r="AA22" i="6"/>
  <c r="AS21" i="6"/>
  <c r="AR21" i="6"/>
  <c r="AB21" i="6"/>
  <c r="AA21" i="6"/>
  <c r="S21" i="6"/>
  <c r="R21" i="6"/>
  <c r="L20" i="6"/>
  <c r="W18" i="6"/>
  <c r="V18" i="6"/>
  <c r="M18" i="6"/>
  <c r="L18" i="6"/>
  <c r="AQ17" i="6"/>
  <c r="AP17" i="6"/>
  <c r="AO17" i="6"/>
  <c r="AL17" i="6"/>
  <c r="AI17" i="6"/>
  <c r="AF17" i="6"/>
  <c r="W17" i="6"/>
  <c r="V17" i="6"/>
  <c r="AQ16" i="6"/>
  <c r="AP16" i="6"/>
  <c r="AO16" i="6"/>
  <c r="AL16" i="6"/>
  <c r="AI16" i="6"/>
  <c r="AF16" i="6"/>
  <c r="W16" i="6"/>
  <c r="V16" i="6"/>
  <c r="W15" i="6"/>
  <c r="V15" i="6"/>
  <c r="BA14" i="6"/>
  <c r="O14" i="6"/>
  <c r="N14" i="6"/>
  <c r="M14" i="6"/>
  <c r="L14" i="6"/>
  <c r="K14" i="6"/>
  <c r="J14" i="6"/>
  <c r="I14" i="6"/>
  <c r="N5" i="6" s="1"/>
  <c r="O7" i="6" s="1"/>
  <c r="H14" i="6"/>
  <c r="G14" i="6"/>
  <c r="E13" i="6"/>
  <c r="C13" i="6"/>
  <c r="AA12" i="6"/>
  <c r="X12" i="6"/>
  <c r="V12" i="6"/>
  <c r="U12" i="6"/>
  <c r="T12" i="6"/>
  <c r="S12" i="6"/>
  <c r="E12" i="6"/>
  <c r="C12" i="6"/>
  <c r="AF11" i="6"/>
  <c r="AA11" i="6"/>
  <c r="Y11" i="6"/>
  <c r="X11" i="6"/>
  <c r="V11" i="6"/>
  <c r="U11" i="6"/>
  <c r="T11" i="6"/>
  <c r="S11" i="6"/>
  <c r="E11" i="6"/>
  <c r="C11" i="6"/>
  <c r="AF10" i="6"/>
  <c r="AA10" i="6"/>
  <c r="Y10" i="6"/>
  <c r="X10" i="6"/>
  <c r="V10" i="6"/>
  <c r="U10" i="6"/>
  <c r="T10" i="6"/>
  <c r="S10" i="6"/>
  <c r="AA9" i="6"/>
  <c r="Y9" i="6"/>
  <c r="X9" i="6"/>
  <c r="V9" i="6"/>
  <c r="U9" i="6"/>
  <c r="T9" i="6"/>
  <c r="S9" i="6"/>
  <c r="Y8" i="6"/>
  <c r="X8" i="6"/>
  <c r="V8" i="6"/>
  <c r="U8" i="6"/>
  <c r="T8" i="6"/>
  <c r="S8" i="6"/>
  <c r="Y7" i="6"/>
  <c r="X7" i="6"/>
  <c r="U7" i="6"/>
  <c r="T7" i="6"/>
  <c r="S7" i="6"/>
  <c r="C7" i="6"/>
  <c r="Y6" i="6"/>
  <c r="X6" i="6"/>
  <c r="V6" i="6"/>
  <c r="U6" i="6"/>
  <c r="T6" i="6"/>
  <c r="S6" i="6"/>
  <c r="Y5" i="6"/>
  <c r="X5" i="6"/>
  <c r="U5" i="6"/>
  <c r="T5" i="6"/>
  <c r="S5" i="6"/>
  <c r="G5" i="6"/>
  <c r="C5" i="6"/>
  <c r="B5" i="6"/>
  <c r="B7" i="6" s="1"/>
  <c r="A5" i="6"/>
  <c r="Z4" i="6"/>
  <c r="Y4" i="6"/>
  <c r="X4" i="6"/>
  <c r="V4" i="6"/>
  <c r="U4" i="6"/>
  <c r="T4" i="6"/>
  <c r="S4" i="6"/>
  <c r="C74" i="5"/>
  <c r="A74" i="5"/>
  <c r="C73" i="5"/>
  <c r="A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F23" i="3"/>
  <c r="J22" i="3"/>
  <c r="F22" i="3"/>
  <c r="J21" i="3"/>
  <c r="F21" i="3"/>
  <c r="J20" i="3"/>
  <c r="F20" i="3"/>
  <c r="J19" i="3"/>
  <c r="F19" i="3"/>
  <c r="J18" i="3"/>
  <c r="F18" i="3"/>
  <c r="J17" i="3"/>
  <c r="F17" i="3"/>
  <c r="J16" i="3"/>
  <c r="F16" i="3"/>
  <c r="J15" i="3"/>
  <c r="F15" i="3"/>
  <c r="F14" i="3"/>
  <c r="F13" i="3"/>
  <c r="F12" i="3"/>
  <c r="F11" i="3"/>
  <c r="F10" i="3"/>
  <c r="F9" i="3"/>
  <c r="F8" i="3"/>
  <c r="F7" i="3"/>
  <c r="F6" i="3"/>
  <c r="F5" i="3"/>
  <c r="F4" i="3"/>
  <c r="G3" i="3"/>
  <c r="E3" i="3"/>
  <c r="B3" i="3"/>
  <c r="J90" i="2"/>
  <c r="H90" i="2"/>
  <c r="E90" i="2"/>
  <c r="B90" i="2"/>
  <c r="Y36" i="2"/>
  <c r="X36" i="2"/>
  <c r="W36" i="2"/>
  <c r="T36" i="2"/>
  <c r="O36" i="2"/>
  <c r="Y35" i="2"/>
  <c r="X35" i="2"/>
  <c r="W35" i="2"/>
  <c r="T35" i="2"/>
  <c r="S35" i="2"/>
  <c r="R35" i="2"/>
  <c r="Q35" i="2"/>
  <c r="O35" i="2"/>
  <c r="N35" i="2"/>
  <c r="G35" i="2"/>
  <c r="C35" i="2"/>
  <c r="Y34" i="2"/>
  <c r="X34" i="2"/>
  <c r="W34" i="2"/>
  <c r="T34" i="2"/>
  <c r="S34" i="2"/>
  <c r="R34" i="2"/>
  <c r="Q34" i="2"/>
  <c r="O34" i="2"/>
  <c r="N34" i="2"/>
  <c r="G34" i="2"/>
  <c r="C34" i="2"/>
  <c r="AD33" i="2"/>
  <c r="Z33" i="2"/>
  <c r="Y33" i="2"/>
  <c r="X33" i="2"/>
  <c r="W33" i="2"/>
  <c r="T33" i="2"/>
  <c r="S33" i="2"/>
  <c r="R33" i="2"/>
  <c r="Q33" i="2"/>
  <c r="O33" i="2"/>
  <c r="N33" i="2"/>
  <c r="G33" i="2"/>
  <c r="C33" i="2"/>
  <c r="AD32" i="2"/>
  <c r="Z32" i="2"/>
  <c r="Y32" i="2"/>
  <c r="X32" i="2"/>
  <c r="W32" i="2"/>
  <c r="T32" i="2"/>
  <c r="S32" i="2"/>
  <c r="R32" i="2"/>
  <c r="Q32" i="2"/>
  <c r="N32" i="2"/>
  <c r="G32" i="2"/>
  <c r="C32" i="2"/>
  <c r="AD31" i="2"/>
  <c r="Z31" i="2"/>
  <c r="Y31" i="2"/>
  <c r="X31" i="2"/>
  <c r="W31" i="2"/>
  <c r="T31" i="2"/>
  <c r="G31" i="2"/>
  <c r="C31" i="2"/>
  <c r="AD30" i="2"/>
  <c r="Z30" i="2"/>
  <c r="Y30" i="2"/>
  <c r="X30" i="2"/>
  <c r="W30" i="2"/>
  <c r="T30" i="2"/>
  <c r="S30" i="2"/>
  <c r="R30" i="2"/>
  <c r="Q30" i="2"/>
  <c r="N30" i="2"/>
  <c r="G30" i="2"/>
  <c r="C30" i="2"/>
  <c r="AD29" i="2"/>
  <c r="Z29" i="2"/>
  <c r="Y29" i="2"/>
  <c r="X29" i="2"/>
  <c r="W29" i="2"/>
  <c r="T29" i="2"/>
  <c r="G29" i="2"/>
  <c r="C29" i="2"/>
  <c r="AD28" i="2"/>
  <c r="Z28" i="2"/>
  <c r="Y28" i="2"/>
  <c r="X28" i="2"/>
  <c r="W28" i="2"/>
  <c r="T28" i="2"/>
  <c r="S28" i="2"/>
  <c r="R28" i="2"/>
  <c r="Q28" i="2"/>
  <c r="O28" i="2"/>
  <c r="N28" i="2"/>
  <c r="H28" i="2"/>
  <c r="C28" i="2"/>
  <c r="AD27" i="2"/>
  <c r="Z27" i="2"/>
  <c r="S27" i="2"/>
  <c r="R27" i="2"/>
  <c r="Q27" i="2"/>
  <c r="O27" i="2"/>
  <c r="N27" i="2"/>
  <c r="AD26" i="2"/>
  <c r="Z26" i="2"/>
  <c r="Y26" i="2"/>
  <c r="X26" i="2"/>
  <c r="W26" i="2"/>
  <c r="T26" i="2"/>
  <c r="S26" i="2"/>
  <c r="R26" i="2"/>
  <c r="Q26" i="2"/>
  <c r="O26" i="2"/>
  <c r="N26" i="2"/>
  <c r="K26" i="2"/>
  <c r="H26" i="2"/>
  <c r="E26" i="2"/>
  <c r="B26" i="2"/>
  <c r="AD25" i="2"/>
  <c r="Z25" i="2"/>
  <c r="Y25" i="2"/>
  <c r="X25" i="2"/>
  <c r="W25" i="2"/>
  <c r="T25" i="2"/>
  <c r="Q25" i="2"/>
  <c r="R25" i="2" s="1"/>
  <c r="N25" i="2"/>
  <c r="O25" i="2" s="1"/>
  <c r="K25" i="2"/>
  <c r="H25" i="2"/>
  <c r="E25" i="2"/>
  <c r="B25" i="2"/>
  <c r="AD24" i="2"/>
  <c r="Z24" i="2"/>
  <c r="Y24" i="2"/>
  <c r="X24" i="2"/>
  <c r="W24" i="2"/>
  <c r="U24" i="2"/>
  <c r="T24" i="2"/>
  <c r="S24" i="2"/>
  <c r="R24" i="2"/>
  <c r="Q24" i="2"/>
  <c r="O24" i="2"/>
  <c r="N24" i="2"/>
  <c r="K24" i="2"/>
  <c r="H24" i="2"/>
  <c r="E24" i="2"/>
  <c r="B24" i="2"/>
  <c r="AD23" i="2"/>
  <c r="Z23" i="2"/>
  <c r="W23" i="2"/>
  <c r="X23" i="2" s="1"/>
  <c r="T23" i="2"/>
  <c r="S23" i="2"/>
  <c r="R23" i="2"/>
  <c r="Q23" i="2"/>
  <c r="O23" i="2"/>
  <c r="N23" i="2"/>
  <c r="K23" i="2"/>
  <c r="H23" i="2"/>
  <c r="E23" i="2"/>
  <c r="B23" i="2"/>
  <c r="Y22" i="2"/>
  <c r="X22" i="2"/>
  <c r="W22" i="2"/>
  <c r="T22" i="2"/>
  <c r="S22" i="2"/>
  <c r="R22" i="2"/>
  <c r="Q22" i="2"/>
  <c r="O22" i="2"/>
  <c r="N22" i="2"/>
  <c r="K22" i="2"/>
  <c r="H22" i="2"/>
  <c r="E22" i="2"/>
  <c r="B22" i="2"/>
  <c r="Y21" i="2"/>
  <c r="X21" i="2"/>
  <c r="W21" i="2"/>
  <c r="T21" i="2"/>
  <c r="Y20" i="2"/>
  <c r="X20" i="2"/>
  <c r="W20" i="2"/>
  <c r="U20" i="2"/>
  <c r="T20" i="2"/>
  <c r="S20" i="2"/>
  <c r="R20" i="2"/>
  <c r="Q20" i="2"/>
  <c r="N20" i="2"/>
  <c r="B20" i="2"/>
  <c r="Y19" i="2"/>
  <c r="X19" i="2"/>
  <c r="W19" i="2"/>
  <c r="U19" i="2"/>
  <c r="T19" i="2"/>
  <c r="S19" i="2"/>
  <c r="R19" i="2"/>
  <c r="Q19" i="2"/>
  <c r="N19" i="2"/>
  <c r="M19" i="2"/>
  <c r="Y18" i="2"/>
  <c r="X18" i="2"/>
  <c r="W18" i="2"/>
  <c r="U18" i="2"/>
  <c r="T18" i="2"/>
  <c r="AB17" i="2"/>
  <c r="Z17" i="2"/>
  <c r="Y17" i="2"/>
  <c r="X17" i="2"/>
  <c r="W17" i="2"/>
  <c r="T17" i="2"/>
  <c r="AB16" i="2"/>
  <c r="Z16" i="2"/>
  <c r="W16" i="2"/>
  <c r="Y16" i="2" s="1"/>
  <c r="T16" i="2"/>
  <c r="N16" i="2"/>
  <c r="M16" i="2"/>
  <c r="L16" i="2"/>
  <c r="K16" i="2"/>
  <c r="J16" i="2"/>
  <c r="I16" i="2"/>
  <c r="H16" i="2"/>
  <c r="G16" i="2"/>
  <c r="F16" i="2"/>
  <c r="E16" i="2"/>
  <c r="D16" i="2"/>
  <c r="C16" i="2"/>
  <c r="B16" i="2"/>
  <c r="AB15" i="2"/>
  <c r="Z15" i="2"/>
  <c r="Y15" i="2"/>
  <c r="X15" i="2"/>
  <c r="W15" i="2"/>
  <c r="T15" i="2"/>
  <c r="S15" i="2"/>
  <c r="R15" i="2"/>
  <c r="Q15" i="2"/>
  <c r="N15" i="2"/>
  <c r="M15" i="2"/>
  <c r="L15" i="2"/>
  <c r="K15" i="2"/>
  <c r="J15" i="2"/>
  <c r="I15" i="2"/>
  <c r="H15" i="2"/>
  <c r="C15" i="2"/>
  <c r="B15" i="2"/>
  <c r="AB14" i="2"/>
  <c r="Z14" i="2"/>
  <c r="Y14" i="2"/>
  <c r="X14" i="2"/>
  <c r="W14" i="2"/>
  <c r="U14" i="2"/>
  <c r="T14" i="2"/>
  <c r="S14" i="2"/>
  <c r="R14" i="2"/>
  <c r="Q14" i="2"/>
  <c r="N14" i="2"/>
  <c r="C14" i="2"/>
  <c r="B14" i="2"/>
  <c r="AB13" i="2"/>
  <c r="Z13" i="2"/>
  <c r="Y13" i="2"/>
  <c r="X13" i="2"/>
  <c r="W13" i="2"/>
  <c r="T13" i="2"/>
  <c r="N13" i="2"/>
  <c r="C13" i="2"/>
  <c r="B13" i="2"/>
  <c r="AB12" i="2"/>
  <c r="Z12" i="2"/>
  <c r="Y12" i="2"/>
  <c r="X12" i="2"/>
  <c r="W12" i="2"/>
  <c r="T12" i="2"/>
  <c r="Q12" i="2"/>
  <c r="S12" i="2" s="1"/>
  <c r="N12" i="2"/>
  <c r="M12" i="2"/>
  <c r="L12" i="2"/>
  <c r="K12" i="2"/>
  <c r="J12" i="2"/>
  <c r="I12" i="2"/>
  <c r="H12" i="2"/>
  <c r="D12" i="2"/>
  <c r="C12" i="2"/>
  <c r="B12" i="2"/>
  <c r="AB11" i="2"/>
  <c r="Z11" i="2"/>
  <c r="Y11" i="2"/>
  <c r="X11" i="2"/>
  <c r="W11" i="2"/>
  <c r="T11" i="2"/>
  <c r="S11" i="2"/>
  <c r="R11" i="2"/>
  <c r="Q11" i="2"/>
  <c r="N11" i="2"/>
  <c r="AB10" i="2"/>
  <c r="Z10" i="2"/>
  <c r="Y10" i="2"/>
  <c r="X10" i="2"/>
  <c r="W10" i="2"/>
  <c r="T10" i="2"/>
  <c r="S10" i="2"/>
  <c r="R10" i="2"/>
  <c r="Q10" i="2"/>
  <c r="N10" i="2"/>
  <c r="AB9" i="2"/>
  <c r="Z9" i="2"/>
  <c r="Y9" i="2"/>
  <c r="X9" i="2"/>
  <c r="W9" i="2"/>
  <c r="T9" i="2"/>
  <c r="S9" i="2"/>
  <c r="R9" i="2"/>
  <c r="Q9" i="2"/>
  <c r="O9" i="2"/>
  <c r="N9" i="2"/>
  <c r="I9" i="2"/>
  <c r="AB8" i="2"/>
  <c r="Z8" i="2"/>
  <c r="Y8" i="2"/>
  <c r="X8" i="2"/>
  <c r="W8" i="2"/>
  <c r="T8" i="2"/>
  <c r="S8" i="2"/>
  <c r="R8" i="2"/>
  <c r="Q8" i="2"/>
  <c r="O8" i="2"/>
  <c r="N8" i="2"/>
  <c r="AB7" i="2"/>
  <c r="Z7" i="2"/>
  <c r="Y7" i="2"/>
  <c r="X7" i="2"/>
  <c r="W7" i="2"/>
  <c r="T7" i="2"/>
  <c r="S7" i="2"/>
  <c r="R7" i="2"/>
  <c r="Q7" i="2"/>
  <c r="O7" i="2"/>
  <c r="N7" i="2"/>
  <c r="J7" i="2"/>
  <c r="I7" i="2"/>
  <c r="G7" i="2"/>
  <c r="F7" i="2"/>
  <c r="D7" i="2"/>
  <c r="C7" i="2"/>
  <c r="Y6" i="2"/>
  <c r="X6" i="2"/>
  <c r="W6" i="2"/>
  <c r="T6" i="2"/>
  <c r="S6" i="2"/>
  <c r="R6" i="2"/>
  <c r="Q6" i="2"/>
  <c r="N6" i="2"/>
  <c r="J6" i="2"/>
  <c r="G6" i="2"/>
  <c r="D6" i="2"/>
  <c r="Y5" i="2"/>
  <c r="X5" i="2"/>
  <c r="W5" i="2"/>
  <c r="T5" i="2"/>
  <c r="Q5" i="2"/>
  <c r="R5" i="2" s="1"/>
  <c r="N5" i="2"/>
  <c r="L5" i="2"/>
  <c r="M6" i="2" s="1"/>
  <c r="I5" i="2"/>
  <c r="J5" i="2" s="1"/>
  <c r="F5" i="2"/>
  <c r="G5" i="2" s="1"/>
  <c r="C5" i="2"/>
  <c r="D5" i="2" s="1"/>
  <c r="AC4" i="2"/>
  <c r="Y4" i="2"/>
  <c r="X4" i="2"/>
  <c r="W4" i="2"/>
  <c r="T4" i="2"/>
  <c r="S4" i="2"/>
  <c r="R4" i="2"/>
  <c r="Q4" i="2"/>
  <c r="N4" i="2"/>
  <c r="G4" i="2"/>
  <c r="D4" i="2"/>
  <c r="AD3" i="2"/>
  <c r="AC3" i="2"/>
  <c r="AA3" i="2"/>
  <c r="Z3" i="2"/>
  <c r="S3" i="2"/>
  <c r="R3" i="2"/>
  <c r="Q3" i="2"/>
  <c r="N3" i="2"/>
  <c r="M3" i="2"/>
  <c r="L3" i="2"/>
  <c r="M4" i="2" s="1"/>
  <c r="I3" i="2"/>
  <c r="J3" i="2" s="1"/>
  <c r="G3" i="2"/>
  <c r="F3" i="2"/>
  <c r="C3" i="2"/>
  <c r="D3" i="2" s="1"/>
  <c r="B2" i="2"/>
  <c r="Q141" i="1"/>
  <c r="AU130" i="1"/>
  <c r="BG129" i="1"/>
  <c r="J113" i="1"/>
  <c r="AU105" i="1"/>
  <c r="B76" i="1"/>
  <c r="AU68" i="1"/>
  <c r="BL66" i="1"/>
  <c r="BF66" i="1"/>
  <c r="AZ66" i="1"/>
  <c r="BL65" i="1"/>
  <c r="BF65" i="1"/>
  <c r="AZ65" i="1"/>
  <c r="BL64" i="1"/>
  <c r="BF64" i="1"/>
  <c r="AZ64" i="1"/>
  <c r="AU64" i="1"/>
  <c r="AU62" i="1"/>
  <c r="AJ56" i="1"/>
  <c r="AG56" i="1"/>
  <c r="AE56" i="1"/>
  <c r="AC56" i="1"/>
  <c r="AA56" i="1"/>
  <c r="W56" i="1"/>
  <c r="B50" i="1"/>
  <c r="AR49" i="1"/>
  <c r="AP49" i="1"/>
  <c r="AN49" i="1"/>
  <c r="Z49" i="1"/>
  <c r="J49" i="1"/>
  <c r="R49" i="1" s="1"/>
  <c r="D49" i="1"/>
  <c r="AR48" i="1"/>
  <c r="AP48" i="1"/>
  <c r="AN48" i="1"/>
  <c r="Z48" i="1"/>
  <c r="V48" i="1"/>
  <c r="T48" i="1"/>
  <c r="R48" i="1"/>
  <c r="D48" i="1"/>
  <c r="AR47" i="1"/>
  <c r="AP47" i="1"/>
  <c r="AN47" i="1"/>
  <c r="Z47" i="1"/>
  <c r="V47" i="1"/>
  <c r="T47" i="1"/>
  <c r="R47" i="1"/>
  <c r="D47" i="1"/>
  <c r="AR46" i="1"/>
  <c r="AP46" i="1"/>
  <c r="AN46" i="1"/>
  <c r="Z46" i="1"/>
  <c r="V46" i="1"/>
  <c r="T46" i="1"/>
  <c r="R46" i="1"/>
  <c r="D46" i="1"/>
  <c r="AR45" i="1"/>
  <c r="AP45" i="1"/>
  <c r="AN45" i="1"/>
  <c r="Z45" i="1"/>
  <c r="V45" i="1"/>
  <c r="T45" i="1"/>
  <c r="R45" i="1"/>
  <c r="D45" i="1"/>
  <c r="AU44" i="1"/>
  <c r="AR44" i="1"/>
  <c r="AP44" i="1"/>
  <c r="AN44" i="1"/>
  <c r="Z44" i="1"/>
  <c r="R44" i="1"/>
  <c r="Q31" i="2" s="1"/>
  <c r="D44" i="1"/>
  <c r="AR43" i="1"/>
  <c r="AP43" i="1"/>
  <c r="AN43" i="1"/>
  <c r="Z43" i="1"/>
  <c r="V43" i="1"/>
  <c r="T43" i="1"/>
  <c r="R43" i="1"/>
  <c r="D43" i="1"/>
  <c r="AR42" i="1"/>
  <c r="AP42" i="1"/>
  <c r="AN42" i="1"/>
  <c r="Z42" i="1"/>
  <c r="R42" i="1"/>
  <c r="V42" i="1" s="1"/>
  <c r="D42" i="1"/>
  <c r="AR41" i="1"/>
  <c r="AP41" i="1"/>
  <c r="AN41" i="1"/>
  <c r="Z41" i="1"/>
  <c r="V41" i="1"/>
  <c r="T41" i="1"/>
  <c r="R41" i="1"/>
  <c r="J41" i="1"/>
  <c r="D41" i="1"/>
  <c r="AR40" i="1"/>
  <c r="AP40" i="1"/>
  <c r="AN40" i="1"/>
  <c r="W27" i="2" s="1"/>
  <c r="Z40" i="1"/>
  <c r="V40" i="1"/>
  <c r="T40" i="1"/>
  <c r="R40" i="1"/>
  <c r="J40" i="1"/>
  <c r="D40" i="1"/>
  <c r="AR39" i="1"/>
  <c r="AP39" i="1"/>
  <c r="AN39" i="1"/>
  <c r="Z39" i="1"/>
  <c r="V39" i="1"/>
  <c r="T39" i="1"/>
  <c r="R39" i="1"/>
  <c r="J39" i="1"/>
  <c r="D39" i="1"/>
  <c r="AV38" i="1"/>
  <c r="AR38" i="1"/>
  <c r="AP38" i="1"/>
  <c r="AN38" i="1"/>
  <c r="Z38" i="1"/>
  <c r="R38" i="1"/>
  <c r="V38" i="1" s="1"/>
  <c r="D38" i="1"/>
  <c r="AR37" i="1"/>
  <c r="AP37" i="1"/>
  <c r="AN37" i="1"/>
  <c r="Z37" i="1"/>
  <c r="V37" i="1"/>
  <c r="T37" i="1"/>
  <c r="R37" i="1"/>
  <c r="J37" i="1"/>
  <c r="D37" i="1"/>
  <c r="AN36" i="1"/>
  <c r="AP36" i="1" s="1"/>
  <c r="Z36" i="1"/>
  <c r="V36" i="1"/>
  <c r="T36" i="1"/>
  <c r="R36" i="1"/>
  <c r="J36" i="1"/>
  <c r="D36" i="1"/>
  <c r="AR35" i="1"/>
  <c r="AP35" i="1"/>
  <c r="AN35" i="1"/>
  <c r="Z35" i="1"/>
  <c r="V35" i="1"/>
  <c r="T35" i="1"/>
  <c r="R35" i="1"/>
  <c r="J35" i="1"/>
  <c r="D35" i="1"/>
  <c r="AR34" i="1"/>
  <c r="AP34" i="1"/>
  <c r="AN34" i="1"/>
  <c r="Z34" i="1"/>
  <c r="R34" i="1"/>
  <c r="Q21" i="2" s="1"/>
  <c r="D34" i="1"/>
  <c r="AR33" i="1"/>
  <c r="AP33" i="1"/>
  <c r="AN33" i="1"/>
  <c r="AF33" i="1"/>
  <c r="Z33" i="1"/>
  <c r="V33" i="1"/>
  <c r="T33" i="1"/>
  <c r="R33" i="1"/>
  <c r="D33" i="1"/>
  <c r="AR32" i="1"/>
  <c r="AP32" i="1"/>
  <c r="AN32" i="1"/>
  <c r="AF32" i="1"/>
  <c r="Z32" i="1"/>
  <c r="V32" i="1"/>
  <c r="T32" i="1"/>
  <c r="R32" i="1"/>
  <c r="D32" i="1"/>
  <c r="AR31" i="1"/>
  <c r="AP31" i="1"/>
  <c r="AN31" i="1"/>
  <c r="AF31" i="1"/>
  <c r="Z31" i="1"/>
  <c r="R31" i="1"/>
  <c r="V31" i="1" s="1"/>
  <c r="D31" i="1"/>
  <c r="AR30" i="1"/>
  <c r="AP30" i="1"/>
  <c r="AN30" i="1"/>
  <c r="Z30" i="1"/>
  <c r="R30" i="1"/>
  <c r="Q17" i="2" s="1"/>
  <c r="D30" i="1"/>
  <c r="AN29" i="1"/>
  <c r="AP29" i="1" s="1"/>
  <c r="Z29" i="1"/>
  <c r="J29" i="1"/>
  <c r="R29" i="1" s="1"/>
  <c r="D29" i="1"/>
  <c r="AR28" i="1"/>
  <c r="AP28" i="1"/>
  <c r="AN28" i="1"/>
  <c r="Z28" i="1"/>
  <c r="V28" i="1"/>
  <c r="T28" i="1"/>
  <c r="R28" i="1"/>
  <c r="D28" i="1"/>
  <c r="AR27" i="1"/>
  <c r="AP27" i="1"/>
  <c r="AN27" i="1"/>
  <c r="AF27" i="1"/>
  <c r="Z27" i="1"/>
  <c r="V27" i="1"/>
  <c r="T27" i="1"/>
  <c r="R27" i="1"/>
  <c r="D27" i="1"/>
  <c r="AR26" i="1"/>
  <c r="AP26" i="1"/>
  <c r="AN26" i="1"/>
  <c r="Z26" i="1"/>
  <c r="R26" i="1"/>
  <c r="Q13" i="2" s="1"/>
  <c r="AR25" i="1"/>
  <c r="AP25" i="1"/>
  <c r="AN25" i="1"/>
  <c r="Z25" i="1"/>
  <c r="V25" i="1"/>
  <c r="T25" i="1"/>
  <c r="R25" i="1"/>
  <c r="D25" i="1"/>
  <c r="AR24" i="1"/>
  <c r="AP24" i="1"/>
  <c r="AN24" i="1"/>
  <c r="Z24" i="1"/>
  <c r="V24" i="1"/>
  <c r="T24" i="1"/>
  <c r="R24" i="1"/>
  <c r="D24" i="1"/>
  <c r="AR23" i="1"/>
  <c r="AP23" i="1"/>
  <c r="AN23" i="1"/>
  <c r="Z23" i="1"/>
  <c r="V23" i="1"/>
  <c r="T23" i="1"/>
  <c r="R23" i="1"/>
  <c r="D23" i="1"/>
  <c r="AR22" i="1"/>
  <c r="AP22" i="1"/>
  <c r="AN22" i="1"/>
  <c r="Z22" i="1"/>
  <c r="V22" i="1"/>
  <c r="T22" i="1"/>
  <c r="R22" i="1"/>
  <c r="J22" i="1"/>
  <c r="D22" i="1"/>
  <c r="AR21" i="1"/>
  <c r="AP21" i="1"/>
  <c r="AN21" i="1"/>
  <c r="Z21" i="1"/>
  <c r="V21" i="1"/>
  <c r="T21" i="1"/>
  <c r="R21" i="1"/>
  <c r="J21" i="1"/>
  <c r="D21" i="1"/>
  <c r="AR20" i="1"/>
  <c r="AP20" i="1"/>
  <c r="AN20" i="1"/>
  <c r="Z20" i="1"/>
  <c r="V20" i="1"/>
  <c r="T20" i="1"/>
  <c r="R20" i="1"/>
  <c r="J20" i="1"/>
  <c r="D20" i="1"/>
  <c r="AR19" i="1"/>
  <c r="AP19" i="1"/>
  <c r="AN19" i="1"/>
  <c r="Z19" i="1"/>
  <c r="V19" i="1"/>
  <c r="T19" i="1"/>
  <c r="R19" i="1"/>
  <c r="D19" i="1"/>
  <c r="AR18" i="1"/>
  <c r="AP18" i="1"/>
  <c r="AN18" i="1"/>
  <c r="Z18" i="1"/>
  <c r="V18" i="1"/>
  <c r="T18" i="1"/>
  <c r="R18" i="1"/>
  <c r="D18" i="1"/>
  <c r="AR17" i="1"/>
  <c r="AP17" i="1"/>
  <c r="AN17" i="1"/>
  <c r="Z17" i="1"/>
  <c r="V17" i="1"/>
  <c r="T17" i="1"/>
  <c r="R17" i="1"/>
  <c r="D17" i="1"/>
  <c r="AN16" i="1"/>
  <c r="AR16" i="1" s="1"/>
  <c r="Z16" i="1"/>
  <c r="V16" i="1"/>
  <c r="T16" i="1"/>
  <c r="R16" i="1"/>
  <c r="D16" i="1"/>
  <c r="B13" i="1"/>
  <c r="R12" i="1"/>
  <c r="D12" i="1"/>
  <c r="AP11" i="1"/>
  <c r="AA11" i="1"/>
  <c r="AN10" i="1"/>
  <c r="L7" i="2" s="1"/>
  <c r="Y10" i="1"/>
  <c r="P10" i="1"/>
  <c r="G10" i="1"/>
  <c r="AL9" i="1"/>
  <c r="AC9" i="1"/>
  <c r="T9" i="1"/>
  <c r="K9" i="1"/>
  <c r="F9" i="1"/>
  <c r="AI8" i="1"/>
  <c r="AC8" i="1"/>
  <c r="W8" i="1"/>
  <c r="BK7" i="1"/>
  <c r="BC7" i="1"/>
  <c r="AU7" i="1"/>
  <c r="AI7" i="1"/>
  <c r="AC7" i="1"/>
  <c r="W7" i="1"/>
  <c r="AI6" i="1"/>
  <c r="AC6" i="1"/>
  <c r="W6" i="1"/>
  <c r="BK5" i="1"/>
  <c r="BC5" i="1"/>
  <c r="AU5" i="1"/>
  <c r="AI5" i="1"/>
  <c r="AC5" i="1"/>
  <c r="W5" i="1"/>
  <c r="AI4" i="1"/>
  <c r="AC4" i="1"/>
  <c r="W4" i="1"/>
  <c r="BK3" i="1"/>
  <c r="BC3" i="1"/>
  <c r="AU3" i="1"/>
  <c r="AI3" i="1"/>
  <c r="AC3" i="1"/>
  <c r="W3" i="1"/>
  <c r="AG2" i="1"/>
  <c r="V2" i="1"/>
  <c r="V17" i="10" l="1"/>
  <c r="B35" i="10"/>
  <c r="V51" i="10"/>
  <c r="V67" i="10"/>
  <c r="V83" i="10"/>
  <c r="V99" i="10"/>
  <c r="B2" i="10"/>
  <c r="B18" i="10"/>
  <c r="V35" i="10"/>
  <c r="B52" i="10"/>
  <c r="B68" i="10"/>
  <c r="B84" i="10"/>
  <c r="B100" i="10"/>
  <c r="V2" i="10"/>
  <c r="V18" i="10"/>
  <c r="B36" i="10"/>
  <c r="V52" i="10"/>
  <c r="V68" i="10"/>
  <c r="V84" i="10"/>
  <c r="V100" i="10"/>
  <c r="B3" i="10"/>
  <c r="B19" i="10"/>
  <c r="V36" i="10"/>
  <c r="B53" i="10"/>
  <c r="B69" i="10"/>
  <c r="B85" i="10"/>
  <c r="B101" i="10"/>
  <c r="V3" i="10"/>
  <c r="V19" i="10"/>
  <c r="B37" i="10"/>
  <c r="V53" i="10"/>
  <c r="V69" i="10"/>
  <c r="V85" i="10"/>
  <c r="V101" i="10"/>
  <c r="B4" i="10"/>
  <c r="B20" i="10"/>
  <c r="V37" i="10"/>
  <c r="B54" i="10"/>
  <c r="B70" i="10"/>
  <c r="B86" i="10"/>
  <c r="B102" i="10"/>
  <c r="V105" i="10"/>
  <c r="B8" i="10"/>
  <c r="V24" i="10"/>
  <c r="V41" i="10"/>
  <c r="B58" i="10"/>
  <c r="B74" i="10"/>
  <c r="B90" i="10"/>
  <c r="V8" i="10"/>
  <c r="B25" i="10"/>
  <c r="B42" i="10"/>
  <c r="V58" i="10"/>
  <c r="V74" i="10"/>
  <c r="V90" i="10"/>
  <c r="B9" i="10"/>
  <c r="V25" i="10"/>
  <c r="V42" i="10"/>
  <c r="B59" i="10"/>
  <c r="B75" i="10"/>
  <c r="B91" i="10"/>
  <c r="B92" i="10"/>
  <c r="V10" i="10"/>
  <c r="B27" i="10"/>
  <c r="B44" i="10"/>
  <c r="V92" i="10"/>
  <c r="V60" i="10"/>
  <c r="V93" i="10"/>
  <c r="V94" i="10"/>
  <c r="B13" i="10"/>
  <c r="B30" i="10"/>
  <c r="B47" i="10"/>
  <c r="B63" i="10"/>
  <c r="B79" i="10"/>
  <c r="B95" i="10"/>
  <c r="V26" i="10"/>
  <c r="V43" i="10"/>
  <c r="B60" i="10"/>
  <c r="B76" i="10"/>
  <c r="V76" i="10"/>
  <c r="B11" i="10"/>
  <c r="V27" i="10"/>
  <c r="V44" i="10"/>
  <c r="B61" i="10"/>
  <c r="B77" i="10"/>
  <c r="B93" i="10"/>
  <c r="V11" i="10"/>
  <c r="B28" i="10"/>
  <c r="B45" i="10"/>
  <c r="V61" i="10"/>
  <c r="V77" i="10"/>
  <c r="B12" i="10"/>
  <c r="B29" i="10"/>
  <c r="V45" i="10"/>
  <c r="B62" i="10"/>
  <c r="B78" i="10"/>
  <c r="B94" i="10"/>
  <c r="V12" i="10"/>
  <c r="V29" i="10"/>
  <c r="B46" i="10"/>
  <c r="V62" i="10"/>
  <c r="V78" i="10"/>
  <c r="V13" i="10"/>
  <c r="B31" i="10"/>
  <c r="V47" i="10"/>
  <c r="V63" i="10"/>
  <c r="V79" i="10"/>
  <c r="V95" i="10"/>
  <c r="B48" i="10"/>
  <c r="B64" i="10"/>
  <c r="B80" i="10"/>
  <c r="C8" i="6"/>
  <c r="R12" i="2"/>
  <c r="T31" i="1"/>
  <c r="Q18" i="2"/>
  <c r="R18" i="2" s="1"/>
  <c r="AC22" i="6"/>
  <c r="AC24" i="6" s="1"/>
  <c r="AD25" i="6" s="1"/>
  <c r="AU19" i="1" s="1"/>
  <c r="S5" i="2"/>
  <c r="S31" i="2"/>
  <c r="N31" i="2"/>
  <c r="R31" i="2"/>
  <c r="T44" i="1"/>
  <c r="V44" i="1"/>
  <c r="T42" i="1"/>
  <c r="Q29" i="2"/>
  <c r="S21" i="2"/>
  <c r="R21" i="2"/>
  <c r="N21" i="2"/>
  <c r="O21" i="2" s="1"/>
  <c r="Q53" i="1"/>
  <c r="V34" i="1"/>
  <c r="T34" i="1"/>
  <c r="S25" i="2"/>
  <c r="T38" i="1"/>
  <c r="Y23" i="2"/>
  <c r="AR36" i="1"/>
  <c r="Y27" i="2"/>
  <c r="X27" i="2"/>
  <c r="T27" i="2"/>
  <c r="W3" i="2"/>
  <c r="AP16" i="1"/>
  <c r="AR29" i="1"/>
  <c r="X16" i="2"/>
  <c r="R17" i="2"/>
  <c r="N17" i="2"/>
  <c r="S17" i="2"/>
  <c r="J5" i="6"/>
  <c r="V30" i="1"/>
  <c r="T30" i="1"/>
  <c r="J50" i="1"/>
  <c r="B9" i="1"/>
  <c r="AD222" i="6"/>
  <c r="AB221" i="6" s="1"/>
  <c r="S13" i="2"/>
  <c r="R13" i="2"/>
  <c r="V26" i="1"/>
  <c r="AD224" i="6" s="1"/>
  <c r="B63" i="1"/>
  <c r="K5" i="6"/>
  <c r="Z229" i="6"/>
  <c r="Z231" i="6"/>
  <c r="T26" i="1"/>
  <c r="AD223" i="6" s="1"/>
  <c r="Z223" i="6" s="1"/>
  <c r="B62" i="1" s="1"/>
  <c r="B19" i="2" s="1"/>
  <c r="T49" i="1"/>
  <c r="L5" i="6"/>
  <c r="H5" i="6"/>
  <c r="Q36" i="2"/>
  <c r="V49" i="1"/>
  <c r="V7" i="6"/>
  <c r="M5" i="2"/>
  <c r="E4" i="6"/>
  <c r="E6" i="6" s="1"/>
  <c r="J4" i="2"/>
  <c r="V29" i="1"/>
  <c r="AR58" i="1" s="1"/>
  <c r="T29" i="1"/>
  <c r="AR57" i="1" s="1"/>
  <c r="AP57" i="1"/>
  <c r="Q16" i="2"/>
  <c r="I5" i="6"/>
  <c r="V5" i="6"/>
  <c r="AF12" i="6" s="1"/>
  <c r="F3" i="3" s="1"/>
  <c r="S76" i="6"/>
  <c r="B52" i="2" s="1"/>
  <c r="S24" i="6"/>
  <c r="B40" i="2" s="1"/>
  <c r="E3" i="6"/>
  <c r="E5" i="6" s="1"/>
  <c r="E7" i="6" s="1"/>
  <c r="E8" i="6" s="1"/>
  <c r="N7" i="6"/>
  <c r="P7" i="6" s="1"/>
  <c r="S63" i="6"/>
  <c r="B46" i="2" s="1"/>
  <c r="S41" i="6" l="1"/>
  <c r="AE55" i="1"/>
  <c r="K14" i="2" s="1"/>
  <c r="AC55" i="1"/>
  <c r="J14" i="2" s="1"/>
  <c r="AA55" i="1"/>
  <c r="I14" i="2" s="1"/>
  <c r="W55" i="1"/>
  <c r="H14" i="2" s="1"/>
  <c r="AJ54" i="1"/>
  <c r="M13" i="2" s="1"/>
  <c r="AG54" i="1"/>
  <c r="L13" i="2" s="1"/>
  <c r="S42" i="6"/>
  <c r="AG55" i="1"/>
  <c r="L14" i="2" s="1"/>
  <c r="AJ55" i="1"/>
  <c r="M14" i="2" s="1"/>
  <c r="AE54" i="1"/>
  <c r="K13" i="2" s="1"/>
  <c r="AC54" i="1"/>
  <c r="J13" i="2" s="1"/>
  <c r="AA54" i="1"/>
  <c r="I13" i="2" s="1"/>
  <c r="W54" i="1"/>
  <c r="H13" i="2" s="1"/>
  <c r="M54" i="1"/>
  <c r="M55" i="1"/>
  <c r="AE16" i="6" s="1"/>
  <c r="C9" i="6"/>
  <c r="AI11" i="1" s="1"/>
  <c r="AF10" i="1" s="1"/>
  <c r="L9" i="2" s="1"/>
  <c r="S18" i="2"/>
  <c r="N18" i="2"/>
  <c r="S29" i="2"/>
  <c r="N29" i="2"/>
  <c r="R29" i="2"/>
  <c r="U53" i="1"/>
  <c r="G12" i="2" s="1"/>
  <c r="E12" i="2"/>
  <c r="S53" i="1"/>
  <c r="F12" i="2" s="1"/>
  <c r="AB16" i="6"/>
  <c r="AA16" i="6"/>
  <c r="AC16" i="6"/>
  <c r="AS16" i="6"/>
  <c r="AR16" i="6"/>
  <c r="D14" i="2"/>
  <c r="Y3" i="2"/>
  <c r="T3" i="2"/>
  <c r="X3" i="2"/>
  <c r="Z227" i="6"/>
  <c r="Z225" i="6"/>
  <c r="F62" i="1" s="1"/>
  <c r="E19" i="2" s="1"/>
  <c r="AC247" i="6"/>
  <c r="AH247" i="6" s="1"/>
  <c r="AC251" i="6"/>
  <c r="AH251" i="6" s="1"/>
  <c r="AC246" i="6"/>
  <c r="AH246" i="6" s="1"/>
  <c r="AC258" i="6"/>
  <c r="AH258" i="6" s="1"/>
  <c r="AC262" i="6"/>
  <c r="AH262" i="6" s="1"/>
  <c r="AC250" i="6"/>
  <c r="AH250" i="6" s="1"/>
  <c r="AC245" i="6"/>
  <c r="AH245" i="6" s="1"/>
  <c r="AC263" i="6"/>
  <c r="AH263" i="6" s="1"/>
  <c r="AH243" i="6"/>
  <c r="AG225" i="6" s="1"/>
  <c r="AC257" i="6"/>
  <c r="AH257" i="6" s="1"/>
  <c r="AC261" i="6"/>
  <c r="AH261" i="6" s="1"/>
  <c r="AC249" i="6"/>
  <c r="AH249" i="6" s="1"/>
  <c r="AC243" i="6"/>
  <c r="AF225" i="6" s="1"/>
  <c r="AC255" i="6"/>
  <c r="AH255" i="6" s="1"/>
  <c r="AC248" i="6"/>
  <c r="AH248" i="6" s="1"/>
  <c r="AC254" i="6"/>
  <c r="AH254" i="6" s="1"/>
  <c r="AC253" i="6"/>
  <c r="AH253" i="6" s="1"/>
  <c r="AC259" i="6"/>
  <c r="AH259" i="6" s="1"/>
  <c r="AB259" i="6"/>
  <c r="AG259" i="6" s="1"/>
  <c r="AB251" i="6"/>
  <c r="AG251" i="6" s="1"/>
  <c r="AB246" i="6"/>
  <c r="AG246" i="6" s="1"/>
  <c r="AB258" i="6"/>
  <c r="AG258" i="6" s="1"/>
  <c r="AB250" i="6"/>
  <c r="AG250" i="6" s="1"/>
  <c r="AB245" i="6"/>
  <c r="AG245" i="6" s="1"/>
  <c r="AB257" i="6"/>
  <c r="AG257" i="6" s="1"/>
  <c r="AB263" i="6"/>
  <c r="AG263" i="6" s="1"/>
  <c r="AG243" i="6"/>
  <c r="AG224" i="6" s="1"/>
  <c r="AF230" i="6" s="1"/>
  <c r="AB261" i="6"/>
  <c r="AG261" i="6" s="1"/>
  <c r="AB249" i="6"/>
  <c r="AG249" i="6" s="1"/>
  <c r="AB243" i="6"/>
  <c r="AF224" i="6" s="1"/>
  <c r="AB255" i="6"/>
  <c r="AG255" i="6" s="1"/>
  <c r="AB262" i="6"/>
  <c r="AG262" i="6" s="1"/>
  <c r="AB248" i="6"/>
  <c r="AG248" i="6" s="1"/>
  <c r="AB247" i="6"/>
  <c r="AG247" i="6" s="1"/>
  <c r="AB254" i="6"/>
  <c r="AG254" i="6" s="1"/>
  <c r="AB253" i="6"/>
  <c r="AG253" i="6" s="1"/>
  <c r="AA246" i="6"/>
  <c r="AF246" i="6" s="1"/>
  <c r="AA254" i="6"/>
  <c r="AF254" i="6" s="1"/>
  <c r="AA261" i="6"/>
  <c r="AF261" i="6" s="1"/>
  <c r="AA259" i="6"/>
  <c r="AF259" i="6" s="1"/>
  <c r="AA251" i="6"/>
  <c r="AF251" i="6" s="1"/>
  <c r="AA258" i="6"/>
  <c r="AF258" i="6" s="1"/>
  <c r="AA255" i="6"/>
  <c r="AF255" i="6" s="1"/>
  <c r="AA250" i="6"/>
  <c r="AF250" i="6" s="1"/>
  <c r="AA245" i="6"/>
  <c r="AF245" i="6" s="1"/>
  <c r="AA257" i="6"/>
  <c r="AF257" i="6" s="1"/>
  <c r="AA263" i="6"/>
  <c r="AF263" i="6" s="1"/>
  <c r="AF243" i="6"/>
  <c r="AG223" i="6" s="1"/>
  <c r="AE230" i="6" s="1"/>
  <c r="AA249" i="6"/>
  <c r="AF249" i="6" s="1"/>
  <c r="AA243" i="6"/>
  <c r="AF223" i="6" s="1"/>
  <c r="AA262" i="6"/>
  <c r="AF262" i="6" s="1"/>
  <c r="AA248" i="6"/>
  <c r="AF248" i="6" s="1"/>
  <c r="AA247" i="6"/>
  <c r="AF247" i="6" s="1"/>
  <c r="AA253" i="6"/>
  <c r="AF253" i="6" s="1"/>
  <c r="S36" i="2"/>
  <c r="R36" i="2"/>
  <c r="J6" i="6"/>
  <c r="I8" i="6" s="1"/>
  <c r="S16" i="2"/>
  <c r="R16" i="2"/>
  <c r="AP55" i="1"/>
  <c r="F9" i="2" s="1"/>
  <c r="N9" i="6"/>
  <c r="AG230" i="6" l="1"/>
  <c r="AD16" i="6"/>
  <c r="AS15" i="6"/>
  <c r="D13" i="2"/>
  <c r="AB15" i="6"/>
  <c r="AC15" i="6"/>
  <c r="AL15" i="6"/>
  <c r="AE15" i="6"/>
  <c r="AQ15" i="6"/>
  <c r="AA15" i="6"/>
  <c r="AP15" i="6"/>
  <c r="AF15" i="6"/>
  <c r="AI15" i="6"/>
  <c r="AR15" i="6"/>
  <c r="AO15" i="6"/>
  <c r="AD15" i="6"/>
  <c r="M56" i="1"/>
  <c r="S44" i="6"/>
  <c r="AU16" i="6"/>
  <c r="AT16" i="6" s="1"/>
  <c r="AV16" i="6" s="1"/>
  <c r="Q55" i="1" s="1"/>
  <c r="AS17" i="6"/>
  <c r="AB17" i="6"/>
  <c r="AA17" i="6"/>
  <c r="AR17" i="6"/>
  <c r="AE17" i="6"/>
  <c r="AD17" i="6"/>
  <c r="AC17" i="6"/>
  <c r="D15" i="2"/>
  <c r="AF231" i="6"/>
  <c r="AF237" i="6"/>
  <c r="AF234" i="6"/>
  <c r="AG231" i="6"/>
  <c r="AG237" i="6"/>
  <c r="N76" i="1"/>
  <c r="AG234" i="6"/>
  <c r="AE234" i="6"/>
  <c r="AE231" i="6"/>
  <c r="AE237" i="6"/>
  <c r="H8" i="6"/>
  <c r="J8" i="6"/>
  <c r="L8" i="6"/>
  <c r="K8" i="6"/>
  <c r="G8" i="6"/>
  <c r="P9" i="6"/>
  <c r="AP52" i="1" s="1"/>
  <c r="O9" i="6"/>
  <c r="O10" i="6" s="1"/>
  <c r="AU15" i="6" l="1"/>
  <c r="U55" i="1"/>
  <c r="G14" i="2" s="1"/>
  <c r="S55" i="1"/>
  <c r="F14" i="2" s="1"/>
  <c r="E14" i="2"/>
  <c r="AU17" i="6"/>
  <c r="AC235" i="6"/>
  <c r="AC236" i="6"/>
  <c r="AA236" i="6"/>
  <c r="AA235" i="6"/>
  <c r="AB236" i="6"/>
  <c r="AB235" i="6"/>
  <c r="C9" i="2"/>
  <c r="S40" i="6"/>
  <c r="S46" i="6" s="1"/>
  <c r="AG240" i="6" l="1"/>
  <c r="L62" i="1" s="1"/>
  <c r="I19" i="2" s="1"/>
  <c r="AT15" i="6"/>
  <c r="AV15" i="6"/>
  <c r="Q54" i="1" s="1"/>
  <c r="AT17" i="6"/>
  <c r="AV17" i="6" s="1"/>
  <c r="Q56" i="1" s="1"/>
  <c r="AE240" i="6"/>
  <c r="I62" i="1" s="1"/>
  <c r="G19" i="2" s="1"/>
  <c r="AF240" i="6"/>
  <c r="O62" i="1" s="1"/>
  <c r="K19" i="2" s="1"/>
  <c r="S54" i="1" l="1"/>
  <c r="F13" i="2" s="1"/>
  <c r="E13" i="2"/>
  <c r="U54" i="1"/>
  <c r="G13" i="2" s="1"/>
  <c r="S56" i="1"/>
  <c r="F15" i="2" s="1"/>
  <c r="U56" i="1"/>
  <c r="G15" i="2" s="1"/>
  <c r="E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丛雨</author>
  </authors>
  <commentList>
    <comment ref="E13" authorId="0" shapeId="0" xr:uid="{00000000-0006-0000-0300-000001000000}">
      <text>
        <r>
          <rPr>
            <b/>
            <sz val="9"/>
            <rFont val="宋体"/>
            <family val="3"/>
            <charset val="134"/>
          </rPr>
          <t>经历了XXX事件
[一段描述ing]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<sst xmlns="http://schemas.openxmlformats.org/spreadsheetml/2006/main" count="12932" uniqueCount="6012">
  <si>
    <t>电脑推荐使用excel2010及以后版本或WPS打开本卡，使用横轴滚动条可以看见更多东西</t>
  </si>
  <si>
    <t>调查员信息</t>
  </si>
  <si>
    <t>年龄补正：</t>
  </si>
  <si>
    <t>属性</t>
  </si>
  <si>
    <t>已用点数:</t>
  </si>
  <si>
    <t>调查员肖像</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</si>
  <si>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</si>
  <si>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</si>
  <si>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</si>
  <si>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</si>
  <si>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</si>
  <si>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</si>
  <si>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</si>
  <si>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</si>
  <si>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</si>
  <si>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</si>
  <si>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</si>
  <si>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</si>
  <si>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</si>
  <si>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</si>
  <si>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</si>
  <si>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</si>
  <si>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</si>
  <si>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</si>
  <si>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</si>
  <si>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</si>
  <si>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</si>
  <si>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</si>
  <si>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</si>
  <si>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</si>
  <si>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</si>
  <si>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</si>
  <si>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</si>
  <si>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</si>
  <si>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</si>
  <si>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</si>
  <si>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</si>
  <si>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</si>
  <si>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</si>
  <si>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</si>
  <si>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</si>
  <si>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</si>
  <si>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</si>
  <si>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</si>
  <si>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</si>
  <si>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</si>
  <si>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用过的魔法：</t>
  </si>
  <si>
    <t>移动方式</t>
  </si>
  <si>
    <t>护甲减值</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</si>
  <si>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</si>
  <si>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</si>
  <si>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</si>
  <si>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</si>
  <si>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</si>
  <si>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</si>
  <si>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</si>
  <si>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</si>
  <si>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</si>
  <si>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</si>
  <si>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</si>
  <si>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</si>
  <si>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</si>
  <si>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</si>
  <si>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</si>
  <si>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</si>
  <si>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</si>
  <si>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</si>
  <si>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</si>
  <si>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</si>
  <si>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</si>
  <si>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</si>
  <si>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</si>
  <si>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</si>
  <si>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</si>
  <si>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</si>
  <si>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</si>
  <si>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</si>
  <si>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提示当前职业</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</si>
  <si>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</si>
  <si>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</si>
  <si>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</si>
  <si>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</si>
  <si>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</si>
  <si>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</si>
  <si>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</si>
  <si>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</si>
  <si>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</si>
  <si>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</si>
  <si>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</si>
  <si>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</si>
  <si>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</si>
  <si>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</si>
  <si>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</si>
  <si>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</si>
  <si>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</si>
  <si>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</si>
  <si>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</si>
  <si>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</si>
  <si>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</si>
  <si>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</si>
  <si>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</si>
  <si>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</si>
  <si>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</si>
  <si>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</si>
  <si>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</si>
  <si>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</si>
  <si>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</si>
  <si>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</si>
  <si>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</si>
  <si>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</si>
  <si>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</si>
  <si>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</si>
  <si>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</si>
  <si>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</si>
  <si>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</si>
  <si>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</si>
  <si>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</si>
  <si>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</si>
  <si>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</si>
  <si>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</si>
  <si>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</si>
  <si>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</si>
  <si>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</si>
  <si>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</si>
  <si>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</si>
  <si>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</si>
  <si>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</si>
  <si>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</si>
  <si>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</si>
  <si>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</si>
  <si>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</si>
  <si>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</si>
  <si>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</si>
  <si>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</si>
  <si>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</si>
  <si>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</si>
  <si>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</si>
  <si>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</si>
  <si>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</si>
  <si>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</si>
  <si>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</si>
  <si>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</si>
  <si>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动物驯养</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</si>
  <si>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</si>
  <si>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</si>
  <si>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</si>
  <si>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</si>
  <si>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</si>
  <si>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</si>
  <si>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</si>
  <si>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</si>
  <si>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</si>
  <si>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</si>
  <si>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</si>
  <si>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</si>
  <si>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</si>
  <si>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</si>
  <si>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</si>
  <si>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</si>
  <si>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</si>
  <si>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</si>
  <si>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</si>
  <si>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</si>
  <si>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</si>
  <si>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</si>
  <si>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</si>
  <si>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</si>
  <si>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</si>
  <si>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</si>
  <si>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</si>
  <si>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</si>
  <si>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</si>
  <si>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</si>
  <si>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</si>
  <si>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</si>
  <si>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</si>
  <si>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</si>
  <si>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</si>
  <si>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</si>
  <si>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</si>
  <si>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关键</t>
  </si>
  <si>
    <t>生活水平</t>
  </si>
  <si>
    <t>消费水平</t>
  </si>
  <si>
    <t>其他资产</t>
  </si>
  <si>
    <t>当前现金($)</t>
  </si>
  <si>
    <t>单位</t>
  </si>
  <si>
    <t>形象描述</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</si>
  <si>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</si>
  <si>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</si>
  <si>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</si>
  <si>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</si>
  <si>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</si>
  <si>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</si>
  <si>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</si>
  <si>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</si>
  <si>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</si>
  <si>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</si>
  <si>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</si>
  <si>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</si>
  <si>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</si>
  <si>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</si>
  <si>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</si>
  <si>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</si>
  <si>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</si>
  <si>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</si>
  <si>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</si>
  <si>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</si>
  <si>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请务必在此填写背景故事！
使用Alt+Enter换行</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</si>
  <si>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</si>
  <si>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</si>
  <si>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</si>
  <si>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</si>
  <si>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</si>
  <si>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</si>
  <si>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</si>
  <si>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</si>
  <si>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</si>
  <si>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</si>
  <si>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</si>
  <si>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</si>
  <si>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</si>
  <si>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</si>
  <si>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</si>
  <si>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</si>
  <si>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</si>
  <si>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</si>
  <si>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</si>
  <si>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</si>
  <si>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</si>
  <si>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</si>
  <si>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</si>
  <si>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</si>
  <si>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</si>
  <si>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</si>
  <si>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</si>
  <si>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</si>
  <si>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</si>
  <si>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</si>
  <si>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</si>
  <si>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</si>
  <si>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</si>
  <si>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</si>
  <si>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</si>
  <si>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</si>
  <si>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</si>
  <si>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</si>
  <si>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</si>
  <si>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</si>
  <si>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</si>
  <si>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</si>
  <si>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</si>
  <si>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</si>
  <si>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</si>
  <si>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</si>
  <si>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</si>
  <si>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</si>
  <si>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</si>
  <si>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</si>
  <si>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</si>
  <si>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</si>
  <si>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</si>
  <si>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</si>
  <si>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</si>
  <si>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</si>
  <si>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</si>
  <si>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</si>
  <si>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</si>
  <si>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</si>
  <si>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</si>
  <si>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</si>
  <si>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</si>
  <si>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</si>
  <si>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</si>
  <si>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</si>
  <si>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</si>
  <si>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神乐</t>
  </si>
  <si>
    <t>一起出生入死的医生小姐</t>
  </si>
  <si>
    <t>成为了挚友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</si>
  <si>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</si>
  <si>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</si>
  <si>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</si>
  <si>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</si>
  <si>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</si>
  <si>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</si>
  <si>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</si>
  <si>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</si>
  <si>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</si>
  <si>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</si>
  <si>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</si>
  <si>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</si>
  <si>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</si>
  <si>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</si>
  <si>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</si>
  <si>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</si>
  <si>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</si>
  <si>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</si>
  <si>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</si>
  <si>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</si>
  <si>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</si>
  <si>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</si>
  <si>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</si>
  <si>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</si>
  <si>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</si>
  <si>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</si>
  <si>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</si>
  <si>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</si>
  <si>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</si>
  <si>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丛雨 2023/12</t>
  </si>
  <si>
    <t>使用ctrl+滚轮上下调整大小，手机就直接用手指啦</t>
  </si>
  <si>
    <t>使用alt+enter换行</t>
  </si>
  <si>
    <t>最好使用最新版excel打开本卡</t>
  </si>
  <si>
    <t>改色制作人：L坪 24.8.5</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</si>
  <si>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</si>
  <si>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</si>
  <si>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</si>
  <si>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</si>
  <si>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</si>
  <si>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</si>
  <si>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</si>
  <si>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</si>
  <si>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</si>
  <si>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</si>
  <si>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</si>
  <si>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</si>
  <si>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</si>
  <si>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</si>
  <si>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</si>
  <si>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</si>
  <si>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</si>
  <si>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</si>
  <si>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</si>
  <si>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</si>
  <si>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</si>
  <si>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信仰</t>
  </si>
  <si>
    <t>重要人</t>
  </si>
  <si>
    <t>重要地</t>
  </si>
  <si>
    <t>宝物</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</si>
  <si>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</si>
  <si>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</si>
  <si>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</si>
  <si>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</si>
  <si>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</si>
  <si>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</si>
  <si>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</si>
  <si>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全技能导入，无简化，基本适合全部骰娘</t>
  </si>
  <si>
    <t>请“复制”下格，就可以导出文本，放进QQ发送给骰子娘啦</t>
  </si>
  <si>
    <t>→</t>
  </si>
  <si>
    <t>绝大部分骰娘，包括OlivaDice、Dice!、MDice、塔骰，海豹等。</t>
  </si>
  <si>
    <t>如果不能使用，请复制到txt文档，然后再复制到QQ</t>
  </si>
  <si>
    <r>
      <rPr>
        <sz val="10"/>
        <color rgb="FFFFFFFF"/>
        <rFont val="微软雅黑"/>
        <family val="2"/>
        <charset val="134"/>
      </rPr>
      <t>带有</t>
    </r>
    <r>
      <rPr>
        <b/>
        <sz val="10"/>
        <color rgb="FFC00000"/>
        <rFont val="微软雅黑"/>
        <family val="2"/>
        <charset val="134"/>
      </rPr>
      <t>调查员姓名</t>
    </r>
    <r>
      <rPr>
        <sz val="10"/>
        <color theme="0"/>
        <rFont val="微软雅黑"/>
        <family val="2"/>
        <charset val="134"/>
      </rPr>
      <t>的全导入</t>
    </r>
  </si>
  <si>
    <t>这种骰娘，在你输入.bot后，开头会出现以下字样之一
1.Dice made in java
2.ZhaoDice
3.OlivaDice（版本3.0.0+）</t>
  </si>
  <si>
    <t>“考编”骰娘短导入</t>
  </si>
  <si>
    <t>这种骰娘，是“考编”形式的骰娘，也叫“编制骰”，因为无法录入过长指令，所以只能分段导入或者使用此导入。</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</si>
  <si>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</si>
  <si>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</si>
  <si>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</si>
  <si>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</si>
  <si>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</si>
  <si>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</si>
  <si>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</si>
  <si>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</si>
  <si>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</si>
  <si>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</si>
  <si>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</si>
  <si>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</si>
  <si>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</si>
  <si>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</si>
  <si>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</si>
  <si>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</si>
  <si>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</si>
  <si>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</si>
  <si>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</si>
  <si>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</si>
  <si>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</si>
  <si>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</si>
  <si>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</si>
  <si>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</si>
  <si>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</si>
  <si>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</si>
  <si>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</si>
  <si>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</si>
  <si>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</si>
  <si>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</si>
  <si>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</si>
  <si>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</si>
  <si>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</si>
  <si>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</si>
  <si>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</si>
  <si>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</si>
  <si>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</si>
  <si>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</si>
  <si>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</si>
  <si>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</si>
  <si>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</si>
  <si>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</si>
  <si>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</si>
  <si>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</si>
  <si>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</si>
  <si>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</si>
  <si>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</si>
  <si>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</si>
  <si>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</si>
  <si>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</si>
  <si>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</si>
  <si>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</si>
  <si>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</si>
  <si>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</si>
  <si>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</si>
  <si>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</si>
  <si>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</si>
  <si>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</si>
  <si>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</si>
  <si>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</si>
  <si>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</si>
  <si>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</si>
  <si>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</si>
  <si>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</si>
  <si>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</si>
  <si>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</si>
  <si>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</si>
  <si>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</si>
  <si>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</si>
  <si>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</si>
  <si>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</si>
  <si>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</si>
  <si>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</si>
  <si>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</si>
  <si>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</si>
  <si>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</si>
  <si>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</si>
  <si>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</si>
  <si>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</si>
  <si>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</si>
  <si>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</si>
  <si>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</si>
  <si>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</si>
  <si>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</si>
  <si>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</si>
  <si>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</si>
  <si>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</si>
  <si>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</si>
  <si>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</si>
  <si>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</si>
  <si>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</si>
  <si>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</si>
  <si>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</si>
  <si>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</si>
  <si>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</si>
  <si>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</si>
  <si>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</si>
  <si>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</si>
  <si>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</si>
  <si>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</si>
  <si>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</si>
  <si>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</si>
  <si>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</si>
  <si>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</si>
  <si>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</si>
  <si>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</si>
  <si>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</si>
  <si>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</si>
  <si>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</si>
  <si>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</si>
  <si>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</si>
  <si>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</si>
  <si>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</si>
  <si>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</si>
  <si>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</si>
  <si>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</si>
  <si>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</si>
  <si>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</si>
  <si>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</si>
  <si>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</si>
  <si>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</si>
  <si>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</si>
  <si>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</si>
  <si>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</si>
  <si>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</si>
  <si>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</si>
  <si>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</si>
  <si>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</si>
  <si>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</si>
  <si>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</si>
  <si>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</si>
  <si>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</si>
  <si>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</si>
  <si>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</si>
  <si>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</si>
  <si>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</si>
  <si>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</si>
  <si>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</si>
  <si>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</si>
  <si>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</si>
  <si>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</si>
  <si>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</si>
  <si>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</si>
  <si>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</si>
  <si>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</si>
  <si>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</si>
  <si>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</si>
  <si>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</si>
  <si>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</si>
  <si>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</si>
  <si>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</si>
  <si>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</si>
  <si>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</si>
  <si>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</si>
  <si>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</si>
  <si>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</si>
  <si>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</si>
  <si>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</si>
  <si>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</si>
  <si>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</si>
  <si>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</si>
  <si>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</si>
  <si>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</si>
  <si>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</si>
  <si>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</si>
  <si>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</si>
  <si>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</si>
  <si>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</si>
  <si>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</si>
  <si>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</si>
  <si>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</si>
  <si>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</si>
  <si>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</si>
  <si>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</si>
  <si>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</si>
  <si>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</si>
  <si>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</si>
  <si>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</si>
  <si>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</si>
  <si>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</si>
  <si>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</si>
  <si>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</si>
  <si>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</si>
  <si>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</si>
  <si>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</si>
  <si>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</si>
  <si>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</si>
  <si>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</si>
  <si>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</si>
  <si>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</si>
  <si>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</si>
  <si>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</si>
  <si>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</si>
  <si>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</si>
  <si>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</si>
  <si>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</si>
  <si>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</si>
  <si>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</si>
  <si>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</si>
  <si>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</si>
  <si>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</si>
  <si>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</si>
  <si>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</si>
  <si>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</si>
  <si>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</si>
  <si>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</si>
  <si>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</si>
  <si>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</si>
  <si>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</si>
  <si>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</si>
  <si>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</si>
  <si>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</si>
  <si>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</si>
  <si>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</si>
  <si>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</si>
  <si>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</si>
  <si>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</si>
  <si>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</si>
  <si>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</si>
  <si>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</si>
  <si>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</si>
  <si>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</si>
  <si>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</si>
  <si>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</si>
  <si>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</si>
  <si>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</si>
  <si>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</si>
  <si>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</si>
  <si>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</si>
  <si>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</si>
  <si>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</si>
  <si>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</si>
  <si>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</si>
  <si>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</si>
  <si>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</si>
  <si>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</si>
  <si>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</si>
  <si>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</si>
  <si>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</si>
  <si>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</si>
  <si>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</si>
  <si>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</si>
  <si>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</si>
  <si>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</si>
  <si>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</si>
  <si>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</si>
  <si>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</si>
  <si>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</si>
  <si>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</si>
  <si>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</si>
  <si>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</si>
  <si>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</si>
  <si>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</si>
  <si>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</si>
  <si>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</si>
  <si>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</si>
  <si>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</si>
  <si>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</si>
  <si>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</si>
  <si>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</si>
  <si>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</si>
  <si>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</si>
  <si>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</si>
  <si>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</si>
  <si>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</si>
  <si>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</si>
  <si>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</si>
  <si>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</si>
  <si>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</si>
  <si>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</si>
  <si>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</si>
  <si>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</si>
  <si>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</si>
  <si>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</si>
  <si>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</si>
  <si>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</si>
  <si>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</si>
  <si>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</si>
  <si>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</si>
  <si>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</si>
  <si>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</si>
  <si>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</si>
  <si>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</si>
  <si>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</si>
  <si>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</si>
  <si>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</si>
  <si>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</si>
  <si>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</si>
  <si>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</si>
  <si>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</si>
  <si>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</si>
  <si>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</si>
  <si>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</si>
  <si>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</si>
  <si>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</si>
  <si>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</si>
  <si>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</si>
  <si>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</si>
  <si>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</si>
  <si>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</si>
  <si>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</si>
  <si>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</si>
  <si>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</si>
  <si>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</si>
  <si>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</si>
  <si>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</si>
  <si>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</si>
  <si>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</si>
  <si>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</si>
  <si>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</si>
  <si>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</si>
  <si>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</si>
  <si>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</si>
  <si>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</si>
  <si>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</si>
  <si>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</si>
  <si>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</si>
  <si>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</si>
  <si>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</si>
  <si>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</si>
  <si>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</si>
  <si>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</si>
  <si>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</si>
  <si>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</si>
  <si>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</si>
  <si>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</si>
  <si>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</si>
  <si>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</si>
  <si>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</si>
  <si>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</si>
  <si>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</si>
  <si>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</si>
  <si>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</si>
  <si>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</si>
  <si>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</si>
  <si>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</si>
  <si>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</si>
  <si>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</si>
  <si>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</si>
  <si>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</si>
  <si>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</si>
  <si>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</si>
  <si>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</si>
  <si>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</si>
  <si>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</si>
  <si>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</si>
  <si>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</si>
  <si>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</si>
  <si>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</si>
  <si>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</si>
  <si>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</si>
  <si>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</si>
  <si>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</si>
  <si>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</si>
  <si>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</si>
  <si>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</si>
  <si>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</si>
  <si>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</si>
  <si>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</si>
  <si>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</si>
  <si>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</si>
  <si>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</si>
  <si>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</si>
  <si>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</si>
  <si>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</si>
  <si>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</si>
  <si>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</si>
  <si>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</si>
  <si>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</si>
  <si>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</si>
  <si>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</si>
  <si>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</si>
  <si>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</si>
  <si>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</si>
  <si>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</si>
  <si>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</si>
  <si>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</si>
  <si>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</si>
  <si>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</si>
  <si>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</si>
  <si>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</si>
  <si>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</si>
  <si>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</si>
  <si>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</si>
  <si>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</si>
  <si>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</si>
  <si>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</si>
  <si>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</si>
  <si>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</si>
  <si>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</si>
  <si>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</si>
  <si>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</si>
  <si>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</si>
  <si>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</si>
  <si>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</si>
  <si>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</si>
  <si>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</si>
  <si>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</si>
  <si>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</si>
  <si>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</si>
  <si>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</si>
  <si>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</si>
  <si>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</si>
  <si>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</si>
  <si>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</si>
  <si>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</si>
  <si>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</si>
  <si>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</si>
  <si>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</si>
  <si>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</si>
  <si>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</si>
  <si>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</si>
  <si>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</si>
  <si>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</si>
  <si>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</si>
  <si>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</si>
  <si>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</si>
  <si>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</si>
  <si>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</si>
  <si>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</si>
  <si>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</si>
  <si>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</si>
  <si>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</si>
  <si>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</si>
  <si>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</si>
  <si>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</si>
  <si>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</si>
  <si>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</si>
  <si>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</si>
  <si>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</si>
  <si>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</si>
  <si>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</si>
  <si>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</si>
  <si>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</si>
  <si>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</si>
  <si>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</si>
  <si>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</si>
  <si>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</si>
  <si>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</si>
  <si>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</si>
  <si>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</si>
  <si>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</si>
  <si>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</si>
  <si>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</si>
  <si>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</si>
  <si>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</si>
  <si>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</si>
  <si>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</si>
  <si>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</si>
  <si>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</si>
  <si>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</si>
  <si>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</si>
  <si>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</si>
  <si>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</si>
  <si>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</si>
  <si>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</si>
  <si>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</si>
  <si>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</si>
  <si>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</si>
  <si>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</si>
  <si>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</si>
  <si>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</si>
  <si>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</si>
  <si>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</si>
  <si>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</si>
  <si>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</si>
  <si>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</si>
  <si>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</si>
  <si>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</si>
  <si>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</si>
  <si>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</si>
  <si>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</si>
  <si>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</si>
  <si>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</si>
  <si>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</si>
  <si>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</si>
  <si>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</si>
  <si>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</si>
  <si>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</si>
  <si>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</si>
  <si>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</si>
  <si>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</si>
  <si>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</si>
  <si>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</si>
  <si>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</si>
  <si>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</si>
  <si>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</si>
  <si>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</si>
  <si>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</si>
  <si>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</si>
  <si>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</si>
  <si>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</si>
  <si>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</si>
  <si>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</si>
  <si>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</si>
  <si>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</si>
  <si>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</si>
  <si>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</si>
  <si>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</si>
  <si>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</si>
  <si>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</si>
  <si>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</si>
  <si>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</si>
  <si>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</si>
  <si>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</si>
  <si>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</si>
  <si>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</si>
  <si>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</si>
  <si>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</si>
  <si>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</si>
  <si>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</si>
  <si>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</si>
  <si>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</si>
  <si>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</si>
  <si>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</si>
  <si>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</si>
  <si>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</si>
  <si>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教育×2＋敏捷或力量×2</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</si>
  <si>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</si>
  <si>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</si>
  <si>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</si>
  <si>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</si>
  <si>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</si>
  <si>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</si>
  <si>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</si>
  <si>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</si>
  <si>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</si>
  <si>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</si>
  <si>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</si>
  <si>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</si>
  <si>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</si>
  <si>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</si>
  <si>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</si>
  <si>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</si>
  <si>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</si>
  <si>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</si>
  <si>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</si>
  <si>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</si>
  <si>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</si>
  <si>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</si>
  <si>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</si>
  <si>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</si>
  <si>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</si>
  <si>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</si>
  <si>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</si>
  <si>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</si>
  <si>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</si>
  <si>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</si>
  <si>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</si>
  <si>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</si>
  <si>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</si>
  <si>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</si>
  <si>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</si>
  <si>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</si>
  <si>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</si>
  <si>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</si>
  <si>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</si>
  <si>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</si>
  <si>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</si>
  <si>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</si>
  <si>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</si>
  <si>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</si>
  <si>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</si>
  <si>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</si>
  <si>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</si>
  <si>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</si>
  <si>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</si>
  <si>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</si>
  <si>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</si>
  <si>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</si>
  <si>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</si>
  <si>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</si>
  <si>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</si>
  <si>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</si>
  <si>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</si>
  <si>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</si>
  <si>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</si>
  <si>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</si>
  <si>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</si>
  <si>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</si>
  <si>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</si>
  <si>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</si>
  <si>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</si>
  <si>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</si>
  <si>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</si>
  <si>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</si>
  <si>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</si>
  <si>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</si>
  <si>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</si>
  <si>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</si>
  <si>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</si>
  <si>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</si>
  <si>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</si>
  <si>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</si>
  <si>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</si>
  <si>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</si>
  <si>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</si>
  <si>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</si>
  <si>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</si>
  <si>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</si>
  <si>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</si>
  <si>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</si>
  <si>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</si>
  <si>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</si>
  <si>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</si>
  <si>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</si>
  <si>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</si>
  <si>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</si>
  <si>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</si>
  <si>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</si>
  <si>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</si>
  <si>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</si>
  <si>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</si>
  <si>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</si>
  <si>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</si>
  <si>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</si>
  <si>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</si>
  <si>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</si>
  <si>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</si>
  <si>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</si>
  <si>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</si>
  <si>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</si>
  <si>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</si>
  <si>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</si>
  <si>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</si>
  <si>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</si>
  <si>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</si>
  <si>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</si>
  <si>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</si>
  <si>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</si>
  <si>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</si>
  <si>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</si>
  <si>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</si>
  <si>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</si>
  <si>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</si>
  <si>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</si>
  <si>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</si>
  <si>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</si>
  <si>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</si>
  <si>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</si>
  <si>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</si>
  <si>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</si>
  <si>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</si>
  <si>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</si>
  <si>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</si>
  <si>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</si>
  <si>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</si>
  <si>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</si>
  <si>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</si>
  <si>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</si>
  <si>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</si>
  <si>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</si>
  <si>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</si>
  <si>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</si>
  <si>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</si>
  <si>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</si>
  <si>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</si>
  <si>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</si>
  <si>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</si>
  <si>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</si>
  <si>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</si>
  <si>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</si>
  <si>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</si>
  <si>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</si>
  <si>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</si>
  <si>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</si>
  <si>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</si>
  <si>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</si>
  <si>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</si>
  <si>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</si>
  <si>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</si>
  <si>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</si>
  <si>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</si>
  <si>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</si>
  <si>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</si>
  <si>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</si>
  <si>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</si>
  <si>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</si>
  <si>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</si>
  <si>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</si>
  <si>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</si>
  <si>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</si>
  <si>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</si>
  <si>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</si>
  <si>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</si>
  <si>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</si>
  <si>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</si>
  <si>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</si>
  <si>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</si>
  <si>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</si>
  <si>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</si>
  <si>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</si>
  <si>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</si>
  <si>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</si>
  <si>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</si>
  <si>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</si>
  <si>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</si>
  <si>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</si>
  <si>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</si>
  <si>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</si>
  <si>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</si>
  <si>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</si>
  <si>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</si>
  <si>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</si>
  <si>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</si>
  <si>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</si>
  <si>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</si>
  <si>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</si>
  <si>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</si>
  <si>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</si>
  <si>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</si>
  <si>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</si>
  <si>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</si>
  <si>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</si>
  <si>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</si>
  <si>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</si>
  <si>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</si>
  <si>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</si>
  <si>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</si>
  <si>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</si>
  <si>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</si>
  <si>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</si>
  <si>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</si>
  <si>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</si>
  <si>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</si>
  <si>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</si>
  <si>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</si>
  <si>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</si>
  <si>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</si>
  <si>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</si>
  <si>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</si>
  <si>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</si>
  <si>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</si>
  <si>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</si>
  <si>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</si>
  <si>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</si>
  <si>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</si>
  <si>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</si>
  <si>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</si>
  <si>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</si>
  <si>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</si>
  <si>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</si>
  <si>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</si>
  <si>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</si>
  <si>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</si>
  <si>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</si>
  <si>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</si>
  <si>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</si>
  <si>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</si>
  <si>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</si>
  <si>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</si>
  <si>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</si>
  <si>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</si>
  <si>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</si>
  <si>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</si>
  <si>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</si>
  <si>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</si>
  <si>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</si>
  <si>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</si>
  <si>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</si>
  <si>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</si>
  <si>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</si>
  <si>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</si>
  <si>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</si>
  <si>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</si>
  <si>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</si>
  <si>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</si>
  <si>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</si>
  <si>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</si>
  <si>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</si>
  <si>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</si>
  <si>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</si>
  <si>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</si>
  <si>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</si>
  <si>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</si>
  <si>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</si>
  <si>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</si>
  <si>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</si>
  <si>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</si>
  <si>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</si>
  <si>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</si>
  <si>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</si>
  <si>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</si>
  <si>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</si>
  <si>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</si>
  <si>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</si>
  <si>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</si>
  <si>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</si>
  <si>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</si>
  <si>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</si>
  <si>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</si>
  <si>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</si>
  <si>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</si>
  <si>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</si>
  <si>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</si>
  <si>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</si>
  <si>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</si>
  <si>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</si>
  <si>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</si>
  <si>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</si>
  <si>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</si>
  <si>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</si>
  <si>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</si>
  <si>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</si>
  <si>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</si>
  <si>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</si>
  <si>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</si>
  <si>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</si>
  <si>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</si>
  <si>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</si>
  <si>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</si>
  <si>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</si>
  <si>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</si>
  <si>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</si>
  <si>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</si>
  <si>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</si>
  <si>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</si>
  <si>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</si>
  <si>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</si>
  <si>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</si>
  <si>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</si>
  <si>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</si>
  <si>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</si>
  <si>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</si>
  <si>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</si>
  <si>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</si>
  <si>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</si>
  <si>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</si>
  <si>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</si>
  <si>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</si>
  <si>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</si>
  <si>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</si>
  <si>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</si>
  <si>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</si>
  <si>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</si>
  <si>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</si>
  <si>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</si>
  <si>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</si>
  <si>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</si>
  <si>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</si>
  <si>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</si>
  <si>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</si>
  <si>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</si>
  <si>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</si>
  <si>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</si>
  <si>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</si>
  <si>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</si>
  <si>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</si>
  <si>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</si>
  <si>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</si>
  <si>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</si>
  <si>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</si>
  <si>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</si>
  <si>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</si>
  <si>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</si>
  <si>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</si>
  <si>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</si>
  <si>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</si>
  <si>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</si>
  <si>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</si>
  <si>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</si>
  <si>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</si>
  <si>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</si>
  <si>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</si>
  <si>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</si>
  <si>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</si>
  <si>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</si>
  <si>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</si>
  <si>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</si>
  <si>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</si>
  <si>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</si>
  <si>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</si>
  <si>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</si>
  <si>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</si>
  <si>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</si>
  <si>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</si>
  <si>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</si>
  <si>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</si>
  <si>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</si>
  <si>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</si>
  <si>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</si>
  <si>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</si>
  <si>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</si>
  <si>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</si>
  <si>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</si>
  <si>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</si>
  <si>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</si>
  <si>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</si>
  <si>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这个表仅作为额外内容，起到辅助记录作用</t>
  </si>
  <si>
    <t>成长+初始</t>
  </si>
  <si>
    <t>总计成长</t>
  </si>
  <si>
    <t>示例</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</si>
  <si>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</si>
  <si>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</si>
  <si>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</si>
  <si>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</si>
  <si>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</si>
  <si>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</si>
  <si>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</si>
  <si>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</si>
  <si>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</si>
  <si>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</si>
  <si>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</si>
  <si>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</si>
  <si>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</si>
  <si>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</si>
  <si>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</si>
  <si>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</si>
  <si>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</si>
  <si>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</si>
  <si>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</si>
  <si>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</si>
  <si>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</si>
  <si>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</si>
  <si>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</si>
  <si>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</si>
  <si>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</si>
  <si>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</si>
  <si>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</si>
  <si>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</si>
  <si>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</si>
  <si>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</si>
  <si>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</si>
  <si>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</si>
  <si>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</si>
  <si>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</si>
  <si>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</si>
  <si>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</si>
  <si>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</si>
  <si>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</si>
  <si>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</si>
  <si>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</si>
  <si>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</si>
  <si>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</si>
  <si>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</si>
  <si>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</si>
  <si>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</si>
  <si>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</si>
  <si>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</si>
  <si>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</si>
  <si>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</si>
  <si>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</si>
  <si>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</si>
  <si>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</si>
  <si>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</si>
  <si>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</si>
  <si>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</si>
  <si>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</si>
  <si>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</si>
  <si>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</si>
  <si>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</si>
  <si>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</si>
  <si>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</si>
  <si>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</si>
  <si>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</si>
  <si>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</si>
  <si>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</si>
  <si>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</si>
  <si>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</si>
  <si>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</si>
  <si>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</si>
  <si>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</si>
  <si>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</si>
  <si>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</si>
  <si>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</si>
  <si>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</si>
  <si>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</si>
  <si>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</si>
  <si>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</si>
  <si>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</si>
  <si>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</si>
  <si>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</si>
  <si>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</si>
  <si>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</si>
  <si>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</si>
  <si>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</si>
  <si>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</si>
  <si>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</si>
  <si>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</si>
  <si>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</si>
  <si>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</si>
  <si>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</si>
  <si>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</si>
  <si>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</si>
  <si>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</si>
  <si>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</si>
  <si>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</si>
  <si>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</si>
  <si>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</si>
  <si>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</si>
  <si>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</si>
  <si>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此处填入成长数值</t>
  </si>
  <si>
    <t>后面依次类推哦</t>
  </si>
  <si>
    <t>如果需要补充成长属性的相关经历</t>
  </si>
  <si>
    <t>可以解锁工作表后右键单元格</t>
  </si>
  <si>
    <t>添加批注</t>
  </si>
  <si>
    <t>就像这样，点击此单元格可以看到批注</t>
  </si>
  <si>
    <t>有些时候我们的属性没有发生变化</t>
  </si>
  <si>
    <t>但也影响了调查员</t>
  </si>
  <si>
    <t>此类内容可移动至该表格的最下方进行描述</t>
  </si>
  <si>
    <t>格斗：斗殴</t>
  </si>
  <si>
    <t>射击：手枪</t>
  </si>
  <si>
    <t>驯兽</t>
  </si>
  <si>
    <t>模组内容经历</t>
  </si>
  <si>
    <t>模组内容经历描述，此类事件一般没有改变属性，但是对调查员的其他方面造成了一些影响。</t>
  </si>
  <si>
    <t>得到了一只听话的小狗</t>
  </si>
  <si>
    <t>在XX地区结识了当地的权贵</t>
  </si>
  <si>
    <t>XX欠了你一个大人情</t>
  </si>
  <si>
    <t>得到了一本《XXXX》</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</si>
  <si>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</si>
  <si>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</si>
  <si>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</si>
  <si>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</si>
  <si>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</si>
  <si>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</si>
  <si>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</si>
  <si>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</si>
  <si>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</si>
  <si>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</si>
  <si>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</si>
  <si>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</si>
  <si>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</si>
  <si>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</si>
  <si>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</si>
  <si>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</si>
  <si>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</si>
  <si>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</si>
  <si>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</si>
  <si>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</si>
  <si>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</si>
  <si>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</si>
  <si>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</si>
  <si>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</si>
  <si>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</si>
  <si>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</si>
  <si>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</si>
  <si>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</si>
  <si>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</si>
  <si>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</si>
  <si>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</si>
  <si>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</si>
  <si>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</si>
  <si>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</si>
  <si>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</si>
  <si>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</si>
  <si>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</si>
  <si>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</si>
  <si>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</si>
  <si>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</si>
  <si>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</si>
  <si>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</si>
  <si>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</si>
  <si>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</si>
  <si>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</si>
  <si>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</si>
  <si>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</si>
  <si>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</si>
  <si>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</si>
  <si>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</si>
  <si>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</si>
  <si>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</si>
  <si>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</si>
  <si>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</si>
  <si>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</si>
  <si>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</si>
  <si>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</si>
  <si>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</si>
  <si>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</si>
  <si>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</si>
  <si>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</si>
  <si>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</si>
  <si>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</si>
  <si>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</si>
  <si>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</si>
  <si>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</si>
  <si>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</si>
  <si>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</si>
  <si>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</si>
  <si>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</si>
  <si>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</si>
  <si>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</si>
  <si>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</si>
  <si>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</si>
  <si>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</si>
  <si>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</si>
  <si>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</si>
  <si>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</si>
  <si>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</si>
  <si>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</si>
  <si>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</si>
  <si>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</si>
  <si>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</si>
  <si>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</si>
  <si>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</si>
  <si>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</si>
  <si>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</si>
  <si>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</si>
  <si>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</si>
  <si>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</si>
  <si>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</si>
  <si>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</si>
  <si>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</si>
  <si>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</si>
  <si>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</si>
  <si>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</si>
  <si>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</si>
  <si>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</si>
  <si>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</si>
  <si>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</si>
  <si>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</si>
  <si>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</si>
  <si>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</si>
  <si>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</si>
  <si>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</si>
  <si>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</si>
  <si>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</si>
  <si>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</si>
  <si>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</si>
  <si>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</si>
  <si>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</si>
  <si>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</si>
  <si>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</si>
  <si>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</si>
  <si>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</si>
  <si>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</si>
  <si>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</si>
  <si>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</si>
  <si>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</si>
  <si>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</si>
  <si>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</si>
  <si>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</si>
  <si>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</si>
  <si>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</si>
  <si>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</si>
  <si>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</si>
  <si>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</si>
  <si>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</si>
  <si>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</si>
  <si>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</si>
  <si>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</si>
  <si>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</si>
  <si>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</si>
  <si>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</si>
  <si>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</si>
  <si>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</si>
  <si>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</si>
  <si>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</si>
  <si>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</si>
  <si>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</si>
  <si>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</si>
  <si>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</si>
  <si>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已用总数</t>
  </si>
  <si>
    <t>是否停用</t>
  </si>
  <si>
    <t>其他(头)</t>
  </si>
  <si>
    <t>躯————</t>
  </si>
  <si>
    <t>显露</t>
  </si>
  <si>
    <t>剩余</t>
  </si>
  <si>
    <t>目前值</t>
  </si>
  <si>
    <t>肩</t>
  </si>
  <si>
    <t>隐藏</t>
  </si>
  <si>
    <t>分类</t>
  </si>
  <si>
    <t>胸前</t>
  </si>
  <si>
    <t>最终显示</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</si>
  <si>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</si>
  <si>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</si>
  <si>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</si>
  <si>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</si>
  <si>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</si>
  <si>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</si>
  <si>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</si>
  <si>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</si>
  <si>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</si>
  <si>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</si>
  <si>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</si>
  <si>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</si>
  <si>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</si>
  <si>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</si>
  <si>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</si>
  <si>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</si>
  <si>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</si>
  <si>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</si>
  <si>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</si>
  <si>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</si>
  <si>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</si>
  <si>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</si>
  <si>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</si>
  <si>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</si>
  <si>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</si>
  <si>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</si>
  <si>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</si>
  <si>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</si>
  <si>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</si>
  <si>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</si>
  <si>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</si>
  <si>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</si>
  <si>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</si>
  <si>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</si>
  <si>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</si>
  <si>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</si>
  <si>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</si>
  <si>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</si>
  <si>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</si>
  <si>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</si>
  <si>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</si>
  <si>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</si>
  <si>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</si>
  <si>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</si>
  <si>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</si>
  <si>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</si>
  <si>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</si>
  <si>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</si>
  <si>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</si>
  <si>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</si>
  <si>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</si>
  <si>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</si>
  <si>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</si>
  <si>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</si>
  <si>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</si>
  <si>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</si>
  <si>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</si>
  <si>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</si>
  <si>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</si>
  <si>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</si>
  <si>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</si>
  <si>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</si>
  <si>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</si>
  <si>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</si>
  <si>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</si>
  <si>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</si>
  <si>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</si>
  <si>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</si>
  <si>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</si>
  <si>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</si>
  <si>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</si>
  <si>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</si>
  <si>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</si>
  <si>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</si>
  <si>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</si>
  <si>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</si>
  <si>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</si>
  <si>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</si>
  <si>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</si>
  <si>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</si>
  <si>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</si>
  <si>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</si>
  <si>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</si>
  <si>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</si>
  <si>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</si>
  <si>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</si>
  <si>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</si>
  <si>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</si>
  <si>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</si>
  <si>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</si>
  <si>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</si>
  <si>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</si>
  <si>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</si>
  <si>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</si>
  <si>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</si>
  <si>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</si>
  <si>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</si>
  <si>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</si>
  <si>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</si>
  <si>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</si>
  <si>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</si>
  <si>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</si>
  <si>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</si>
  <si>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</si>
  <si>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</si>
  <si>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</si>
  <si>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</si>
  <si>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</si>
  <si>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</si>
  <si>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</si>
  <si>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</si>
  <si>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</si>
  <si>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</si>
  <si>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</si>
  <si>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</si>
  <si>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</si>
  <si>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</si>
  <si>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</si>
  <si>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</si>
  <si>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</si>
  <si>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</si>
  <si>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</si>
  <si>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</si>
  <si>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</si>
  <si>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</si>
  <si>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</si>
  <si>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</si>
  <si>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</si>
  <si>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</si>
  <si>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</si>
  <si>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</si>
  <si>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</si>
  <si>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</si>
  <si>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</si>
  <si>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</si>
  <si>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</si>
  <si>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</si>
  <si>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</si>
  <si>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</si>
  <si>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</si>
  <si>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</si>
  <si>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</si>
  <si>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</si>
  <si>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</si>
  <si>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</si>
  <si>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</si>
  <si>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</si>
  <si>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</si>
  <si>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</si>
  <si>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</si>
  <si>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</si>
  <si>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</si>
  <si>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</si>
  <si>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</si>
  <si>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</si>
  <si>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</si>
  <si>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</si>
  <si>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</si>
  <si>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</si>
  <si>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</si>
  <si>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</si>
  <si>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</si>
  <si>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</si>
  <si>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</si>
  <si>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</si>
  <si>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</si>
  <si>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</si>
  <si>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</si>
  <si>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</si>
  <si>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</si>
  <si>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</si>
  <si>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</si>
  <si>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</si>
  <si>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</si>
  <si>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</si>
  <si>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</si>
  <si>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</si>
  <si>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</si>
  <si>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</si>
  <si>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</si>
  <si>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</si>
  <si>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</si>
  <si>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</si>
  <si>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</si>
  <si>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</si>
  <si>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</si>
  <si>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</si>
  <si>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</si>
  <si>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</si>
  <si>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</si>
  <si>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</si>
  <si>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</si>
  <si>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</si>
  <si>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</si>
  <si>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</si>
  <si>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</si>
  <si>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</si>
  <si>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</si>
  <si>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</si>
  <si>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</si>
  <si>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</si>
  <si>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</si>
  <si>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</si>
  <si>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</si>
  <si>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</si>
  <si>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</si>
  <si>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</si>
  <si>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</si>
  <si>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</si>
  <si>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</si>
  <si>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</si>
  <si>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</si>
  <si>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</si>
  <si>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</si>
  <si>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</si>
  <si>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</si>
  <si>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</si>
  <si>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</si>
  <si>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</si>
  <si>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</si>
  <si>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</si>
  <si>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</si>
  <si>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</si>
  <si>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</si>
  <si>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</si>
  <si>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</si>
  <si>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</si>
  <si>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</si>
  <si>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</si>
  <si>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</si>
  <si>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</si>
  <si>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</si>
  <si>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</si>
  <si>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</si>
  <si>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</si>
  <si>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</si>
  <si>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</si>
  <si>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</si>
  <si>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</si>
  <si>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</si>
  <si>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</si>
  <si>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</si>
  <si>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</si>
  <si>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</si>
  <si>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</si>
  <si>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</si>
  <si>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</si>
  <si>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</si>
  <si>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</si>
  <si>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</si>
  <si>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</si>
  <si>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</si>
  <si>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</si>
  <si>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</si>
  <si>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</si>
  <si>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</si>
  <si>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</si>
  <si>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</si>
  <si>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</si>
  <si>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</si>
  <si>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</si>
  <si>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</si>
  <si>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</si>
  <si>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</si>
  <si>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</si>
  <si>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</si>
  <si>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</si>
  <si>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</si>
  <si>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</si>
  <si>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</si>
  <si>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</si>
  <si>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</si>
  <si>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</si>
  <si>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</si>
  <si>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</si>
  <si>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</si>
  <si>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</si>
  <si>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</si>
  <si>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</si>
  <si>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</si>
  <si>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</si>
  <si>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</si>
  <si>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</si>
  <si>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</si>
  <si>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</si>
  <si>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</si>
  <si>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</si>
  <si>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</si>
  <si>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</si>
  <si>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</si>
  <si>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</si>
  <si>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</si>
  <si>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</si>
  <si>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</si>
  <si>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</si>
  <si>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</si>
  <si>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</si>
  <si>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</si>
  <si>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</si>
  <si>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</si>
  <si>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</si>
  <si>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</si>
  <si>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</si>
  <si>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</si>
  <si>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</si>
  <si>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</si>
  <si>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</si>
  <si>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</si>
  <si>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</si>
  <si>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</si>
  <si>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</si>
  <si>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</si>
  <si>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</si>
  <si>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</si>
  <si>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</si>
  <si>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</si>
  <si>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</si>
  <si>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</si>
  <si>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</si>
  <si>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</si>
  <si>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</si>
  <si>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</si>
  <si>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</si>
  <si>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</si>
  <si>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</si>
  <si>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</si>
  <si>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</si>
  <si>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</si>
  <si>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</si>
  <si>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</si>
  <si>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</si>
  <si>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</si>
  <si>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</si>
  <si>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</si>
  <si>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</si>
  <si>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</si>
  <si>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</si>
  <si>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</si>
  <si>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</si>
  <si>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</si>
  <si>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</si>
  <si>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</si>
  <si>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</si>
  <si>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</si>
  <si>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</si>
  <si>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</si>
  <si>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</si>
  <si>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</si>
  <si>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</si>
  <si>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</si>
  <si>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</si>
  <si>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</si>
  <si>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</si>
  <si>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</si>
  <si>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</si>
  <si>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</si>
  <si>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</si>
  <si>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</si>
  <si>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</si>
  <si>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</si>
  <si>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</si>
  <si>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</si>
  <si>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</si>
  <si>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</si>
  <si>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</si>
  <si>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</si>
  <si>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</si>
  <si>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</si>
  <si>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</si>
  <si>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</si>
  <si>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</si>
  <si>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</si>
  <si>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</si>
  <si>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</si>
  <si>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</si>
  <si>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</si>
  <si>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</si>
  <si>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</si>
  <si>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</si>
  <si>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</si>
  <si>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</si>
  <si>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</si>
  <si>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</si>
  <si>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</si>
  <si>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</si>
  <si>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</si>
  <si>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</si>
  <si>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</si>
  <si>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</si>
  <si>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</si>
  <si>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</si>
  <si>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</si>
  <si>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</si>
  <si>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</si>
  <si>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</si>
  <si>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</si>
  <si>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</si>
  <si>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</si>
  <si>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</si>
  <si>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</si>
  <si>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</si>
  <si>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</si>
  <si>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</si>
  <si>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</si>
  <si>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</si>
  <si>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</si>
  <si>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</si>
  <si>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</si>
  <si>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</si>
  <si>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</si>
  <si>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</si>
  <si>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</si>
  <si>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</si>
  <si>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</si>
  <si>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</si>
  <si>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</si>
  <si>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</si>
  <si>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</si>
  <si>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</si>
  <si>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</si>
  <si>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</si>
  <si>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</si>
  <si>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</si>
  <si>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</si>
  <si>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</si>
  <si>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</si>
  <si>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</si>
  <si>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</si>
  <si>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</si>
  <si>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</si>
  <si>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</si>
  <si>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</si>
  <si>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</si>
  <si>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</si>
  <si>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</si>
  <si>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</si>
  <si>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</si>
  <si>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</si>
  <si>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</si>
  <si>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</si>
  <si>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</si>
  <si>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</si>
  <si>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</si>
  <si>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</si>
  <si>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</si>
  <si>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</si>
  <si>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</si>
  <si>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</si>
  <si>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</si>
  <si>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</si>
  <si>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</si>
  <si>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</si>
  <si>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</si>
  <si>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</si>
  <si>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</si>
  <si>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</si>
  <si>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</si>
  <si>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</si>
  <si>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</si>
  <si>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</si>
  <si>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</si>
  <si>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</si>
  <si>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</si>
  <si>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</si>
  <si>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</si>
  <si>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</si>
  <si>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</si>
  <si>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</si>
  <si>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</si>
  <si>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</si>
  <si>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</si>
  <si>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</si>
  <si>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</si>
  <si>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</si>
  <si>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</si>
  <si>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</si>
  <si>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</si>
  <si>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</si>
  <si>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</si>
  <si>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</si>
  <si>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</si>
  <si>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</si>
  <si>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</si>
  <si>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</si>
  <si>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</si>
  <si>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</si>
  <si>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</si>
  <si>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</si>
  <si>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</si>
  <si>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</si>
  <si>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</si>
  <si>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</si>
  <si>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</si>
  <si>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</si>
  <si>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</si>
  <si>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</si>
  <si>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</si>
  <si>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</si>
  <si>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</si>
  <si>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</si>
  <si>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</si>
  <si>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</si>
  <si>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</si>
  <si>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</si>
  <si>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</si>
  <si>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</si>
  <si>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</si>
  <si>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</si>
  <si>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</si>
  <si>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</si>
  <si>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</si>
  <si>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</si>
  <si>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</si>
  <si>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</si>
  <si>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</si>
  <si>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</si>
  <si>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</si>
  <si>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</si>
  <si>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</si>
  <si>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</si>
  <si>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</si>
  <si>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</si>
  <si>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</si>
  <si>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</si>
  <si>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</si>
  <si>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</si>
  <si>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</si>
  <si>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</si>
  <si>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</si>
  <si>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</si>
  <si>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</si>
  <si>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</si>
  <si>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</si>
  <si>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</si>
  <si>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</si>
  <si>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</si>
  <si>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</si>
  <si>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</si>
  <si>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</si>
  <si>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</si>
  <si>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</si>
  <si>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</si>
  <si>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</si>
  <si>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</si>
  <si>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</si>
  <si>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</si>
  <si>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</si>
  <si>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</si>
  <si>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</si>
  <si>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</si>
  <si>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</si>
  <si>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</si>
  <si>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</si>
  <si>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</si>
  <si>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</si>
  <si>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</si>
  <si>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</si>
  <si>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</si>
  <si>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</si>
  <si>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</si>
  <si>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</si>
  <si>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</si>
  <si>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</si>
  <si>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</si>
  <si>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</si>
  <si>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</si>
  <si>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</si>
  <si>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</si>
  <si>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</si>
  <si>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</si>
  <si>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</si>
  <si>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</si>
  <si>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</si>
  <si>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</si>
  <si>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</si>
  <si>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</si>
  <si>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</si>
  <si>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</si>
  <si>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</si>
  <si>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</si>
  <si>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</si>
  <si>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</si>
  <si>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</si>
  <si>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</si>
  <si>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</si>
  <si>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</si>
  <si>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</si>
  <si>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</si>
  <si>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</si>
  <si>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</si>
  <si>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</si>
  <si>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</si>
  <si>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</si>
  <si>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</si>
  <si>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</si>
  <si>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</si>
  <si>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</si>
  <si>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</si>
  <si>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</si>
  <si>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</si>
  <si>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</si>
  <si>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</si>
  <si>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</si>
  <si>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</si>
  <si>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</si>
  <si>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</si>
  <si>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</si>
  <si>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</si>
  <si>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</si>
  <si>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</si>
  <si>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</si>
  <si>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</si>
  <si>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</si>
  <si>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</si>
  <si>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</si>
  <si>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</si>
  <si>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</si>
  <si>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</si>
  <si>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</si>
  <si>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</si>
  <si>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</si>
  <si>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</si>
  <si>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</si>
  <si>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</si>
  <si>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</si>
  <si>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</si>
  <si>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</si>
  <si>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</si>
  <si>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</si>
  <si>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</si>
  <si>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</si>
  <si>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</si>
  <si>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</si>
  <si>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</si>
  <si>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</si>
  <si>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</si>
  <si>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</si>
  <si>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</si>
  <si>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</si>
  <si>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</si>
  <si>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</si>
  <si>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</si>
  <si>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</si>
  <si>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</si>
  <si>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</si>
  <si>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</si>
  <si>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</si>
  <si>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</si>
  <si>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</si>
  <si>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</si>
  <si>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</si>
  <si>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</si>
  <si>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</si>
  <si>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</si>
  <si>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</si>
  <si>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</si>
  <si>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</si>
  <si>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</si>
  <si>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</si>
  <si>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</si>
  <si>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</si>
  <si>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</si>
  <si>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</si>
  <si>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</si>
  <si>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</si>
  <si>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</si>
  <si>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</si>
  <si>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</si>
  <si>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</si>
  <si>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</si>
  <si>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</si>
  <si>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</si>
  <si>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</si>
  <si>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</si>
  <si>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</si>
  <si>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</si>
  <si>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</si>
  <si>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</si>
  <si>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</si>
  <si>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</si>
  <si>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</si>
  <si>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</si>
  <si>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</si>
  <si>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</si>
  <si>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</si>
  <si>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</si>
  <si>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</si>
  <si>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</si>
  <si>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</si>
  <si>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</si>
  <si>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</si>
  <si>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</si>
  <si>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</si>
  <si>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</si>
  <si>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</si>
  <si>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</si>
  <si>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</si>
  <si>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</si>
  <si>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</si>
  <si>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</si>
  <si>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</si>
  <si>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</si>
  <si>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</si>
  <si>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</si>
  <si>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</si>
  <si>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</si>
  <si>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</si>
  <si>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</si>
  <si>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</si>
  <si>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</si>
  <si>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</si>
  <si>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</si>
  <si>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</si>
  <si>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</si>
  <si>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</si>
  <si>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</si>
  <si>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</si>
  <si>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</si>
  <si>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</si>
  <si>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</si>
  <si>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</si>
  <si>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</si>
  <si>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</si>
  <si>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</si>
  <si>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</si>
  <si>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</si>
  <si>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</si>
  <si>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</si>
  <si>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</si>
  <si>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</si>
  <si>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</si>
  <si>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</si>
  <si>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</si>
  <si>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</si>
  <si>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</si>
  <si>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</si>
  <si>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</si>
  <si>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</si>
  <si>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</si>
  <si>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</si>
  <si>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</si>
  <si>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</si>
  <si>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</si>
  <si>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</si>
  <si>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</si>
  <si>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</si>
  <si>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</si>
  <si>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</si>
  <si>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</si>
  <si>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</si>
  <si>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</si>
  <si>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</si>
  <si>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</si>
  <si>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</si>
  <si>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</si>
  <si>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</si>
  <si>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</si>
  <si>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</si>
  <si>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</si>
  <si>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</si>
  <si>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</si>
  <si>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</si>
  <si>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</si>
  <si>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</si>
  <si>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</si>
  <si>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</si>
  <si>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</si>
  <si>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</si>
  <si>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</si>
  <si>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</si>
  <si>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</si>
  <si>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</si>
  <si>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</si>
  <si>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</si>
  <si>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</si>
  <si>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</si>
  <si>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</si>
  <si>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</si>
  <si>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</si>
  <si>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</si>
  <si>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</si>
  <si>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</si>
  <si>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</si>
  <si>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</si>
  <si>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</si>
  <si>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</si>
  <si>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</si>
  <si>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</si>
  <si>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</si>
  <si>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</si>
  <si>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</si>
  <si>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</si>
  <si>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</si>
  <si>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</si>
  <si>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</si>
  <si>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</si>
  <si>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</si>
  <si>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</si>
  <si>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</si>
  <si>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</si>
  <si>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</si>
  <si>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</si>
  <si>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</si>
  <si>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</si>
  <si>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</si>
  <si>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</si>
  <si>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</si>
  <si>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</si>
  <si>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</si>
  <si>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</si>
  <si>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</si>
  <si>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</si>
  <si>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</si>
  <si>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</si>
  <si>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</si>
  <si>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</si>
  <si>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</si>
  <si>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</si>
  <si>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</si>
  <si>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</si>
  <si>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</si>
  <si>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</si>
  <si>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</si>
  <si>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</si>
  <si>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</si>
  <si>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</si>
  <si>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</si>
  <si>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</si>
  <si>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</si>
  <si>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</si>
  <si>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</si>
  <si>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</si>
  <si>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</si>
  <si>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</si>
  <si>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</si>
  <si>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</si>
  <si>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</si>
  <si>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</si>
  <si>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</si>
  <si>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</si>
  <si>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</si>
  <si>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</si>
  <si>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</si>
  <si>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</si>
  <si>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</si>
  <si>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</si>
  <si>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</si>
  <si>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</si>
  <si>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</si>
  <si>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</si>
  <si>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</si>
  <si>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</si>
  <si>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</si>
  <si>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</si>
  <si>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</si>
  <si>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</si>
  <si>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</si>
  <si>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</si>
  <si>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</si>
  <si>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</si>
  <si>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</si>
  <si>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</si>
  <si>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</si>
  <si>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</si>
  <si>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</si>
  <si>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</si>
  <si>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</si>
  <si>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</si>
  <si>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</si>
  <si>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</si>
  <si>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</si>
  <si>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</si>
  <si>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</si>
  <si>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</si>
  <si>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</si>
  <si>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</si>
  <si>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</si>
  <si>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</si>
  <si>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</si>
  <si>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</si>
  <si>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</si>
  <si>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</si>
  <si>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</si>
  <si>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</si>
  <si>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</si>
  <si>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</si>
  <si>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</si>
  <si>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</si>
  <si>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</si>
  <si>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</si>
  <si>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</si>
  <si>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</si>
  <si>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</si>
  <si>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</si>
  <si>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</si>
  <si>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</si>
  <si>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</si>
  <si>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</si>
  <si>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</si>
  <si>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</si>
  <si>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</si>
  <si>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</si>
  <si>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</si>
  <si>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</si>
  <si>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</si>
  <si>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</si>
  <si>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</si>
  <si>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</si>
  <si>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</si>
  <si>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</si>
  <si>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</si>
  <si>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</si>
  <si>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</si>
  <si>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</si>
  <si>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</si>
  <si>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</si>
  <si>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</si>
  <si>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</si>
  <si>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</si>
  <si>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</si>
  <si>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</si>
  <si>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</si>
  <si>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</si>
  <si>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</si>
  <si>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</si>
  <si>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</si>
  <si>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</si>
  <si>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</si>
  <si>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</si>
  <si>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</si>
  <si>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</si>
  <si>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</si>
  <si>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</si>
  <si>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</si>
  <si>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</si>
  <si>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</si>
  <si>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</si>
  <si>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</si>
  <si>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</si>
  <si>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</si>
  <si>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</si>
  <si>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</si>
  <si>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</si>
  <si>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</si>
  <si>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</si>
  <si>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</si>
  <si>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</si>
  <si>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</si>
  <si>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</si>
  <si>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</si>
  <si>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</si>
  <si>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</si>
  <si>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</si>
  <si>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</si>
  <si>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</si>
  <si>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</si>
  <si>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</si>
  <si>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</si>
  <si>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</si>
  <si>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</si>
  <si>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</si>
  <si>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</si>
  <si>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</si>
  <si>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</si>
  <si>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</si>
  <si>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</si>
  <si>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</si>
  <si>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</si>
  <si>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</si>
  <si>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</si>
  <si>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</si>
  <si>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</si>
  <si>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</si>
  <si>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</si>
  <si>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</si>
  <si>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</si>
  <si>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</si>
  <si>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</si>
  <si>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</si>
  <si>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</si>
  <si>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</si>
  <si>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</si>
  <si>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</si>
  <si>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</si>
  <si>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</si>
  <si>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</si>
  <si>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</si>
  <si>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</si>
  <si>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</si>
  <si>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</si>
  <si>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</si>
  <si>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</si>
  <si>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</si>
  <si>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</si>
  <si>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</si>
  <si>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</si>
  <si>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</si>
  <si>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</si>
  <si>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</si>
  <si>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</si>
  <si>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</si>
  <si>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</si>
  <si>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</si>
  <si>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</si>
  <si>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</si>
  <si>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</si>
  <si>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</si>
  <si>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</si>
  <si>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</si>
  <si>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</si>
  <si>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</si>
  <si>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</si>
  <si>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</si>
  <si>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</si>
  <si>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</si>
  <si>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</si>
  <si>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</si>
  <si>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</si>
  <si>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</si>
  <si>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</si>
  <si>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</si>
  <si>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</si>
  <si>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</si>
  <si>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</si>
  <si>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</si>
  <si>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</si>
  <si>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</si>
  <si>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</si>
  <si>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</si>
  <si>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</si>
  <si>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</si>
  <si>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</si>
  <si>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</si>
  <si>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</si>
  <si>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</si>
  <si>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</si>
  <si>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</si>
  <si>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</si>
  <si>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</si>
  <si>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</si>
  <si>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</si>
  <si>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</si>
  <si>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</si>
  <si>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</si>
  <si>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</si>
  <si>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</si>
  <si>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</si>
  <si>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</si>
  <si>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</si>
  <si>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</si>
  <si>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</si>
  <si>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</si>
  <si>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</si>
  <si>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</si>
  <si>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</si>
  <si>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</si>
  <si>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</si>
  <si>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</si>
  <si>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</si>
  <si>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</si>
  <si>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</si>
  <si>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</si>
  <si>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</si>
  <si>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</si>
  <si>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</si>
  <si>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</si>
  <si>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</si>
  <si>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</si>
  <si>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</si>
  <si>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</si>
  <si>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</si>
  <si>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</si>
  <si>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</si>
  <si>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</si>
  <si>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</si>
  <si>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</si>
  <si>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</si>
  <si>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</si>
  <si>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</si>
  <si>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</si>
  <si>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</si>
  <si>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</si>
  <si>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</si>
  <si>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</si>
  <si>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</si>
  <si>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</si>
  <si>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</si>
  <si>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</si>
  <si>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</si>
  <si>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</si>
  <si>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</si>
  <si>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</si>
  <si>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</si>
  <si>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</si>
  <si>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</si>
  <si>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</si>
  <si>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</si>
  <si>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</si>
  <si>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</si>
  <si>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</si>
  <si>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</si>
  <si>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</si>
  <si>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</si>
  <si>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</si>
  <si>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</si>
  <si>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</si>
  <si>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</si>
  <si>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</si>
  <si>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</si>
  <si>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</si>
  <si>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</si>
  <si>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</si>
  <si>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</si>
  <si>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</si>
  <si>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</si>
  <si>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</si>
  <si>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</si>
  <si>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</si>
  <si>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</si>
  <si>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</si>
  <si>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</si>
  <si>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</si>
  <si>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</si>
  <si>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</si>
  <si>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</si>
  <si>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</si>
  <si>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</si>
  <si>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</si>
  <si>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</si>
  <si>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</si>
  <si>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</si>
  <si>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</si>
  <si>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</si>
  <si>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</si>
  <si>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</si>
  <si>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</si>
  <si>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</si>
  <si>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</si>
  <si>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</si>
  <si>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</si>
  <si>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</si>
  <si>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</si>
  <si>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</si>
  <si>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</si>
  <si>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</si>
  <si>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</si>
  <si>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</si>
  <si>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</si>
  <si>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</si>
  <si>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</si>
  <si>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</si>
  <si>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</si>
  <si>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</si>
  <si>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</si>
  <si>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</si>
  <si>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</si>
  <si>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</si>
  <si>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</si>
  <si>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</si>
  <si>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</si>
  <si>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</si>
  <si>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</si>
  <si>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</si>
  <si>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</si>
  <si>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</si>
  <si>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</si>
  <si>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</si>
  <si>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</si>
  <si>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</si>
  <si>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</si>
  <si>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</si>
  <si>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</si>
  <si>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</si>
  <si>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</si>
  <si>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</si>
  <si>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</si>
  <si>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</si>
  <si>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</si>
  <si>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</si>
  <si>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</si>
  <si>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</si>
  <si>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</si>
  <si>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</si>
  <si>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</si>
  <si>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</si>
  <si>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</si>
  <si>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</si>
  <si>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</si>
  <si>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</si>
  <si>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</si>
  <si>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</si>
  <si>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</si>
  <si>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</si>
  <si>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</si>
  <si>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</si>
  <si>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</si>
  <si>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</si>
  <si>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</si>
  <si>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</si>
  <si>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</si>
  <si>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</si>
  <si>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</si>
  <si>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</si>
  <si>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</si>
  <si>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</si>
  <si>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</si>
  <si>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</si>
  <si>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</si>
  <si>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</si>
  <si>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</si>
  <si>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</si>
  <si>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</si>
  <si>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</si>
  <si>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</si>
  <si>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</si>
  <si>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</si>
  <si>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</si>
  <si>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</si>
  <si>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</si>
  <si>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</si>
  <si>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</si>
  <si>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</si>
  <si>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</si>
  <si>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</si>
  <si>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</si>
  <si>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</si>
  <si>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</si>
  <si>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</si>
  <si>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</si>
  <si>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</si>
  <si>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</si>
  <si>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</si>
  <si>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</si>
  <si>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</si>
  <si>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</si>
  <si>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</si>
  <si>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</si>
  <si>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</si>
  <si>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</si>
  <si>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</si>
  <si>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</si>
  <si>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</si>
  <si>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</si>
  <si>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</si>
  <si>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</si>
  <si>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</si>
  <si>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</si>
  <si>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</si>
  <si>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</si>
  <si>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</si>
  <si>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</si>
  <si>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</si>
  <si>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</si>
  <si>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</si>
  <si>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</si>
  <si>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</si>
  <si>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</si>
  <si>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</si>
  <si>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</si>
  <si>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</si>
  <si>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</si>
  <si>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</si>
  <si>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</si>
  <si>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</si>
  <si>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</si>
  <si>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发明仅可查询至2016年</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</si>
  <si>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</si>
  <si>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</si>
  <si>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</si>
  <si>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</si>
  <si>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</si>
  <si>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</si>
  <si>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</si>
  <si>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</si>
  <si>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</si>
  <si>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</si>
  <si>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</si>
  <si>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</si>
  <si>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</si>
  <si>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</si>
  <si>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</si>
  <si>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</si>
  <si>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</si>
  <si>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</si>
  <si>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</si>
  <si>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</si>
  <si>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</si>
  <si>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</si>
  <si>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</si>
  <si>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</si>
  <si>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</si>
  <si>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</si>
  <si>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</si>
  <si>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</si>
  <si>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</si>
  <si>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</si>
  <si>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</si>
  <si>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</si>
  <si>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</si>
  <si>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</si>
  <si>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</si>
  <si>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</si>
  <si>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</si>
  <si>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</si>
  <si>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</si>
  <si>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</si>
  <si>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</si>
  <si>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</si>
  <si>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</si>
  <si>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</si>
  <si>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</si>
  <si>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</si>
  <si>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</si>
  <si>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</si>
  <si>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</si>
  <si>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</si>
  <si>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</si>
  <si>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东京奥运会未定</t>
  </si>
  <si>
    <t>拜登当选</t>
  </si>
  <si>
    <t>俄西方矛盾重重关系再恶化</t>
  </si>
  <si>
    <t>中国元首外交唱响多边主义</t>
  </si>
  <si>
    <t>中美（拜登）元首举行首次视频会晤</t>
  </si>
  <si>
    <t>疫苗接种助力全球阻击疫情</t>
  </si>
  <si>
    <t>中华人民共和国72周年</t>
  </si>
  <si>
    <t xml:space="preserve">中国新冠疫苗上市，全民免费注射
美国抗议者冲入白宫
缅甸军事政变
美国停止退出世卫、重新加入巴黎协定
首次奇数年奥运会
</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</si>
  <si>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</si>
  <si>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</si>
  <si>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</si>
  <si>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</si>
  <si>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</si>
  <si>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</si>
  <si>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</si>
  <si>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</si>
  <si>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</si>
  <si>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俄乌冲突风险大</t>
  </si>
  <si>
    <t>全球疫情迎来转折点</t>
  </si>
  <si>
    <t>极端天气会更多</t>
  </si>
  <si>
    <t>世界第二水电站建成</t>
  </si>
  <si>
    <t>重要铁路线将建成</t>
  </si>
  <si>
    <t>疫情逐渐全面放开</t>
  </si>
  <si>
    <t>中华人民共和国73周年</t>
  </si>
  <si>
    <t>英国女王伊丽莎白二世登基70周年庆典
世界杯</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</si>
  <si>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</si>
  <si>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</si>
  <si>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</si>
  <si>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</si>
  <si>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防控政策重大调整</t>
  </si>
  <si>
    <t>第五次全国经济普查</t>
  </si>
  <si>
    <t>中华人民共和国74周年</t>
  </si>
  <si>
    <t>美联社，1848，美国</t>
  </si>
  <si>
    <t>美国——————————</t>
  </si>
  <si>
    <t>美国——————</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</si>
  <si>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</si>
  <si>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</si>
  <si>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</si>
  <si>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</si>
  <si>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</si>
  <si>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</si>
  <si>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</si>
  <si>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</si>
  <si>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美国合众社，1907，美国</t>
  </si>
  <si>
    <t>阿卡姆 密斯卡托尼克大学</t>
  </si>
  <si>
    <t>华盛顿特区</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</si>
  <si>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</si>
  <si>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</si>
  <si>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</si>
  <si>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</si>
  <si>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</si>
  <si>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</si>
  <si>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路透社，1849，英国</t>
  </si>
  <si>
    <t>《华盛顿先驱报》</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</si>
  <si>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</si>
  <si>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</si>
  <si>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</si>
  <si>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</si>
  <si>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</si>
  <si>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</si>
  <si>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</si>
  <si>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</si>
  <si>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</si>
  <si>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交换电讯社，1872，英国</t>
  </si>
  <si>
    <t>华盛顿 美国国家地理学会</t>
  </si>
  <si>
    <t>《华盛顿新闻》</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</si>
  <si>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</si>
  <si>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</si>
  <si>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</si>
  <si>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</si>
  <si>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</si>
  <si>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</si>
  <si>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</si>
  <si>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</si>
  <si>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英国国家通讯社，1868，英国</t>
  </si>
  <si>
    <t>华盛顿 史密森学会</t>
  </si>
  <si>
    <t>《华盛顿邮报》</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</si>
  <si>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</si>
  <si>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</si>
  <si>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</si>
  <si>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</si>
  <si>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</si>
  <si>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</si>
  <si>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</si>
  <si>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法国新闻通讯社，1929，法国</t>
  </si>
  <si>
    <t>华盛顿 美国国会图书馆</t>
  </si>
  <si>
    <t>《华盛顿时报》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</si>
  <si>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</si>
  <si>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</si>
  <si>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</si>
  <si>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</si>
  <si>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</si>
  <si>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</si>
  <si>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</si>
  <si>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</si>
  <si>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哈瓦斯通讯社，1832，法国</t>
  </si>
  <si>
    <t>华盛顿 美国国家自然历史博物馆</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</si>
  <si>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</si>
  <si>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</si>
  <si>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</si>
  <si>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</si>
  <si>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</si>
  <si>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</si>
  <si>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</si>
  <si>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</si>
  <si>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每日通讯社，阿根廷</t>
  </si>
  <si>
    <t>加利福尼亚州</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</si>
  <si>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</si>
  <si>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</si>
  <si>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</si>
  <si>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</si>
  <si>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</si>
  <si>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</si>
  <si>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</si>
  <si>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</si>
  <si>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雅典通讯社，1896，希腊雅典</t>
  </si>
  <si>
    <t>纽约 美国自然历史博物馆</t>
  </si>
  <si>
    <t>《洛杉矶观察家报》</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</si>
  <si>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</si>
  <si>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</si>
  <si>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</si>
  <si>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</si>
  <si>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</si>
  <si>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</si>
  <si>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</si>
  <si>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</si>
  <si>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澳大利亚联合通讯社，1928，澳大利亚</t>
  </si>
  <si>
    <t>纽约 布法罗自然科学学会</t>
  </si>
  <si>
    <t>《洛杉矶先驱报》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</si>
  <si>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</si>
  <si>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</si>
  <si>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</si>
  <si>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</si>
  <si>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</si>
  <si>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</si>
  <si>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</si>
  <si>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</si>
  <si>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比利时通讯社，1920，比利时</t>
  </si>
  <si>
    <t>纽约 哥伦比亚大学</t>
  </si>
  <si>
    <t>《洛杉矶时报》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</si>
  <si>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</si>
  <si>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</si>
  <si>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</si>
  <si>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</si>
  <si>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</si>
  <si>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</si>
  <si>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保加利亚通讯社，1898，保加利亚</t>
  </si>
  <si>
    <t>纽约 美国印第安人博物馆</t>
  </si>
  <si>
    <t>《奥克兰追问者邮报》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</si>
  <si>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</si>
  <si>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</si>
  <si>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</si>
  <si>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中央通讯社，1924，中国</t>
  </si>
  <si>
    <t>纽约 纽约公共图书馆</t>
  </si>
  <si>
    <t>《橘郡纪事报》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</si>
  <si>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</si>
  <si>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</si>
  <si>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</si>
  <si>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</si>
  <si>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</si>
  <si>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</si>
  <si>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</si>
  <si>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</si>
  <si>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加拿大通讯社，1917，加拿大</t>
  </si>
  <si>
    <t>纽约 纽约州立博物馆</t>
  </si>
  <si>
    <t>《萨克拉门托蜜蜂报》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</si>
  <si>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</si>
  <si>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</si>
  <si>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</si>
  <si>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</si>
  <si>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</si>
  <si>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</si>
  <si>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</si>
  <si>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捷通社，1918，捷克斯洛伐克</t>
  </si>
  <si>
    <t>纽约州伊萨卡 康奈尔大学</t>
  </si>
  <si>
    <t>《圣迭戈太阳报》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</si>
  <si>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</si>
  <si>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</si>
  <si>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</si>
  <si>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</si>
  <si>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</si>
  <si>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</si>
  <si>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</si>
  <si>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</si>
  <si>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</si>
  <si>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信仰通讯社，1926，梵蒂冈</t>
  </si>
  <si>
    <t>《旧金山呼声报》</t>
  </si>
  <si>
    <t>恐蛇症（Ophidiophobia）：对蛇的恐惧。</t>
  </si>
  <si>
    <t>憎恨癖（Misomania）：憎恨一切事物，痴迷于憎恨某个事物或团体。</t>
  </si>
  <si>
    <t>犹太通讯社，1919，巴勒斯坦</t>
  </si>
  <si>
    <t>芝加哥 芝加哥菲尔德自然博物馆</t>
  </si>
  <si>
    <t>《圣迭戈联合报》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</si>
  <si>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</si>
  <si>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</si>
  <si>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</si>
  <si>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</si>
  <si>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</si>
  <si>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</si>
  <si>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</si>
  <si>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</si>
  <si>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</si>
  <si>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挪威通讯社，1867，挪威</t>
  </si>
  <si>
    <t>芝加哥 芝加哥大学</t>
  </si>
  <si>
    <t>《旧金山纪事报》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</si>
  <si>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</si>
  <si>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</si>
  <si>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</si>
  <si>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</si>
  <si>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</si>
  <si>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新西兰报联社，1879，新西兰</t>
  </si>
  <si>
    <t>芝加哥 克雷拉图书馆</t>
  </si>
  <si>
    <t>《旧金山观察家报》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</si>
  <si>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</si>
  <si>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</si>
  <si>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</si>
  <si>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丹麦通讯社，1866，丹麦</t>
  </si>
  <si>
    <t>芝加哥 纽伯利图书馆</t>
  </si>
  <si>
    <t>《旧金山新闻报》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</si>
  <si>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</si>
  <si>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</si>
  <si>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</si>
  <si>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</si>
  <si>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瑞士通讯社，1894，瑞士</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</si>
  <si>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</si>
  <si>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</si>
  <si>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</si>
  <si>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塔斯社，1925，苏联</t>
  </si>
  <si>
    <t>巴尔的摩 巴尔的摩美术馆</t>
  </si>
  <si>
    <t>纽约州</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</si>
  <si>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</si>
  <si>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</si>
  <si>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</si>
  <si>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巴尔的摩 伊诺克·普拉特自由图书馆</t>
  </si>
  <si>
    <t>《奥尔巴尼联合时报》</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</si>
  <si>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</si>
  <si>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</si>
  <si>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</si>
  <si>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</si>
  <si>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费城 费城自然科学博物馆</t>
  </si>
  <si>
    <t>《布法罗新闻报》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</si>
  <si>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</si>
  <si>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</si>
  <si>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</si>
  <si>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宾夕法尼亚大学</t>
  </si>
  <si>
    <t>《纽约美国人报》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</si>
  <si>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</si>
  <si>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</si>
  <si>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</si>
  <si>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</si>
  <si>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纽黑文 耶鲁大学</t>
  </si>
  <si>
    <t>《纽约每日新闻》</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</si>
  <si>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</si>
  <si>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</si>
  <si>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</si>
  <si>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</si>
  <si>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耶鲁大学皮博迪自然博物馆</t>
  </si>
  <si>
    <t>《纽约新闻报》</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</si>
  <si>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</si>
  <si>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</si>
  <si>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</si>
  <si>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</si>
  <si>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《纽约邮报》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</si>
  <si>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</si>
  <si>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</si>
  <si>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</si>
  <si>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</si>
  <si>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剑桥 哈佛大学</t>
  </si>
  <si>
    <t>《纽约电讯报》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</si>
  <si>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</si>
  <si>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</si>
  <si>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</si>
  <si>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</si>
  <si>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旧金山 加利福尼亚科学院</t>
  </si>
  <si>
    <t>《纽约时报》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</si>
  <si>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</si>
  <si>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</si>
  <si>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</si>
  <si>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</si>
  <si>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伯克利 加州大学伯克利分校</t>
  </si>
  <si>
    <t>《罗彻斯特日报》</t>
  </si>
  <si>
    <t>火车恐惧症（Siderodromophobia）：对于乘坐火车出行的恐惧。</t>
  </si>
  <si>
    <t>求财癖（Plutomania）：对财富的强迫性的渴望。</t>
  </si>
  <si>
    <t>匹兹堡 卡内基学院</t>
  </si>
  <si>
    <t>《锡拉丘兹日报》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</si>
  <si>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</si>
  <si>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</si>
  <si>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</si>
  <si>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</si>
  <si>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</si>
  <si>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</si>
  <si>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</si>
  <si>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</si>
  <si>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</si>
  <si>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辛辛那提 辛辛那提博物馆协会</t>
  </si>
  <si>
    <t>《华尔街日报》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</si>
  <si>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</si>
  <si>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</si>
  <si>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</si>
  <si>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</si>
  <si>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</si>
  <si>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</si>
  <si>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</si>
  <si>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</si>
  <si>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</si>
  <si>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丹佛 科罗拉多州自然历史博物馆</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</si>
  <si>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</si>
  <si>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</si>
  <si>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</si>
  <si>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</si>
  <si>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</si>
  <si>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</si>
  <si>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</si>
  <si>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</si>
  <si>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</si>
  <si>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厄巴纳-香槟 伊利诺伊大学</t>
  </si>
  <si>
    <t>德克萨斯州</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</si>
  <si>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</si>
  <si>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</si>
  <si>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</si>
  <si>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</si>
  <si>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</si>
  <si>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</si>
  <si>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</si>
  <si>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</si>
  <si>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</si>
  <si>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安娜堡 密歇根大学</t>
  </si>
  <si>
    <t>《达拉斯晨报》</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</si>
  <si>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</si>
  <si>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</si>
  <si>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</si>
  <si>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</si>
  <si>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</si>
  <si>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</si>
  <si>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</si>
  <si>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</si>
  <si>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</si>
  <si>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明尼阿波利斯、圣保罗 明尼苏达大学</t>
  </si>
  <si>
    <t>《厄尔巴索邮报》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</si>
  <si>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</si>
  <si>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</si>
  <si>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</si>
  <si>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</si>
  <si>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</si>
  <si>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</si>
  <si>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</si>
  <si>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</si>
  <si>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</si>
  <si>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塞勒姆 塞勒姆皮博迪航海图书馆</t>
  </si>
  <si>
    <t>《沃斯堡新闻报》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</si>
  <si>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</si>
  <si>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</si>
  <si>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</si>
  <si>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</si>
  <si>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</si>
  <si>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</si>
  <si>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</si>
  <si>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</si>
  <si>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</si>
  <si>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普林斯顿 普林斯顿大学</t>
  </si>
  <si>
    <t>《沃斯堡明镜电讯报》</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</si>
  <si>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</si>
  <si>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</si>
  <si>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</si>
  <si>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</si>
  <si>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</si>
  <si>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</si>
  <si>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</si>
  <si>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</si>
  <si>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</si>
  <si>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托莱多 托莱多美术馆</t>
  </si>
  <si>
    <t>《休斯敦纪事报》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</si>
  <si>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</si>
  <si>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</si>
  <si>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</si>
  <si>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</si>
  <si>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</si>
  <si>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</si>
  <si>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</si>
  <si>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</si>
  <si>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《休斯敦邮报》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</si>
  <si>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</si>
  <si>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</si>
  <si>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</si>
  <si>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</si>
  <si>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</si>
  <si>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</si>
  <si>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</si>
  <si>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</si>
  <si>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其他——————————</t>
  </si>
  <si>
    <t>《休斯敦新闻报》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</si>
  <si>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</si>
  <si>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</si>
  <si>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</si>
  <si>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</si>
  <si>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</si>
  <si>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</si>
  <si>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</si>
  <si>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</si>
  <si>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</si>
  <si>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英国伦敦 大英博物馆</t>
  </si>
  <si>
    <t>《圣安东尼奥光明报》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</si>
  <si>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</si>
  <si>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</si>
  <si>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</si>
  <si>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</si>
  <si>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</si>
  <si>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</si>
  <si>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</si>
  <si>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法国巴黎 法国国家图书馆</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</si>
  <si>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</si>
  <si>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</si>
  <si>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</si>
  <si>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</si>
  <si>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</si>
  <si>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</si>
  <si>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梵蒂冈 教皇图书馆</t>
  </si>
  <si>
    <t>俄亥俄州</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</si>
  <si>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</si>
  <si>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</si>
  <si>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</si>
  <si>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</si>
  <si>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《阿克伦时报》</t>
  </si>
  <si>
    <t>异域恐惧症（Xenophobia）：对陌生人或外国人的恐惧。</t>
  </si>
  <si>
    <t>嗜外狂（Xenomania）：痴迷于异国的事物。</t>
  </si>
  <si>
    <t>《辛辛那提邮报》</t>
  </si>
  <si>
    <t>请选择
你想了解的技能</t>
  </si>
  <si>
    <t>动物恐惧症（Zoophobia）：对动物的恐惧。</t>
  </si>
  <si>
    <t>喜兽癖（Zoomania）：对待动物的态度近乎疯狂地友好。</t>
  </si>
  <si>
    <t>《克利夫兰老实人报》</t>
  </si>
  <si>
    <t>注释：①催眠恐惧症（Hypnophobia）、恐牙症（牙医恐惧症 \ Odontophobia）、魔法恐惧症（权杖恐惧症\ Rhabdophobia）和怪物恐惧症（畸形恐惧症 Teratophobia）四条疑原文理解有误，目前按原文翻出。</t>
  </si>
  <si>
    <t>《克利夫兰日报》</t>
  </si>
  <si>
    <t>该症状表由  Achronidas 翻译。</t>
  </si>
  <si>
    <t>《哥伦布公民杂志》</t>
  </si>
  <si>
    <t>《哥伦布快报》</t>
  </si>
  <si>
    <t>《托莱多蜜蜂新闻》</t>
  </si>
  <si>
    <t>《扬斯敦电讯报》</t>
  </si>
  <si>
    <t>飞行器</t>
  </si>
  <si>
    <t>资产表</t>
  </si>
  <si>
    <t>马萨诸塞州</t>
  </si>
  <si>
    <t>美元 1920/现代</t>
  </si>
  <si>
    <t>信用成功率</t>
  </si>
  <si>
    <t>年代分流</t>
  </si>
  <si>
    <t>《波士顿广告人报》</t>
  </si>
  <si>
    <t>现代</t>
  </si>
  <si>
    <t>《波士顿美国人报》</t>
  </si>
  <si>
    <t>《波士顿环球报》</t>
  </si>
  <si>
    <t>当前现金</t>
  </si>
  <si>
    <t>《波士顿先驱报》</t>
  </si>
  <si>
    <t>《基督教科学箴言报》</t>
  </si>
  <si>
    <t>货币单位：</t>
  </si>
  <si>
    <t>时代：</t>
  </si>
  <si>
    <t>伊利诺伊州</t>
  </si>
  <si>
    <t>根据时代选择的货币</t>
  </si>
  <si>
    <t>《芝加哥先锋观察家报》</t>
  </si>
  <si>
    <t>《芝加哥美国人报》</t>
  </si>
  <si>
    <t>《芝加哥论坛报》</t>
  </si>
  <si>
    <t>《埃文斯维尔新闻报》</t>
  </si>
  <si>
    <t>过万</t>
  </si>
  <si>
    <t>科罗拉多州</t>
  </si>
  <si>
    <t>是否过万</t>
  </si>
  <si>
    <t>《丹佛晚报》</t>
  </si>
  <si>
    <t>《丹佛落基山新闻报》</t>
  </si>
  <si>
    <t>过亿</t>
  </si>
  <si>
    <t>佛罗里达州</t>
  </si>
  <si>
    <t>《迈阿密先驱报》</t>
  </si>
  <si>
    <t>《奥兰多哨兵报》</t>
  </si>
  <si>
    <t>《坦帕论坛报》</t>
  </si>
  <si>
    <t>主流货币换算</t>
  </si>
  <si>
    <t>佐治亚州</t>
  </si>
  <si>
    <t>《亚特兰大宪章报》</t>
  </si>
  <si>
    <t>《亚特兰大佐治亚人报》</t>
  </si>
  <si>
    <t>★亚洲————</t>
  </si>
  <si>
    <t>亚洲————</t>
  </si>
  <si>
    <t>人民币</t>
  </si>
  <si>
    <t>印第安纳州</t>
  </si>
  <si>
    <t>港币</t>
  </si>
  <si>
    <t>《印第安纳波利斯时报》</t>
  </si>
  <si>
    <t>新台币</t>
  </si>
  <si>
    <t>《特雷霍特邮报》</t>
  </si>
  <si>
    <t>日币</t>
  </si>
  <si>
    <t>韩币</t>
  </si>
  <si>
    <t>亚利桑那州</t>
  </si>
  <si>
    <t>泰铢</t>
  </si>
  <si>
    <t>《菲尼克斯共和报》</t>
  </si>
  <si>
    <t>新加坡元</t>
  </si>
  <si>
    <t>《亚利桑那共和报》</t>
  </si>
  <si>
    <t>★欧洲————</t>
  </si>
  <si>
    <t>欧洲————</t>
  </si>
  <si>
    <t>欧元</t>
  </si>
  <si>
    <t>马里兰州</t>
  </si>
  <si>
    <t>英镑</t>
  </si>
  <si>
    <t>《巴尔的摩美国人报》</t>
  </si>
  <si>
    <t>卢布</t>
  </si>
  <si>
    <t>《巴尔的摩新闻报》</t>
  </si>
  <si>
    <t>★美洲————</t>
  </si>
  <si>
    <t>美洲————</t>
  </si>
  <si>
    <t>《巴尔的摩邮报》</t>
  </si>
  <si>
    <t>加元</t>
  </si>
  <si>
    <t>《巴尔的摩太阳报》</t>
  </si>
  <si>
    <t>墨西哥元</t>
  </si>
  <si>
    <t>雷亚尔</t>
  </si>
  <si>
    <t>密苏里州</t>
  </si>
  <si>
    <t>★其他————</t>
  </si>
  <si>
    <t>《堪萨斯城市之星》</t>
  </si>
  <si>
    <t>澳元</t>
  </si>
  <si>
    <t>《圣路易斯快邮报》</t>
  </si>
  <si>
    <t>南非兰特</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</si>
  <si>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</si>
  <si>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</si>
  <si>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</si>
  <si>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</si>
  <si>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</si>
  <si>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</si>
  <si>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</si>
  <si>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</si>
  <si>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</si>
  <si>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</si>
  <si>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</si>
  <si>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</si>
  <si>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</si>
  <si>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</si>
  <si>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</si>
  <si>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</si>
  <si>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</si>
  <si>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</si>
  <si>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</si>
  <si>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</si>
  <si>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</si>
  <si>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</si>
  <si>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</si>
  <si>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</si>
  <si>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</si>
  <si>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</si>
  <si>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</si>
  <si>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</si>
  <si>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</si>
  <si>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</si>
  <si>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</si>
  <si>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</si>
  <si>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</si>
  <si>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</si>
  <si>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</si>
  <si>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</si>
  <si>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</si>
  <si>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</si>
  <si>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</si>
  <si>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</si>
  <si>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</si>
  <si>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</si>
  <si>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</si>
  <si>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</si>
  <si>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</si>
  <si>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</si>
  <si>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</si>
  <si>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</si>
  <si>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</si>
  <si>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</si>
  <si>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</si>
  <si>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</si>
  <si>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</si>
  <si>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</si>
  <si>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</si>
  <si>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</si>
  <si>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</si>
  <si>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</si>
  <si>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</si>
  <si>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</si>
  <si>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</si>
  <si>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</si>
  <si>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</si>
  <si>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</si>
  <si>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</si>
  <si>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</si>
  <si>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</si>
  <si>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</si>
  <si>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</si>
  <si>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</si>
  <si>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</si>
  <si>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</si>
  <si>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</si>
  <si>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</si>
  <si>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</si>
  <si>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</si>
  <si>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</si>
  <si>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</si>
  <si>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</si>
  <si>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</si>
  <si>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</si>
  <si>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</si>
  <si>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</si>
  <si>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</si>
  <si>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</si>
  <si>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</si>
  <si>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</si>
  <si>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</si>
  <si>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</si>
  <si>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</si>
  <si>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</si>
  <si>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</si>
  <si>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</si>
  <si>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</si>
  <si>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</si>
  <si>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</si>
  <si>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</si>
  <si>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</si>
  <si>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</si>
  <si>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</si>
  <si>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</si>
  <si>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</si>
  <si>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</si>
  <si>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</si>
  <si>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</si>
  <si>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</si>
  <si>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</si>
  <si>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</si>
  <si>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</si>
  <si>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</si>
  <si>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</si>
  <si>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</si>
  <si>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</si>
  <si>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</si>
  <si>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</si>
  <si>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</si>
  <si>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</si>
  <si>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</si>
  <si>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</si>
  <si>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</si>
  <si>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</si>
  <si>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</si>
  <si>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</si>
  <si>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</si>
  <si>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</si>
  <si>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</si>
  <si>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</si>
  <si>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</si>
  <si>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</si>
  <si>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</si>
  <si>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</si>
  <si>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</si>
  <si>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</si>
  <si>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</si>
  <si>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</si>
  <si>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</si>
  <si>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</si>
  <si>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</si>
  <si>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</si>
  <si>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</si>
  <si>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</si>
  <si>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</si>
  <si>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</si>
  <si>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</si>
  <si>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</si>
  <si>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</si>
  <si>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</si>
  <si>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</si>
  <si>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</si>
  <si>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</si>
  <si>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</si>
  <si>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</si>
  <si>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</si>
  <si>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</si>
  <si>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</si>
  <si>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</si>
  <si>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</si>
  <si>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</si>
  <si>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</si>
  <si>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</si>
  <si>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</si>
  <si>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</si>
  <si>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</si>
  <si>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</si>
  <si>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</si>
  <si>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</si>
  <si>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</si>
  <si>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</si>
  <si>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</si>
  <si>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</si>
  <si>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</si>
  <si>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</si>
  <si>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</si>
  <si>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</si>
  <si>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</si>
  <si>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</si>
  <si>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</si>
  <si>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</si>
  <si>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</si>
  <si>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玩家也可以添加更多手艺，比如：游戏，木工，油漆工，铁匠等。
具体作用和KP交流好左边是自定义表,在下面写好改技能的备注(用法)</t>
  </si>
  <si>
    <t>技能查询</t>
  </si>
  <si>
    <t>请注意，这些解释的描述可能与规则书有所出入，但大体含义相同，如有解释差异请以规则书为准！
详见规则书第四章：技能</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</si>
  <si>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</si>
  <si>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</si>
  <si>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</si>
  <si>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</si>
  <si>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</si>
  <si>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</si>
  <si>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</si>
  <si>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</si>
  <si>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</si>
  <si>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</si>
  <si>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</si>
  <si>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</si>
  <si>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</si>
  <si>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</si>
  <si>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</si>
  <si>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</si>
  <si>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</si>
  <si>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</si>
  <si>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如果以凭借此技能来谋生至少要达到50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</si>
  <si>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</si>
  <si>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</si>
  <si>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</si>
  <si>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</si>
  <si>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</si>
  <si>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</si>
  <si>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</si>
  <si>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</si>
  <si>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</si>
  <si>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</si>
  <si>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</si>
  <si>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</si>
  <si>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</si>
  <si>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</si>
  <si>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</si>
  <si>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</si>
  <si>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</si>
  <si>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</si>
  <si>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</si>
  <si>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</si>
  <si>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</si>
  <si>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</si>
  <si>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</si>
  <si>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</si>
  <si>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</si>
  <si>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</si>
  <si>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</si>
  <si>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</si>
  <si>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</si>
  <si>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</si>
  <si>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</si>
  <si>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</si>
  <si>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</si>
  <si>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</si>
  <si>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</si>
  <si>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</si>
  <si>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</si>
  <si>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</si>
  <si>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</si>
  <si>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</si>
  <si>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</si>
  <si>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</si>
  <si>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</si>
  <si>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</si>
  <si>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</si>
  <si>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</si>
  <si>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</si>
  <si>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</si>
  <si>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</si>
  <si>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</si>
  <si>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</si>
  <si>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</si>
  <si>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</si>
  <si>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</si>
  <si>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</si>
  <si>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</si>
  <si>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</si>
  <si>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</si>
  <si>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</si>
  <si>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</si>
  <si>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</si>
  <si>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</si>
  <si>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</si>
  <si>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</si>
  <si>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</si>
  <si>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</si>
  <si>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</si>
  <si>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</si>
  <si>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</si>
  <si>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</si>
  <si>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</si>
  <si>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</si>
  <si>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</si>
  <si>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</si>
  <si>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</si>
  <si>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</si>
  <si>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</si>
  <si>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</si>
  <si>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</si>
  <si>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</si>
  <si>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</si>
  <si>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</si>
  <si>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</si>
  <si>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</si>
  <si>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</si>
  <si>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</si>
  <si>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</si>
  <si>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</si>
  <si>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</si>
  <si>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</si>
  <si>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</si>
  <si>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</si>
  <si>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</si>
  <si>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</si>
  <si>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</si>
  <si>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</si>
  <si>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</si>
  <si>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</si>
  <si>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</si>
  <si>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</si>
  <si>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</si>
  <si>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</si>
  <si>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</si>
  <si>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</si>
  <si>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</si>
  <si>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</si>
  <si>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</si>
  <si>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</si>
  <si>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</si>
  <si>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</si>
  <si>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</si>
  <si>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</si>
  <si>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</si>
  <si>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</si>
  <si>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</si>
  <si>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</si>
  <si>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</si>
  <si>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</si>
  <si>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</si>
  <si>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</si>
  <si>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</si>
  <si>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</si>
  <si>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</si>
  <si>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</si>
  <si>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</si>
  <si>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</si>
  <si>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</si>
  <si>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</si>
  <si>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</si>
  <si>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</si>
  <si>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</si>
  <si>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</si>
  <si>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</si>
  <si>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</si>
  <si>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</si>
  <si>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</si>
  <si>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</si>
  <si>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</si>
  <si>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</si>
  <si>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</si>
  <si>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</si>
  <si>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</si>
  <si>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</si>
  <si>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</si>
  <si>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</si>
  <si>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</si>
  <si>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</si>
  <si>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</si>
  <si>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</si>
  <si>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</si>
  <si>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</si>
  <si>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</si>
  <si>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</si>
  <si>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</si>
  <si>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</si>
  <si>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</si>
  <si>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</si>
  <si>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</si>
  <si>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</si>
  <si>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</si>
  <si>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</si>
  <si>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</si>
  <si>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</si>
  <si>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</si>
  <si>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</si>
  <si>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</si>
  <si>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</si>
  <si>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</si>
  <si>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</si>
  <si>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</si>
  <si>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</si>
  <si>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</si>
  <si>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</si>
  <si>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</si>
  <si>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</si>
  <si>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</si>
  <si>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</si>
  <si>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</si>
  <si>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</si>
  <si>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</si>
  <si>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</si>
  <si>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</si>
  <si>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</si>
  <si>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</si>
  <si>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</si>
  <si>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</si>
  <si>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</si>
  <si>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</si>
  <si>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</si>
  <si>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</si>
  <si>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</si>
  <si>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</si>
  <si>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</si>
  <si>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</si>
  <si>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</si>
  <si>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</si>
  <si>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</si>
  <si>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</si>
  <si>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</si>
  <si>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</si>
  <si>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</si>
  <si>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</si>
  <si>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</si>
  <si>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</si>
  <si>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</si>
  <si>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</si>
  <si>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</si>
  <si>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</si>
  <si>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</si>
  <si>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</si>
  <si>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</si>
  <si>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</si>
  <si>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</si>
  <si>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</si>
  <si>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</si>
  <si>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</si>
  <si>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</si>
  <si>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</si>
  <si>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</si>
  <si>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</si>
  <si>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</si>
  <si>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</si>
  <si>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</si>
  <si>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</si>
  <si>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</si>
  <si>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</si>
  <si>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</si>
  <si>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</si>
  <si>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</si>
  <si>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</si>
  <si>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</si>
  <si>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</si>
  <si>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</si>
  <si>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</si>
  <si>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</si>
  <si>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</si>
  <si>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</si>
  <si>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</si>
  <si>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</si>
  <si>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</si>
  <si>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</si>
  <si>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</si>
  <si>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</si>
  <si>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</si>
  <si>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</si>
  <si>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</si>
  <si>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</si>
  <si>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</si>
  <si>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</si>
  <si>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</si>
  <si>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</si>
  <si>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</si>
  <si>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</si>
  <si>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</si>
  <si>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</si>
  <si>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</si>
  <si>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</si>
  <si>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</si>
  <si>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</si>
  <si>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</si>
  <si>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</si>
  <si>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</si>
  <si>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</si>
  <si>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</si>
  <si>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</si>
  <si>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</si>
  <si>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</si>
  <si>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</si>
  <si>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</si>
  <si>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</si>
  <si>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</si>
  <si>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</si>
  <si>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</si>
  <si>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</si>
  <si>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</si>
  <si>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</si>
  <si>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</si>
  <si>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</si>
  <si>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</si>
  <si>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</si>
  <si>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</si>
  <si>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</si>
  <si>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</si>
  <si>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</si>
  <si>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</si>
  <si>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</si>
  <si>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</si>
  <si>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</si>
  <si>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</si>
  <si>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</si>
  <si>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</si>
  <si>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</si>
  <si>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</si>
  <si>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</si>
  <si>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</si>
  <si>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</si>
  <si>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</si>
  <si>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</si>
  <si>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</si>
  <si>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</si>
  <si>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</si>
  <si>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</si>
  <si>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</si>
  <si>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</si>
  <si>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</si>
  <si>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</si>
  <si>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</si>
  <si>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</si>
  <si>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</si>
  <si>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</si>
  <si>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</si>
  <si>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</si>
  <si>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</si>
  <si>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</si>
  <si>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</si>
  <si>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</si>
  <si>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</si>
  <si>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</si>
  <si>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</si>
  <si>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</si>
  <si>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</si>
  <si>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</si>
  <si>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</si>
  <si>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</si>
  <si>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</si>
  <si>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</si>
  <si>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</si>
  <si>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</si>
  <si>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</si>
  <si>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</si>
  <si>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</si>
  <si>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</si>
  <si>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</si>
  <si>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</si>
  <si>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</si>
  <si>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</si>
  <si>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</si>
  <si>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</si>
  <si>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</si>
  <si>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</si>
  <si>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</si>
  <si>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</si>
  <si>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</si>
  <si>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</si>
  <si>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</si>
  <si>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</si>
  <si>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</si>
  <si>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</si>
  <si>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</si>
  <si>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</si>
  <si>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</si>
  <si>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</si>
  <si>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</si>
  <si>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</si>
  <si>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</si>
  <si>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</si>
  <si>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</si>
  <si>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</si>
  <si>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</si>
  <si>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</si>
  <si>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</si>
  <si>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</si>
  <si>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</si>
  <si>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</si>
  <si>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</si>
  <si>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</si>
  <si>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</si>
  <si>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</si>
  <si>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</si>
  <si>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</si>
  <si>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</si>
  <si>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</si>
  <si>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</si>
  <si>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</si>
  <si>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</si>
  <si>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</si>
  <si>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</si>
  <si>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</si>
  <si>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</si>
  <si>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</si>
  <si>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</si>
  <si>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</si>
  <si>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</si>
  <si>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</si>
  <si>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</si>
  <si>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</si>
  <si>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</si>
  <si>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</si>
  <si>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</si>
  <si>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</si>
  <si>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</si>
  <si>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</si>
  <si>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</si>
  <si>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</si>
  <si>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</si>
  <si>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</si>
  <si>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</si>
  <si>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</si>
  <si>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</si>
  <si>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</si>
  <si>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</si>
  <si>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</si>
  <si>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</si>
  <si>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</si>
  <si>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</si>
  <si>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</si>
  <si>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</si>
  <si>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</si>
  <si>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</si>
  <si>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</si>
  <si>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</si>
  <si>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</si>
  <si>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</si>
  <si>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</si>
  <si>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</si>
  <si>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</si>
  <si>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</si>
  <si>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</si>
  <si>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</si>
  <si>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</si>
  <si>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</si>
  <si>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</si>
  <si>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</si>
  <si>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</si>
  <si>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</si>
  <si>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</si>
  <si>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</si>
  <si>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</si>
  <si>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</si>
  <si>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</si>
  <si>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</si>
  <si>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</si>
  <si>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</si>
  <si>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</si>
  <si>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</si>
  <si>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</si>
  <si>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</si>
  <si>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</si>
  <si>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</si>
  <si>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</si>
  <si>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</si>
  <si>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</si>
  <si>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</si>
  <si>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</si>
  <si>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</si>
  <si>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</si>
  <si>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</si>
  <si>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</si>
  <si>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</si>
  <si>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</si>
  <si>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</si>
  <si>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</si>
  <si>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</si>
  <si>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</si>
  <si>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</si>
  <si>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</si>
  <si>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</si>
  <si>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</si>
  <si>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</si>
  <si>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</si>
  <si>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</si>
  <si>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</si>
  <si>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</si>
  <si>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</si>
  <si>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</si>
  <si>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</si>
  <si>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</si>
  <si>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</si>
  <si>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</si>
  <si>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</si>
  <si>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</si>
  <si>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</si>
  <si>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</si>
  <si>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</si>
  <si>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</si>
  <si>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</si>
  <si>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</si>
  <si>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</si>
  <si>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</si>
  <si>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</si>
  <si>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</si>
  <si>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</si>
  <si>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</si>
  <si>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</si>
  <si>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</si>
  <si>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</si>
  <si>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</si>
  <si>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</si>
  <si>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</si>
  <si>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</si>
  <si>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</si>
  <si>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</si>
  <si>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</si>
  <si>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</si>
  <si>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</si>
  <si>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</si>
  <si>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</si>
  <si>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</si>
  <si>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</si>
  <si>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</si>
  <si>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</si>
  <si>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</si>
  <si>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</si>
  <si>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</si>
  <si>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</si>
  <si>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</si>
  <si>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</si>
  <si>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</si>
  <si>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</si>
  <si>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</si>
  <si>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</si>
  <si>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</si>
  <si>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</si>
  <si>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</si>
  <si>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</si>
  <si>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</si>
  <si>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</si>
  <si>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</si>
  <si>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</si>
  <si>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</si>
  <si>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</si>
  <si>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</si>
  <si>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</si>
  <si>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</si>
  <si>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</si>
  <si>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</si>
  <si>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</si>
  <si>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</si>
  <si>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</si>
  <si>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</si>
  <si>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</si>
  <si>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</si>
  <si>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</si>
  <si>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</si>
  <si>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</si>
  <si>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</si>
  <si>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</si>
  <si>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</si>
  <si>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</si>
  <si>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</si>
  <si>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</si>
  <si>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</si>
  <si>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</si>
  <si>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</si>
  <si>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</si>
  <si>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</si>
  <si>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</si>
  <si>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</si>
  <si>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</si>
  <si>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</si>
  <si>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</si>
  <si>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</si>
  <si>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</si>
  <si>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</si>
  <si>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</si>
  <si>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</si>
  <si>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</si>
  <si>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</si>
  <si>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</si>
  <si>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</si>
  <si>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</si>
  <si>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</si>
  <si>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</si>
  <si>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</si>
  <si>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</si>
  <si>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</si>
  <si>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</si>
  <si>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</si>
  <si>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</si>
  <si>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</si>
  <si>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</si>
  <si>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</si>
  <si>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</si>
  <si>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</si>
  <si>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</si>
  <si>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</si>
  <si>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</si>
  <si>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</si>
  <si>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</si>
  <si>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</si>
  <si>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</si>
  <si>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</si>
  <si>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</si>
  <si>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</si>
  <si>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</si>
  <si>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</si>
  <si>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</si>
  <si>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</si>
  <si>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</si>
  <si>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</si>
  <si>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</si>
  <si>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</si>
  <si>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</si>
  <si>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</si>
  <si>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</si>
  <si>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</si>
  <si>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</si>
  <si>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</si>
  <si>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</si>
  <si>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</si>
  <si>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</si>
  <si>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</si>
  <si>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</si>
  <si>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</si>
  <si>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</si>
  <si>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</si>
  <si>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</si>
  <si>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</si>
  <si>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</si>
  <si>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</si>
  <si>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</si>
  <si>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</si>
  <si>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</si>
  <si>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</si>
  <si>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</si>
  <si>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</si>
  <si>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</si>
  <si>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</si>
  <si>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</si>
  <si>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</si>
  <si>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</si>
  <si>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</si>
  <si>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</si>
  <si>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</si>
  <si>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</si>
  <si>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</si>
  <si>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</si>
  <si>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</si>
  <si>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</si>
  <si>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</si>
  <si>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</si>
  <si>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</si>
  <si>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</si>
  <si>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</si>
  <si>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</si>
  <si>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</si>
  <si>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</si>
  <si>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</si>
  <si>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</si>
  <si>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</si>
  <si>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</si>
  <si>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</si>
  <si>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</si>
  <si>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</si>
  <si>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</si>
  <si>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</si>
  <si>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</si>
  <si>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</si>
  <si>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</si>
  <si>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</si>
  <si>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</si>
  <si>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</si>
  <si>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</si>
  <si>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</si>
  <si>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</si>
  <si>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</si>
  <si>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</si>
  <si>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</si>
  <si>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</si>
  <si>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</si>
  <si>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</si>
  <si>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</si>
  <si>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</si>
  <si>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</si>
  <si>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</si>
  <si>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</si>
  <si>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</si>
  <si>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</si>
  <si>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</si>
  <si>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</si>
  <si>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</si>
  <si>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</si>
  <si>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</si>
  <si>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</si>
  <si>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</si>
  <si>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</si>
  <si>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</si>
  <si>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</si>
  <si>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</si>
  <si>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</si>
  <si>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</si>
  <si>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</si>
  <si>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</si>
  <si>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</si>
  <si>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</si>
  <si>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</si>
  <si>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</si>
  <si>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</si>
  <si>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</si>
  <si>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</si>
  <si>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</si>
  <si>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</si>
  <si>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</si>
  <si>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</si>
  <si>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</si>
  <si>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</si>
  <si>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</si>
  <si>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</si>
  <si>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</si>
  <si>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</si>
  <si>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</si>
  <si>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</si>
  <si>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</si>
  <si>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</si>
  <si>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</si>
  <si>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</si>
  <si>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</si>
  <si>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</si>
  <si>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</si>
  <si>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</si>
  <si>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</si>
  <si>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</si>
  <si>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</si>
  <si>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</si>
  <si>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</si>
  <si>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</si>
  <si>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</si>
  <si>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</si>
  <si>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</si>
  <si>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</si>
  <si>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</si>
  <si>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</si>
  <si>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</si>
  <si>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</si>
  <si>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</si>
  <si>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</si>
  <si>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</si>
  <si>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</si>
  <si>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</si>
  <si>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</si>
  <si>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</si>
  <si>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</si>
  <si>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</si>
  <si>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</si>
  <si>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</si>
  <si>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</si>
  <si>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</si>
  <si>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</si>
  <si>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</si>
  <si>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</si>
  <si>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</si>
  <si>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</si>
  <si>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</si>
  <si>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</si>
  <si>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</si>
  <si>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</si>
  <si>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</si>
  <si>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</si>
  <si>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</si>
  <si>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</si>
  <si>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</si>
  <si>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</si>
  <si>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</si>
  <si>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</si>
  <si>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</si>
  <si>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</si>
  <si>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</si>
  <si>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</si>
  <si>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</si>
  <si>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</si>
  <si>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</si>
  <si>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</si>
  <si>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</si>
  <si>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</si>
  <si>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</si>
  <si>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</si>
  <si>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</si>
  <si>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</si>
  <si>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</si>
  <si>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</si>
  <si>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</si>
  <si>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</si>
  <si>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</si>
  <si>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</si>
  <si>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</si>
  <si>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</si>
  <si>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</si>
  <si>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</si>
  <si>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</si>
  <si>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</si>
  <si>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</si>
  <si>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</si>
  <si>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</si>
  <si>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</si>
  <si>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</si>
  <si>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</si>
  <si>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</si>
  <si>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</si>
  <si>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</si>
  <si>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</si>
  <si>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</si>
  <si>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</si>
  <si>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</si>
  <si>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</si>
  <si>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</si>
  <si>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</si>
  <si>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</si>
  <si>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</si>
  <si>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</si>
  <si>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</si>
  <si>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</si>
  <si>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</si>
  <si>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</si>
  <si>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</si>
  <si>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</si>
  <si>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</si>
  <si>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</si>
  <si>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</si>
  <si>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</si>
  <si>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</si>
  <si>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</si>
  <si>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</si>
  <si>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</si>
  <si>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</si>
  <si>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</si>
  <si>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</si>
  <si>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</si>
  <si>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</si>
  <si>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</si>
  <si>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</si>
  <si>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</si>
  <si>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</si>
  <si>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</si>
  <si>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</si>
  <si>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</si>
  <si>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</si>
  <si>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</si>
  <si>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</si>
  <si>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</si>
  <si>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</si>
  <si>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</si>
  <si>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</si>
  <si>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</si>
  <si>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</si>
  <si>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</si>
  <si>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</si>
  <si>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</si>
  <si>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</si>
  <si>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</si>
  <si>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</si>
  <si>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</si>
  <si>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</si>
  <si>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</si>
  <si>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</si>
  <si>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</si>
  <si>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</si>
  <si>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</si>
  <si>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</si>
  <si>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</si>
  <si>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</si>
  <si>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</si>
  <si>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</si>
  <si>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</si>
  <si>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</si>
  <si>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</si>
  <si>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</si>
  <si>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</si>
  <si>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</si>
  <si>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</si>
  <si>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</si>
  <si>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</si>
  <si>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</si>
  <si>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</si>
  <si>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</si>
  <si>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</si>
  <si>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</si>
  <si>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</si>
  <si>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</si>
  <si>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</si>
  <si>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</si>
  <si>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</si>
  <si>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</si>
  <si>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</si>
  <si>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</si>
  <si>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</si>
  <si>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</si>
  <si>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</si>
  <si>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</si>
  <si>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</si>
  <si>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</si>
  <si>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</si>
  <si>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</si>
  <si>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</si>
  <si>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</si>
  <si>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</si>
  <si>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</si>
  <si>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</si>
  <si>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</si>
  <si>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</si>
  <si>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</si>
  <si>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</si>
  <si>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</si>
  <si>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</si>
  <si>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</si>
  <si>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</si>
  <si>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</si>
  <si>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</si>
  <si>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</si>
  <si>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</si>
  <si>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</si>
  <si>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</si>
  <si>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</si>
  <si>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</si>
  <si>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</si>
  <si>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</si>
  <si>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</si>
  <si>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</si>
  <si>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</si>
  <si>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</si>
  <si>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</si>
  <si>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</si>
  <si>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</si>
  <si>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</si>
  <si>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</si>
  <si>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</si>
  <si>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</si>
  <si>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</si>
  <si>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</si>
  <si>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</si>
  <si>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</si>
  <si>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</si>
  <si>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</si>
  <si>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</si>
  <si>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</si>
  <si>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</si>
  <si>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</si>
  <si>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</si>
  <si>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</si>
  <si>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</si>
  <si>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</si>
  <si>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</si>
  <si>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</si>
  <si>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</si>
  <si>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</si>
  <si>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</si>
  <si>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</si>
  <si>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</si>
  <si>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</si>
  <si>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</si>
  <si>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</si>
  <si>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</si>
  <si>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</si>
  <si>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</si>
  <si>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</si>
  <si>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</si>
  <si>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</si>
  <si>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</si>
  <si>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</si>
  <si>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</si>
  <si>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</si>
  <si>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</si>
  <si>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</si>
  <si>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</si>
  <si>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</si>
  <si>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</si>
  <si>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</si>
  <si>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</si>
  <si>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</si>
  <si>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</si>
  <si>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</si>
  <si>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</si>
  <si>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</si>
  <si>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</si>
  <si>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</si>
  <si>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</si>
  <si>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</si>
  <si>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</si>
  <si>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</si>
  <si>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</si>
  <si>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</si>
  <si>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</si>
  <si>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</si>
  <si>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</si>
  <si>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</si>
  <si>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</si>
  <si>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</si>
  <si>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</si>
  <si>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</si>
  <si>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</si>
  <si>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</si>
  <si>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</si>
  <si>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</si>
  <si>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</si>
  <si>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</si>
  <si>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</si>
  <si>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</si>
  <si>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</si>
  <si>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</si>
  <si>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</si>
  <si>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</si>
  <si>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</si>
  <si>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</si>
  <si>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</si>
  <si>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</si>
  <si>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</si>
  <si>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</si>
  <si>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</si>
  <si>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</si>
  <si>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</si>
  <si>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</si>
  <si>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</si>
  <si>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</si>
  <si>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</si>
  <si>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</si>
  <si>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</si>
  <si>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</si>
  <si>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</si>
  <si>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</si>
  <si>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</si>
  <si>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</si>
  <si>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</si>
  <si>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</si>
  <si>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</si>
  <si>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</si>
  <si>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</si>
  <si>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</si>
  <si>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</si>
  <si>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</si>
  <si>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</si>
  <si>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</si>
  <si>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射程</t>
  </si>
  <si>
    <t>每轮</t>
  </si>
  <si>
    <t>常见时代</t>
  </si>
  <si>
    <t>价格20s/现代($)</t>
  </si>
  <si>
    <t>发明时间</t>
  </si>
  <si>
    <t>武器名称前面的*和-：
带*的武器代表这是罕见武器
带-的武器代表这是不合时代的武器（根据人物卡的时代进行判定）</t>
  </si>
  <si>
    <t>弓</t>
  </si>
  <si>
    <t>1D6+半DB</t>
  </si>
  <si>
    <t>30码</t>
  </si>
  <si>
    <t>1</t>
  </si>
  <si>
    <t>97</t>
  </si>
  <si>
    <t>1920s,现代</t>
  </si>
  <si>
    <t>7/75</t>
  </si>
  <si>
    <t>常
规
武
器</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</si>
  <si>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</si>
  <si>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</si>
  <si>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弓箭</t>
  </si>
  <si>
    <t>1D3+1+DB</t>
  </si>
  <si>
    <t>接触</t>
  </si>
  <si>
    <t>1/10</t>
  </si>
  <si>
    <t>1D3+1+[DB]</t>
  </si>
  <si>
    <t>黄铜指虎</t>
  </si>
  <si>
    <t>1D3+半DB</t>
  </si>
  <si>
    <t>10英尺</t>
  </si>
  <si>
    <t>5/50</t>
  </si>
  <si>
    <t>1D3+[DB]/2</t>
  </si>
  <si>
    <t>长鞭</t>
  </si>
  <si>
    <t>1D6+燃烧</t>
  </si>
  <si>
    <t>0.05/0.5</t>
  </si>
  <si>
    <t>1D6</t>
  </si>
  <si>
    <t>燃烧的火把</t>
  </si>
  <si>
    <t>2D8</t>
  </si>
  <si>
    <t>95</t>
  </si>
  <si>
    <t>——/300</t>
  </si>
  <si>
    <t>1926年</t>
  </si>
  <si>
    <t>1D8+DB</t>
  </si>
  <si>
    <t>2/15</t>
  </si>
  <si>
    <t>1940年</t>
  </si>
  <si>
    <t>1D8+[DB]</t>
  </si>
  <si>
    <t>包皮铁棍(甩棍、大头棍、护身棒)</t>
  </si>
  <si>
    <t>3/35</t>
  </si>
  <si>
    <t>大型棍状物(棒球棍、板球棒、拨火棍等)</t>
  </si>
  <si>
    <t>1D6+DB</t>
  </si>
  <si>
    <t>1D6+[DB]</t>
  </si>
  <si>
    <t>小型棍状物(警棍等)</t>
  </si>
  <si>
    <t>1D8+2</t>
  </si>
  <si>
    <t>50码</t>
  </si>
  <si>
    <t>1/2</t>
  </si>
  <si>
    <t>96</t>
  </si>
  <si>
    <t>10/100</t>
  </si>
  <si>
    <t>公元前210年</t>
  </si>
  <si>
    <t>弩</t>
  </si>
  <si>
    <t>0.5/3</t>
  </si>
  <si>
    <t>绞索：目标需要用一个战技摆脱，
否则每轮受到 1D6 点伤害。只对人类和相近的对手有效。</t>
  </si>
  <si>
    <t>1D6+1+DB</t>
  </si>
  <si>
    <t>3/9</t>
  </si>
  <si>
    <t>1D6+1+[DB]</t>
  </si>
  <si>
    <t>手斧/镰刀</t>
  </si>
  <si>
    <t>4/50</t>
  </si>
  <si>
    <t>大型刀具(甘蔗刀等)</t>
  </si>
  <si>
    <t>1D4+2+DB</t>
  </si>
  <si>
    <t>1D4+2+[DB]</t>
  </si>
  <si>
    <t>中型刀具(切肉菜刀等)</t>
  </si>
  <si>
    <t>1D4+DB</t>
  </si>
  <si>
    <t>2/6</t>
  </si>
  <si>
    <t>一般有锁链或者类似绳子部分的武器可以做到</t>
  </si>
  <si>
    <t>1D4+[DB]</t>
  </si>
  <si>
    <t>小型刀具(弹簧折叠刀等)</t>
  </si>
  <si>
    <t>2D8+眩晕</t>
  </si>
  <si>
    <t>1894年</t>
  </si>
  <si>
    <t>220v通电导线</t>
  </si>
  <si>
    <t>如有任何冲突情况请以规则书为准！</t>
  </si>
  <si>
    <t>眩晕</t>
  </si>
  <si>
    <t>6英尺</t>
  </si>
  <si>
    <t>25次</t>
  </si>
  <si>
    <t>——/10</t>
  </si>
  <si>
    <t>1912年</t>
  </si>
  <si>
    <t>催泪瓦斯</t>
  </si>
  <si>
    <t>960年</t>
  </si>
  <si>
    <t>催泪瓦斯：抵近射击规则无效；目标须通过一个极难的 敏捷 检定否则暂时目盲。只对人类和相近的对手有效。</t>
  </si>
  <si>
    <t>1D4+半DB</t>
  </si>
  <si>
    <t>STR英尺</t>
  </si>
  <si>
    <t>1D4+[DB]/2</t>
  </si>
  <si>
    <t>投石</t>
  </si>
  <si>
    <t>20码</t>
  </si>
  <si>
    <t>2</t>
  </si>
  <si>
    <t>一次性</t>
  </si>
  <si>
    <t>手里剑</t>
  </si>
  <si>
    <t>1D8+1</t>
  </si>
  <si>
    <t>25/150</t>
  </si>
  <si>
    <t>矛、骑士长枪</t>
  </si>
  <si>
    <t>1D8+半DB</t>
  </si>
  <si>
    <t>STR码</t>
  </si>
  <si>
    <t>罕见</t>
  </si>
  <si>
    <t>1/25</t>
  </si>
  <si>
    <t>电击枪：仅对体格 2 及以下的目标有效，目标在 1D6 回合内不能行动（或 KP 决定)</t>
  </si>
  <si>
    <t>1D8+[DB]/2</t>
  </si>
  <si>
    <t>*掷矛</t>
  </si>
  <si>
    <t>1D8+1+DB</t>
  </si>
  <si>
    <t>30/75</t>
  </si>
  <si>
    <t>1D8+1+[DB]</t>
  </si>
  <si>
    <t>大型剑（马刀）</t>
  </si>
  <si>
    <t>15/100</t>
  </si>
  <si>
    <t>中型剑（佩剑、重剑）</t>
  </si>
  <si>
    <t>25/100</t>
  </si>
  <si>
    <t>轻型剑（花剑、剑杖）</t>
  </si>
  <si>
    <t>1D3+眩晕</t>
  </si>
  <si>
    <t>——/200</t>
  </si>
  <si>
    <t>2006年</t>
  </si>
  <si>
    <t>1D3</t>
  </si>
  <si>
    <t>电棍、电击枪(接触)</t>
  </si>
  <si>
    <t>15英尺</t>
  </si>
  <si>
    <t>3</t>
  </si>
  <si>
    <t>——/400</t>
  </si>
  <si>
    <t>1974年</t>
  </si>
  <si>
    <t>电击枪(远程)</t>
  </si>
  <si>
    <t>2/4</t>
  </si>
  <si>
    <t>*战斗回力镖</t>
  </si>
  <si>
    <t>1D8+2+DB</t>
  </si>
  <si>
    <t>5/10</t>
  </si>
  <si>
    <t>1D8+2+[DB]</t>
  </si>
  <si>
    <t>伐木斧</t>
  </si>
  <si>
    <t>1D6+1</t>
  </si>
  <si>
    <t>10</t>
  </si>
  <si>
    <t>1/4</t>
  </si>
  <si>
    <t>30/300</t>
  </si>
  <si>
    <t>1547年</t>
  </si>
  <si>
    <t>手
枪</t>
  </si>
  <si>
    <t>正常来说每回合只能击发一次，
括号内是连发最大数。</t>
  </si>
  <si>
    <t>没有特定指向的枪械发明时间以该口径子弹发明时间为准
有指定的枪械发明时间以服役时间为准
无法考据的发明时间填近似时间或划掉</t>
  </si>
  <si>
    <t>*遂发枪</t>
  </si>
  <si>
    <t>1(3)</t>
  </si>
  <si>
    <t>6</t>
  </si>
  <si>
    <t>25/190</t>
  </si>
  <si>
    <t>1857年</t>
  </si>
  <si>
    <t>.22(5.6mm)小型自动手枪</t>
  </si>
  <si>
    <t>12/55</t>
  </si>
  <si>
    <t>1920年</t>
  </si>
  <si>
    <t>.25(6.35mm)短口手枪(单管)</t>
  </si>
  <si>
    <t>1D8</t>
  </si>
  <si>
    <t>15</t>
  </si>
  <si>
    <t>15/200</t>
  </si>
  <si>
    <t>1930年</t>
  </si>
  <si>
    <t>.32(7.65mm)左轮手枪</t>
  </si>
  <si>
    <t>8</t>
  </si>
  <si>
    <t>99</t>
  </si>
  <si>
    <t>20/350</t>
  </si>
  <si>
    <t>.32(7.65mm)自动手枪</t>
  </si>
  <si>
    <t>1D8+1D4</t>
  </si>
  <si>
    <t>——/425</t>
  </si>
  <si>
    <t>1934年</t>
  </si>
  <si>
    <t>.357 马格南左轮</t>
  </si>
  <si>
    <t>25/200</t>
  </si>
  <si>
    <t>1898年</t>
  </si>
  <si>
    <t>.38(9mm)左轮手枪</t>
  </si>
  <si>
    <t>30/375</t>
  </si>
  <si>
    <t>.38(9mm)自动手枪</t>
  </si>
  <si>
    <t>98</t>
  </si>
  <si>
    <t>——/500</t>
  </si>
  <si>
    <t>1990年</t>
  </si>
  <si>
    <t>如果连发则每次投掷都会承受一个惩罚骰</t>
  </si>
  <si>
    <t>贝瑞塔 M9</t>
  </si>
  <si>
    <t>17</t>
  </si>
  <si>
    <t>1983年</t>
  </si>
  <si>
    <t>9mm 格洛克 17</t>
  </si>
  <si>
    <t>75/600</t>
  </si>
  <si>
    <t>1902年</t>
  </si>
  <si>
    <t>9mm 鲁格 P08</t>
  </si>
  <si>
    <t>1920s,罕见</t>
  </si>
  <si>
    <t>30/——</t>
  </si>
  <si>
    <t>1860年</t>
  </si>
  <si>
    <t>*.41(10.4mm) 左轮手枪</t>
  </si>
  <si>
    <t>1D10+1D4+2</t>
  </si>
  <si>
    <t>1950年</t>
  </si>
  <si>
    <t>.44(11.2mm) 马格南左轮手枪</t>
  </si>
  <si>
    <t>1D10+2</t>
  </si>
  <si>
    <t>1904年</t>
  </si>
  <si>
    <t>.45(11.43mm) 左轮手枪</t>
  </si>
  <si>
    <t>7</t>
  </si>
  <si>
    <t>40/375</t>
  </si>
  <si>
    <t>.45(11.43mm) 自动手枪</t>
  </si>
  <si>
    <t>1D10+1D6+3</t>
  </si>
  <si>
    <t>94</t>
  </si>
  <si>
    <t>1982年</t>
  </si>
  <si>
    <t>IMI 沙漠之鹰</t>
  </si>
  <si>
    <t>1D10+4</t>
  </si>
  <si>
    <t>60</t>
  </si>
  <si>
    <t>25/350</t>
  </si>
  <si>
    <t>1885年</t>
  </si>
  <si>
    <t>步
枪</t>
  </si>
  <si>
    <t>这种步枪是不可连发的
通常一次只能发射一发
威力极大</t>
  </si>
  <si>
    <t>莫兰上校的气动步枪：靠压缩空气发射，不需要火药，因而比较安静。</t>
  </si>
  <si>
    <t>*.58 (14.7mm)1855 年式春田步枪</t>
  </si>
  <si>
    <t>30</t>
  </si>
  <si>
    <t>13/70</t>
  </si>
  <si>
    <t>.22 (5.6mm)栓式枪机步枪</t>
  </si>
  <si>
    <t>2D6</t>
  </si>
  <si>
    <t>19/150</t>
  </si>
  <si>
    <t>1952年</t>
  </si>
  <si>
    <t>.30 (7.62mm)杠杆式枪机步枪</t>
  </si>
  <si>
    <t>1D8+1D6+3</t>
  </si>
  <si>
    <t>80</t>
  </si>
  <si>
    <t>1/3</t>
  </si>
  <si>
    <t>20/200</t>
  </si>
  <si>
    <t>1871年</t>
  </si>
  <si>
    <t>.45 马提尼·亨利步枪</t>
  </si>
  <si>
    <t>2D6+1</t>
  </si>
  <si>
    <t>20</t>
  </si>
  <si>
    <t>88</t>
  </si>
  <si>
    <t>200</t>
  </si>
  <si>
    <t>莫兰上校的气动步枪</t>
  </si>
  <si>
    <t>2D6+4</t>
  </si>
  <si>
    <t>110</t>
  </si>
  <si>
    <t>400</t>
  </si>
  <si>
    <t>1936年</t>
  </si>
  <si>
    <t>加兰德M1、M2步枪</t>
  </si>
  <si>
    <t>90</t>
  </si>
  <si>
    <t>1(2)</t>
  </si>
  <si>
    <t>1945年</t>
  </si>
  <si>
    <t>SKS 半自动步枪(56 半)</t>
  </si>
  <si>
    <t>50/300</t>
  </si>
  <si>
    <t>1895年</t>
  </si>
  <si>
    <t>.303 (7.7mm) 李·恩菲尔德</t>
  </si>
  <si>
    <t>5</t>
  </si>
  <si>
    <t>75/175</t>
  </si>
  <si>
    <t>.30——06 (7.62mm) 栓式枪机步枪</t>
  </si>
  <si>
    <t>275</t>
  </si>
  <si>
    <t>1955年</t>
  </si>
  <si>
    <t>.30——06 (7.62mm) 半自动步枪</t>
  </si>
  <si>
    <t>2D8+4</t>
  </si>
  <si>
    <t>.444 (11.28mm) 马林步枪</t>
  </si>
  <si>
    <t>3D6+4</t>
  </si>
  <si>
    <t>1 or 2</t>
  </si>
  <si>
    <t>400/1000</t>
  </si>
  <si>
    <t>1890年</t>
  </si>
  <si>
    <t>霰
弹
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</si>
  <si>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</si>
  <si>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</si>
  <si>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</si>
  <si>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猎象枪(双管)</t>
  </si>
  <si>
    <t>2D6/1D6/1D3</t>
  </si>
  <si>
    <t>10/20/50</t>
  </si>
  <si>
    <t>35/稀有</t>
  </si>
  <si>
    <t>1914年</t>
  </si>
  <si>
    <t>20 号霰弹枪(双管)</t>
  </si>
  <si>
    <t>2D6+2/1D6+1/1D4</t>
  </si>
  <si>
    <t>40/稀有</t>
  </si>
  <si>
    <t>2D6+2</t>
  </si>
  <si>
    <t>16 号霰弹枪(双管)</t>
  </si>
  <si>
    <t>4D6/2D6/1D6</t>
  </si>
  <si>
    <t>40/200</t>
  </si>
  <si>
    <t>4D6</t>
  </si>
  <si>
    <t>12 号霰弹枪(双管)</t>
  </si>
  <si>
    <t>45/100</t>
  </si>
  <si>
    <t>1980年</t>
  </si>
  <si>
    <t>12 号霰弹枪(泵动)</t>
  </si>
  <si>
    <t>12 号霰弹枪(半自动)</t>
  </si>
  <si>
    <t>4D6/1D6</t>
  </si>
  <si>
    <t>N/A</t>
  </si>
  <si>
    <t>1790年</t>
  </si>
  <si>
    <t>12 号霰弹枪(双管,锯短)</t>
  </si>
  <si>
    <t>4D6+2/2D6+1/1D4</t>
  </si>
  <si>
    <t>稀有</t>
  </si>
  <si>
    <t>4D6+2</t>
  </si>
  <si>
    <t>*10 号霰弹枪(双管)</t>
  </si>
  <si>
    <t>——/895</t>
  </si>
  <si>
    <t>1999年</t>
  </si>
  <si>
    <t>12 号贝里尼 M3(折叠式枪托)</t>
  </si>
  <si>
    <t>——/600</t>
  </si>
  <si>
    <t>1979年</t>
  </si>
  <si>
    <t>12 号 SPAS (折叠式枪托)</t>
  </si>
  <si>
    <t>1(2)or全自动</t>
  </si>
  <si>
    <t>1951年</t>
  </si>
  <si>
    <t>突
击
步
枪</t>
  </si>
  <si>
    <t>单发射击以[步枪]技能判定，
全自动射击以[冲锋枪]技能判定</t>
  </si>
  <si>
    <t>装填武器</t>
  </si>
  <si>
    <t>冲锋枪和机枪的价格为黑市价格
稀有或非法的武器可以在黑市入手。
购买流程是找到卖家，谈妥价钱，钱货交易，拿货走人。
交易可能会被警察干涉，卖家也可能试图打劫或杀死买家。</t>
  </si>
  <si>
    <t>AK-47 或 AKM</t>
  </si>
  <si>
    <t>——/1000</t>
  </si>
  <si>
    <t>为任何手枪，步枪或霰弹枪装填两发枪弹需要一个行动轮的时间。
用弹匣供弹的武器换弹匣需要一个行动轮的时间；
用弹链供弹的机枪重新装弹需要两个行动轮的时间。</t>
  </si>
  <si>
    <t>AK-74</t>
  </si>
  <si>
    <t>2D10+1D8+6</t>
  </si>
  <si>
    <t>250</t>
  </si>
  <si>
    <t>11</t>
  </si>
  <si>
    <t>——/3000</t>
  </si>
  <si>
    <t>1989年</t>
  </si>
  <si>
    <t>巴雷特M82</t>
  </si>
  <si>
    <t>1(2)or3连射</t>
  </si>
  <si>
    <t>——/1500</t>
  </si>
  <si>
    <t>1954年</t>
  </si>
  <si>
    <t>FN FAL</t>
  </si>
  <si>
    <t>1(2)or连射</t>
  </si>
  <si>
    <t>——/2000</t>
  </si>
  <si>
    <t>1972年</t>
  </si>
  <si>
    <t>加利尔突击步枪</t>
  </si>
  <si>
    <t>1964年</t>
  </si>
  <si>
    <t>M16A2</t>
  </si>
  <si>
    <t>1or3连射</t>
  </si>
  <si>
    <t>1994年</t>
  </si>
  <si>
    <t>M4</t>
  </si>
  <si>
    <t>——/1100</t>
  </si>
  <si>
    <t>1978年</t>
  </si>
  <si>
    <t>斯泰尔 AUG</t>
  </si>
  <si>
    <t>1or全自动</t>
  </si>
  <si>
    <t>——/2800</t>
  </si>
  <si>
    <t>1970年</t>
  </si>
  <si>
    <t>贝雷塔 M70/90</t>
  </si>
  <si>
    <t>20/30/32</t>
  </si>
  <si>
    <t>1000/20000</t>
  </si>
  <si>
    <t>1917年</t>
  </si>
  <si>
    <t>冲
锋
枪</t>
  </si>
  <si>
    <t>MP18I/MP28II</t>
  </si>
  <si>
    <t>15/30</t>
  </si>
  <si>
    <t>1966年</t>
  </si>
  <si>
    <t>MP5</t>
  </si>
  <si>
    <t>1(3)or全自动</t>
  </si>
  <si>
    <t>32</t>
  </si>
  <si>
    <t>——/750</t>
  </si>
  <si>
    <t>MAC-11</t>
  </si>
  <si>
    <t>1961年</t>
  </si>
  <si>
    <t>蝎式冲锋枪</t>
  </si>
  <si>
    <t>20/30/50</t>
  </si>
  <si>
    <t>200+/1600</t>
  </si>
  <si>
    <t>1938年</t>
  </si>
  <si>
    <t>乌兹微型冲锋枪</t>
  </si>
  <si>
    <t>全自动</t>
  </si>
  <si>
    <t>2000/14000</t>
  </si>
  <si>
    <t>1882年</t>
  </si>
  <si>
    <t>机
枪</t>
  </si>
  <si>
    <t>速射机枪：装在直升机上的加特林机枪。要不经过安装直接使用，使用者必须达到体格 2。</t>
  </si>
  <si>
    <t>*1882 年式加特林</t>
  </si>
  <si>
    <t>800/1500</t>
  </si>
  <si>
    <t>M1918 式勃朗宁自动步枪</t>
  </si>
  <si>
    <t>3000/30000</t>
  </si>
  <si>
    <t>1916年</t>
  </si>
  <si>
    <t>勃朗宁 M1917A1(7.62mm)</t>
  </si>
  <si>
    <t>30/100</t>
  </si>
  <si>
    <t>3000/50000</t>
  </si>
  <si>
    <t>布伦轻机枪</t>
  </si>
  <si>
    <t>27/97</t>
  </si>
  <si>
    <t>3000/20000</t>
  </si>
  <si>
    <t>路易斯Ⅰ型机枪</t>
  </si>
  <si>
    <t>4000</t>
  </si>
  <si>
    <t>1963年</t>
  </si>
  <si>
    <t>GE M134 式 7.62mm 速射机枪</t>
  </si>
  <si>
    <t>30/200</t>
  </si>
  <si>
    <t>FN 米尼米(5.56mm)，弹夹/弹带</t>
  </si>
  <si>
    <t>维克斯.303 机枪</t>
  </si>
  <si>
    <t>2D6+燃烧</t>
  </si>
  <si>
    <t>特
殊
武
器</t>
  </si>
  <si>
    <t>这些武器通常分三个距离
每超出一个距离便从右边降低一格伤害</t>
  </si>
  <si>
    <t>16D10</t>
  </si>
  <si>
    <t>如果威力不符合这里任何一个，以上更强的为标准</t>
  </si>
  <si>
    <t>莫洛托夫燃烧瓶</t>
  </si>
  <si>
    <t>1D10+1D3+燃烧</t>
  </si>
  <si>
    <t>15/75</t>
  </si>
  <si>
    <t>1975年</t>
  </si>
  <si>
    <t>8D10</t>
  </si>
  <si>
    <t>1D10+1D3</t>
  </si>
  <si>
    <t>信号枪(信号弹枪)</t>
  </si>
  <si>
    <t>3D10/2码</t>
  </si>
  <si>
    <t>3D10</t>
  </si>
  <si>
    <t>M79 40mm 榴弹发射器</t>
  </si>
  <si>
    <t>4D10/3码</t>
  </si>
  <si>
    <t>2/5</t>
  </si>
  <si>
    <t>808年</t>
  </si>
  <si>
    <t>炸药棒</t>
  </si>
  <si>
    <t>2D10/1码</t>
  </si>
  <si>
    <t>20/整盒</t>
  </si>
  <si>
    <t>1865年</t>
  </si>
  <si>
    <t>比如3D10算作4D10
下降之后为2D10</t>
  </si>
  <si>
    <t>雷管</t>
  </si>
  <si>
    <t>1D10/3码</t>
  </si>
  <si>
    <t>就地</t>
  </si>
  <si>
    <t>一次使用</t>
  </si>
  <si>
    <t>1899年</t>
  </si>
  <si>
    <t>伤害栏左侧是近距伤害，右侧是减伤距离</t>
  </si>
  <si>
    <t>爆破筒</t>
  </si>
  <si>
    <t>6D10/3码</t>
  </si>
  <si>
    <t>1956年</t>
  </si>
  <si>
    <t>6D10</t>
  </si>
  <si>
    <t>塑胶炸弹(C4) 100克</t>
  </si>
  <si>
    <t>1232年</t>
  </si>
  <si>
    <t>1D4</t>
  </si>
  <si>
    <t>手榴弹</t>
  </si>
  <si>
    <t>6D10/6码</t>
  </si>
  <si>
    <t>500码</t>
  </si>
  <si>
    <t>独立装弹</t>
  </si>
  <si>
    <t>下降了三次之后再次下降，伤害归零，也就是安全区域</t>
  </si>
  <si>
    <t>81mm迫击炮</t>
  </si>
  <si>
    <t>10D10/2码</t>
  </si>
  <si>
    <t>1500/——</t>
  </si>
  <si>
    <t>1897年</t>
  </si>
  <si>
    <t>例：炸药筒和手雷：
每枚对 3 码之内的物体造成4D10 点伤害，
（超过 3 码且在）6 码之内的造成 2D10点伤害，
（超过 6 码且在）9 码之内的造成 1D10 点伤害。</t>
  </si>
  <si>
    <t>阔剑地雷：这种武器的弹道是密集的射束流，其杀伤范围为 120 度。</t>
  </si>
  <si>
    <t>10D10</t>
  </si>
  <si>
    <t>75mm野战火炮</t>
  </si>
  <si>
    <t>2000码</t>
  </si>
  <si>
    <t>15D10</t>
  </si>
  <si>
    <t>120mm坦克炮(稳定)</t>
  </si>
  <si>
    <t>15D10/4码</t>
  </si>
  <si>
    <t>3000码</t>
  </si>
  <si>
    <t>自动上弹</t>
  </si>
  <si>
    <t>1910年</t>
  </si>
  <si>
    <t>12D10</t>
  </si>
  <si>
    <t>5英寸舰载炮(稳定)</t>
  </si>
  <si>
    <t>4D10/5码</t>
  </si>
  <si>
    <t>布置</t>
  </si>
  <si>
    <t>1403年</t>
  </si>
  <si>
    <t>反步兵地雷</t>
  </si>
  <si>
    <t>6D6/20码</t>
  </si>
  <si>
    <t>6D6</t>
  </si>
  <si>
    <t>阔剑地雷</t>
  </si>
  <si>
    <t>25码</t>
  </si>
  <si>
    <t>至少10</t>
  </si>
  <si>
    <t>93</t>
  </si>
  <si>
    <t>1901年</t>
  </si>
  <si>
    <t>火焰喷射器</t>
  </si>
  <si>
    <t>8d10/1码</t>
  </si>
  <si>
    <t>150码</t>
  </si>
  <si>
    <t>8d10</t>
  </si>
  <si>
    <t>M72 式单发轻型反坦克炮</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</si>
  <si>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</si>
  <si>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</si>
  <si>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</si>
  <si>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</si>
  <si>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</si>
  <si>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</si>
  <si>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</si>
  <si>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</si>
  <si>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</si>
  <si>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</si>
  <si>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</si>
  <si>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</si>
  <si>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</si>
  <si>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</si>
  <si>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</si>
  <si>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</si>
  <si>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</si>
  <si>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</si>
  <si>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</si>
  <si>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</si>
  <si>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</si>
  <si>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</si>
  <si>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</si>
  <si>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</si>
  <si>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</si>
  <si>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</si>
  <si>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</si>
  <si>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</si>
  <si>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</si>
  <si>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</si>
  <si>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</si>
  <si>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</si>
  <si>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</si>
  <si>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</si>
  <si>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</si>
  <si>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</si>
  <si>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</si>
  <si>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</si>
  <si>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</si>
  <si>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</si>
  <si>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</si>
  <si>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</si>
  <si>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</si>
  <si>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</si>
  <si>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</si>
  <si>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</si>
  <si>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</si>
  <si>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</si>
  <si>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</si>
  <si>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</si>
  <si>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</si>
  <si>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</si>
  <si>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</si>
  <si>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</si>
  <si>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</si>
  <si>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</si>
  <si>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</si>
  <si>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</si>
  <si>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</si>
  <si>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</si>
  <si>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</si>
  <si>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</si>
  <si>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</si>
  <si>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</si>
  <si>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</si>
  <si>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</si>
  <si>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</si>
  <si>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</si>
  <si>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</si>
  <si>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</si>
  <si>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</si>
  <si>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</si>
  <si>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</si>
  <si>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</si>
  <si>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</si>
  <si>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</si>
  <si>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</si>
  <si>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</si>
  <si>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</si>
  <si>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</si>
  <si>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</si>
  <si>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</si>
  <si>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</si>
  <si>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</si>
  <si>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</si>
  <si>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</si>
  <si>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</si>
  <si>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</si>
  <si>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</si>
  <si>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</si>
  <si>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</si>
  <si>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</si>
  <si>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</si>
  <si>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</si>
  <si>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</si>
  <si>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</si>
  <si>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</si>
  <si>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</si>
  <si>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</si>
  <si>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</si>
  <si>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</si>
  <si>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</si>
  <si>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</si>
  <si>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</si>
  <si>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</si>
  <si>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</si>
  <si>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</si>
  <si>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</si>
  <si>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</si>
  <si>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</si>
  <si>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</si>
  <si>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</si>
  <si>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</si>
  <si>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</si>
  <si>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</si>
  <si>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</si>
  <si>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</si>
  <si>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</si>
  <si>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</si>
  <si>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</si>
  <si>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r>
      <rPr>
        <b/>
        <sz val="18"/>
        <rFont val="微软雅黑"/>
        <family val="2"/>
        <charset val="134"/>
      </rPr>
      <t>建立攻击次序</t>
    </r>
    <r>
      <rPr>
        <sz val="14"/>
        <rFont val="微软雅黑"/>
        <family val="2"/>
        <charset val="134"/>
      </rPr>
      <t xml:space="preserve">
按照DEX降序：
最高的最先行动。
准备好的枪械+50敏捷。</t>
    </r>
  </si>
  <si>
    <r>
      <rPr>
        <b/>
        <sz val="18"/>
        <rFont val="微软雅黑"/>
        <family val="2"/>
        <charset val="134"/>
      </rPr>
      <t>突袭</t>
    </r>
    <r>
      <rPr>
        <sz val="14"/>
        <rFont val="微软雅黑"/>
        <family val="2"/>
        <charset val="134"/>
      </rPr>
      <t xml:space="preserve">
允许技能检定
目标意识到攻击了吗？
侦查、聆听、心理学</t>
    </r>
  </si>
  <si>
    <t>角色在单次受伤
中受到的伤害</t>
  </si>
  <si>
    <t>—————&gt;</t>
  </si>
  <si>
    <t>↓</t>
  </si>
  <si>
    <t>伤害低于角色
最大HP的一半</t>
  </si>
  <si>
    <t>伤害等于或高于
角色最大HP的一半</t>
  </si>
  <si>
    <t>伤害超过角色最大HP</t>
  </si>
  <si>
    <r>
      <rPr>
        <b/>
        <sz val="18"/>
        <rFont val="微软雅黑"/>
        <family val="2"/>
        <charset val="134"/>
      </rPr>
      <t>按DEX次序决定行动</t>
    </r>
    <r>
      <rPr>
        <sz val="14"/>
        <rFont val="微软雅黑"/>
        <family val="2"/>
        <charset val="134"/>
      </rPr>
      <t xml:space="preserve">
</t>
    </r>
    <r>
      <rPr>
        <sz val="10"/>
        <rFont val="微软雅黑"/>
        <family val="2"/>
        <charset val="134"/>
      </rPr>
      <t>a:发动攻击、逃跑、或战纪
b:防守方选择闪避反击或战技能
c:攻击方和防御方进行对抗</t>
    </r>
  </si>
  <si>
    <t>是：
使用正常DEX次序来战斗。</t>
  </si>
  <si>
    <t>否：
攻击自动成功或有奖励骰</t>
  </si>
  <si>
    <t>正常伤害
急救：恢复1点 
医学：恢复1D3点</t>
  </si>
  <si>
    <t>重伤（重伤标记）
1:倒地
2:CON检定
失败则失去意识</t>
  </si>
  <si>
    <r>
      <rPr>
        <b/>
        <sz val="18"/>
        <rFont val="微软雅黑"/>
        <family val="2"/>
        <charset val="134"/>
      </rPr>
      <t>如果是战技：</t>
    </r>
    <r>
      <rPr>
        <sz val="16"/>
        <rFont val="微软雅黑"/>
        <family val="2"/>
        <charset val="134"/>
      </rPr>
      <t xml:space="preserve">
</t>
    </r>
    <r>
      <rPr>
        <sz val="14"/>
        <rFont val="微软雅黑"/>
        <family val="2"/>
        <charset val="134"/>
      </rPr>
      <t>比较体格。
如果攻击方体格较小，每点差别一个惩罚骰。
如果差异在3以上无法发动战技。</t>
    </r>
  </si>
  <si>
    <r>
      <rPr>
        <b/>
        <sz val="12"/>
        <rFont val="微软雅黑"/>
        <family val="2"/>
        <charset val="134"/>
      </rPr>
      <t>闪避：</t>
    </r>
    <r>
      <rPr>
        <sz val="12"/>
        <rFont val="微软雅黑"/>
        <family val="2"/>
        <charset val="134"/>
      </rPr>
      <t xml:space="preserve">成功等级较高的一方胜利。平局防守方胜利。若双方均失败，没有伤害产生
</t>
    </r>
    <r>
      <rPr>
        <b/>
        <sz val="12"/>
        <rFont val="微软雅黑"/>
        <family val="2"/>
        <charset val="134"/>
      </rPr>
      <t>反击：</t>
    </r>
    <r>
      <rPr>
        <sz val="12"/>
        <rFont val="微软雅黑"/>
        <family val="2"/>
        <charset val="134"/>
      </rPr>
      <t xml:space="preserve">成功等级高的获胜，平局攻击方胜利。均失败没有伤害。
</t>
    </r>
    <r>
      <rPr>
        <b/>
        <sz val="12"/>
        <rFont val="微软雅黑"/>
        <family val="2"/>
        <charset val="134"/>
      </rPr>
      <t>战技：</t>
    </r>
    <r>
      <rPr>
        <sz val="12"/>
        <rFont val="微软雅黑"/>
        <family val="2"/>
        <charset val="134"/>
      </rPr>
      <t>和反击类似，但不造成伤害，应用战技效果</t>
    </r>
  </si>
  <si>
    <t>&lt;————</t>
  </si>
  <si>
    <t>HP归零后</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</si>
  <si>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</si>
  <si>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</si>
  <si>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</si>
  <si>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</si>
  <si>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</si>
  <si>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</si>
  <si>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</si>
  <si>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</si>
  <si>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战斗不可孤注一骰</t>
  </si>
  <si>
    <r>
      <rPr>
        <b/>
        <sz val="14"/>
        <rFont val="微软雅黑"/>
        <family val="2"/>
        <charset val="134"/>
      </rPr>
      <t>极难成功？</t>
    </r>
    <r>
      <rPr>
        <sz val="14"/>
        <rFont val="微软雅黑"/>
        <family val="2"/>
        <charset val="134"/>
      </rPr>
      <t xml:space="preserve">
（反击无效）
</t>
    </r>
    <r>
      <rPr>
        <b/>
        <sz val="14"/>
        <rFont val="微软雅黑"/>
        <family val="2"/>
        <charset val="134"/>
      </rPr>
      <t xml:space="preserve">
贯穿武器</t>
    </r>
    <r>
      <rPr>
        <sz val="14"/>
        <rFont val="微软雅黑"/>
        <family val="2"/>
        <charset val="134"/>
      </rPr>
      <t xml:space="preserve">=最大伤害+最大伤害加值+额外一次武器伤害
</t>
    </r>
    <r>
      <rPr>
        <b/>
        <sz val="14"/>
        <rFont val="微软雅黑"/>
        <family val="2"/>
        <charset val="134"/>
      </rPr>
      <t>非贯穿武器</t>
    </r>
    <r>
      <rPr>
        <sz val="14"/>
        <rFont val="微软雅黑"/>
        <family val="2"/>
        <charset val="134"/>
      </rPr>
      <t>=最大伤害+最大伤害加值</t>
    </r>
  </si>
  <si>
    <t>下一小时内
是否有人给予成功的医学？</t>
  </si>
  <si>
    <t>↗</t>
  </si>
  <si>
    <t>↓
否
↓</t>
  </si>
  <si>
    <t>↑
con检定成功
↑</t>
  </si>
  <si>
    <r>
      <rPr>
        <b/>
        <sz val="14"/>
        <rFont val="微软雅黑"/>
        <family val="2"/>
        <charset val="134"/>
      </rPr>
      <t>寡不敌众？</t>
    </r>
    <r>
      <rPr>
        <b/>
        <sz val="16"/>
        <rFont val="微软雅黑"/>
        <family val="2"/>
        <charset val="134"/>
      </rPr>
      <t xml:space="preserve">
</t>
    </r>
    <r>
      <rPr>
        <sz val="11"/>
        <rFont val="微软雅黑"/>
        <family val="2"/>
        <charset val="134"/>
      </rPr>
      <t>当角色在一轮中进行过闪避或反击后，对他们的所有(格斗)后续攻击都有一个奖励骰。
一轮多动的生物不受这个限制
（他们可以反击/闪避等于他们攻击的次数，然后才应用寡不敌众）</t>
    </r>
  </si>
  <si>
    <t>con检定失败
↑</t>
  </si>
  <si>
    <t>↓
是
↓</t>
  </si>
  <si>
    <r>
      <rPr>
        <sz val="16"/>
        <rFont val="微软雅黑"/>
        <family val="2"/>
        <charset val="134"/>
      </rPr>
      <t>↑</t>
    </r>
    <r>
      <rPr>
        <sz val="11"/>
        <rFont val="微软雅黑"/>
        <family val="2"/>
        <charset val="134"/>
      </rPr>
      <t xml:space="preserve">
</t>
    </r>
    <r>
      <rPr>
        <sz val="8"/>
        <rFont val="微软雅黑"/>
        <family val="2"/>
        <charset val="134"/>
      </rPr>
      <t>con检定成功</t>
    </r>
  </si>
  <si>
    <t>此后每轮结束时都必须进行con检定
失败则死亡</t>
  </si>
  <si>
    <t>每小时结束时
进行con检定</t>
  </si>
  <si>
    <r>
      <rPr>
        <b/>
        <sz val="14"/>
        <rFont val="微软雅黑"/>
        <family val="2"/>
        <charset val="134"/>
      </rPr>
      <t>重伤恢复</t>
    </r>
    <r>
      <rPr>
        <sz val="11"/>
        <rFont val="微软雅黑"/>
        <family val="2"/>
        <charset val="134"/>
      </rPr>
      <t xml:space="preserve">
每周结束时进行一次con检定
失败：无恢复
成功：恢复1D3
极难成功：恢复2D3并清除重伤标记
优良医疗可获得奖励骰(医学)
静养和环境良好可获得奖励骰
环境恶劣获得惩罚骰
</t>
    </r>
  </si>
  <si>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</si>
  <si>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</si>
  <si>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</si>
  <si>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</si>
  <si>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</si>
  <si>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</si>
  <si>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</si>
  <si>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</si>
  <si>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</si>
  <si>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</si>
  <si>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</si>
  <si>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</si>
  <si>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</si>
  <si>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</si>
  <si>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</si>
  <si>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</si>
  <si>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</si>
  <si>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</si>
  <si>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</si>
  <si>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</si>
  <si>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</si>
  <si>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</si>
  <si>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</si>
  <si>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</si>
  <si>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</si>
  <si>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</si>
  <si>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</si>
  <si>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</si>
  <si>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</si>
  <si>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</si>
  <si>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</si>
  <si>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</si>
  <si>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</si>
  <si>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</si>
  <si>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</si>
  <si>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</si>
  <si>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</si>
  <si>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</si>
  <si>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</si>
  <si>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</si>
  <si>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</si>
  <si>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</si>
  <si>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</si>
  <si>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</si>
  <si>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</si>
  <si>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</si>
  <si>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</si>
  <si>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</si>
  <si>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</si>
  <si>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</si>
  <si>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</si>
  <si>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</si>
  <si>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</si>
  <si>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</si>
  <si>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</si>
  <si>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</si>
  <si>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</si>
  <si>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</si>
  <si>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</si>
  <si>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</si>
  <si>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</si>
  <si>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</si>
  <si>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</si>
  <si>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</si>
  <si>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</si>
  <si>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</si>
  <si>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</si>
  <si>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</si>
  <si>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</si>
  <si>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</si>
  <si>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</si>
  <si>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</si>
  <si>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</si>
  <si>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</si>
  <si>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</si>
  <si>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</si>
  <si>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</si>
  <si>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</si>
  <si>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</si>
  <si>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</si>
  <si>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</si>
  <si>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</si>
  <si>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</si>
  <si>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</si>
  <si>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</si>
  <si>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</si>
  <si>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</si>
  <si>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</si>
  <si>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注意：
除“规则书内的防护物”的
“注释”、“防具类型”、“护甲值”，
“规则书内的载具”的“载具类型”、“技能”、“移动力”、“体格”、“乘客护甲”、“乘客数”、“注释”外
均为非规则书内容，使用前需要和KP商议</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</si>
  <si>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</si>
  <si>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</si>
  <si>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</si>
  <si>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</si>
  <si>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</si>
  <si>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</si>
  <si>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</si>
  <si>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</si>
  <si>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</si>
  <si>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</si>
  <si>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</si>
  <si>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</si>
  <si>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</si>
  <si>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</si>
  <si>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</si>
  <si>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</si>
  <si>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</si>
  <si>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</si>
  <si>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</si>
  <si>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</si>
  <si>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</si>
  <si>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</si>
  <si>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</si>
  <si>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</si>
  <si>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</si>
  <si>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</si>
  <si>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</si>
  <si>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</si>
  <si>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</si>
  <si>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</si>
  <si>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</si>
  <si>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</si>
  <si>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</si>
  <si>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</si>
  <si>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</si>
  <si>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</si>
  <si>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</si>
  <si>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</si>
  <si>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</si>
  <si>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</si>
  <si>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</si>
  <si>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</si>
  <si>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</si>
  <si>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</si>
  <si>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</si>
  <si>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</si>
  <si>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</si>
  <si>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</si>
  <si>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</si>
  <si>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</si>
  <si>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</si>
  <si>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</si>
  <si>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</si>
  <si>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</si>
  <si>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</si>
  <si>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</si>
  <si>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</si>
  <si>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</si>
  <si>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</si>
  <si>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</si>
  <si>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</si>
  <si>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</si>
  <si>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</si>
  <si>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</si>
  <si>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</si>
  <si>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</si>
  <si>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</si>
  <si>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</si>
  <si>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</si>
  <si>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</si>
  <si>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</si>
  <si>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</si>
  <si>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</si>
  <si>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</si>
  <si>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</si>
  <si>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</si>
  <si>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</si>
  <si>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</si>
  <si>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</si>
  <si>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</si>
  <si>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</si>
  <si>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</si>
  <si>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</si>
  <si>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</si>
  <si>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</si>
  <si>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再来一遍！！！注意：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</si>
  <si>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</si>
  <si>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</si>
  <si>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</si>
  <si>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</si>
  <si>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</si>
  <si>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</si>
  <si>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</si>
  <si>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</si>
  <si>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</si>
  <si>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</si>
  <si>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</si>
  <si>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</si>
  <si>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</si>
  <si>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</si>
  <si>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</si>
  <si>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</si>
  <si>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</si>
  <si>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</si>
  <si>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</si>
  <si>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</si>
  <si>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</si>
  <si>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</si>
  <si>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</si>
  <si>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</si>
  <si>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</si>
  <si>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</si>
  <si>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</si>
  <si>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</si>
  <si>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</si>
  <si>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</si>
  <si>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</si>
  <si>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</si>
  <si>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</si>
  <si>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</si>
  <si>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</si>
  <si>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</si>
  <si>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</si>
  <si>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</si>
  <si>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</si>
  <si>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</si>
  <si>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</si>
  <si>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</si>
  <si>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</si>
  <si>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</si>
  <si>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</si>
  <si>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</si>
  <si>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</si>
  <si>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</si>
  <si>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</si>
  <si>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</si>
  <si>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</si>
  <si>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</si>
  <si>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</si>
  <si>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</si>
  <si>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</si>
  <si>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</si>
  <si>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</si>
  <si>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</si>
  <si>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</si>
  <si>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</si>
  <si>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</si>
  <si>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</si>
  <si>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</si>
  <si>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</si>
  <si>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</si>
  <si>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</si>
  <si>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</si>
  <si>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</si>
  <si>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</si>
  <si>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</si>
  <si>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</si>
  <si>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</si>
  <si>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</si>
  <si>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</si>
  <si>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</si>
  <si>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</si>
  <si>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</si>
  <si>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</si>
  <si>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</si>
  <si>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</si>
  <si>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</si>
  <si>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</si>
  <si>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</si>
  <si>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</si>
  <si>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</si>
  <si>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</si>
  <si>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</si>
  <si>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</si>
  <si>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</si>
  <si>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</si>
  <si>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</si>
  <si>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</si>
  <si>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</si>
  <si>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</si>
  <si>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</si>
  <si>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</si>
  <si>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</si>
  <si>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</si>
  <si>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</si>
  <si>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</si>
  <si>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</si>
  <si>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</si>
  <si>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</si>
  <si>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</si>
  <si>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</si>
  <si>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</si>
  <si>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</si>
  <si>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</si>
  <si>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</si>
  <si>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</si>
  <si>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</si>
  <si>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</si>
  <si>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</si>
  <si>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</si>
  <si>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</si>
  <si>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</si>
  <si>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</si>
  <si>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</si>
  <si>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</si>
  <si>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</si>
  <si>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</si>
  <si>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</si>
  <si>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</si>
  <si>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</si>
  <si>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</si>
  <si>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</si>
  <si>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</si>
  <si>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</si>
  <si>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</si>
  <si>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</si>
  <si>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</si>
  <si>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</si>
  <si>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</si>
  <si>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</si>
  <si>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</si>
  <si>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</si>
  <si>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</si>
  <si>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</si>
  <si>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</si>
  <si>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</si>
  <si>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</si>
  <si>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</si>
  <si>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</si>
  <si>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</si>
  <si>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</si>
  <si>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</si>
  <si>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</si>
  <si>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</si>
  <si>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</si>
  <si>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</si>
  <si>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</si>
  <si>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</si>
  <si>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</si>
  <si>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</si>
  <si>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</si>
  <si>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</si>
  <si>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</si>
  <si>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</si>
  <si>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</si>
  <si>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</si>
  <si>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</si>
  <si>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</si>
  <si>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</si>
  <si>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</si>
  <si>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</si>
  <si>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</si>
  <si>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</si>
  <si>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</si>
  <si>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</si>
  <si>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</si>
  <si>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</si>
  <si>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</si>
  <si>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</si>
  <si>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</si>
  <si>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</si>
  <si>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</si>
  <si>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</si>
  <si>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</si>
  <si>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</si>
  <si>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</si>
  <si>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</si>
  <si>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</si>
  <si>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</si>
  <si>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</si>
  <si>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</si>
  <si>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</si>
  <si>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</si>
  <si>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</si>
  <si>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</si>
  <si>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</si>
  <si>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</si>
  <si>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</si>
  <si>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</si>
  <si>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</si>
  <si>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</si>
  <si>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</si>
  <si>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</si>
  <si>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</si>
  <si>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</si>
  <si>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</si>
  <si>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</si>
  <si>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</si>
  <si>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</si>
  <si>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</si>
  <si>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</si>
  <si>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</si>
  <si>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</si>
  <si>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</si>
  <si>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</si>
  <si>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</si>
  <si>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</si>
  <si>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</si>
  <si>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</si>
  <si>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</si>
  <si>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</si>
  <si>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</si>
  <si>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</si>
  <si>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</si>
  <si>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</si>
  <si>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</si>
  <si>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</si>
  <si>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</si>
  <si>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</si>
  <si>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</si>
  <si>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</si>
  <si>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</si>
  <si>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</si>
  <si>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</si>
  <si>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</si>
  <si>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</si>
  <si>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</si>
  <si>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</si>
  <si>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</si>
  <si>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</si>
  <si>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</si>
  <si>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</si>
  <si>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</si>
  <si>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</si>
  <si>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</si>
  <si>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</si>
  <si>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</si>
  <si>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</si>
  <si>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</si>
  <si>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</si>
  <si>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</si>
  <si>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</si>
  <si>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</si>
  <si>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链接</t>
  </si>
  <si>
    <t>更新日志</t>
  </si>
  <si>
    <t>之前的版本</t>
  </si>
  <si>
    <t>史前版本</t>
  </si>
  <si>
    <t>七版规则书
仅学习交流使用</t>
  </si>
  <si>
    <t>https://congyu.lanzoum.com/iDZGqw7r50b</t>
  </si>
  <si>
    <t>2023.12.06更新 版本号：CY23Final</t>
  </si>
  <si>
    <t>2019.11.7更新 版本号：19.11.1</t>
  </si>
  <si>
    <t>声明</t>
  </si>
  <si>
    <t>更新</t>
  </si>
  <si>
    <t>武器列表页面进行了较大幅度的改动，更换了页面风格，根据人物卡的时代选择能够自动识别武器是否适应当前时代，这个在人物卡的下拉武器栏依旧可以显示，不必再一一对照。且战斗流程的页面进行了优化。
人物卡的某些技能进行了描述重置与核对。</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</si>
  <si>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</si>
  <si>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</si>
  <si>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</si>
  <si>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</si>
  <si>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</si>
  <si>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https://congyu.lanzoum.com/i7jb4qh</t>
  </si>
  <si>
    <t>增加“其他资产表”“剩余资产”
修复其他资产表总值计算</t>
  </si>
  <si>
    <t>怪物之锤</t>
  </si>
  <si>
    <t>https://congyu.lanzoum.com/i7jb9hi</t>
  </si>
  <si>
    <t>将“本职属性”移动到“剩余点数”前
更改雷达图位置
删除其余装饰性介绍</t>
  </si>
  <si>
    <t>今年应该不会更了~然后隔壁的Plus版本应该之后就停更了（基本上是完善的而且现在车卡教程好多），只会更新这个通用版本了~</t>
  </si>
  <si>
    <t>法术大典</t>
  </si>
  <si>
    <t>https://congyu.lanzoum.com/i7jbble</t>
  </si>
  <si>
    <t>coc跑团群</t>
  </si>
  <si>
    <t>https://congyu.lanzoum.com/i76887g</t>
  </si>
  <si>
    <t>职业列表更新</t>
  </si>
  <si>
    <t>更改自定义职业点数的计算方式
允许自定义职业自定义属性倍数和计算方式
允许自定义职业选择或取消教育与幸运</t>
  </si>
  <si>
    <t>2023.11.30更新 版本号：CY23.5</t>
  </si>
  <si>
    <t>空白人物卡下载（密码29mb）</t>
  </si>
  <si>
    <t>https://congyu.lanzoum.com/b00nb3n2d</t>
  </si>
  <si>
    <t>骰娘导入栏目进行了更新，因为最近“考编”骰无法适应之前的长导入方式，根据https://github.com/OlivOS-Team/OlivaDiceCore/blob/main/OlivaDiceCore/pcCardData.py#L174规则进行了短导入的设置。</t>
  </si>
  <si>
    <t>属性注释更新</t>
  </si>
  <si>
    <t>修复部分bug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</si>
  <si>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</si>
  <si>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</si>
  <si>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</si>
  <si>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</si>
  <si>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</si>
  <si>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</si>
  <si>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</si>
  <si>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r>
      <rPr>
        <sz val="11"/>
        <color rgb="FF36363D"/>
        <rFont val="微软雅黑"/>
        <family val="2"/>
        <charset val="134"/>
      </rPr>
      <t>目前这种骰子无法暗骰，因为目前不能私聊，长指令不能使用（</t>
    </r>
    <r>
      <rPr>
        <sz val="11"/>
        <color rgb="FF7030A0"/>
        <rFont val="微软雅黑"/>
        <family val="2"/>
        <charset val="134"/>
      </rPr>
      <t>因此更新了人物卡</t>
    </r>
    <r>
      <rPr>
        <sz val="11"/>
        <color rgb="FF36363D"/>
        <rFont val="微软雅黑"/>
        <family val="2"/>
        <charset val="134"/>
      </rPr>
      <t>），无法记录log， 必须at后才能使用，好处就是不会冻结了。</t>
    </r>
  </si>
  <si>
    <t>2019.8.25更新 版本号：19.8.3</t>
  </si>
  <si>
    <t>添加自选护甲移动力减值是否开启</t>
  </si>
  <si>
    <t>Q：本卡可以进行改造吗，改造之后可以传播吗
A：可以，但还是希望联系我说明一下</t>
  </si>
  <si>
    <t>修复武器栏bug</t>
  </si>
  <si>
    <t>修复移动力年龄减值bug</t>
  </si>
  <si>
    <t>Q：本卡可以丢到群里或者上传到网站上之类的吗
A：嗯！当然可以</t>
  </si>
  <si>
    <t>2023.09.26更新 版本号：CY23.4</t>
  </si>
  <si>
    <t>修复“自定义经历包”“技能增长”无法输入非数值的bug</t>
  </si>
  <si>
    <t>修复了格斗③技能的错误，这个错误使“矛”技能无法正常的显示初始值，并且在骰娘导入数据时会错误的判断成格斗②的技能，变成四位数字，这太强大了。
修复了拖拉机的体格错误，这个体格之前是负数，这肯定不合理。
CY23.4.1紧急修复自定义职业选择敏捷作为职业属性的问题。
现在人物卡的技能可以正确的在同一行里显示了。（10/17更新）</t>
  </si>
  <si>
    <t>修复“自定义年龄补正”无效的bug</t>
  </si>
  <si>
    <t>增强“信用范围”“剩余职业点”“剩余兴趣点”存在感</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</si>
  <si>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</si>
  <si>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</si>
  <si>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</si>
  <si>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</si>
  <si>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</si>
  <si>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工作薄及工作表锁定：密码在上方的空白人物卡下载链接中，打开后的简介内。</t>
  </si>
  <si>
    <t>2019.8.21更新 版本号：19.8.2</t>
  </si>
  <si>
    <t>换新群了，群号145626992，如果左侧链接打不开了或者有问题可以加群看看群文件。</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</si>
  <si>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</si>
  <si>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</si>
  <si>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</si>
  <si>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修复“年龄补正：”bug
将年龄的出错“警告”改为“提示”</t>
  </si>
  <si>
    <t>2023.04.10更新 版本号：CY23.3Plus</t>
  </si>
  <si>
    <t>修改了职业列表中存在的问题：部分职业的本职技能与实际显示不符
改动了部分技能的描述
将链接替换成最新的了</t>
  </si>
  <si>
    <t>交换“魔法”、“幸运”与“移动力”的位置
删除“幸运”最大值
删除“大成功”“大失败”计数
删除“消耗规则”
添加“幸运困难成功率”“幸运极难成功率”
添加“移动方式”</t>
  </si>
  <si>
    <t>我的群聊：145626992 换新群了</t>
  </si>
  <si>
    <t>信用评级 (Credit Rating)可不可以使用兴趣点加?
    兴趣技能点可以添加到任意技能(不包含克苏鲁神话)上.
    职业技能点可以点至推荐范围下限, 在守秘人允许情况下, 可以用兴趣点点出推荐范围上限.
    规则书速查-&gt;第三章-创建调查员-3.3 第三步：决定技能并分配技能点
我们当时给Chaosium发了邮件，由主编Mike进行了回复。
allot the points to any skills (which can include adding further points to occupation skills), except Cthulhu Mythos (unless otherwise agreed with the Keeper).”
As the rule says above (p36) - ‘any’ skill except Cthulhu Mythos, - and Credit Rating is included with your Occupation Skills (as you must spend Occupation skill points on Credit Rating).
Thus, you can spend Personal Interest skill points on Credit Rating. Each occupation has a Credit Rating range - you may go above or below this range with the Keeper’s permission.
You must spend points on credit rating from Professional Occupation points.
You may increase credit rating with Personal Interest points with the Keeper's agreement.</t>
  </si>
  <si>
    <t>感谢名单（均已征得同意）</t>
  </si>
  <si>
    <t>感谢人</t>
  </si>
  <si>
    <t>帕琪（806672431）</t>
  </si>
  <si>
    <t>添加“自定义经历包”</t>
  </si>
  <si>
    <t>分
支
技
能
更
改</t>
  </si>
  <si>
    <t>增加“技能成功等级阶段介绍”图</t>
  </si>
  <si>
    <t>梦之雨（2923502026）</t>
  </si>
  <si>
    <t>锁定自定义经历包编辑</t>
  </si>
  <si>
    <t>增加“技能可选规则”：
-“专业技能：可以转移的技能优势”
-“可选规则：给技能等级按个保险”
-“语系地图”（来自维基百科）</t>
  </si>
  <si>
    <t>浅田阳子（3065875927）</t>
  </si>
  <si>
    <t>取消更新介绍保护</t>
  </si>
  <si>
    <t>哦哦君（554983922）</t>
  </si>
  <si>
    <t>更新“coc跑团群”</t>
  </si>
  <si>
    <t>反智（——）</t>
  </si>
  <si>
    <t>添加FAQ（是常见问题的意思，不是花Q233333）</t>
  </si>
  <si>
    <t>本杰猫（690013210）</t>
  </si>
  <si>
    <t>职
业
列
表
更
改</t>
  </si>
  <si>
    <t>增强“自定义职业”、“自定义职业本职技能”的存在感
增加“推荐关系人”列表
增加“职业介绍”列表</t>
  </si>
  <si>
    <t>Schatten（1010233005）</t>
  </si>
  <si>
    <t>2019.8.20更新 版本号：19.8.1</t>
  </si>
  <si>
    <t>か博丽西鹿☆（1206678982）</t>
  </si>
  <si>
    <t>更新了排版</t>
  </si>
  <si>
    <t>海可斯（1658605847）</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</si>
  <si>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</si>
  <si>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</si>
  <si>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</si>
  <si>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2023.04.05更新 版本号：CY23.2</t>
  </si>
  <si>
    <t>添加“自定义身体/精神状态”
更新“体力”的“状态”下拉框
更新“理智”的“状态”下拉框</t>
  </si>
  <si>
    <t>Trotyl（495568205）</t>
  </si>
  <si>
    <t>成长表现在更加完善了</t>
  </si>
  <si>
    <t>缘，妙不可言（1992752152）</t>
  </si>
  <si>
    <t>Истина.（993032722）</t>
  </si>
  <si>
    <t>移除基础属性：“体力”“理智”“幸运”“魔法”上限栏保护
移除“魔法”“每小时恢复”栏位保护
移除“伤害加值”、“体格”数值栏位保护</t>
  </si>
  <si>
    <t>西擎庄（3605330799）</t>
  </si>
  <si>
    <t>属
性
和
掷
骰
更
新</t>
  </si>
  <si>
    <t>增加“各个属性的数字意味着什么？”、“每个属性的骰点骰子”</t>
  </si>
  <si>
    <t>缄（920068575）</t>
  </si>
  <si>
    <t>2023.01.12更新 版本号：CY23.1</t>
  </si>
  <si>
    <t>增加“属性可选规则”
-“花费幸运值”
-“回复幸运值”
-“看透疯狂”增加沼跃鱼
-“精神固化”
-“多重理智检定”
增加“追逐轮可选规则”
-“选择一条道路”
-“随机的险境和障碍”
-“突发险境”
-“猛踩油门”</t>
  </si>
  <si>
    <t>安妍色（3258528467）</t>
  </si>
  <si>
    <t>SHIKI系骰娘开发者</t>
  </si>
  <si>
    <t>修复了武器列表内某些武器的命名错误
人物卡右下侧的时代介绍现在更新至2023年</t>
  </si>
  <si>
    <t>更新汇率</t>
  </si>
  <si>
    <t>初音未来zkw（3200767064）</t>
  </si>
  <si>
    <t>添加货币：
      雷亚尔（巴西）
      墨西哥元（墨西哥）
      泰铢（泰国）
      新加坡元（新加坡）
      南非兰特（南非）</t>
  </si>
  <si>
    <t>天不错（1057354813）</t>
  </si>
  <si>
    <t>韩艺瑟（993032722）</t>
  </si>
  <si>
    <t>グ（1115183244）</t>
  </si>
  <si>
    <t>只是一次无关紧要的小更新</t>
  </si>
  <si>
    <t>仑质（137334701）</t>
  </si>
  <si>
    <t>OlivaDice骰娘开发者</t>
  </si>
  <si>
    <t>赵喵喵（357826834）</t>
  </si>
  <si>
    <t>ZhaoDice骰娘开发者</t>
  </si>
  <si>
    <t>更新资产单位下拉列表，更新资产算法(这个功能研究了好久。。。excel大于小于的bug真要命)</t>
  </si>
  <si>
    <t>Sandy_Lab（2248790595）</t>
  </si>
  <si>
    <t>更改雷达图位置</t>
  </si>
  <si>
    <t>下骰姐（2715945014）</t>
  </si>
  <si>
    <t>2022.12.21更新 版本号：CY22.4</t>
  </si>
  <si>
    <t>删除“不算幸运：”
将“算幸运：”改为“已用点数：”
添加“年龄补正：”</t>
  </si>
  <si>
    <t>修改了武器列表中5发弹仓的双发半自动12号霰弹枪的时代描述，该枪械由1902年开始就不断大规模产生了接近100年，并由数间枪械制造商生产，直到1998年才停止生产。
修改了更新说明中的部分描述，现在我直接告诉你了表格解锁密码是congyu，所以此类问题请不要再问我了。</t>
  </si>
  <si>
    <t>武
器
列
表
更
新</t>
  </si>
  <si>
    <t>为武器列表增加“类型”</t>
  </si>
  <si>
    <t>将特殊武器介绍改为“注释”
为“术语解释”排版</t>
  </si>
  <si>
    <t>添加
“规则书”“玩家手册”“怪物之锤”“法术大典”“跑团群”
 文件链接</t>
  </si>
  <si>
    <t>增加“会造成惩罚骰的情况”
增加“特殊伤害解读”
增加受伤程度列表</t>
  </si>
  <si>
    <t>除上述之外，我将我的署名改成了丛雨，因为大家都叫我这个，也对应了CY这个版本分支。
因为蓝奏云是小云盘，链接略不稳定，链接失效的情况时有发生，这种事情暂时没有办法，可以去各类跑团群找寻资料，获取人物卡更新可以加入联系方式中的群聊。
关于骰娘导入：目前我没有继续同步其他骰系的发展和可能产生的新的导入方式，但是基本上用默认就没问题。</t>
  </si>
  <si>
    <t>更改</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</si>
  <si>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</si>
  <si>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</si>
  <si>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</si>
  <si>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将“技能表”的科学①②③的“数学”基础值改为10</t>
  </si>
  <si>
    <t>2022.06.19更新 版本号：CY22.3</t>
  </si>
  <si>
    <t>修复初始理智值不自动计算的问题</t>
  </si>
  <si>
    <t xml:space="preserve">序号214号职业的本职技能可以正常的显示多个“格斗”技能了
防具表 载具表中，现在有多处红字提醒，来说明规则书以外的内容清与KP商议
技能注释中，现在加入了红字提醒来说明部分描述与规则书有出入
</t>
  </si>
  <si>
    <t>修复“理智参考规则”与“快速参考规则”的错误</t>
  </si>
  <si>
    <t>重新保护部分单元格</t>
  </si>
  <si>
    <t>2019.6.22更新 版本号：19.6.1</t>
  </si>
  <si>
    <t>喵？</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</si>
  <si>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</si>
  <si>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2022.02.25更新 版本号：CY22.2</t>
  </si>
  <si>
    <t>删除了简化卡内一些不该出现的内容
更正了武器列表内某些武器的发明时间和某些武器的错别字
增添了建卡页面中的一些描述
优化了人物卡的关键连接部分</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</si>
  <si>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</si>
  <si>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</si>
  <si>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r>
      <rPr>
        <sz val="11"/>
        <color rgb="FF36363D"/>
        <rFont val="微软雅黑"/>
        <family val="2"/>
        <charset val="134"/>
      </rPr>
      <t>规则书第三章3-4第四步：创造背景中，对关键连接有这样一段描述，意为“纵观一下你调查员的背景，选出你认为最重要的一个条目。这就是关键连接：它对调查员人生的意义比其他条目都要高。”但规则书并</t>
    </r>
    <r>
      <rPr>
        <sz val="11"/>
        <color rgb="FFFF0000"/>
        <rFont val="微软雅黑"/>
        <family val="2"/>
        <charset val="134"/>
      </rPr>
      <t>没有对关键连接使用的背景做出一个限制</t>
    </r>
    <r>
      <rPr>
        <sz val="11"/>
        <color rgb="FF36363D"/>
        <rFont val="微软雅黑"/>
        <family val="2"/>
        <charset val="134"/>
      </rPr>
      <t>。因为背景同样也包括出身地、性别、姓名、头像。这种自由度是主持人应该去和玩家商讨创造的，它不应该是由人物卡来添加备注的内容。您可以合理使用规则书内的自由条目，但人物卡的建立之初是为了方便玩家对基础框架的理解，并非规则的制定者。</t>
    </r>
  </si>
  <si>
    <t>更改最顶端注释</t>
  </si>
  <si>
    <t>添加“时代介绍”</t>
  </si>
  <si>
    <t>重新排版</t>
  </si>
  <si>
    <t>删除“将力量与体型相加之后”、“体格的作用”</t>
  </si>
  <si>
    <t>2021.11.23更新 版本号：CY22Preview</t>
  </si>
  <si>
    <t>修正了载具表的错别字，修改了骰娘导入的文本描述。
在此期间更新可能较为频繁，请及时关注左侧人物卡下载链接。</t>
  </si>
  <si>
    <t>为武器表的武器类型下拉框添加空白框格</t>
  </si>
  <si>
    <t>修复9号职业“文物学家（原作向）”没有“估价”本职标记问题</t>
  </si>
  <si>
    <t>将“性别”改为“性别/性取向”</t>
  </si>
  <si>
    <t>2021.11.06更新 版本号：CY22beta</t>
  </si>
  <si>
    <t>修改san初始值可能超过最大值的bug</t>
  </si>
  <si>
    <t>修正了链接，解锁密码在人物卡的下载链接里。
各种小毛病的修复，然后骰娘导入有不能用的，给出提示了。
现在开始接受反馈了，大概。
22年初会按照反馈内容进行一次更新。</t>
  </si>
  <si>
    <t>修复"☆ 二选一""⊙ 二选一""☯ 社交技能""※ 多选，或X选一"不显示问题（这么明显的bug都半年了居然才发现。。）</t>
  </si>
  <si>
    <t>技能注释更新</t>
  </si>
  <si>
    <t>添加新功能“技能查询”</t>
  </si>
  <si>
    <t>删除“艺术与手艺”“科学”“射击”“驾驶”“格斗”</t>
  </si>
  <si>
    <t>2021.01.29更新 版本号：CY21.1</t>
  </si>
  <si>
    <t>更改理发，酿酒，捕鱼，打字，技术制图的解释</t>
  </si>
  <si>
    <r>
      <rPr>
        <sz val="11"/>
        <color rgb="FF36363D"/>
        <rFont val="微软雅黑"/>
        <family val="2"/>
        <charset val="134"/>
      </rPr>
      <t>右侧时代介绍更新至2021年，对人物卡的版式进行了微调，并且对下载链接进行了修复。
职业列表的几个技能计算错误也修好了，一些职业缺失的星星也一样修好了qwq。
进行了</t>
    </r>
    <r>
      <rPr>
        <sz val="11"/>
        <color rgb="FFFF0000"/>
        <rFont val="微软雅黑"/>
        <family val="2"/>
        <charset val="134"/>
      </rPr>
      <t>精简卡</t>
    </r>
    <r>
      <rPr>
        <sz val="11"/>
        <color rgb="FF36363D"/>
        <rFont val="微软雅黑"/>
        <family val="2"/>
        <charset val="134"/>
      </rPr>
      <t>的制作（其实就是删了一堆东西），可以在左边的下载链接里查看并下载使用。
另外后面如果没有大问题不会更新了x</t>
    </r>
  </si>
  <si>
    <t>修复“自定义职业本职技能”技能下拉选框无法选择“格斗③”“射击③”“外语③”“自定义”技能的问题</t>
  </si>
  <si>
    <t>为额外的职业表添加注释</t>
  </si>
  <si>
    <t>删除自动掷骰部分</t>
  </si>
  <si>
    <t>2020.06.08更新 版本号：CY20.06.1</t>
  </si>
  <si>
    <t>更改“将力量与体型相加之后”的色块</t>
  </si>
  <si>
    <t>人物卡更新</t>
  </si>
  <si>
    <t>右侧报社/报纸，学校/博物馆信息补充完毕
右侧时代介绍更新至2020年
自定义子技能现在有了标注指引，并且可以给不同的子项进行自定义了
删除了“难言之隐”，这玩意早该删的</t>
  </si>
  <si>
    <t>修正唯二可以超过99的错误（可以超过100）</t>
  </si>
  <si>
    <t>将“特殊伤害解读”的注释格式改为向左对其</t>
  </si>
  <si>
    <t>更改“战斗轮可选规则”的“先攻检定”“击晕”“相杀”“火力压制”“瞄准具”“支架”“在战斗中移动”“完全隐蔽”“击穿掩体”“俯卧”“毒性”“毒性示例”可选规则的注释 / 增加“抵近射击调整”</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</si>
  <si>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</si>
  <si>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</si>
  <si>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添加：发明时间</t>
  </si>
  <si>
    <t>防具表 载具表更新</t>
  </si>
  <si>
    <t>删除“防护等级”</t>
  </si>
  <si>
    <t>简化卡更新</t>
  </si>
  <si>
    <t>简化卡的顶部，可以正常的显示调查员的名称了</t>
  </si>
  <si>
    <t>更改“术语解释/规则”的名称与排版</t>
  </si>
  <si>
    <t>添加“MOV与速度对照值”</t>
  </si>
  <si>
    <t>密码，密码看左边，左边的人物卡下载链接里就有密码啊（瘫）</t>
  </si>
  <si>
    <t>修改载具表的大量问题</t>
  </si>
  <si>
    <t>将【分支技能】改为【技能注释】</t>
  </si>
  <si>
    <t>2020.05.10更新 版本号：CY20.05.1</t>
  </si>
  <si>
    <t>将【属性和掷骰】改为【属性注释】</t>
  </si>
  <si>
    <t>武器名称处加入了提示：不要忘记写武器名称
自定义经历包点数问题修复
修复戏剧演员任意特产bug</t>
  </si>
  <si>
    <t>反正我在这随 "便写点" 啥再加几个括号引号你们:也不会发现，完全没得人看更新说明我好伤心</t>
  </si>
  <si>
    <t>取消除【更新说明】外所有页面的锁定</t>
  </si>
  <si>
    <t>2019.5.9更新 版本号：19.5.1</t>
  </si>
  <si>
    <t>弓道和薙刀错行问题解决
相扑力士职业描述里的「体型+2D6」确认了是不存在的设定，已删除</t>
  </si>
  <si>
    <t>修改15-19岁年龄调整值的错误</t>
  </si>
  <si>
    <t>缩小“现时间”，“成功率 普通/困难/极难”与“成功标”字号</t>
  </si>
  <si>
    <t>修复描述错误</t>
  </si>
  <si>
    <t>分支技能更新</t>
  </si>
  <si>
    <t>将以下板块重新排版：
可选规则：给技能等级安个保险
格斗、生存、驾驶、社交类、治疗类、维修类、科学、神话等
这是一张展示世界语系的地图（来自维基百科2018）</t>
  </si>
  <si>
    <t>大概7月份才会更新了x，取消了人物卡和简化卡 骰娘导入的密码，其他密码请看左侧人物卡链接</t>
  </si>
  <si>
    <t>2020.02.24更新 版本号：CY20.02.2</t>
  </si>
  <si>
    <t>汉化语系地图</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</si>
  <si>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</si>
  <si>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更新定义：
专业技能：可以转移的技能优势   语言解释
超越人体极限：多调查员协作检定</t>
  </si>
  <si>
    <t>资产及物价参考更新</t>
  </si>
  <si>
    <t>将【资产参考】更名为【资产及物价参考】</t>
  </si>
  <si>
    <t>增加“简单易懂英制的长度单位教学~~~”</t>
  </si>
  <si>
    <t>增加“现代物价参考表”</t>
  </si>
  <si>
    <t>增加“1920年代物价参考表”</t>
  </si>
  <si>
    <t>纠正射程单位
更新武器名称
将“布置”改为“就地”
将武器名称和规则书同步</t>
  </si>
  <si>
    <t>将“术语解释”中的：
“+db注释”更改为“英制单位的简易理解方式”
更改“罕见”的注释</t>
  </si>
  <si>
    <t>在“特殊伤害解读”中增加“晕（眩）”</t>
  </si>
  <si>
    <t>太多了（悲），懒得分类了</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</si>
  <si>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</si>
  <si>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</si>
  <si>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2020.02.11更新 版本号：CY20.02.1（区分不重名）</t>
  </si>
  <si>
    <t>更改了弩的需求技能描述，弓→弓术，现在可以在人物卡和导入里正确显示该武器的成功率了</t>
  </si>
  <si>
    <t>在规则书Version2002版本中（最新版本）译名“学问”→“学识”此处同步更改</t>
  </si>
  <si>
    <t>修复了了法医职业的本职技能错误</t>
  </si>
  <si>
    <t>修复了古典艺术家职业的技能点计算公式错误</t>
  </si>
  <si>
    <t>修复了现代美元的信用评级对照表格的一个错误</t>
  </si>
  <si>
    <t>更改以下载具乘客数值
地铁                                 缆车
空轨                                 高铁
客船                                 独木舟
木筏                                 货轮
热气球</t>
  </si>
  <si>
    <t>规则书链接更新，添加本表格更新链接，可随时访问查看本表有没有更新</t>
  </si>
  <si>
    <t>对一些表格的版式和美观度进行了更新，表格名称修改，小细节修改</t>
  </si>
  <si>
    <t>更改四马马车的技能，和常见时代</t>
  </si>
  <si>
    <t>将载具表下的“术语解释”重命名为“术语解释/规则”</t>
  </si>
  <si>
    <t>有什么问题随时联系窝！联系方式在左边，在左边啦——</t>
  </si>
  <si>
    <t>将2018版本更新放置右侧</t>
  </si>
  <si>
    <t>删除“debug组成员”改为“我要把你的名字写在这里！”</t>
  </si>
  <si>
    <t>2020.01.16更新 版本号：20.1</t>
  </si>
  <si>
    <t>2018.4.1更新 版本号：19.4.1</t>
  </si>
  <si>
    <t>修复了【人物卡→法术一览】的锁定问题</t>
  </si>
  <si>
    <t>修复“剩余经历包点数”bug</t>
  </si>
  <si>
    <t>降低“战斗流程图”的文件大小</t>
  </si>
  <si>
    <t>快捷输入描述微调</t>
  </si>
  <si>
    <t>2019.3.?更新 版本号：19.3.1</t>
  </si>
  <si>
    <t>看下面，这个只是为了照顾非1920*1080屏幕的玩家做的改动（简化）</t>
  </si>
  <si>
    <t>自定义职业注释去除（因为显示不出），并且修复了维多利亚年代的错误问题</t>
  </si>
  <si>
    <t>2018.12.12更新 版本号：18.12.1</t>
  </si>
  <si>
    <t>修复：
91号职业没有任意特长的问题
229号职业 聆听，机械维修没有本职标记
75号职业没有社交技能数</t>
  </si>
  <si>
    <t>更新说明大幅度改动，“感谢……”去除，更新说明更加直观，新增感谢名单，并将提供建议和帮助的你们加入其中（在本页面左边）</t>
  </si>
  <si>
    <t>对表格整体进行了美化处理（比如对很多单元格文字设置了居中，观感更好）</t>
  </si>
  <si>
    <t>更新汇率
更新货币单位提示</t>
  </si>
  <si>
    <t>丛雨在这里祝愿大家！2020新年快乐！天天大成功！无论是跑团还是别的事情都要大成功哦！</t>
  </si>
  <si>
    <t>取消格斗②与格斗①绑定标记
取消射击②与射击①绑定标记</t>
  </si>
  <si>
    <t>在“调查员经历”增加：有故事的调查员
并在“剩余职业点”“剩余兴趣点”之后增加了“剩余经历包点”</t>
  </si>
  <si>
    <t>2019.12.20更新 版本号：19.12.3beta</t>
  </si>
  <si>
    <t>已修复【人物卡→护甲区块显示不完全】的问题</t>
  </si>
  <si>
    <t>删除现时间的下拉列表，合并为一个格，并改名为“当前时间”</t>
  </si>
  <si>
    <t>将属性的困难极难成功率设置为“如果普通成功率没有数值则变为隐藏”</t>
  </si>
  <si>
    <t>现在【人物卡→技能名称】可以选定了
现在【人物卡→疯狂症状出目】（在左下部分）也可以选定了
取悦（原魅惑），导航（原领航）的注释描述已经同步更改</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</si>
  <si>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</si>
  <si>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</si>
  <si>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</si>
  <si>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现在表格所有初始缩放比例调整为100%，电脑看起来会更舒服了吧</t>
  </si>
  <si>
    <t>表格大小缩小！</t>
  </si>
  <si>
    <t>将“.st指令快捷输入”从【人物卡】中移动到【简化卡】</t>
  </si>
  <si>
    <t>更
改</t>
  </si>
  <si>
    <t>分离【分支技能】与【资产】，并将资产改名为【资产参考】</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</si>
  <si>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</si>
  <si>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将所有表格的行列表隐藏</t>
  </si>
  <si>
    <t>将横轴滚轮所占空间缩小（为了给选项卡分出空间）</t>
  </si>
  <si>
    <t>美化人物卡，灵感来源于DND5E角色卡</t>
  </si>
  <si>
    <t>更改版本号格式</t>
  </si>
  <si>
    <t>2018.11.05更新 版本号：18.11.1</t>
  </si>
  <si>
    <t>2019.12.08更新 版本号：19.12.2beta</t>
  </si>
  <si>
    <t>修复武器表“弓”“电器维修”“炮术”“投掷”技能#REF!问题</t>
  </si>
  <si>
    <t>已修复【人物卡→武器表中的一些文本没有居中】的问题</t>
  </si>
  <si>
    <t>让“本职标志”跟随“任意特长”变化
为“任意特长数”随已选特长变动，若选择过多则显示“过多！”</t>
  </si>
  <si>
    <t>格斗②③，射击②③，外语②③，科学③的本职技能标记在之前发生了重复和不显示的错误，现在已经可以正常的显示了</t>
  </si>
  <si>
    <t>让自定义职业的本职技能显示本职标志</t>
  </si>
  <si>
    <t>将其他资产表五项设置为顶端左侧对齐</t>
  </si>
  <si>
    <t>【射击：弓】更名为【射击：弓术】</t>
  </si>
  <si>
    <t>修复“自定义职业”的“属性点”非最大值的问题</t>
  </si>
  <si>
    <t>已修复【导入时导入的是弓的数据，而骰娘识别的是弓术导致检定弓术时失效】的问题</t>
  </si>
  <si>
    <t>将.st输出移动至【人物卡】</t>
  </si>
  <si>
    <t>分支技能与资产更新</t>
  </si>
  <si>
    <t>将“火焰喷射器”改为“喷射器”</t>
  </si>
  <si>
    <t>MDice骰娘（惠惠）专属导入，
加入便于电脑复制导入的本文框</t>
  </si>
  <si>
    <t>将“机关枪”改为“机枪”</t>
  </si>
  <si>
    <t>呜噫噫呜，有错误请一定要联系我哦，欢迎扩散这份表格！你们的使用是我最大的动力！</t>
  </si>
  <si>
    <t>2018.10.28更新 版本号：18.10.6</t>
  </si>
  <si>
    <t>将临时体力值的数值字体设置为黑色</t>
  </si>
  <si>
    <t>为“调查员信息”添加“当前时间”</t>
  </si>
  <si>
    <t>2019.12.03更新 版本号：19.12.1beta</t>
  </si>
  <si>
    <t>为“护甲值”与“覆盖部位”设置保护</t>
  </si>
  <si>
    <t>在人物表最下方加入引导内容【骰娘快捷输入见简化卡】
【调查员信息】中，原“性别/性取向”改为“性别”</t>
  </si>
  <si>
    <t>将“护甲类型”设置为“请看护甲表”
将“护甲类型”的字体颜色设置为黑色</t>
  </si>
  <si>
    <t>将人物表设置为即使锁定也可以插入头像</t>
  </si>
  <si>
    <t>shiki Exp10骰娘专属导入，
造成表格体积变大的图片引导已修改，并更加完善引导过程</t>
  </si>
  <si>
    <t>将“.st指令快捷输入”设置为即使属性为0也可以使用</t>
  </si>
  <si>
    <t>将母语设置为常亮
将信用评级设置为常亮
将闪避设置为常亮</t>
  </si>
  <si>
    <t>目前快捷输入已经有三种了，具体是哪种，可以看一下简化卡的说明，我尽可能的给大家说的明白，总之，希望可以方便一下大家吧。
有什么问题请随时给我说，在左边就有我的联系方式啦。</t>
  </si>
  <si>
    <t>在调查员信息中增加职业</t>
  </si>
  <si>
    <t>增加“当前时间”
增加“调查员伙伴”
-自写框
增加“神话相关”
-自写框</t>
  </si>
  <si>
    <t>2019.11.26更新 版本号：19.11.4beta</t>
  </si>
  <si>
    <t>已修复【人物表→其他资产表→其他栏目无法选定】的问题</t>
  </si>
  <si>
    <t>已修复【人物卡→资产→消费水平、其他资产、当前现金不会随年代和信用评级的变化而变化】的问题</t>
  </si>
  <si>
    <t>改变“.st指令快捷输入”</t>
  </si>
  <si>
    <t>将简化表设置为即使锁定也可以插入头像</t>
  </si>
  <si>
    <t>增加“自定义职业属性”</t>
  </si>
  <si>
    <t>调整了货币之间的汇率（按照19年11月25日当日全球汇率进行调整）</t>
  </si>
  <si>
    <t>为“自定义职业”增加“职业属性”自动计算
为“自定义职业”增加“技能点”自动计算</t>
  </si>
  <si>
    <t>对【人物卡→资产】内的一些本文错误（错字，没有句号逗号等）进行了修复</t>
  </si>
  <si>
    <t>删除自定义栏</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</si>
  <si>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</si>
  <si>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增加“注意事项”</t>
  </si>
  <si>
    <t>为“盾”类型增加“注释”
为“格斗盾”增加“注释”
为“盾”类型增加“剑格、护手”和其“注释”</t>
  </si>
  <si>
    <t>将规则书内物品设置为仿宋深蓝字体</t>
  </si>
  <si>
    <t>2019.11.25更新 版本号：19.11.3beta</t>
  </si>
  <si>
    <t>2018.10.25更新 版本号：18.10.5</t>
  </si>
  <si>
    <t>现已修复【考古学家没有本职技能估价星标显示】问题</t>
  </si>
  <si>
    <t>将职业范围和剩余点数在职业序号为0的时候设置为隐藏</t>
  </si>
  <si>
    <t>将“信用评级”的“成功标志”禁用
将“克苏鲁神话”的“成功标志”禁用</t>
  </si>
  <si>
    <t>2019.11.23更新 版本号：19.11beta</t>
  </si>
  <si>
    <t>修改了几乎所有技能的注释</t>
  </si>
  <si>
    <t>“技艺”，“格斗”，“驾驶”和“成功标”等下拉框修复</t>
  </si>
  <si>
    <t>大量修正技能的注释与名称
-“驯兽”没有改为“动物驯养”
-将“作画”改为“美术”
-将“弓术”改为“弓”
-将“机关枪”改为“机枪”
-将“自然学”改为“博物学”
并添加“也译作‘自然学’”</t>
  </si>
  <si>
    <t>为了规范起见，也为了防止pl误操作，现在除了“自定义技能”，其余技能名称均已锁定</t>
  </si>
  <si>
    <t>在表格最下方的浅字署名更改为神楽桜（丛雨Official）2019.11.23</t>
  </si>
  <si>
    <t>根据规则书Version1907版（最新版本）中的改动，将“魅惑”→“取悦”，“领航”→“导航”
简化卡中的快捷导入会保留全部的翻译。（你仍可以通过快捷导入，使用诸如ra魅惑的指令）</t>
  </si>
  <si>
    <t>修复“技能”会显示“0”的情况（简化卡）</t>
  </si>
  <si>
    <t>增加“.st指令快捷输入”
-“.st指令快捷输入”
-“技能名的改变”
-“注意”
-文本化用“txt框”
（这条函数超长的qwq）</t>
  </si>
  <si>
    <t>为防止刁民偷改数据从而获得额外的技能点或本职技能等情况，除自定义职业外及其相关内容外，其余内容均已锁定</t>
  </si>
  <si>
    <t>塔系骰娘专属导入，并附图给予复制教程</t>
  </si>
  <si>
    <t>将“资产参考表”上移</t>
  </si>
  <si>
    <t>更新排版</t>
  </si>
  <si>
    <t>增加“驾驶”
-船
-飞行器</t>
  </si>
  <si>
    <t>大家好，我是神楽桜，是骰娘丛雨的master，大家也都叫我丛雨。这是我更改并有意向进行长期更新的第一张卡，有不足的地方请多多谅解，欢迎广泛传播！谢谢你惹！</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</si>
  <si>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</si>
  <si>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</si>
  <si>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</si>
  <si>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</si>
  <si>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</si>
  <si>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</si>
  <si>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</si>
  <si>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</si>
  <si>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</si>
  <si>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</si>
  <si>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</si>
  <si>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</si>
  <si>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</si>
  <si>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</si>
  <si>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</si>
  <si>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</si>
  <si>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</si>
  <si>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</si>
  <si>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</si>
  <si>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</si>
  <si>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</si>
  <si>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</si>
  <si>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</si>
  <si>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</si>
  <si>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</si>
  <si>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</si>
  <si>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</si>
  <si>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</si>
  <si>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</si>
  <si>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</si>
  <si>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</si>
  <si>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</si>
  <si>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</si>
  <si>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</si>
  <si>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</si>
  <si>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</si>
  <si>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</si>
  <si>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</si>
  <si>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</si>
  <si>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</si>
  <si>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</si>
  <si>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</si>
  <si>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</si>
  <si>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</si>
  <si>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</si>
  <si>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</si>
  <si>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</si>
  <si>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</si>
  <si>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</si>
  <si>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</si>
  <si>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</si>
  <si>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</si>
  <si>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</si>
  <si>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</si>
  <si>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</si>
  <si>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</si>
  <si>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</si>
  <si>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</si>
  <si>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</si>
  <si>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</si>
  <si>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</si>
  <si>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</si>
  <si>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</si>
  <si>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</si>
  <si>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</si>
  <si>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</si>
  <si>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</si>
  <si>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</si>
  <si>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</si>
  <si>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</si>
  <si>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</si>
  <si>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</si>
  <si>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</si>
  <si>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</si>
  <si>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</si>
  <si>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</si>
  <si>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</si>
  <si>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</si>
  <si>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</si>
  <si>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</si>
  <si>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</si>
  <si>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</si>
  <si>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</si>
  <si>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</si>
  <si>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</si>
  <si>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</si>
  <si>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</si>
  <si>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</si>
  <si>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</si>
  <si>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</si>
  <si>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</si>
  <si>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</si>
  <si>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</si>
  <si>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</si>
  <si>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</si>
  <si>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</si>
  <si>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</si>
  <si>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</si>
  <si>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</si>
  <si>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我的骰娘：丛雨：QQ272594304，但请不要通过骰娘联系我</t>
    <phoneticPr fontId="203" type="noConversion"/>
  </si>
  <si>
    <t>L/坪（2741877312）</t>
    <phoneticPr fontId="203" type="noConversion"/>
  </si>
  <si>
    <t>改色版本发布</t>
    <phoneticPr fontId="203" type="noConversion"/>
  </si>
  <si>
    <t>L/坪（2741877312）改色版本发布
丛雨（2224263497）原版发布</t>
    <phoneticPr fontId="203" type="noConversion"/>
  </si>
  <si>
    <t/>
  </si>
  <si>
    <t>开</t>
  </si>
  <si>
    <t>轮式</t>
  </si>
  <si>
    <t>军用包</t>
    <phoneticPr fontId="203" type="noConversion"/>
  </si>
  <si>
    <t>手铐，急救包、手电、备用食品</t>
    <phoneticPr fontId="203" type="noConversion"/>
  </si>
  <si>
    <t>小米SU7 Ultra</t>
    <phoneticPr fontId="203" type="noConversion"/>
  </si>
  <si>
    <t>别墅</t>
    <phoneticPr fontId="203" type="noConversion"/>
  </si>
  <si>
    <t>大量债券</t>
    <phoneticPr fontId="203" type="noConversion"/>
  </si>
  <si>
    <t>另外两名玩家角色的欠条</t>
    <phoneticPr fontId="20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</si>
</sst>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24" formatCode="\$#,##0_);[Red]\(\$#,##0\)"/>
    <numFmt numFmtId="176" formatCode="[=0]General;&quot;1920s,罕见&quot;"/>
    <numFmt numFmtId="177" formatCode="\$0"/>
    <numFmt numFmtId="178" formatCode="[=0]&quot;&quot;;General"/>
    <numFmt numFmtId="179" formatCode="&quot;[&quot;0&quot;]&quot;"/>
    <numFmt numFmtId="180" formatCode="0_);[Red]\(0\)"/>
    <numFmt numFmtId="181" formatCode="0.00_);[Red]\(0.00\)"/>
    <numFmt numFmtId="182" formatCode="&quot;/&quot;0"/>
    <numFmt numFmtId="183" formatCode="[=0]&quot;&quot;;&quot;/&quot;0"/>
    <numFmt numFmtId="184" formatCode="[=32767]&quot;&quot;;General"/>
    <numFmt numFmtId="185" formatCode="0&quot;年&quot;"/>
    <numFmt numFmtId="186" formatCode="\/0_ "/>
    <numFmt numFmtId="187" formatCode="[=1]&quot;☆ 二选一&quot;;[=0]&quot;&quot;"/>
    <numFmt numFmtId="188" formatCode="[=1]&quot;⊙ 二选一&quot;;[=0]&quot;&quot;"/>
    <numFmt numFmtId="189" formatCode="0_ "/>
    <numFmt numFmtId="190" formatCode="[=0]&quot;&quot;;&quot;☯ 社交技能（&quot;0&quot;项）&quot;"/>
    <numFmt numFmtId="191" formatCode="[=1]&quot;※ 多选，或X选一&quot;;[=0]&quot;&quot;"/>
    <numFmt numFmtId="192" formatCode="\+0;\-0;&quot;±&quot;0"/>
    <numFmt numFmtId="193" formatCode="0.0_ "/>
  </numFmts>
  <fonts count="205">
    <font>
      <sz val="11"/>
      <name val="宋体"/>
      <charset val="134"/>
    </font>
    <font>
      <sz val="11"/>
      <color rgb="FF000000"/>
      <name val="微软雅黑"/>
      <family val="2"/>
      <charset val="134"/>
    </font>
    <font>
      <sz val="20"/>
      <color rgb="FF000000"/>
      <name val="微软雅黑"/>
      <family val="2"/>
      <charset val="134"/>
    </font>
    <font>
      <sz val="12"/>
      <color rgb="FF000000"/>
      <name val="微软雅黑"/>
      <family val="2"/>
      <charset val="134"/>
    </font>
    <font>
      <u/>
      <sz val="14"/>
      <color indexed="20"/>
      <name val="宋体"/>
      <family val="3"/>
      <charset val="134"/>
    </font>
    <font>
      <u/>
      <sz val="14"/>
      <color rgb="FF0000FF"/>
      <name val="微软雅黑"/>
      <family val="2"/>
      <charset val="134"/>
    </font>
    <font>
      <sz val="14"/>
      <name val="微软雅黑"/>
      <family val="2"/>
      <charset val="134"/>
    </font>
    <font>
      <sz val="11"/>
      <color rgb="FFFFFFFF"/>
      <name val="微软雅黑"/>
      <family val="2"/>
      <charset val="134"/>
    </font>
    <font>
      <sz val="11"/>
      <color rgb="FFBF0000"/>
      <name val="微软雅黑"/>
      <family val="2"/>
      <charset val="134"/>
    </font>
    <font>
      <sz val="11"/>
      <color rgb="FF36363D"/>
      <name val="微软雅黑"/>
      <family val="2"/>
      <charset val="134"/>
    </font>
    <font>
      <sz val="11"/>
      <name val="微软雅黑"/>
      <family val="2"/>
      <charset val="134"/>
    </font>
    <font>
      <sz val="8"/>
      <name val="微软雅黑"/>
      <family val="2"/>
      <charset val="134"/>
    </font>
    <font>
      <sz val="11"/>
      <color rgb="FFFF0000"/>
      <name val="微软雅黑"/>
      <family val="2"/>
      <charset val="134"/>
    </font>
    <font>
      <sz val="10"/>
      <name val="微软雅黑"/>
      <family val="2"/>
      <charset val="134"/>
    </font>
    <font>
      <sz val="14"/>
      <color rgb="FFFF0000"/>
      <name val="微软雅黑"/>
      <family val="2"/>
      <charset val="134"/>
    </font>
    <font>
      <sz val="12"/>
      <name val="微软雅黑"/>
      <family val="2"/>
      <charset val="134"/>
    </font>
    <font>
      <sz val="10"/>
      <color rgb="FF000000"/>
      <name val="微软雅黑"/>
      <family val="2"/>
      <charset val="134"/>
    </font>
    <font>
      <sz val="9"/>
      <name val="微软雅黑"/>
      <family val="2"/>
      <charset val="134"/>
    </font>
    <font>
      <strike/>
      <sz val="11"/>
      <color rgb="FF000000"/>
      <name val="微软雅黑"/>
      <family val="2"/>
      <charset val="134"/>
    </font>
    <font>
      <sz val="8"/>
      <color rgb="FF000000"/>
      <name val="微软雅黑"/>
      <family val="2"/>
      <charset val="134"/>
    </font>
    <font>
      <sz val="7"/>
      <name val="微软雅黑"/>
      <family val="2"/>
      <charset val="134"/>
    </font>
    <font>
      <sz val="14"/>
      <color rgb="FF000000"/>
      <name val="微软雅黑"/>
      <family val="2"/>
      <charset val="134"/>
    </font>
    <font>
      <b/>
      <sz val="12"/>
      <color rgb="FF000000"/>
      <name val="微软雅黑"/>
      <family val="2"/>
      <charset val="134"/>
    </font>
    <font>
      <b/>
      <sz val="11"/>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sz val="11"/>
      <color rgb="FF000000"/>
      <name val="宋体"/>
      <family val="3"/>
      <charset val="134"/>
    </font>
    <font>
      <b/>
      <sz val="10"/>
      <color rgb="FFFFFFFF"/>
      <name val="微软雅黑"/>
      <family val="2"/>
      <charset val="134"/>
    </font>
    <font>
      <b/>
      <sz val="8"/>
      <color rgb="FFFFFFFF"/>
      <name val="微软雅黑"/>
      <family val="2"/>
      <charset val="134"/>
    </font>
    <font>
      <sz val="10"/>
      <color rgb="FF1F3964"/>
      <name val="微软雅黑"/>
      <family val="2"/>
      <charset val="134"/>
    </font>
    <font>
      <sz val="10"/>
      <color rgb="FF000000"/>
      <name val="等线"/>
      <family val="3"/>
      <charset val="134"/>
    </font>
    <font>
      <b/>
      <sz val="12"/>
      <color rgb="FF1F3964"/>
      <name val="微软雅黑"/>
      <family val="2"/>
      <charset val="134"/>
    </font>
    <font>
      <sz val="9"/>
      <color rgb="FF1F3964"/>
      <name val="微软雅黑"/>
      <family val="2"/>
      <charset val="134"/>
    </font>
    <font>
      <sz val="36"/>
      <name val="等线"/>
      <family val="3"/>
      <charset val="134"/>
    </font>
    <font>
      <sz val="11"/>
      <color rgb="FFFF0000"/>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等线"/>
      <family val="3"/>
      <charset val="134"/>
    </font>
    <font>
      <sz val="8"/>
      <color rgb="FF000000"/>
      <name val="等线"/>
      <family val="3"/>
      <charset val="134"/>
    </font>
    <font>
      <sz val="28"/>
      <color rgb="FF1F3964"/>
      <name val="微软雅黑"/>
      <family val="2"/>
      <charset val="134"/>
    </font>
    <font>
      <sz val="24"/>
      <color rgb="FF1F3964"/>
      <name val="微软雅黑"/>
      <family val="2"/>
      <charset val="134"/>
    </font>
    <font>
      <sz val="11"/>
      <color rgb="FF1F3964"/>
      <name val="微软雅黑"/>
      <family val="2"/>
      <charset val="134"/>
    </font>
    <font>
      <sz val="10"/>
      <name val="宋体"/>
      <family val="3"/>
      <charset val="134"/>
    </font>
    <font>
      <sz val="12"/>
      <color rgb="FF1F3964"/>
      <name val="微软雅黑"/>
      <family val="2"/>
      <charset val="134"/>
    </font>
    <font>
      <sz val="16"/>
      <color rgb="FF1F3964"/>
      <name val="微软雅黑"/>
      <family val="2"/>
      <charset val="134"/>
    </font>
    <font>
      <sz val="28"/>
      <name val="等线"/>
      <family val="3"/>
      <charset val="134"/>
    </font>
    <font>
      <sz val="18"/>
      <name val="等线"/>
      <family val="3"/>
      <charset val="134"/>
    </font>
    <font>
      <sz val="11"/>
      <color rgb="FFFFFFFF"/>
      <name val="等线"/>
      <family val="3"/>
      <charset val="134"/>
    </font>
    <font>
      <b/>
      <sz val="11"/>
      <name val="宋体"/>
      <family val="3"/>
      <charset val="134"/>
    </font>
    <font>
      <sz val="10"/>
      <color rgb="FFFFFFFF"/>
      <name val="微软雅黑"/>
      <family val="2"/>
      <charset val="134"/>
    </font>
    <font>
      <b/>
      <sz val="11"/>
      <name val="微软雅黑"/>
      <family val="2"/>
      <charset val="134"/>
    </font>
    <font>
      <b/>
      <sz val="10"/>
      <name val="微软雅黑"/>
      <family val="2"/>
      <charset val="134"/>
    </font>
    <font>
      <b/>
      <sz val="9"/>
      <name val="微软雅黑"/>
      <family val="2"/>
      <charset val="134"/>
    </font>
    <font>
      <sz val="16"/>
      <name val="等线"/>
      <family val="3"/>
      <charset val="134"/>
    </font>
    <font>
      <sz val="10"/>
      <color rgb="FF000000"/>
      <name val="宋体"/>
      <family val="3"/>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11"/>
      <color theme="0"/>
      <name val="宋体"/>
      <family val="3"/>
      <charset val="134"/>
      <scheme val="minor"/>
    </font>
    <font>
      <sz val="10"/>
      <color rgb="FFFF0000"/>
      <name val="等线"/>
      <family val="3"/>
      <charset val="134"/>
    </font>
    <font>
      <sz val="10"/>
      <color theme="1"/>
      <name val="宋体"/>
      <family val="3"/>
      <charset val="134"/>
    </font>
    <font>
      <b/>
      <sz val="9"/>
      <color theme="0"/>
      <name val="宋体"/>
      <family val="3"/>
      <charset val="134"/>
      <scheme val="minor"/>
    </font>
    <font>
      <b/>
      <sz val="11"/>
      <name val="宋体"/>
      <family val="3"/>
      <charset val="134"/>
      <scheme val="major"/>
    </font>
    <font>
      <b/>
      <sz val="9"/>
      <name val="宋体"/>
      <family val="3"/>
      <charset val="134"/>
    </font>
    <font>
      <sz val="26"/>
      <name val="等线"/>
      <family val="3"/>
      <charset val="134"/>
    </font>
    <font>
      <sz val="12"/>
      <name val="等线"/>
      <family val="3"/>
      <charset val="134"/>
    </font>
    <font>
      <sz val="22"/>
      <name val="等线"/>
      <family val="3"/>
      <charset val="134"/>
    </font>
    <font>
      <b/>
      <sz val="11"/>
      <color rgb="FFFFFFFF"/>
      <name val="微软雅黑"/>
      <family val="2"/>
      <charset val="134"/>
    </font>
    <font>
      <sz val="11"/>
      <color rgb="FFC00000"/>
      <name val="微软雅黑"/>
      <family val="2"/>
      <charset val="134"/>
    </font>
    <font>
      <sz val="11"/>
      <color rgb="FF7F5F00"/>
      <name val="微软雅黑"/>
      <family val="2"/>
      <charset val="134"/>
    </font>
    <font>
      <sz val="11"/>
      <color rgb="FF1F4E79"/>
      <name val="微软雅黑"/>
      <family val="2"/>
      <charset val="134"/>
    </font>
    <font>
      <sz val="10"/>
      <color rgb="FFDEEAF6"/>
      <name val="微软雅黑"/>
      <family val="2"/>
      <charset val="134"/>
    </font>
    <font>
      <sz val="11"/>
      <color rgb="FF385623"/>
      <name val="微软雅黑"/>
      <family val="2"/>
      <charset val="134"/>
    </font>
    <font>
      <b/>
      <strike/>
      <sz val="15"/>
      <name val="微软雅黑"/>
      <family val="2"/>
      <charset val="134"/>
    </font>
    <font>
      <b/>
      <sz val="16"/>
      <name val="微软雅黑"/>
      <family val="2"/>
      <charset val="134"/>
    </font>
    <font>
      <sz val="28"/>
      <color theme="1"/>
      <name val="微软雅黑"/>
      <family val="2"/>
      <charset val="134"/>
    </font>
    <font>
      <sz val="24"/>
      <name val="微软雅黑"/>
      <family val="2"/>
      <charset val="134"/>
    </font>
    <font>
      <sz val="18"/>
      <name val="微软雅黑"/>
      <family val="2"/>
      <charset val="134"/>
    </font>
    <font>
      <sz val="16"/>
      <name val="微软雅黑"/>
      <family val="2"/>
      <charset val="134"/>
    </font>
    <font>
      <b/>
      <sz val="12"/>
      <name val="微软雅黑"/>
      <family val="2"/>
      <charset val="134"/>
    </font>
    <font>
      <b/>
      <sz val="14"/>
      <name val="微软雅黑"/>
      <family val="2"/>
      <charset val="134"/>
    </font>
    <font>
      <sz val="22"/>
      <name val="微软雅黑"/>
      <family val="2"/>
      <charset val="134"/>
    </font>
    <font>
      <sz val="26"/>
      <name val="微软雅黑"/>
      <family val="2"/>
      <charset val="134"/>
    </font>
    <font>
      <sz val="11"/>
      <color theme="1"/>
      <name val="微软雅黑"/>
      <family val="2"/>
      <charset val="134"/>
    </font>
    <font>
      <b/>
      <sz val="20"/>
      <name val="微软雅黑"/>
      <family val="2"/>
      <charset val="134"/>
    </font>
    <font>
      <b/>
      <sz val="11"/>
      <color rgb="FFFF0000"/>
      <name val="等线"/>
      <family val="3"/>
      <charset val="134"/>
    </font>
    <font>
      <sz val="12"/>
      <color rgb="FF000000"/>
      <name val="等线"/>
      <family val="3"/>
      <charset val="134"/>
    </font>
    <font>
      <sz val="11"/>
      <color rgb="FF000000"/>
      <name val="等线"/>
      <family val="3"/>
      <charset val="134"/>
    </font>
    <font>
      <sz val="9"/>
      <color rgb="FF000000"/>
      <name val="微软雅黑"/>
      <family val="2"/>
      <charset val="134"/>
    </font>
    <font>
      <sz val="9"/>
      <color rgb="FF000000"/>
      <name val="等线"/>
      <family val="3"/>
      <charset val="134"/>
    </font>
    <font>
      <sz val="8"/>
      <name val="等线"/>
      <family val="3"/>
      <charset val="134"/>
    </font>
    <font>
      <sz val="7"/>
      <color rgb="FF000000"/>
      <name val="等线"/>
      <family val="3"/>
      <charset val="134"/>
    </font>
    <font>
      <sz val="12"/>
      <color rgb="FFFFFFFF"/>
      <name val="微软雅黑 Light"/>
      <family val="2"/>
      <charset val="134"/>
    </font>
    <font>
      <sz val="12"/>
      <color rgb="FF000000"/>
      <name val="微软雅黑 Light"/>
      <family val="2"/>
      <charset val="134"/>
    </font>
    <font>
      <sz val="11"/>
      <color rgb="FF000000"/>
      <name val="微软雅黑 Light"/>
      <family val="2"/>
      <charset val="134"/>
    </font>
    <font>
      <sz val="10"/>
      <color rgb="FF000000"/>
      <name val="微软雅黑 Light"/>
      <family val="2"/>
      <charset val="134"/>
    </font>
    <font>
      <sz val="12"/>
      <name val="微软雅黑 Light"/>
      <family val="2"/>
      <charset val="134"/>
    </font>
    <font>
      <sz val="9"/>
      <name val="微软雅黑 Light"/>
      <family val="2"/>
      <charset val="134"/>
    </font>
    <font>
      <b/>
      <sz val="12"/>
      <name val="微软雅黑 Light"/>
      <family val="2"/>
      <charset val="134"/>
    </font>
    <font>
      <b/>
      <sz val="18"/>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20"/>
      <color rgb="FF000000"/>
      <name val="等线"/>
      <family val="3"/>
      <charset val="134"/>
    </font>
    <font>
      <sz val="18"/>
      <color rgb="FF000000"/>
      <name val="等线"/>
      <family val="3"/>
      <charset val="134"/>
    </font>
    <font>
      <sz val="11"/>
      <color rgb="FFFF0000"/>
      <name val="宋体"/>
      <family val="3"/>
      <charset val="134"/>
    </font>
    <font>
      <sz val="10"/>
      <color rgb="FFFF0000"/>
      <name val="微软雅黑"/>
      <family val="2"/>
      <charset val="134"/>
    </font>
    <font>
      <sz val="18"/>
      <color rgb="FF000000"/>
      <name val="微软雅黑"/>
      <family val="2"/>
      <charset val="134"/>
    </font>
    <font>
      <sz val="15"/>
      <name val="微软雅黑"/>
      <family val="2"/>
      <charset val="134"/>
    </font>
    <font>
      <sz val="11"/>
      <color rgb="FF32D3F6"/>
      <name val="微软雅黑"/>
      <family val="2"/>
      <charset val="134"/>
    </font>
    <font>
      <sz val="11"/>
      <color rgb="FF32D3F6"/>
      <name val="宋体"/>
      <family val="3"/>
      <charset val="134"/>
    </font>
    <font>
      <sz val="9"/>
      <color rgb="FFFFFFFF"/>
      <name val="微软雅黑"/>
      <family val="2"/>
      <charset val="134"/>
    </font>
    <font>
      <sz val="10"/>
      <color rgb="FF7F7F7F"/>
      <name val="等线"/>
      <family val="3"/>
      <charset val="134"/>
    </font>
    <font>
      <sz val="11"/>
      <name val="微软雅黑 Light"/>
      <family val="2"/>
      <charset val="134"/>
    </font>
    <font>
      <b/>
      <sz val="11"/>
      <color rgb="FF000000"/>
      <name val="微软雅黑 Light"/>
      <family val="2"/>
      <charset val="134"/>
    </font>
    <font>
      <sz val="10"/>
      <color theme="1"/>
      <name val="微软雅黑"/>
      <family val="2"/>
      <charset val="134"/>
    </font>
    <font>
      <sz val="11"/>
      <color rgb="FFFFFFFF"/>
      <name val="宋体"/>
      <family val="3"/>
      <charset val="134"/>
    </font>
    <font>
      <sz val="10"/>
      <color rgb="FF222222"/>
      <name val="宋体"/>
      <family val="3"/>
      <charset val="134"/>
    </font>
    <font>
      <b/>
      <sz val="12"/>
      <color rgb="FF000000"/>
      <name val="微软雅黑 Light"/>
      <family val="2"/>
      <charset val="134"/>
    </font>
    <font>
      <sz val="10"/>
      <color rgb="FF333333"/>
      <name val="微软雅黑"/>
      <family val="2"/>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11"/>
      <color theme="0"/>
      <name val="宋体"/>
      <family val="3"/>
      <charset val="134"/>
    </font>
    <font>
      <sz val="20"/>
      <name val="宋体"/>
      <family val="3"/>
      <charset val="134"/>
    </font>
    <font>
      <sz val="14"/>
      <color rgb="FFFF0000"/>
      <name val="宋体"/>
      <family val="3"/>
      <charset val="134"/>
    </font>
    <font>
      <sz val="11"/>
      <color theme="0"/>
      <name val="微软雅黑"/>
      <family val="2"/>
      <charset val="134"/>
    </font>
    <font>
      <sz val="11"/>
      <color rgb="FFFFFFFF"/>
      <name val="微软雅黑 Light"/>
      <family val="2"/>
      <charset val="134"/>
    </font>
    <font>
      <sz val="11"/>
      <color rgb="FFC00000"/>
      <name val="微软雅黑 Light"/>
      <family val="2"/>
      <charset val="134"/>
    </font>
    <font>
      <sz val="14"/>
      <color rgb="FF000000"/>
      <name val="微软雅黑 Light"/>
      <family val="2"/>
      <charset val="134"/>
    </font>
    <font>
      <sz val="11"/>
      <color rgb="FFFF0000"/>
      <name val="微软雅黑 Light"/>
      <family val="2"/>
      <charset val="134"/>
    </font>
    <font>
      <sz val="10"/>
      <color rgb="FFBF0000"/>
      <name val="微软雅黑"/>
      <family val="2"/>
      <charset val="134"/>
    </font>
    <font>
      <b/>
      <sz val="10"/>
      <color rgb="FFFFECED"/>
      <name val="微软雅黑"/>
      <family val="2"/>
      <charset val="134"/>
    </font>
    <font>
      <b/>
      <sz val="10"/>
      <color rgb="FF7030A0"/>
      <name val="微软雅黑"/>
      <family val="2"/>
      <charset val="134"/>
    </font>
    <font>
      <sz val="32"/>
      <color rgb="FF000000"/>
      <name val="宋体"/>
      <family val="3"/>
      <charset val="134"/>
    </font>
    <font>
      <sz val="11"/>
      <color rgb="FFC00000"/>
      <name val="宋体"/>
      <family val="3"/>
      <charset val="134"/>
    </font>
    <font>
      <sz val="10"/>
      <color rgb="FFC00000"/>
      <name val="微软雅黑"/>
      <family val="2"/>
      <charset val="134"/>
    </font>
    <font>
      <sz val="10"/>
      <name val="微软雅黑 Light"/>
      <family val="2"/>
      <charset val="134"/>
    </font>
    <font>
      <sz val="10"/>
      <color rgb="FFD88080"/>
      <name val="微软雅黑"/>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D88080"/>
      <name val="微软雅黑"/>
      <family val="2"/>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D88080"/>
      <name val="微软雅黑"/>
      <family val="2"/>
      <charset val="134"/>
    </font>
    <font>
      <sz val="9"/>
      <color rgb="FF2F5597"/>
      <name val="微软雅黑"/>
      <family val="2"/>
      <charset val="134"/>
    </font>
    <font>
      <sz val="14"/>
      <color rgb="FFBFBFBF"/>
      <name val="等线"/>
      <family val="3"/>
      <charset val="134"/>
    </font>
    <font>
      <sz val="14"/>
      <color rgb="FF00B050"/>
      <name val="等线"/>
      <family val="3"/>
      <charset val="134"/>
    </font>
    <font>
      <sz val="16"/>
      <color rgb="FFE38B98"/>
      <name val="微软雅黑"/>
      <family val="2"/>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sz val="11"/>
      <color rgb="FF7030A0"/>
      <name val="微软雅黑"/>
      <family val="2"/>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b/>
      <sz val="10"/>
      <color rgb="FFC00000"/>
      <name val="微软雅黑"/>
      <family val="2"/>
      <charset val="134"/>
    </font>
    <font>
      <sz val="10"/>
      <color theme="0"/>
      <name val="微软雅黑"/>
      <family val="2"/>
      <charset val="134"/>
    </font>
    <font>
      <sz val="11"/>
      <name val="宋体"/>
      <family val="3"/>
      <charset val="134"/>
    </font>
    <font>
      <sz val="9"/>
      <name val="宋体"/>
      <family val="3"/>
      <charset val="134"/>
    </font>
    <font>
      <sz val="11"/>
      <color rgb="FF000000"/>
      <name val="微软雅黑"/>
      <family val="2"/>
      <charset val="134"/>
    </font>
  </fonts>
  <fills count="111">
    <fill>
      <patternFill patternType="none"/>
    </fill>
    <fill>
      <patternFill patternType="gray125"/>
    </fill>
    <fill>
      <patternFill patternType="solid">
        <fgColor rgb="FFFF9191"/>
        <bgColor indexed="64"/>
      </patternFill>
    </fill>
    <fill>
      <patternFill patternType="solid">
        <fgColor rgb="FF2F75B6"/>
        <bgColor indexed="64"/>
      </patternFill>
    </fill>
    <fill>
      <patternFill patternType="solid">
        <fgColor rgb="FFF2F2F2"/>
        <bgColor indexed="64"/>
      </patternFill>
    </fill>
    <fill>
      <patternFill patternType="solid">
        <fgColor rgb="FFFFB3B3"/>
        <bgColor rgb="FFFFCDCD"/>
      </patternFill>
    </fill>
    <fill>
      <patternFill patternType="solid">
        <fgColor rgb="FFBED7EE"/>
        <bgColor indexed="64"/>
      </patternFill>
    </fill>
    <fill>
      <patternFill patternType="solid">
        <fgColor theme="0"/>
        <bgColor indexed="64"/>
      </patternFill>
    </fill>
    <fill>
      <patternFill patternType="solid">
        <fgColor rgb="FF6DA9DB"/>
        <bgColor indexed="64"/>
      </patternFill>
    </fill>
    <fill>
      <patternFill patternType="solid">
        <fgColor rgb="FF5C9BD5"/>
        <bgColor indexed="64"/>
      </patternFill>
    </fill>
    <fill>
      <patternFill patternType="solid">
        <fgColor rgb="FFFFC2C2"/>
        <bgColor rgb="FFFFCDCD"/>
      </patternFill>
    </fill>
    <fill>
      <patternFill patternType="solid">
        <fgColor rgb="FFFFE5E5"/>
        <bgColor rgb="FFFFCDCD"/>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DE7391"/>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DEEAF6"/>
        <bgColor indexed="64"/>
      </patternFill>
    </fill>
    <fill>
      <patternFill patternType="solid">
        <fgColor rgb="FFFFD3D3"/>
        <bgColor indexed="64"/>
      </patternFill>
    </fill>
    <fill>
      <patternFill patternType="solid">
        <fgColor rgb="FFFFEDED"/>
        <bgColor indexed="64"/>
      </patternFill>
    </fill>
    <fill>
      <patternFill patternType="solid">
        <fgColor rgb="FFD4D6F7"/>
        <bgColor indexed="64"/>
      </patternFill>
    </fill>
    <fill>
      <patternFill patternType="solid">
        <fgColor rgb="FFD5F4F6"/>
        <bgColor indexed="64"/>
      </patternFill>
    </fill>
    <fill>
      <patternFill patternType="solid">
        <fgColor rgb="FFE38B98"/>
        <bgColor indexed="64"/>
      </patternFill>
    </fill>
    <fill>
      <patternFill patternType="solid">
        <fgColor rgb="FFDB91B2"/>
        <bgColor indexed="64"/>
      </patternFill>
    </fill>
    <fill>
      <patternFill patternType="solid">
        <fgColor rgb="FFC4D9FF"/>
        <bgColor indexed="64"/>
      </patternFill>
    </fill>
    <fill>
      <patternFill patternType="solid">
        <fgColor rgb="FFCFF8DF"/>
        <bgColor indexed="64"/>
      </patternFill>
    </fill>
    <fill>
      <patternFill patternType="solid">
        <fgColor theme="4" tint="-0.249977111117893"/>
        <bgColor indexed="64"/>
      </patternFill>
    </fill>
    <fill>
      <patternFill patternType="solid">
        <fgColor rgb="FFDDEBF7"/>
        <bgColor indexed="64"/>
      </patternFill>
    </fill>
    <fill>
      <patternFill patternType="solid">
        <fgColor rgb="FF80BEF8"/>
        <bgColor indexed="64"/>
      </patternFill>
    </fill>
    <fill>
      <patternFill patternType="solid">
        <fgColor rgb="FFBBD8FB"/>
        <bgColor indexed="64"/>
      </patternFill>
    </fill>
    <fill>
      <patternFill patternType="solid">
        <fgColor theme="4" tint="0.79989013336588644"/>
        <bgColor indexed="64"/>
      </patternFill>
    </fill>
    <fill>
      <patternFill patternType="solid">
        <fgColor rgb="FFC7D5F2"/>
        <bgColor indexed="64"/>
      </patternFill>
    </fill>
    <fill>
      <patternFill patternType="solid">
        <fgColor rgb="FFD1CDF4"/>
        <bgColor indexed="64"/>
      </patternFill>
    </fill>
    <fill>
      <patternFill patternType="solid">
        <fgColor rgb="FFD0FBF3"/>
        <bgColor indexed="64"/>
      </patternFill>
    </fill>
    <fill>
      <patternFill patternType="solid">
        <fgColor rgb="FFEEBEBE"/>
        <bgColor indexed="64"/>
      </patternFill>
    </fill>
    <fill>
      <patternFill patternType="solid">
        <fgColor rgb="FF3D6DBD"/>
        <bgColor indexed="64"/>
      </patternFill>
    </fill>
    <fill>
      <patternFill patternType="solid">
        <fgColor theme="4" tint="0.79992065187536243"/>
        <bgColor indexed="64"/>
      </patternFill>
    </fill>
    <fill>
      <patternFill patternType="solid">
        <fgColor rgb="FF9DC3E5"/>
        <bgColor indexed="64"/>
      </patternFill>
    </fill>
    <fill>
      <patternFill patternType="solid">
        <fgColor rgb="FFFF000C"/>
        <bgColor indexed="64"/>
      </patternFill>
    </fill>
    <fill>
      <patternFill patternType="solid">
        <fgColor rgb="FF0066FF"/>
        <bgColor indexed="64"/>
      </patternFill>
    </fill>
    <fill>
      <patternFill patternType="solid">
        <fgColor rgb="FFBDD7EE"/>
        <bgColor indexed="64"/>
      </patternFill>
    </fill>
    <fill>
      <patternFill patternType="solid">
        <fgColor rgb="FFC5E0B3"/>
        <bgColor indexed="64"/>
      </patternFill>
    </fill>
    <fill>
      <patternFill patternType="solid">
        <fgColor rgb="FFE2EFD9"/>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FFC8A9"/>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FFFF"/>
        <bgColor indexed="64"/>
      </patternFill>
    </fill>
    <fill>
      <patternFill patternType="solid">
        <fgColor theme="7" tint="0.79995117038483843"/>
        <bgColor rgb="FFFFCDCD"/>
      </patternFill>
    </fill>
    <fill>
      <patternFill patternType="solid">
        <fgColor rgb="FFF9FFCB"/>
        <bgColor rgb="FFFFCDCD"/>
      </patternFill>
    </fill>
    <fill>
      <patternFill patternType="solid">
        <fgColor rgb="FFFEFCE6"/>
        <bgColor indexed="64"/>
      </patternFill>
    </fill>
    <fill>
      <patternFill patternType="solid">
        <fgColor rgb="FF78B64A"/>
        <bgColor indexed="64"/>
      </patternFill>
    </fill>
    <fill>
      <patternFill patternType="solid">
        <fgColor rgb="FFDEEAF6"/>
        <bgColor rgb="FFDEEAF6"/>
      </patternFill>
    </fill>
    <fill>
      <patternFill patternType="solid">
        <fgColor rgb="FFFCE9F6"/>
        <bgColor indexed="64"/>
      </patternFill>
    </fill>
    <fill>
      <patternFill patternType="solid">
        <fgColor theme="5" tint="0.79992065187536243"/>
        <bgColor indexed="64"/>
      </patternFill>
    </fill>
    <fill>
      <patternFill patternType="solid">
        <fgColor rgb="FFFC6A6A"/>
        <bgColor indexed="64"/>
      </patternFill>
    </fill>
    <fill>
      <patternFill patternType="solid">
        <fgColor rgb="FFFFB9B9"/>
        <bgColor indexed="64"/>
      </patternFill>
    </fill>
    <fill>
      <patternFill patternType="solid">
        <fgColor rgb="FF9BC2E6"/>
        <bgColor indexed="64"/>
      </patternFill>
    </fill>
    <fill>
      <patternFill patternType="solid">
        <fgColor rgb="FF757CBB"/>
        <bgColor indexed="64"/>
      </patternFill>
    </fill>
    <fill>
      <patternFill patternType="solid">
        <fgColor rgb="FF63973D"/>
        <bgColor indexed="64"/>
      </patternFill>
    </fill>
    <fill>
      <patternFill patternType="solid">
        <fgColor rgb="FFCBCEE2"/>
        <bgColor indexed="64"/>
      </patternFill>
    </fill>
    <fill>
      <patternFill patternType="solid">
        <fgColor rgb="FF2489B6"/>
        <bgColor indexed="64"/>
      </patternFill>
    </fill>
    <fill>
      <patternFill patternType="solid">
        <fgColor rgb="FF499EA1"/>
        <bgColor indexed="64"/>
      </patternFill>
    </fill>
    <fill>
      <patternFill patternType="solid">
        <fgColor rgb="FFABCFE0"/>
        <bgColor indexed="64"/>
      </patternFill>
    </fill>
    <fill>
      <patternFill patternType="solid">
        <fgColor rgb="FFBCEDEF"/>
        <bgColor indexed="64"/>
      </patternFill>
    </fill>
    <fill>
      <patternFill patternType="solid">
        <fgColor theme="6" tint="-0.249977111117893"/>
        <bgColor indexed="64"/>
      </patternFill>
    </fill>
    <fill>
      <patternFill patternType="solid">
        <fgColor rgb="FF23AF6B"/>
        <bgColor indexed="64"/>
      </patternFill>
    </fill>
    <fill>
      <patternFill patternType="solid">
        <fgColor theme="6" tint="0.39994506668294322"/>
        <bgColor indexed="64"/>
      </patternFill>
    </fill>
    <fill>
      <patternFill patternType="solid">
        <fgColor rgb="FFAEF1D2"/>
        <bgColor indexed="64"/>
      </patternFill>
    </fill>
    <fill>
      <patternFill patternType="solid">
        <fgColor rgb="FFE19191"/>
        <bgColor indexed="64"/>
      </patternFill>
    </fill>
  </fills>
  <borders count="2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medium">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medium">
        <color auto="1"/>
      </top>
      <bottom style="thin">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9B9191"/>
      </left>
      <right style="thin">
        <color rgb="FFBFBFBF"/>
      </right>
      <top style="thin">
        <color rgb="FF9B9191"/>
      </top>
      <bottom style="thin">
        <color rgb="FFBFBFBF"/>
      </bottom>
      <diagonal/>
    </border>
    <border>
      <left style="thin">
        <color rgb="FFBFBFBF"/>
      </left>
      <right style="thin">
        <color rgb="FFBFBFBF"/>
      </right>
      <top style="thin">
        <color rgb="FF9B9191"/>
      </top>
      <bottom style="thin">
        <color rgb="FFBFBFBF"/>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style="medium">
        <color theme="1"/>
      </left>
      <right/>
      <top style="thin">
        <color rgb="FFBFBFBF"/>
      </top>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s>
  <cellStyleXfs count="7">
    <xf numFmtId="0" fontId="0" fillId="0" borderId="0">
      <alignment vertical="center"/>
    </xf>
    <xf numFmtId="0" fontId="188" fillId="0" borderId="0">
      <protection locked="0"/>
    </xf>
    <xf numFmtId="0" fontId="130" fillId="9" borderId="0">
      <protection locked="0"/>
    </xf>
    <xf numFmtId="0" fontId="29" fillId="34" borderId="0">
      <protection locked="0"/>
    </xf>
    <xf numFmtId="0" fontId="29" fillId="6" borderId="0">
      <protection locked="0"/>
    </xf>
    <xf numFmtId="0" fontId="130" fillId="54" borderId="0">
      <protection locked="0"/>
    </xf>
    <xf numFmtId="0" fontId="28" fillId="0" borderId="0">
      <protection locked="0"/>
    </xf>
  </cellStyleXfs>
  <cellXfs count="3646">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4" borderId="0" xfId="0" applyFont="1" applyFill="1">
      <alignment vertical="center"/>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3"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7" fillId="5" borderId="1" xfId="0" applyFont="1" applyFill="1" applyBorder="1" applyAlignment="1">
      <alignment vertical="center" wrapText="1"/>
    </xf>
    <xf numFmtId="0" fontId="13" fillId="5" borderId="1" xfId="0" applyFont="1" applyFill="1" applyBorder="1" applyAlignment="1">
      <alignment vertical="center" wrapText="1"/>
    </xf>
    <xf numFmtId="0" fontId="19" fillId="5" borderId="1" xfId="0" applyFont="1" applyFill="1" applyBorder="1" applyAlignment="1">
      <alignment vertical="center" wrapText="1"/>
    </xf>
    <xf numFmtId="0" fontId="20" fillId="5" borderId="1" xfId="0" applyFont="1" applyFill="1" applyBorder="1" applyAlignment="1">
      <alignment vertical="center" wrapText="1"/>
    </xf>
    <xf numFmtId="0" fontId="10" fillId="5" borderId="1" xfId="0" applyFont="1" applyFill="1" applyBorder="1" applyAlignment="1">
      <alignment vertical="center" wrapText="1"/>
    </xf>
    <xf numFmtId="0" fontId="17" fillId="5" borderId="1" xfId="0" applyFont="1" applyFill="1" applyBorder="1" applyAlignment="1">
      <alignment horizontal="left" vertical="center" wrapText="1"/>
    </xf>
    <xf numFmtId="0" fontId="1" fillId="7" borderId="0" xfId="0" applyFont="1" applyFill="1">
      <alignment vertical="center"/>
    </xf>
    <xf numFmtId="0" fontId="1" fillId="0" borderId="0" xfId="0" applyFont="1" applyAlignment="1">
      <alignment horizontal="center" vertical="center"/>
    </xf>
    <xf numFmtId="0" fontId="10" fillId="10" borderId="20" xfId="0" applyFont="1" applyFill="1" applyBorder="1" applyAlignment="1">
      <alignment horizontal="center" vertical="center"/>
    </xf>
    <xf numFmtId="0" fontId="10" fillId="10" borderId="21" xfId="0" applyFont="1" applyFill="1" applyBorder="1" applyAlignment="1">
      <alignment horizontal="center" vertical="center"/>
    </xf>
    <xf numFmtId="0" fontId="21" fillId="0" borderId="20" xfId="0" applyFont="1" applyBorder="1" applyAlignment="1">
      <alignment horizontal="center" vertical="center"/>
    </xf>
    <xf numFmtId="0" fontId="22" fillId="0" borderId="21" xfId="0" applyFont="1" applyBorder="1" applyAlignment="1">
      <alignment horizontal="left" vertical="center" wrapText="1"/>
    </xf>
    <xf numFmtId="0" fontId="21" fillId="11" borderId="20" xfId="0" applyFont="1" applyFill="1" applyBorder="1" applyAlignment="1">
      <alignment horizontal="center" vertical="center"/>
    </xf>
    <xf numFmtId="0" fontId="22" fillId="11" borderId="21" xfId="0" applyFont="1" applyFill="1" applyBorder="1" applyAlignment="1">
      <alignment horizontal="left" vertical="center" wrapText="1"/>
    </xf>
    <xf numFmtId="0" fontId="21" fillId="11" borderId="22" xfId="0" applyFont="1" applyFill="1" applyBorder="1" applyAlignment="1">
      <alignment horizontal="center" vertical="center"/>
    </xf>
    <xf numFmtId="0" fontId="22" fillId="11" borderId="23" xfId="0" applyFont="1" applyFill="1" applyBorder="1" applyAlignment="1">
      <alignment horizontal="left" vertical="center" wrapText="1"/>
    </xf>
    <xf numFmtId="0" fontId="23" fillId="11" borderId="23" xfId="0" applyFont="1" applyFill="1" applyBorder="1" applyAlignment="1">
      <alignment horizontal="left" vertical="center" wrapText="1"/>
    </xf>
    <xf numFmtId="0" fontId="1" fillId="10" borderId="20" xfId="0" applyFont="1" applyFill="1" applyBorder="1" applyAlignment="1" applyProtection="1">
      <alignment horizontal="center" vertical="center"/>
      <protection hidden="1"/>
    </xf>
    <xf numFmtId="0" fontId="1" fillId="10" borderId="21"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27" fillId="0" borderId="0" xfId="6" applyFont="1" applyAlignment="1">
      <alignment vertical="center"/>
      <protection locked="0"/>
    </xf>
    <xf numFmtId="0" fontId="28" fillId="0" borderId="0" xfId="6" applyAlignment="1">
      <alignment vertical="center"/>
      <protection locked="0"/>
    </xf>
    <xf numFmtId="0" fontId="29" fillId="0" borderId="0" xfId="0" applyFont="1" applyProtection="1">
      <alignment vertical="center"/>
      <protection locked="0"/>
    </xf>
    <xf numFmtId="49" fontId="30" fillId="2" borderId="16" xfId="0" applyNumberFormat="1" applyFont="1" applyFill="1" applyBorder="1" applyAlignment="1">
      <alignment horizontal="center" vertical="center"/>
    </xf>
    <xf numFmtId="49" fontId="30" fillId="2" borderId="24" xfId="0" applyNumberFormat="1" applyFont="1" applyFill="1" applyBorder="1" applyAlignment="1">
      <alignment horizontal="center" vertical="center"/>
    </xf>
    <xf numFmtId="49" fontId="31" fillId="2" borderId="24" xfId="0" applyNumberFormat="1" applyFont="1" applyFill="1" applyBorder="1" applyAlignment="1">
      <alignment horizontal="center" vertical="center" wrapText="1"/>
    </xf>
    <xf numFmtId="0" fontId="32" fillId="0" borderId="20" xfId="0" applyFont="1" applyBorder="1" applyAlignment="1">
      <alignment horizontal="left" vertical="center"/>
    </xf>
    <xf numFmtId="0" fontId="32" fillId="0" borderId="0" xfId="0" applyFont="1" applyAlignment="1">
      <alignment horizontal="center" vertical="center"/>
    </xf>
    <xf numFmtId="0" fontId="32" fillId="0" borderId="37" xfId="0" applyFont="1" applyBorder="1" applyAlignment="1">
      <alignment horizontal="left" vertical="center"/>
    </xf>
    <xf numFmtId="0" fontId="32" fillId="0" borderId="38" xfId="0" applyFont="1" applyBorder="1" applyAlignment="1">
      <alignment horizontal="center" vertical="center"/>
    </xf>
    <xf numFmtId="0" fontId="32" fillId="0" borderId="39" xfId="0" applyFont="1" applyBorder="1" applyAlignment="1">
      <alignment horizontal="left" vertical="center"/>
    </xf>
    <xf numFmtId="0" fontId="32" fillId="0" borderId="8" xfId="0" applyFont="1" applyBorder="1" applyAlignment="1">
      <alignment horizontal="center" vertical="center"/>
    </xf>
    <xf numFmtId="0" fontId="32" fillId="13" borderId="37" xfId="0" applyFont="1" applyFill="1" applyBorder="1" applyAlignment="1">
      <alignment horizontal="left" vertical="center"/>
    </xf>
    <xf numFmtId="0" fontId="32" fillId="13" borderId="38" xfId="0" applyFont="1" applyFill="1" applyBorder="1" applyAlignment="1">
      <alignment horizontal="center" vertical="center"/>
    </xf>
    <xf numFmtId="0" fontId="33" fillId="14" borderId="20" xfId="0" applyFont="1" applyFill="1" applyBorder="1" applyAlignment="1">
      <alignment horizontal="left" vertical="center"/>
    </xf>
    <xf numFmtId="0" fontId="33" fillId="15" borderId="0" xfId="0" applyFont="1" applyFill="1" applyAlignment="1">
      <alignment horizontal="center" vertical="center"/>
    </xf>
    <xf numFmtId="0" fontId="33" fillId="0" borderId="0" xfId="0" applyFont="1" applyAlignment="1">
      <alignment horizontal="center" vertical="center"/>
    </xf>
    <xf numFmtId="0" fontId="27" fillId="0" borderId="20" xfId="6" applyFont="1" applyBorder="1" applyAlignment="1" applyProtection="1">
      <alignment horizontal="left" vertical="center"/>
    </xf>
    <xf numFmtId="0" fontId="27" fillId="0" borderId="0" xfId="6" applyFont="1" applyAlignment="1" applyProtection="1">
      <alignment horizontal="center" vertical="center"/>
    </xf>
    <xf numFmtId="0" fontId="33" fillId="15" borderId="20" xfId="0" applyFont="1" applyFill="1" applyBorder="1" applyAlignment="1">
      <alignment horizontal="left" vertical="center"/>
    </xf>
    <xf numFmtId="0" fontId="33" fillId="0" borderId="20" xfId="0" applyFont="1" applyBorder="1" applyAlignment="1">
      <alignment horizontal="left" vertical="center"/>
    </xf>
    <xf numFmtId="0" fontId="33" fillId="16" borderId="20" xfId="0" applyFont="1" applyFill="1" applyBorder="1" applyAlignment="1">
      <alignment horizontal="left" vertical="center"/>
    </xf>
    <xf numFmtId="0" fontId="33" fillId="16" borderId="0" xfId="0" applyFont="1" applyFill="1" applyAlignment="1">
      <alignment horizontal="center" vertical="center"/>
    </xf>
    <xf numFmtId="0" fontId="33" fillId="17" borderId="20" xfId="0" applyFont="1" applyFill="1" applyBorder="1" applyAlignment="1">
      <alignment horizontal="left" vertical="center"/>
    </xf>
    <xf numFmtId="0" fontId="33" fillId="17" borderId="0" xfId="0" applyFont="1" applyFill="1" applyAlignment="1">
      <alignment horizontal="center" vertical="center"/>
    </xf>
    <xf numFmtId="0" fontId="33" fillId="18" borderId="20" xfId="0" applyFont="1" applyFill="1" applyBorder="1" applyAlignment="1">
      <alignment horizontal="left" vertical="center"/>
    </xf>
    <xf numFmtId="0" fontId="33" fillId="18" borderId="0" xfId="0" applyFont="1" applyFill="1" applyAlignment="1">
      <alignment horizontal="center" vertical="center"/>
    </xf>
    <xf numFmtId="0" fontId="27" fillId="17" borderId="0" xfId="6" applyFont="1" applyFill="1" applyAlignment="1" applyProtection="1">
      <alignment horizontal="center" vertical="center"/>
    </xf>
    <xf numFmtId="0" fontId="33" fillId="19" borderId="20" xfId="0" applyFont="1" applyFill="1" applyBorder="1" applyAlignment="1">
      <alignment horizontal="left" vertical="center"/>
    </xf>
    <xf numFmtId="0" fontId="33" fillId="19" borderId="0" xfId="0" applyFont="1" applyFill="1" applyAlignment="1">
      <alignment horizontal="center" vertical="center"/>
    </xf>
    <xf numFmtId="0" fontId="27" fillId="19" borderId="0" xfId="6" applyFont="1" applyFill="1" applyAlignment="1" applyProtection="1">
      <alignment horizontal="center" vertical="center"/>
    </xf>
    <xf numFmtId="0" fontId="33" fillId="20" borderId="20" xfId="0" applyFont="1" applyFill="1" applyBorder="1" applyAlignment="1">
      <alignment horizontal="left" vertical="center"/>
    </xf>
    <xf numFmtId="0" fontId="27" fillId="20" borderId="0" xfId="6" applyFont="1" applyFill="1" applyAlignment="1" applyProtection="1">
      <alignment horizontal="center" vertical="center"/>
    </xf>
    <xf numFmtId="0" fontId="33" fillId="20" borderId="0" xfId="0" applyFont="1" applyFill="1" applyAlignment="1">
      <alignment horizontal="center" vertical="center"/>
    </xf>
    <xf numFmtId="0" fontId="27" fillId="0" borderId="20" xfId="6" applyFont="1" applyBorder="1" applyAlignment="1">
      <alignment vertical="center"/>
      <protection locked="0"/>
    </xf>
    <xf numFmtId="0" fontId="27" fillId="0" borderId="0" xfId="6" applyFont="1" applyAlignment="1">
      <alignment horizontal="center" vertical="center"/>
      <protection locked="0"/>
    </xf>
    <xf numFmtId="0" fontId="27" fillId="11" borderId="20" xfId="0" applyFont="1" applyFill="1" applyBorder="1" applyAlignment="1">
      <alignment horizontal="left" vertical="center"/>
    </xf>
    <xf numFmtId="0" fontId="27" fillId="11" borderId="0" xfId="6" applyFont="1" applyFill="1" applyAlignment="1" applyProtection="1">
      <alignment horizontal="center" vertical="center"/>
    </xf>
    <xf numFmtId="0" fontId="27" fillId="11" borderId="0" xfId="0" applyFont="1" applyFill="1" applyAlignment="1">
      <alignment horizontal="center" vertical="center"/>
    </xf>
    <xf numFmtId="0" fontId="33" fillId="11" borderId="20" xfId="0" applyFont="1" applyFill="1" applyBorder="1" applyAlignment="1">
      <alignment horizontal="left" vertical="center"/>
    </xf>
    <xf numFmtId="0" fontId="33" fillId="11" borderId="0" xfId="0" applyFont="1" applyFill="1" applyAlignment="1">
      <alignment horizontal="center" vertical="center"/>
    </xf>
    <xf numFmtId="49" fontId="30" fillId="2" borderId="17" xfId="0" applyNumberFormat="1" applyFont="1" applyFill="1" applyBorder="1" applyAlignment="1">
      <alignment horizontal="center" vertical="center"/>
    </xf>
    <xf numFmtId="0" fontId="28" fillId="0" borderId="0" xfId="6" applyAlignment="1" applyProtection="1">
      <alignment vertical="center"/>
    </xf>
    <xf numFmtId="0" fontId="32" fillId="0" borderId="21" xfId="0" applyFont="1" applyBorder="1" applyAlignment="1">
      <alignment horizontal="center" vertical="center"/>
    </xf>
    <xf numFmtId="0" fontId="32" fillId="0" borderId="40" xfId="0" applyFont="1" applyBorder="1" applyAlignment="1">
      <alignment horizontal="center" vertical="center"/>
    </xf>
    <xf numFmtId="0" fontId="32" fillId="0" borderId="41" xfId="0" applyFont="1" applyBorder="1" applyAlignment="1">
      <alignment horizontal="center" vertical="center"/>
    </xf>
    <xf numFmtId="0" fontId="32" fillId="13" borderId="40" xfId="0" applyFont="1" applyFill="1" applyBorder="1" applyAlignment="1">
      <alignment horizontal="center" vertical="center"/>
    </xf>
    <xf numFmtId="0" fontId="33" fillId="15" borderId="21" xfId="0" applyFont="1" applyFill="1" applyBorder="1" applyAlignment="1">
      <alignment horizontal="center" vertical="center"/>
    </xf>
    <xf numFmtId="0" fontId="27" fillId="0" borderId="21" xfId="6" applyFont="1" applyBorder="1" applyAlignment="1" applyProtection="1">
      <alignment horizontal="center" vertical="center"/>
    </xf>
    <xf numFmtId="0" fontId="33" fillId="0" borderId="21" xfId="0" applyFont="1" applyBorder="1" applyAlignment="1">
      <alignment horizontal="center" vertical="center"/>
    </xf>
    <xf numFmtId="0" fontId="33" fillId="16" borderId="21" xfId="0" applyFont="1" applyFill="1" applyBorder="1" applyAlignment="1">
      <alignment horizontal="center" vertical="center"/>
    </xf>
    <xf numFmtId="0" fontId="33" fillId="17" borderId="21" xfId="0" applyFont="1" applyFill="1" applyBorder="1" applyAlignment="1">
      <alignment horizontal="center" vertical="center"/>
    </xf>
    <xf numFmtId="0" fontId="28" fillId="0" borderId="0" xfId="6" applyAlignment="1" applyProtection="1">
      <alignment vertical="center" wrapText="1"/>
    </xf>
    <xf numFmtId="0" fontId="33" fillId="18" borderId="21" xfId="0" applyFont="1" applyFill="1" applyBorder="1" applyAlignment="1">
      <alignment horizontal="center" vertical="center"/>
    </xf>
    <xf numFmtId="0" fontId="33" fillId="19" borderId="21" xfId="0" applyFont="1" applyFill="1" applyBorder="1" applyAlignment="1">
      <alignment horizontal="center" vertical="center"/>
    </xf>
    <xf numFmtId="0" fontId="33" fillId="20" borderId="21" xfId="0" applyFont="1" applyFill="1" applyBorder="1" applyAlignment="1">
      <alignment horizontal="center" vertical="center"/>
    </xf>
    <xf numFmtId="0" fontId="39" fillId="0" borderId="0" xfId="6" applyFont="1" applyAlignment="1" applyProtection="1">
      <alignment vertical="center" wrapText="1"/>
    </xf>
    <xf numFmtId="0" fontId="28" fillId="0" borderId="21" xfId="6" applyBorder="1" applyAlignment="1">
      <alignment horizontal="center" vertical="center"/>
      <protection locked="0"/>
    </xf>
    <xf numFmtId="0" fontId="27" fillId="11" borderId="21" xfId="0" applyFont="1" applyFill="1" applyBorder="1" applyAlignment="1">
      <alignment horizontal="center" vertical="center"/>
    </xf>
    <xf numFmtId="49" fontId="41" fillId="2" borderId="16" xfId="0" applyNumberFormat="1" applyFont="1" applyFill="1" applyBorder="1" applyAlignment="1">
      <alignment horizontal="center" vertical="center"/>
    </xf>
    <xf numFmtId="49" fontId="41" fillId="2" borderId="24" xfId="0" applyNumberFormat="1" applyFont="1" applyFill="1" applyBorder="1" applyAlignment="1">
      <alignment horizontal="center" vertical="center"/>
    </xf>
    <xf numFmtId="49" fontId="41" fillId="2" borderId="24" xfId="0" applyNumberFormat="1" applyFont="1" applyFill="1" applyBorder="1" applyAlignment="1">
      <alignment horizontal="center" vertical="center" wrapText="1"/>
    </xf>
    <xf numFmtId="0" fontId="32" fillId="0" borderId="0" xfId="6" applyFont="1" applyAlignment="1" applyProtection="1">
      <alignment horizontal="center" vertical="center"/>
    </xf>
    <xf numFmtId="0" fontId="32" fillId="0" borderId="8" xfId="6" applyFont="1" applyBorder="1" applyAlignment="1" applyProtection="1">
      <alignment horizontal="center" vertical="center"/>
    </xf>
    <xf numFmtId="0" fontId="32" fillId="0" borderId="11" xfId="0" applyFont="1" applyBorder="1" applyAlignment="1">
      <alignment horizontal="center" vertical="center"/>
    </xf>
    <xf numFmtId="0" fontId="32" fillId="13" borderId="20" xfId="0" applyFont="1" applyFill="1" applyBorder="1" applyAlignment="1">
      <alignment horizontal="left" vertical="center"/>
    </xf>
    <xf numFmtId="0" fontId="32" fillId="13" borderId="0" xfId="0" applyFont="1" applyFill="1" applyAlignment="1">
      <alignment horizontal="center" vertical="center"/>
    </xf>
    <xf numFmtId="0" fontId="32" fillId="13" borderId="0" xfId="6" applyFont="1" applyFill="1" applyAlignment="1" applyProtection="1">
      <alignment horizontal="center" vertical="center"/>
    </xf>
    <xf numFmtId="0" fontId="32" fillId="15" borderId="20" xfId="0" applyFont="1" applyFill="1" applyBorder="1" applyAlignment="1">
      <alignment horizontal="left" vertical="center"/>
    </xf>
    <xf numFmtId="0" fontId="32" fillId="15" borderId="0" xfId="0" applyFont="1" applyFill="1" applyAlignment="1">
      <alignment horizontal="center" vertical="center"/>
    </xf>
    <xf numFmtId="0" fontId="32" fillId="21" borderId="20" xfId="0" applyFont="1" applyFill="1" applyBorder="1" applyAlignment="1">
      <alignment horizontal="left" vertical="center"/>
    </xf>
    <xf numFmtId="0" fontId="32" fillId="21" borderId="0" xfId="0" applyFont="1" applyFill="1" applyAlignment="1">
      <alignment horizontal="center" vertical="center"/>
    </xf>
    <xf numFmtId="0" fontId="32" fillId="21" borderId="0" xfId="6" applyFont="1" applyFill="1" applyAlignment="1" applyProtection="1">
      <alignment horizontal="center" vertical="center"/>
    </xf>
    <xf numFmtId="0" fontId="32" fillId="22" borderId="20" xfId="0" applyFont="1" applyFill="1" applyBorder="1" applyAlignment="1">
      <alignment horizontal="left" vertical="center"/>
    </xf>
    <xf numFmtId="0" fontId="33" fillId="23" borderId="20" xfId="0" applyFont="1" applyFill="1" applyBorder="1" applyAlignment="1">
      <alignment horizontal="left" vertical="center"/>
    </xf>
    <xf numFmtId="0" fontId="33" fillId="23" borderId="0" xfId="0" applyFont="1" applyFill="1" applyAlignment="1">
      <alignment horizontal="center" vertical="center"/>
    </xf>
    <xf numFmtId="0" fontId="27" fillId="23" borderId="0" xfId="6" applyFont="1" applyFill="1" applyAlignment="1" applyProtection="1">
      <alignment horizontal="center" vertical="center"/>
    </xf>
    <xf numFmtId="0" fontId="33" fillId="24" borderId="20" xfId="0" applyFont="1" applyFill="1" applyBorder="1" applyAlignment="1">
      <alignment horizontal="left" vertical="center"/>
    </xf>
    <xf numFmtId="0" fontId="33" fillId="24" borderId="0" xfId="0" applyFont="1" applyFill="1" applyAlignment="1">
      <alignment horizontal="center" vertical="center"/>
    </xf>
    <xf numFmtId="0" fontId="27" fillId="24" borderId="0" xfId="6" applyFont="1" applyFill="1" applyAlignment="1" applyProtection="1">
      <alignment horizontal="center" vertical="center"/>
    </xf>
    <xf numFmtId="0" fontId="27" fillId="25" borderId="20" xfId="6" applyFont="1" applyFill="1" applyBorder="1" applyAlignment="1" applyProtection="1">
      <alignment vertical="center"/>
    </xf>
    <xf numFmtId="0" fontId="42" fillId="25" borderId="0" xfId="6" applyFont="1" applyFill="1" applyAlignment="1" applyProtection="1">
      <alignment horizontal="center" vertical="center"/>
    </xf>
    <xf numFmtId="0" fontId="27" fillId="25" borderId="0" xfId="6" applyFont="1" applyFill="1" applyAlignment="1" applyProtection="1">
      <alignment horizontal="center" vertical="center"/>
    </xf>
    <xf numFmtId="0" fontId="33" fillId="25" borderId="0" xfId="0" applyFont="1" applyFill="1" applyAlignment="1">
      <alignment horizontal="center" vertical="center"/>
    </xf>
    <xf numFmtId="0" fontId="27" fillId="15" borderId="0" xfId="6" applyFont="1" applyFill="1" applyAlignment="1" applyProtection="1">
      <alignment horizontal="center" vertical="center"/>
    </xf>
    <xf numFmtId="0" fontId="33" fillId="26" borderId="20" xfId="0" applyFont="1" applyFill="1" applyBorder="1" applyAlignment="1">
      <alignment horizontal="left" vertical="center"/>
    </xf>
    <xf numFmtId="0" fontId="33" fillId="26" borderId="0" xfId="0" applyFont="1" applyFill="1" applyAlignment="1">
      <alignment horizontal="center" vertical="center"/>
    </xf>
    <xf numFmtId="0" fontId="27" fillId="26" borderId="0" xfId="6" applyFont="1" applyFill="1" applyAlignment="1" applyProtection="1">
      <alignment horizontal="center" vertical="center"/>
    </xf>
    <xf numFmtId="0" fontId="43" fillId="0" borderId="0" xfId="0" applyFont="1" applyAlignment="1">
      <alignment horizontal="center" vertical="center"/>
    </xf>
    <xf numFmtId="0" fontId="33" fillId="27" borderId="20" xfId="0" applyFont="1" applyFill="1" applyBorder="1" applyAlignment="1">
      <alignment horizontal="left" vertical="center"/>
    </xf>
    <xf numFmtId="0" fontId="33" fillId="27" borderId="0" xfId="0" applyFont="1" applyFill="1" applyAlignment="1">
      <alignment horizontal="center" vertical="center"/>
    </xf>
    <xf numFmtId="0" fontId="27" fillId="27" borderId="0" xfId="6" applyFont="1" applyFill="1" applyAlignment="1" applyProtection="1">
      <alignment horizontal="center" vertical="center"/>
    </xf>
    <xf numFmtId="49" fontId="33" fillId="0" borderId="0" xfId="0" applyNumberFormat="1" applyFont="1" applyAlignment="1">
      <alignment horizontal="center" vertical="center"/>
    </xf>
    <xf numFmtId="49" fontId="33" fillId="27" borderId="0" xfId="0" applyNumberFormat="1" applyFont="1" applyFill="1" applyAlignment="1">
      <alignment horizontal="center" vertical="center"/>
    </xf>
    <xf numFmtId="49" fontId="41" fillId="2" borderId="17" xfId="0" applyNumberFormat="1" applyFont="1" applyFill="1" applyBorder="1" applyAlignment="1">
      <alignment horizontal="center" vertical="center"/>
    </xf>
    <xf numFmtId="0" fontId="0" fillId="0" borderId="0" xfId="6" applyFont="1" applyAlignment="1">
      <alignment vertical="center"/>
      <protection locked="0"/>
    </xf>
    <xf numFmtId="0" fontId="46" fillId="0" borderId="0" xfId="6" applyFont="1" applyAlignment="1" applyProtection="1">
      <alignment vertical="center" wrapText="1"/>
    </xf>
    <xf numFmtId="0" fontId="46" fillId="0" borderId="0" xfId="6" applyFont="1" applyAlignment="1" applyProtection="1">
      <alignment vertical="center"/>
    </xf>
    <xf numFmtId="0" fontId="47" fillId="0" borderId="0" xfId="6" applyFont="1" applyAlignment="1">
      <alignment vertical="center"/>
      <protection locked="0"/>
    </xf>
    <xf numFmtId="0" fontId="32" fillId="0" borderId="42" xfId="0" applyFont="1" applyBorder="1" applyAlignment="1">
      <alignment horizontal="center" vertical="center"/>
    </xf>
    <xf numFmtId="0" fontId="32" fillId="13" borderId="21" xfId="0" applyFont="1" applyFill="1" applyBorder="1" applyAlignment="1">
      <alignment horizontal="center" vertical="center"/>
    </xf>
    <xf numFmtId="0" fontId="32" fillId="15" borderId="21" xfId="0" applyFont="1" applyFill="1" applyBorder="1" applyAlignment="1">
      <alignment horizontal="center" vertical="center"/>
    </xf>
    <xf numFmtId="0" fontId="32" fillId="21" borderId="21" xfId="0" applyFont="1" applyFill="1" applyBorder="1" applyAlignment="1">
      <alignment horizontal="center" vertical="center"/>
    </xf>
    <xf numFmtId="0" fontId="33" fillId="23" borderId="21" xfId="0" applyFont="1" applyFill="1" applyBorder="1" applyAlignment="1">
      <alignment horizontal="center" vertical="center"/>
    </xf>
    <xf numFmtId="0" fontId="0" fillId="0" borderId="0" xfId="6" applyFont="1" applyAlignment="1" applyProtection="1">
      <alignment vertical="center" wrapText="1"/>
    </xf>
    <xf numFmtId="0" fontId="0" fillId="0" borderId="0" xfId="6" applyFont="1" applyAlignment="1" applyProtection="1">
      <alignment vertical="center"/>
    </xf>
    <xf numFmtId="0" fontId="33" fillId="24" borderId="21" xfId="0" applyFont="1" applyFill="1" applyBorder="1" applyAlignment="1">
      <alignment horizontal="center" vertical="center"/>
    </xf>
    <xf numFmtId="0" fontId="33" fillId="25" borderId="21" xfId="0" applyFont="1" applyFill="1" applyBorder="1" applyAlignment="1">
      <alignment horizontal="center" vertical="center"/>
    </xf>
    <xf numFmtId="0" fontId="0" fillId="0" borderId="9" xfId="6" applyFont="1" applyBorder="1" applyAlignment="1" applyProtection="1">
      <alignment vertical="center"/>
    </xf>
    <xf numFmtId="0" fontId="33" fillId="26" borderId="21" xfId="0" applyFont="1" applyFill="1" applyBorder="1" applyAlignment="1">
      <alignment horizontal="center" vertical="center"/>
    </xf>
    <xf numFmtId="0" fontId="33" fillId="27" borderId="21" xfId="0" applyFont="1" applyFill="1" applyBorder="1" applyAlignment="1">
      <alignment horizontal="center" vertical="center"/>
    </xf>
    <xf numFmtId="0" fontId="28" fillId="11" borderId="39" xfId="6" applyFill="1" applyBorder="1" applyAlignment="1" applyProtection="1">
      <alignment horizontal="center" vertical="center"/>
    </xf>
    <xf numFmtId="0" fontId="28" fillId="11" borderId="8" xfId="6" applyFill="1" applyBorder="1" applyAlignment="1" applyProtection="1">
      <alignment horizontal="center" vertical="center"/>
    </xf>
    <xf numFmtId="0" fontId="28" fillId="11" borderId="41" xfId="6" applyFill="1" applyBorder="1" applyAlignment="1" applyProtection="1">
      <alignment horizontal="center" vertical="center"/>
    </xf>
    <xf numFmtId="0" fontId="28" fillId="0" borderId="20" xfId="6" applyBorder="1" applyAlignment="1" applyProtection="1">
      <alignment horizontal="center" vertical="center"/>
    </xf>
    <xf numFmtId="0" fontId="28" fillId="0" borderId="0" xfId="6" applyAlignment="1" applyProtection="1">
      <alignment horizontal="center" vertical="center"/>
    </xf>
    <xf numFmtId="0" fontId="28" fillId="0" borderId="21" xfId="6" applyBorder="1" applyAlignment="1" applyProtection="1">
      <alignment horizontal="center" vertical="center"/>
    </xf>
    <xf numFmtId="49" fontId="53" fillId="0" borderId="0" xfId="0" applyNumberFormat="1" applyFont="1" applyProtection="1">
      <alignment vertical="center"/>
      <protection locked="0"/>
    </xf>
    <xf numFmtId="0" fontId="28" fillId="0" borderId="0" xfId="6" applyAlignment="1">
      <alignment vertical="center" wrapText="1"/>
      <protection locked="0"/>
    </xf>
    <xf numFmtId="0" fontId="33" fillId="30" borderId="20" xfId="0" applyFont="1" applyFill="1" applyBorder="1" applyAlignment="1">
      <alignment horizontal="left" vertical="center"/>
    </xf>
    <xf numFmtId="0" fontId="27" fillId="30" borderId="0" xfId="6" applyFont="1" applyFill="1" applyAlignment="1" applyProtection="1">
      <alignment horizontal="center" vertical="center"/>
    </xf>
    <xf numFmtId="0" fontId="33" fillId="30" borderId="0" xfId="0" applyFont="1" applyFill="1" applyAlignment="1">
      <alignment horizontal="center" vertical="center"/>
    </xf>
    <xf numFmtId="0" fontId="27" fillId="0" borderId="20" xfId="0" applyFont="1" applyBorder="1" applyAlignment="1">
      <alignment horizontal="left" vertical="center"/>
    </xf>
    <xf numFmtId="0" fontId="27" fillId="0" borderId="0" xfId="0" applyFont="1" applyAlignment="1">
      <alignment horizontal="center" vertical="center"/>
    </xf>
    <xf numFmtId="0" fontId="33" fillId="31" borderId="20" xfId="0" applyFont="1" applyFill="1" applyBorder="1" applyAlignment="1">
      <alignment horizontal="left" vertical="center"/>
    </xf>
    <xf numFmtId="0" fontId="27" fillId="31" borderId="0" xfId="6" applyFont="1" applyFill="1" applyAlignment="1" applyProtection="1">
      <alignment horizontal="center" vertical="center"/>
    </xf>
    <xf numFmtId="0" fontId="33" fillId="31" borderId="0" xfId="0" applyFont="1" applyFill="1" applyAlignment="1">
      <alignment horizontal="center" vertical="center"/>
    </xf>
    <xf numFmtId="0" fontId="27" fillId="32" borderId="20" xfId="6" applyFont="1" applyFill="1" applyBorder="1" applyAlignment="1" applyProtection="1">
      <alignment vertical="center"/>
    </xf>
    <xf numFmtId="0" fontId="27" fillId="32" borderId="0" xfId="6" applyFont="1" applyFill="1" applyAlignment="1" applyProtection="1">
      <alignment horizontal="center" vertical="center"/>
    </xf>
    <xf numFmtId="0" fontId="33" fillId="0" borderId="43" xfId="0" applyFont="1" applyBorder="1" applyAlignment="1" applyProtection="1">
      <alignment horizontal="left" vertical="center"/>
      <protection locked="0"/>
    </xf>
    <xf numFmtId="0" fontId="27" fillId="0" borderId="43" xfId="6" applyFont="1" applyBorder="1" applyAlignment="1">
      <alignment horizontal="center" vertical="center"/>
      <protection locked="0"/>
    </xf>
    <xf numFmtId="0" fontId="33" fillId="0" borderId="43" xfId="0" applyFont="1" applyBorder="1" applyAlignment="1" applyProtection="1">
      <alignment horizontal="center" vertical="center"/>
      <protection locked="0"/>
    </xf>
    <xf numFmtId="0" fontId="27" fillId="0" borderId="0" xfId="6" applyFont="1" applyAlignment="1" applyProtection="1">
      <alignment vertical="center"/>
    </xf>
    <xf numFmtId="0" fontId="57" fillId="0" borderId="0" xfId="6" applyFont="1" applyAlignment="1" applyProtection="1">
      <alignment vertical="center"/>
    </xf>
    <xf numFmtId="49" fontId="27" fillId="0" borderId="0" xfId="6" applyNumberFormat="1" applyFont="1" applyAlignment="1">
      <alignment vertical="center"/>
      <protection locked="0"/>
    </xf>
    <xf numFmtId="0" fontId="13" fillId="0" borderId="0" xfId="6" applyFont="1" applyAlignment="1" applyProtection="1">
      <alignment vertical="center"/>
    </xf>
    <xf numFmtId="0" fontId="13" fillId="0" borderId="0" xfId="6" applyFont="1" applyAlignment="1" applyProtection="1">
      <alignment vertical="center" wrapText="1"/>
    </xf>
    <xf numFmtId="0" fontId="10" fillId="0" borderId="0" xfId="6" applyFont="1" applyAlignment="1" applyProtection="1">
      <alignment vertical="center" wrapText="1"/>
    </xf>
    <xf numFmtId="0" fontId="33" fillId="11" borderId="21" xfId="0" applyFont="1" applyFill="1" applyBorder="1" applyAlignment="1">
      <alignment horizontal="center" vertical="center"/>
    </xf>
    <xf numFmtId="0" fontId="33" fillId="30" borderId="21" xfId="0" applyFont="1" applyFill="1" applyBorder="1" applyAlignment="1">
      <alignment horizontal="center" vertical="center"/>
    </xf>
    <xf numFmtId="0" fontId="27" fillId="0" borderId="21" xfId="0" applyFont="1" applyBorder="1" applyAlignment="1">
      <alignment horizontal="center" vertical="center"/>
    </xf>
    <xf numFmtId="0" fontId="33" fillId="31" borderId="21" xfId="0" applyFont="1" applyFill="1" applyBorder="1" applyAlignment="1">
      <alignment horizontal="center" vertical="center"/>
    </xf>
    <xf numFmtId="0" fontId="27" fillId="32" borderId="21" xfId="6" applyFont="1" applyFill="1" applyBorder="1" applyAlignment="1" applyProtection="1">
      <alignment horizontal="center" vertical="center"/>
    </xf>
    <xf numFmtId="0" fontId="58" fillId="0" borderId="0" xfId="6" applyFont="1" applyAlignment="1" applyProtection="1">
      <alignment vertical="center" wrapText="1"/>
    </xf>
    <xf numFmtId="0" fontId="10" fillId="0" borderId="0" xfId="6" applyFont="1" applyAlignment="1" applyProtection="1">
      <alignment horizontal="center" vertical="center"/>
    </xf>
    <xf numFmtId="0" fontId="10" fillId="0" borderId="0" xfId="6" applyFont="1" applyAlignment="1" applyProtection="1">
      <alignment vertical="center"/>
    </xf>
    <xf numFmtId="0" fontId="59" fillId="0" borderId="39" xfId="0" applyFont="1" applyBorder="1" applyAlignment="1">
      <alignment horizontal="left" vertical="center"/>
    </xf>
    <xf numFmtId="0" fontId="59" fillId="0" borderId="8" xfId="0" applyFont="1" applyBorder="1" applyAlignment="1">
      <alignment horizontal="center" vertical="center"/>
    </xf>
    <xf numFmtId="0" fontId="47" fillId="0" borderId="8" xfId="6" applyFont="1" applyBorder="1" applyAlignment="1" applyProtection="1">
      <alignment vertical="center"/>
    </xf>
    <xf numFmtId="0" fontId="59" fillId="0" borderId="20" xfId="0" applyFont="1" applyBorder="1" applyAlignment="1">
      <alignment horizontal="left" vertical="center"/>
    </xf>
    <xf numFmtId="0" fontId="59" fillId="0" borderId="0" xfId="0" applyFont="1" applyAlignment="1">
      <alignment horizontal="center" vertical="center"/>
    </xf>
    <xf numFmtId="0" fontId="47" fillId="0" borderId="0" xfId="6" applyFont="1" applyAlignment="1" applyProtection="1">
      <alignment vertical="center"/>
    </xf>
    <xf numFmtId="0" fontId="59" fillId="0" borderId="22" xfId="0" applyFont="1" applyBorder="1" applyAlignment="1">
      <alignment horizontal="left" vertical="center"/>
    </xf>
    <xf numFmtId="0" fontId="59" fillId="0" borderId="25" xfId="0" applyFont="1" applyBorder="1" applyAlignment="1">
      <alignment horizontal="center" vertical="center"/>
    </xf>
    <xf numFmtId="0" fontId="47" fillId="0" borderId="25" xfId="6" applyFont="1" applyBorder="1" applyAlignment="1" applyProtection="1">
      <alignment vertical="center"/>
    </xf>
    <xf numFmtId="49" fontId="47" fillId="0" borderId="0" xfId="6" applyNumberFormat="1" applyFont="1" applyAlignment="1" applyProtection="1">
      <alignment vertical="center"/>
    </xf>
    <xf numFmtId="0" fontId="3" fillId="0" borderId="0" xfId="0" applyFont="1" applyAlignment="1">
      <alignment horizontal="center" vertical="center"/>
    </xf>
    <xf numFmtId="0" fontId="60" fillId="0" borderId="0" xfId="0" applyFont="1">
      <alignment vertical="center"/>
    </xf>
    <xf numFmtId="0" fontId="15" fillId="0" borderId="0" xfId="0" applyFont="1" applyAlignment="1">
      <alignment vertical="center" wrapText="1"/>
    </xf>
    <xf numFmtId="0" fontId="3" fillId="0" borderId="0" xfId="0" applyFont="1" applyAlignment="1">
      <alignment vertical="center" wrapText="1"/>
    </xf>
    <xf numFmtId="0" fontId="60" fillId="0" borderId="0" xfId="0" applyFont="1" applyAlignment="1">
      <alignment vertical="center" wrapText="1"/>
    </xf>
    <xf numFmtId="0" fontId="15" fillId="0" borderId="0" xfId="0" applyFont="1">
      <alignment vertical="center"/>
    </xf>
    <xf numFmtId="0" fontId="15" fillId="0" borderId="0" xfId="0" applyFont="1" applyAlignment="1">
      <alignment horizontal="center" vertical="center"/>
    </xf>
    <xf numFmtId="0" fontId="10" fillId="0" borderId="0" xfId="6" applyFont="1" applyAlignment="1" applyProtection="1">
      <alignment horizontal="center" vertical="center" wrapText="1"/>
    </xf>
    <xf numFmtId="0" fontId="59" fillId="0" borderId="41" xfId="0" applyFont="1" applyBorder="1" applyAlignment="1">
      <alignment horizontal="center" vertical="center"/>
    </xf>
    <xf numFmtId="0" fontId="59" fillId="0" borderId="21" xfId="0" applyFont="1" applyBorder="1" applyAlignment="1">
      <alignment horizontal="center" vertical="center"/>
    </xf>
    <xf numFmtId="0" fontId="0" fillId="0" borderId="41" xfId="6" applyFont="1" applyBorder="1" applyAlignment="1" applyProtection="1">
      <alignment vertical="center" wrapText="1"/>
    </xf>
    <xf numFmtId="0" fontId="0" fillId="0" borderId="23" xfId="6" applyFont="1" applyBorder="1" applyAlignment="1" applyProtection="1">
      <alignment vertical="center" wrapText="1"/>
    </xf>
    <xf numFmtId="0" fontId="28" fillId="0" borderId="22" xfId="6" applyBorder="1" applyAlignment="1" applyProtection="1">
      <alignment horizontal="center" vertical="center"/>
    </xf>
    <xf numFmtId="0" fontId="28" fillId="0" borderId="25" xfId="6" applyBorder="1" applyAlignment="1" applyProtection="1">
      <alignment horizontal="center" vertical="center"/>
    </xf>
    <xf numFmtId="0" fontId="28" fillId="0" borderId="23" xfId="6" applyBorder="1" applyAlignment="1" applyProtection="1">
      <alignment horizontal="center" vertical="center"/>
    </xf>
    <xf numFmtId="0" fontId="61" fillId="0" borderId="0" xfId="6" applyFont="1" applyAlignment="1" applyProtection="1">
      <alignment vertical="center"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15" fillId="0" borderId="56" xfId="0" applyFont="1" applyBorder="1" applyAlignment="1">
      <alignment horizontal="center" vertical="center" wrapText="1"/>
    </xf>
    <xf numFmtId="49" fontId="62" fillId="0" borderId="0" xfId="6" applyNumberFormat="1" applyFont="1" applyAlignment="1">
      <alignment vertical="center"/>
      <protection locked="0"/>
    </xf>
    <xf numFmtId="49" fontId="13" fillId="0" borderId="0" xfId="6" applyNumberFormat="1" applyFont="1" applyAlignment="1">
      <alignment vertical="center"/>
      <protection locked="0"/>
    </xf>
    <xf numFmtId="0" fontId="13" fillId="0" borderId="0" xfId="6" applyFont="1" applyAlignment="1">
      <alignment vertical="center"/>
      <protection locked="0"/>
    </xf>
    <xf numFmtId="49" fontId="63" fillId="0" borderId="0" xfId="6" applyNumberFormat="1" applyFont="1" applyAlignment="1">
      <alignment horizontal="center" vertical="center"/>
      <protection locked="0"/>
    </xf>
    <xf numFmtId="49" fontId="10" fillId="0" borderId="0" xfId="6" applyNumberFormat="1" applyFont="1" applyAlignment="1">
      <alignment horizontal="center" vertical="center" wrapText="1"/>
      <protection locked="0"/>
    </xf>
    <xf numFmtId="0" fontId="10" fillId="0" borderId="0" xfId="6" applyFont="1" applyAlignment="1">
      <alignment horizontal="center" vertical="center"/>
      <protection locked="0"/>
    </xf>
    <xf numFmtId="0" fontId="10" fillId="0" borderId="0" xfId="6" applyFont="1" applyAlignment="1">
      <alignment vertical="center"/>
      <protection locked="0"/>
    </xf>
    <xf numFmtId="0" fontId="10" fillId="0" borderId="0" xfId="6" applyFont="1" applyAlignment="1">
      <alignment vertical="center" wrapText="1"/>
      <protection locked="0"/>
    </xf>
    <xf numFmtId="0" fontId="13" fillId="0" borderId="0" xfId="6" applyFont="1" applyAlignment="1">
      <alignment vertical="center" wrapText="1"/>
      <protection locked="0"/>
    </xf>
    <xf numFmtId="0" fontId="10" fillId="0" borderId="0" xfId="0" applyFont="1" applyAlignment="1" applyProtection="1">
      <alignment horizontal="center" vertical="center"/>
      <protection locked="0"/>
    </xf>
    <xf numFmtId="0" fontId="10" fillId="0" borderId="0" xfId="0" applyFont="1" applyProtection="1">
      <alignment vertical="center"/>
      <protection locked="0"/>
    </xf>
    <xf numFmtId="0" fontId="24" fillId="0" borderId="0" xfId="0" applyFont="1" applyProtection="1">
      <alignment vertical="center"/>
      <protection locked="0"/>
    </xf>
    <xf numFmtId="0" fontId="1" fillId="0" borderId="0" xfId="0" applyFont="1" applyAlignment="1" applyProtection="1">
      <alignment horizontal="center" vertical="center"/>
      <protection locked="0"/>
    </xf>
    <xf numFmtId="0" fontId="47" fillId="0" borderId="0" xfId="0" applyFont="1" applyAlignment="1" applyProtection="1">
      <alignment horizontal="left" vertical="center"/>
      <protection locked="0"/>
    </xf>
    <xf numFmtId="49" fontId="47" fillId="0" borderId="0" xfId="0" applyNumberFormat="1" applyFont="1" applyAlignment="1" applyProtection="1">
      <alignment horizontal="center" vertical="center"/>
      <protection locked="0"/>
    </xf>
    <xf numFmtId="0" fontId="47" fillId="0" borderId="0" xfId="0" applyFont="1" applyAlignment="1" applyProtection="1">
      <alignment horizontal="center" vertical="center"/>
      <protection locked="0"/>
    </xf>
    <xf numFmtId="49" fontId="67" fillId="28" borderId="0" xfId="0" applyNumberFormat="1" applyFont="1" applyFill="1" applyAlignment="1">
      <alignment horizontal="center" vertical="center"/>
    </xf>
    <xf numFmtId="0" fontId="69" fillId="7" borderId="7" xfId="0" applyFont="1" applyFill="1" applyBorder="1" applyAlignment="1">
      <alignment horizontal="left" vertical="center"/>
    </xf>
    <xf numFmtId="49" fontId="69" fillId="7" borderId="8" xfId="0" applyNumberFormat="1" applyFont="1" applyFill="1" applyBorder="1" applyAlignment="1">
      <alignment horizontal="center" vertical="center"/>
    </xf>
    <xf numFmtId="0" fontId="69" fillId="7" borderId="8" xfId="0" applyFont="1" applyFill="1" applyBorder="1" applyAlignment="1">
      <alignment horizontal="center" vertical="center"/>
    </xf>
    <xf numFmtId="0" fontId="69" fillId="11" borderId="9" xfId="0" applyFont="1" applyFill="1" applyBorder="1" applyAlignment="1">
      <alignment horizontal="left" vertical="center"/>
    </xf>
    <xf numFmtId="49" fontId="69" fillId="11" borderId="0" xfId="0" applyNumberFormat="1" applyFont="1" applyFill="1" applyAlignment="1">
      <alignment horizontal="center" vertical="center"/>
    </xf>
    <xf numFmtId="0" fontId="69" fillId="11" borderId="0" xfId="0" applyFont="1" applyFill="1" applyAlignment="1">
      <alignment horizontal="center" vertical="center"/>
    </xf>
    <xf numFmtId="0" fontId="69" fillId="7" borderId="9" xfId="0" applyFont="1" applyFill="1" applyBorder="1" applyAlignment="1">
      <alignment horizontal="left" vertical="center"/>
    </xf>
    <xf numFmtId="49" fontId="69" fillId="7" borderId="0" xfId="0" applyNumberFormat="1" applyFont="1" applyFill="1" applyAlignment="1">
      <alignment horizontal="center" vertical="center"/>
    </xf>
    <xf numFmtId="0" fontId="69" fillId="7" borderId="0" xfId="0" applyFont="1" applyFill="1" applyAlignment="1">
      <alignment horizontal="center" vertical="center"/>
    </xf>
    <xf numFmtId="0" fontId="69" fillId="37" borderId="9" xfId="0" applyFont="1" applyFill="1" applyBorder="1" applyAlignment="1">
      <alignment horizontal="left" vertical="center"/>
    </xf>
    <xf numFmtId="49" fontId="69" fillId="37" borderId="0" xfId="0" applyNumberFormat="1" applyFont="1" applyFill="1" applyAlignment="1">
      <alignment horizontal="center" vertical="center"/>
    </xf>
    <xf numFmtId="0" fontId="69" fillId="37" borderId="0" xfId="0" applyFont="1" applyFill="1" applyAlignment="1">
      <alignment horizontal="center" vertical="center"/>
    </xf>
    <xf numFmtId="0" fontId="47" fillId="11" borderId="9" xfId="0" applyFont="1" applyFill="1" applyBorder="1" applyAlignment="1">
      <alignment horizontal="left" vertical="center"/>
    </xf>
    <xf numFmtId="49" fontId="47" fillId="11" borderId="0" xfId="0" applyNumberFormat="1" applyFont="1" applyFill="1" applyAlignment="1">
      <alignment horizontal="center" vertical="center"/>
    </xf>
    <xf numFmtId="0" fontId="47" fillId="11" borderId="0" xfId="0" applyFont="1" applyFill="1" applyAlignment="1">
      <alignment horizontal="center" vertical="center"/>
    </xf>
    <xf numFmtId="0" fontId="69" fillId="38" borderId="9" xfId="0" applyFont="1" applyFill="1" applyBorder="1" applyAlignment="1">
      <alignment horizontal="left" vertical="center"/>
    </xf>
    <xf numFmtId="49" fontId="69" fillId="38" borderId="0" xfId="0" applyNumberFormat="1" applyFont="1" applyFill="1" applyAlignment="1">
      <alignment horizontal="center" vertical="center"/>
    </xf>
    <xf numFmtId="0" fontId="69" fillId="38" borderId="0" xfId="0" applyFont="1" applyFill="1" applyAlignment="1">
      <alignment horizontal="center" vertical="center"/>
    </xf>
    <xf numFmtId="0" fontId="69" fillId="39" borderId="9" xfId="0" applyFont="1" applyFill="1" applyBorder="1" applyAlignment="1">
      <alignment horizontal="left" vertical="center"/>
    </xf>
    <xf numFmtId="49" fontId="69" fillId="39" borderId="0" xfId="0" applyNumberFormat="1" applyFont="1" applyFill="1" applyAlignment="1">
      <alignment horizontal="center" vertical="center"/>
    </xf>
    <xf numFmtId="0" fontId="69" fillId="39" borderId="0" xfId="0" applyFont="1" applyFill="1" applyAlignment="1">
      <alignment horizontal="center" vertical="center"/>
    </xf>
    <xf numFmtId="0" fontId="69" fillId="40" borderId="9" xfId="0" applyFont="1" applyFill="1" applyBorder="1" applyAlignment="1">
      <alignment horizontal="left" vertical="center"/>
    </xf>
    <xf numFmtId="49" fontId="69" fillId="40" borderId="0" xfId="0" applyNumberFormat="1" applyFont="1" applyFill="1" applyAlignment="1">
      <alignment horizontal="center" vertical="center"/>
    </xf>
    <xf numFmtId="0" fontId="69" fillId="40" borderId="0" xfId="0" applyFont="1" applyFill="1" applyAlignment="1">
      <alignment horizontal="center" vertical="center"/>
    </xf>
    <xf numFmtId="0" fontId="69" fillId="11" borderId="10" xfId="0" applyFont="1" applyFill="1" applyBorder="1" applyAlignment="1">
      <alignment horizontal="left" vertical="center"/>
    </xf>
    <xf numFmtId="49" fontId="69" fillId="11" borderId="11" xfId="0" applyNumberFormat="1" applyFont="1" applyFill="1" applyBorder="1" applyAlignment="1">
      <alignment horizontal="center" vertical="center"/>
    </xf>
    <xf numFmtId="0" fontId="69" fillId="11" borderId="11" xfId="0" applyFont="1" applyFill="1" applyBorder="1" applyAlignment="1">
      <alignment horizontal="center" vertical="center"/>
    </xf>
    <xf numFmtId="0" fontId="69" fillId="41" borderId="7" xfId="0" applyFont="1" applyFill="1" applyBorder="1" applyAlignment="1">
      <alignment horizontal="left" vertical="center"/>
    </xf>
    <xf numFmtId="49" fontId="69" fillId="41" borderId="8" xfId="0" applyNumberFormat="1" applyFont="1" applyFill="1" applyBorder="1" applyAlignment="1">
      <alignment horizontal="center" vertical="center"/>
    </xf>
    <xf numFmtId="0" fontId="69" fillId="41" borderId="8" xfId="0" applyFont="1" applyFill="1" applyBorder="1" applyAlignment="1">
      <alignment horizontal="center" vertical="center"/>
    </xf>
    <xf numFmtId="0" fontId="69" fillId="41" borderId="9" xfId="0" applyFont="1" applyFill="1" applyBorder="1" applyAlignment="1">
      <alignment horizontal="left" vertical="center"/>
    </xf>
    <xf numFmtId="49" fontId="69" fillId="41" borderId="0" xfId="0" applyNumberFormat="1" applyFont="1" applyFill="1" applyAlignment="1">
      <alignment horizontal="center" vertical="center"/>
    </xf>
    <xf numFmtId="0" fontId="69" fillId="41" borderId="0" xfId="0" applyFont="1" applyFill="1" applyAlignment="1">
      <alignment horizontal="center" vertical="center"/>
    </xf>
    <xf numFmtId="0" fontId="69" fillId="41" borderId="10" xfId="0" applyFont="1" applyFill="1" applyBorder="1" applyAlignment="1">
      <alignment horizontal="left" vertical="center"/>
    </xf>
    <xf numFmtId="49" fontId="69" fillId="41" borderId="11" xfId="0" applyNumberFormat="1" applyFont="1" applyFill="1" applyBorder="1" applyAlignment="1">
      <alignment horizontal="center" vertical="center"/>
    </xf>
    <xf numFmtId="0" fontId="69" fillId="41" borderId="11" xfId="0" applyFont="1" applyFill="1" applyBorder="1" applyAlignment="1">
      <alignment horizontal="center" vertical="center"/>
    </xf>
    <xf numFmtId="0" fontId="69" fillId="11" borderId="7" xfId="0" applyFont="1" applyFill="1" applyBorder="1" applyAlignment="1">
      <alignment horizontal="left" vertical="center"/>
    </xf>
    <xf numFmtId="49" fontId="69" fillId="11" borderId="8" xfId="0" applyNumberFormat="1" applyFont="1" applyFill="1" applyBorder="1" applyAlignment="1">
      <alignment horizontal="center" vertical="center"/>
    </xf>
    <xf numFmtId="0" fontId="69" fillId="11" borderId="8" xfId="0" applyFont="1" applyFill="1" applyBorder="1" applyAlignment="1">
      <alignment horizontal="center" vertical="center"/>
    </xf>
    <xf numFmtId="0" fontId="69" fillId="42" borderId="9" xfId="0" applyFont="1" applyFill="1" applyBorder="1" applyAlignment="1">
      <alignment horizontal="left" vertical="center"/>
    </xf>
    <xf numFmtId="49" fontId="69" fillId="42" borderId="0" xfId="0" applyNumberFormat="1" applyFont="1" applyFill="1" applyAlignment="1">
      <alignment horizontal="center" vertical="center"/>
    </xf>
    <xf numFmtId="0" fontId="69" fillId="42" borderId="0" xfId="0" applyFont="1" applyFill="1" applyAlignment="1">
      <alignment horizontal="center" vertical="center"/>
    </xf>
    <xf numFmtId="49" fontId="69" fillId="0" borderId="0" xfId="0" applyNumberFormat="1" applyFont="1" applyAlignment="1">
      <alignment horizontal="center" vertical="center"/>
    </xf>
    <xf numFmtId="0" fontId="69" fillId="0" borderId="0" xfId="0" applyFont="1" applyAlignment="1">
      <alignment horizontal="center" vertical="center"/>
    </xf>
    <xf numFmtId="49" fontId="70" fillId="28" borderId="0" xfId="0" applyNumberFormat="1" applyFont="1" applyFill="1" applyAlignment="1">
      <alignment horizontal="center" vertical="center"/>
    </xf>
    <xf numFmtId="49" fontId="67" fillId="28" borderId="17" xfId="0" applyNumberFormat="1" applyFont="1" applyFill="1" applyBorder="1" applyAlignment="1">
      <alignment horizontal="center" vertical="center"/>
    </xf>
    <xf numFmtId="0" fontId="69" fillId="7" borderId="13" xfId="0" applyFont="1" applyFill="1" applyBorder="1" applyAlignment="1">
      <alignment horizontal="center" vertical="center"/>
    </xf>
    <xf numFmtId="0" fontId="69" fillId="11" borderId="14" xfId="0" applyFont="1" applyFill="1" applyBorder="1" applyAlignment="1">
      <alignment horizontal="center" vertical="center"/>
    </xf>
    <xf numFmtId="0" fontId="69" fillId="7" borderId="14" xfId="0" applyFont="1" applyFill="1" applyBorder="1" applyAlignment="1">
      <alignment horizontal="center" vertical="center"/>
    </xf>
    <xf numFmtId="0" fontId="69" fillId="37" borderId="14" xfId="0" applyFont="1" applyFill="1" applyBorder="1" applyAlignment="1">
      <alignment horizontal="center" vertical="center"/>
    </xf>
    <xf numFmtId="0" fontId="47" fillId="11" borderId="14" xfId="0" applyFont="1" applyFill="1" applyBorder="1" applyAlignment="1">
      <alignment horizontal="center" vertical="center"/>
    </xf>
    <xf numFmtId="0" fontId="69" fillId="38" borderId="14" xfId="0" applyFont="1" applyFill="1" applyBorder="1" applyAlignment="1">
      <alignment horizontal="center" vertical="center"/>
    </xf>
    <xf numFmtId="0" fontId="69" fillId="39" borderId="14" xfId="0" applyFont="1" applyFill="1" applyBorder="1" applyAlignment="1">
      <alignment horizontal="center" vertical="center"/>
    </xf>
    <xf numFmtId="0" fontId="69" fillId="40" borderId="14" xfId="0" applyFont="1" applyFill="1" applyBorder="1" applyAlignment="1">
      <alignment horizontal="center" vertical="center"/>
    </xf>
    <xf numFmtId="0" fontId="69" fillId="11" borderId="15" xfId="0" applyFont="1" applyFill="1" applyBorder="1" applyAlignment="1">
      <alignment horizontal="center" vertical="center"/>
    </xf>
    <xf numFmtId="0" fontId="69" fillId="41" borderId="13" xfId="0" applyFont="1" applyFill="1" applyBorder="1" applyAlignment="1">
      <alignment horizontal="center" vertical="center"/>
    </xf>
    <xf numFmtId="0" fontId="69" fillId="41" borderId="14" xfId="0" applyFont="1" applyFill="1" applyBorder="1" applyAlignment="1">
      <alignment horizontal="center" vertical="center"/>
    </xf>
    <xf numFmtId="176" fontId="69" fillId="7" borderId="0" xfId="0" applyNumberFormat="1" applyFont="1" applyFill="1" applyAlignment="1">
      <alignment horizontal="center" vertical="center"/>
    </xf>
    <xf numFmtId="0" fontId="69" fillId="41" borderId="15" xfId="0" applyFont="1" applyFill="1" applyBorder="1" applyAlignment="1">
      <alignment horizontal="center" vertical="center"/>
    </xf>
    <xf numFmtId="0" fontId="69" fillId="11" borderId="13" xfId="0" applyFont="1" applyFill="1" applyBorder="1" applyAlignment="1">
      <alignment horizontal="center" vertical="center"/>
    </xf>
    <xf numFmtId="0" fontId="69" fillId="42" borderId="14" xfId="0" applyFont="1" applyFill="1" applyBorder="1" applyAlignment="1">
      <alignment horizontal="center" vertical="center"/>
    </xf>
    <xf numFmtId="0" fontId="69" fillId="0" borderId="14" xfId="0" applyFont="1" applyBorder="1" applyAlignment="1">
      <alignment horizontal="center" vertical="center"/>
    </xf>
    <xf numFmtId="0" fontId="69" fillId="11" borderId="14" xfId="0" applyFont="1" applyFill="1" applyBorder="1" applyAlignment="1">
      <alignment horizontal="center" vertical="center" wrapText="1"/>
    </xf>
    <xf numFmtId="0" fontId="69" fillId="0" borderId="14" xfId="0" applyFont="1" applyBorder="1" applyAlignment="1">
      <alignment horizontal="center" vertical="center" wrapText="1"/>
    </xf>
    <xf numFmtId="0" fontId="71" fillId="0" borderId="0" xfId="0" applyFont="1" applyProtection="1">
      <alignment vertical="center"/>
      <protection locked="0"/>
    </xf>
    <xf numFmtId="0" fontId="52" fillId="0" borderId="0" xfId="0" applyFont="1">
      <alignment vertical="center"/>
    </xf>
    <xf numFmtId="49" fontId="47" fillId="0" borderId="0" xfId="0" applyNumberFormat="1" applyFont="1" applyProtection="1">
      <alignment vertical="center"/>
      <protection locked="0"/>
    </xf>
    <xf numFmtId="0" fontId="47" fillId="0" borderId="0" xfId="0" applyFont="1" applyProtection="1">
      <alignment vertical="center"/>
      <protection locked="0"/>
    </xf>
    <xf numFmtId="0" fontId="6" fillId="0" borderId="0" xfId="6" applyFont="1" applyAlignment="1" applyProtection="1">
      <alignment vertical="center" wrapText="1"/>
    </xf>
    <xf numFmtId="0" fontId="6" fillId="0" borderId="9" xfId="6" applyFont="1" applyBorder="1" applyAlignment="1" applyProtection="1">
      <alignment vertical="center" wrapText="1"/>
    </xf>
    <xf numFmtId="49" fontId="72" fillId="0" borderId="0" xfId="0" applyNumberFormat="1" applyFont="1" applyProtection="1">
      <alignment vertical="center"/>
      <protection locked="0"/>
    </xf>
    <xf numFmtId="14" fontId="47" fillId="0" borderId="0" xfId="0" applyNumberFormat="1" applyFont="1" applyProtection="1">
      <alignment vertical="center"/>
      <protection locked="0"/>
    </xf>
    <xf numFmtId="0" fontId="36" fillId="0" borderId="0" xfId="6" applyFont="1" applyAlignment="1">
      <alignment vertical="center" wrapText="1"/>
      <protection locked="0"/>
    </xf>
    <xf numFmtId="58" fontId="47" fillId="0" borderId="0" xfId="0" applyNumberFormat="1" applyFont="1" applyProtection="1">
      <alignment vertical="center"/>
      <protection locked="0"/>
    </xf>
    <xf numFmtId="0" fontId="73" fillId="0" borderId="0" xfId="6" applyFont="1" applyAlignment="1">
      <alignment vertical="center" wrapText="1"/>
      <protection locked="0"/>
    </xf>
    <xf numFmtId="0" fontId="50" fillId="0" borderId="0" xfId="6" applyFont="1" applyAlignment="1">
      <alignment vertical="center" wrapText="1"/>
      <protection locked="0"/>
    </xf>
    <xf numFmtId="0" fontId="74" fillId="0" borderId="0" xfId="6" applyFont="1" applyAlignment="1">
      <alignment vertical="center" wrapText="1"/>
      <protection locked="0"/>
    </xf>
    <xf numFmtId="0" fontId="69" fillId="48" borderId="7" xfId="0" applyFont="1" applyFill="1" applyBorder="1" applyAlignment="1">
      <alignment horizontal="left" vertical="center"/>
    </xf>
    <xf numFmtId="49" fontId="69" fillId="48" borderId="8" xfId="0" applyNumberFormat="1" applyFont="1" applyFill="1" applyBorder="1" applyAlignment="1">
      <alignment horizontal="center" vertical="center"/>
    </xf>
    <xf numFmtId="0" fontId="69" fillId="48" borderId="8" xfId="0" applyFont="1" applyFill="1" applyBorder="1" applyAlignment="1">
      <alignment horizontal="center" vertical="center"/>
    </xf>
    <xf numFmtId="0" fontId="69" fillId="0" borderId="9" xfId="0" applyFont="1" applyBorder="1" applyAlignment="1">
      <alignment horizontal="left" vertical="center"/>
    </xf>
    <xf numFmtId="0" fontId="69" fillId="48" borderId="9" xfId="0" applyFont="1" applyFill="1" applyBorder="1" applyAlignment="1">
      <alignment horizontal="left" vertical="center"/>
    </xf>
    <xf numFmtId="49" fontId="69" fillId="48" borderId="0" xfId="0" applyNumberFormat="1" applyFont="1" applyFill="1" applyAlignment="1">
      <alignment horizontal="center" vertical="center"/>
    </xf>
    <xf numFmtId="0" fontId="69" fillId="48" borderId="0" xfId="0" applyFont="1" applyFill="1" applyAlignment="1">
      <alignment horizontal="center" vertical="center"/>
    </xf>
    <xf numFmtId="0" fontId="69" fillId="49" borderId="9" xfId="0" applyFont="1" applyFill="1" applyBorder="1" applyAlignment="1">
      <alignment horizontal="left" vertical="center"/>
    </xf>
    <xf numFmtId="49" fontId="69" fillId="49" borderId="0" xfId="0" applyNumberFormat="1" applyFont="1" applyFill="1" applyAlignment="1">
      <alignment horizontal="center" vertical="center"/>
    </xf>
    <xf numFmtId="0" fontId="69" fillId="49" borderId="0" xfId="0" applyFont="1" applyFill="1" applyAlignment="1">
      <alignment horizontal="center" vertical="center"/>
    </xf>
    <xf numFmtId="0" fontId="69" fillId="48" borderId="10" xfId="0" applyFont="1" applyFill="1" applyBorder="1" applyAlignment="1">
      <alignment horizontal="left" vertical="center"/>
    </xf>
    <xf numFmtId="49" fontId="69" fillId="48" borderId="11" xfId="0" applyNumberFormat="1" applyFont="1" applyFill="1" applyBorder="1" applyAlignment="1">
      <alignment horizontal="center" vertical="center"/>
    </xf>
    <xf numFmtId="0" fontId="69" fillId="48" borderId="11" xfId="0" applyFont="1" applyFill="1" applyBorder="1" applyAlignment="1">
      <alignment horizontal="center" vertical="center"/>
    </xf>
    <xf numFmtId="0" fontId="69" fillId="50" borderId="9" xfId="0" applyFont="1" applyFill="1" applyBorder="1" applyAlignment="1">
      <alignment horizontal="left" vertical="center"/>
    </xf>
    <xf numFmtId="49" fontId="69" fillId="51" borderId="0" xfId="0" applyNumberFormat="1" applyFont="1" applyFill="1" applyAlignment="1">
      <alignment horizontal="center" vertical="center"/>
    </xf>
    <xf numFmtId="0" fontId="69" fillId="51" borderId="0" xfId="0" applyFont="1" applyFill="1" applyAlignment="1">
      <alignment horizontal="center" vertical="center"/>
    </xf>
    <xf numFmtId="49" fontId="27" fillId="0" borderId="0" xfId="6" applyNumberFormat="1" applyFont="1" applyAlignment="1" applyProtection="1">
      <alignment vertical="center"/>
    </xf>
    <xf numFmtId="0" fontId="69" fillId="50" borderId="10" xfId="0" applyFont="1" applyFill="1" applyBorder="1" applyAlignment="1">
      <alignment horizontal="left" vertical="center"/>
    </xf>
    <xf numFmtId="49" fontId="69" fillId="7" borderId="11" xfId="0" applyNumberFormat="1" applyFont="1" applyFill="1" applyBorder="1" applyAlignment="1">
      <alignment horizontal="center" vertical="center"/>
    </xf>
    <xf numFmtId="0" fontId="69" fillId="7" borderId="11" xfId="0" applyFont="1" applyFill="1" applyBorder="1" applyAlignment="1">
      <alignment horizontal="center" vertical="center"/>
    </xf>
    <xf numFmtId="49" fontId="10" fillId="0" borderId="20"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69" fillId="48" borderId="13" xfId="0" applyFont="1" applyFill="1" applyBorder="1" applyAlignment="1">
      <alignment horizontal="center" vertical="center"/>
    </xf>
    <xf numFmtId="0" fontId="69" fillId="48" borderId="14" xfId="0" applyFont="1" applyFill="1" applyBorder="1" applyAlignment="1">
      <alignment horizontal="center" vertical="center"/>
    </xf>
    <xf numFmtId="0" fontId="69" fillId="49" borderId="14" xfId="0" applyFont="1" applyFill="1" applyBorder="1" applyAlignment="1">
      <alignment horizontal="center" vertical="center"/>
    </xf>
    <xf numFmtId="0" fontId="69" fillId="48" borderId="15" xfId="0" applyFont="1" applyFill="1" applyBorder="1" applyAlignment="1">
      <alignment horizontal="center" vertical="center"/>
    </xf>
    <xf numFmtId="0" fontId="28" fillId="50" borderId="1" xfId="6" applyFill="1" applyBorder="1" applyAlignment="1" applyProtection="1">
      <alignment vertical="center"/>
    </xf>
    <xf numFmtId="0" fontId="69" fillId="51" borderId="14" xfId="0" applyFont="1" applyFill="1" applyBorder="1" applyAlignment="1">
      <alignment horizontal="center" vertical="center"/>
    </xf>
    <xf numFmtId="0" fontId="69" fillId="7" borderId="15" xfId="0" applyFont="1" applyFill="1" applyBorder="1" applyAlignment="1">
      <alignment horizontal="center" vertical="center"/>
    </xf>
    <xf numFmtId="49" fontId="10" fillId="0" borderId="21" xfId="6" applyNumberFormat="1" applyFont="1" applyBorder="1" applyAlignment="1" applyProtection="1">
      <alignment horizontal="center" vertical="center" wrapText="1"/>
    </xf>
    <xf numFmtId="0" fontId="10" fillId="10" borderId="0" xfId="6" applyFont="1" applyFill="1" applyAlignment="1" applyProtection="1">
      <alignment vertical="center"/>
    </xf>
    <xf numFmtId="0" fontId="10" fillId="24" borderId="3" xfId="6" applyFont="1" applyFill="1" applyBorder="1" applyAlignment="1" applyProtection="1">
      <alignment horizontal="center" vertical="center"/>
    </xf>
    <xf numFmtId="0" fontId="10" fillId="24" borderId="4" xfId="6" applyFont="1" applyFill="1" applyBorder="1" applyAlignment="1" applyProtection="1">
      <alignment horizontal="center" vertical="center"/>
    </xf>
    <xf numFmtId="0" fontId="28" fillId="0" borderId="20" xfId="6" applyBorder="1" applyAlignment="1" applyProtection="1">
      <alignment vertical="center"/>
    </xf>
    <xf numFmtId="0" fontId="10" fillId="0" borderId="20" xfId="6" applyFont="1" applyBorder="1" applyAlignment="1" applyProtection="1">
      <alignment vertical="center"/>
    </xf>
    <xf numFmtId="0" fontId="10" fillId="24" borderId="4" xfId="6" applyFont="1" applyFill="1" applyBorder="1" applyAlignment="1" applyProtection="1">
      <alignment vertical="center"/>
    </xf>
    <xf numFmtId="0" fontId="10" fillId="24" borderId="62" xfId="6" applyFont="1" applyFill="1" applyBorder="1" applyAlignment="1" applyProtection="1">
      <alignment vertical="center"/>
    </xf>
    <xf numFmtId="0" fontId="47" fillId="0" borderId="0" xfId="0" applyFont="1" applyAlignment="1" applyProtection="1">
      <alignment vertical="center" wrapText="1"/>
      <protection locked="0"/>
    </xf>
    <xf numFmtId="49" fontId="63" fillId="11"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16" xfId="6" applyNumberFormat="1" applyFont="1" applyBorder="1" applyAlignment="1" applyProtection="1">
      <alignment horizontal="center" vertical="center" wrapText="1"/>
    </xf>
    <xf numFmtId="49" fontId="10" fillId="0" borderId="17" xfId="6" applyNumberFormat="1" applyFont="1" applyBorder="1" applyAlignment="1" applyProtection="1">
      <alignment horizontal="center" vertical="center" wrapText="1"/>
    </xf>
    <xf numFmtId="0" fontId="10" fillId="0" borderId="22" xfId="6" applyFont="1" applyBorder="1" applyAlignment="1" applyProtection="1">
      <alignment horizontal="center" vertical="center"/>
    </xf>
    <xf numFmtId="49" fontId="10" fillId="0" borderId="23" xfId="6" applyNumberFormat="1" applyFont="1" applyBorder="1" applyAlignment="1" applyProtection="1">
      <alignment horizontal="center" vertical="center" wrapText="1"/>
    </xf>
    <xf numFmtId="0" fontId="15" fillId="59" borderId="20" xfId="6" applyFont="1" applyFill="1" applyBorder="1" applyAlignment="1" applyProtection="1">
      <alignment horizontal="center" vertical="center"/>
    </xf>
    <xf numFmtId="0" fontId="15" fillId="0" borderId="20" xfId="6" applyFont="1" applyBorder="1" applyAlignment="1" applyProtection="1">
      <alignment horizontal="center" vertical="center"/>
    </xf>
    <xf numFmtId="0" fontId="28" fillId="0" borderId="24" xfId="6" applyBorder="1" applyAlignment="1" applyProtection="1">
      <alignment vertical="center"/>
    </xf>
    <xf numFmtId="0" fontId="10" fillId="0" borderId="0" xfId="6" applyFont="1" applyAlignment="1" applyProtection="1">
      <alignment horizontal="left" vertical="center"/>
    </xf>
    <xf numFmtId="0" fontId="64" fillId="0" borderId="0" xfId="6" applyFont="1" applyAlignment="1">
      <alignment vertical="center"/>
      <protection locked="0"/>
    </xf>
    <xf numFmtId="0" fontId="15" fillId="0" borderId="0" xfId="6" applyFont="1" applyAlignment="1">
      <alignment vertical="center"/>
      <protection locked="0"/>
    </xf>
    <xf numFmtId="0" fontId="87" fillId="0" borderId="0" xfId="6" applyFont="1" applyAlignment="1">
      <alignment horizontal="center" vertical="center"/>
      <protection locked="0"/>
    </xf>
    <xf numFmtId="0" fontId="87" fillId="0" borderId="0" xfId="6" applyFont="1" applyAlignment="1">
      <alignment vertical="center"/>
      <protection locked="0"/>
    </xf>
    <xf numFmtId="0" fontId="87" fillId="0" borderId="0" xfId="6" applyFont="1" applyAlignment="1">
      <alignment horizontal="right" vertical="center"/>
      <protection locked="0"/>
    </xf>
    <xf numFmtId="49" fontId="63" fillId="11" borderId="75" xfId="6" applyNumberFormat="1" applyFont="1" applyFill="1" applyBorder="1" applyAlignment="1">
      <alignment horizontal="center" vertical="center"/>
      <protection locked="0"/>
    </xf>
    <xf numFmtId="0" fontId="21" fillId="0" borderId="0" xfId="0" applyFont="1" applyAlignment="1">
      <alignment horizontal="center" vertical="center" wrapText="1"/>
    </xf>
    <xf numFmtId="0" fontId="13" fillId="0" borderId="20" xfId="6" applyFont="1" applyBorder="1" applyAlignment="1">
      <alignment vertical="center"/>
      <protection locked="0"/>
    </xf>
    <xf numFmtId="0" fontId="10" fillId="0" borderId="11" xfId="6" applyFont="1" applyBorder="1" applyAlignment="1">
      <alignment vertical="center"/>
      <protection locked="0"/>
    </xf>
    <xf numFmtId="0" fontId="90" fillId="0" borderId="0" xfId="6" applyFont="1" applyAlignment="1">
      <alignment horizontal="right" vertical="center"/>
      <protection locked="0"/>
    </xf>
    <xf numFmtId="0" fontId="10" fillId="0" borderId="24" xfId="6" applyFont="1" applyBorder="1" applyAlignment="1">
      <alignment vertical="center"/>
      <protection locked="0"/>
    </xf>
    <xf numFmtId="0" fontId="87" fillId="0" borderId="0" xfId="6" applyFont="1" applyAlignment="1">
      <alignment vertical="center" wrapText="1"/>
      <protection locked="0"/>
    </xf>
    <xf numFmtId="0" fontId="6" fillId="0" borderId="0" xfId="6" applyFont="1" applyAlignment="1">
      <alignment horizontal="center" vertical="center" wrapText="1"/>
      <protection locked="0"/>
    </xf>
    <xf numFmtId="0" fontId="84" fillId="0" borderId="0" xfId="0" applyFont="1" applyProtection="1">
      <alignment vertical="center"/>
      <protection locked="0"/>
    </xf>
    <xf numFmtId="0" fontId="92" fillId="0" borderId="0" xfId="0" applyFont="1" applyAlignment="1" applyProtection="1">
      <alignment horizontal="center" vertical="center"/>
      <protection locked="0"/>
    </xf>
    <xf numFmtId="0" fontId="29"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6" fillId="10" borderId="20" xfId="0" applyFont="1" applyFill="1" applyBorder="1" applyAlignment="1">
      <alignment horizontal="center" vertical="center"/>
    </xf>
    <xf numFmtId="0" fontId="16" fillId="10" borderId="0" xfId="0" applyFont="1" applyFill="1" applyAlignment="1">
      <alignment horizontal="center" vertical="center"/>
    </xf>
    <xf numFmtId="0" fontId="16" fillId="0" borderId="20" xfId="0" applyFont="1" applyBorder="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21" xfId="0" applyFont="1" applyBorder="1" applyAlignment="1">
      <alignment horizontal="left" vertical="center" wrapText="1"/>
    </xf>
    <xf numFmtId="0" fontId="16" fillId="11" borderId="20" xfId="0" applyFont="1" applyFill="1" applyBorder="1" applyAlignment="1">
      <alignment horizontal="center" vertical="center"/>
    </xf>
    <xf numFmtId="0" fontId="16" fillId="11" borderId="0" xfId="0" applyFont="1" applyFill="1" applyAlignment="1">
      <alignment horizontal="center" vertical="center"/>
    </xf>
    <xf numFmtId="0" fontId="16" fillId="11" borderId="22" xfId="0" applyFont="1" applyFill="1" applyBorder="1" applyAlignment="1">
      <alignment horizontal="center" vertical="center"/>
    </xf>
    <xf numFmtId="0" fontId="16" fillId="11" borderId="25" xfId="0" applyFont="1" applyFill="1" applyBorder="1" applyAlignment="1">
      <alignment horizontal="center" vertical="center"/>
    </xf>
    <xf numFmtId="0" fontId="14" fillId="0" borderId="0" xfId="0" applyFont="1">
      <alignment vertical="center"/>
    </xf>
    <xf numFmtId="0" fontId="16" fillId="0" borderId="20" xfId="0" applyFont="1" applyBorder="1" applyAlignment="1">
      <alignment horizontal="left" vertical="center" wrapText="1"/>
    </xf>
    <xf numFmtId="24" fontId="1" fillId="0" borderId="0" xfId="0" applyNumberFormat="1" applyFont="1" applyAlignment="1">
      <alignment horizontal="center" vertical="center"/>
    </xf>
    <xf numFmtId="0" fontId="16" fillId="0" borderId="22" xfId="0" applyFont="1" applyBorder="1" applyAlignment="1">
      <alignment horizontal="left" vertical="center" wrapText="1"/>
    </xf>
    <xf numFmtId="0" fontId="96" fillId="5" borderId="21" xfId="0" applyFont="1" applyFill="1" applyBorder="1" applyAlignment="1">
      <alignment horizontal="center" vertical="center"/>
    </xf>
    <xf numFmtId="0" fontId="96" fillId="0" borderId="21" xfId="0" applyFont="1" applyBorder="1" applyAlignment="1" applyProtection="1">
      <alignment horizontal="left" vertical="center"/>
      <protection locked="0"/>
    </xf>
    <xf numFmtId="0" fontId="96" fillId="11" borderId="21" xfId="0" applyFont="1" applyFill="1" applyBorder="1" applyAlignment="1" applyProtection="1">
      <alignment horizontal="left" vertical="center"/>
      <protection locked="0"/>
    </xf>
    <xf numFmtId="0" fontId="96" fillId="0" borderId="0" xfId="0" applyFont="1" applyProtection="1">
      <alignment vertical="center"/>
      <protection locked="0"/>
    </xf>
    <xf numFmtId="0" fontId="96" fillId="11" borderId="23" xfId="0" applyFont="1" applyFill="1" applyBorder="1" applyAlignment="1" applyProtection="1">
      <alignment horizontal="left" vertical="center"/>
      <protection locked="0"/>
    </xf>
    <xf numFmtId="0" fontId="96" fillId="0" borderId="0" xfId="0" applyFont="1" applyAlignment="1" applyProtection="1">
      <alignment horizontal="left" vertical="center"/>
      <protection locked="0"/>
    </xf>
    <xf numFmtId="0" fontId="16" fillId="10" borderId="21" xfId="0" applyFont="1" applyFill="1" applyBorder="1" applyAlignment="1">
      <alignment horizontal="center" vertical="center"/>
    </xf>
    <xf numFmtId="0" fontId="16" fillId="0" borderId="21" xfId="0" applyFont="1" applyBorder="1" applyAlignment="1">
      <alignment horizontal="center" vertical="center"/>
    </xf>
    <xf numFmtId="0" fontId="16" fillId="11" borderId="21" xfId="0" applyFont="1" applyFill="1" applyBorder="1" applyAlignment="1">
      <alignment horizontal="center" vertical="center"/>
    </xf>
    <xf numFmtId="0" fontId="16" fillId="11" borderId="23" xfId="0" applyFont="1" applyFill="1" applyBorder="1" applyAlignment="1">
      <alignment horizontal="center" vertical="center"/>
    </xf>
    <xf numFmtId="24" fontId="16" fillId="0" borderId="0" xfId="0" applyNumberFormat="1" applyFont="1" applyAlignment="1">
      <alignment horizontal="center" vertical="center"/>
    </xf>
    <xf numFmtId="0" fontId="16" fillId="0" borderId="23" xfId="0" applyFont="1" applyBorder="1" applyAlignment="1">
      <alignment horizontal="left" vertical="center" wrapText="1"/>
    </xf>
    <xf numFmtId="0" fontId="96" fillId="0" borderId="23" xfId="0" applyFont="1" applyBorder="1" applyAlignment="1" applyProtection="1">
      <alignment horizontal="left" vertical="center"/>
      <protection locked="0"/>
    </xf>
    <xf numFmtId="0" fontId="96" fillId="63" borderId="23" xfId="0" applyFont="1" applyFill="1" applyBorder="1" applyAlignment="1" applyProtection="1">
      <alignment horizontal="left" vertical="center"/>
      <protection locked="0"/>
    </xf>
    <xf numFmtId="0" fontId="97" fillId="0" borderId="21" xfId="0" applyFont="1" applyBorder="1" applyAlignment="1">
      <alignment horizontal="center" vertical="center"/>
    </xf>
    <xf numFmtId="0" fontId="13" fillId="0" borderId="0" xfId="0" applyFont="1">
      <alignment vertical="center"/>
    </xf>
    <xf numFmtId="0" fontId="13" fillId="0" borderId="0" xfId="0" applyFont="1" applyAlignment="1">
      <alignment vertical="center" wrapText="1"/>
    </xf>
    <xf numFmtId="0" fontId="96" fillId="0" borderId="21" xfId="0" applyFont="1" applyBorder="1" applyAlignment="1" applyProtection="1">
      <alignment horizontal="left" vertical="center" indent="1"/>
      <protection locked="0"/>
    </xf>
    <xf numFmtId="0" fontId="96" fillId="11" borderId="21" xfId="0" applyFont="1" applyFill="1" applyBorder="1" applyAlignment="1" applyProtection="1">
      <alignment horizontal="left" vertical="center" indent="1"/>
      <protection locked="0"/>
    </xf>
    <xf numFmtId="0" fontId="96" fillId="0" borderId="23" xfId="0" applyFont="1" applyBorder="1" applyAlignment="1" applyProtection="1">
      <alignment horizontal="left" vertical="center" indent="1"/>
      <protection locked="0"/>
    </xf>
    <xf numFmtId="0" fontId="96" fillId="11" borderId="23" xfId="0" applyFont="1" applyFill="1" applyBorder="1" applyAlignment="1" applyProtection="1">
      <alignment horizontal="left" vertical="center" indent="1"/>
      <protection locked="0"/>
    </xf>
    <xf numFmtId="0" fontId="62" fillId="0" borderId="0" xfId="0" applyFont="1">
      <alignment vertical="center"/>
    </xf>
    <xf numFmtId="0" fontId="24" fillId="0" borderId="0" xfId="0" applyFont="1">
      <alignment vertical="center"/>
    </xf>
    <xf numFmtId="0" fontId="96" fillId="0" borderId="0" xfId="0" applyFont="1">
      <alignment vertical="center"/>
    </xf>
    <xf numFmtId="0" fontId="96" fillId="5" borderId="0" xfId="0" applyFont="1" applyFill="1" applyAlignment="1">
      <alignment horizontal="center" vertical="center"/>
    </xf>
    <xf numFmtId="0" fontId="95" fillId="11" borderId="0" xfId="0" applyFont="1" applyFill="1" applyAlignment="1" applyProtection="1">
      <alignment horizontal="left" vertical="top"/>
      <protection locked="0"/>
    </xf>
    <xf numFmtId="0" fontId="95" fillId="0" borderId="0" xfId="0" applyFont="1" applyAlignment="1" applyProtection="1">
      <alignment horizontal="left" vertical="center" wrapText="1"/>
      <protection locked="0"/>
    </xf>
    <xf numFmtId="0" fontId="95" fillId="11" borderId="0" xfId="0" applyFont="1" applyFill="1" applyAlignment="1" applyProtection="1">
      <alignment horizontal="left" vertical="center" wrapText="1"/>
      <protection locked="0"/>
    </xf>
    <xf numFmtId="0" fontId="95" fillId="0" borderId="0" xfId="0" applyFont="1" applyAlignment="1" applyProtection="1">
      <alignment horizontal="left" vertical="center"/>
      <protection locked="0"/>
    </xf>
    <xf numFmtId="0" fontId="95" fillId="11" borderId="0" xfId="0" applyFont="1" applyFill="1" applyAlignment="1" applyProtection="1">
      <alignment horizontal="left" vertical="center"/>
      <protection locked="0"/>
    </xf>
    <xf numFmtId="0" fontId="96" fillId="11" borderId="0" xfId="0" applyFont="1" applyFill="1" applyAlignment="1" applyProtection="1">
      <alignment horizontal="left" vertical="center"/>
      <protection locked="0"/>
    </xf>
    <xf numFmtId="0" fontId="96" fillId="0" borderId="25" xfId="0" applyFont="1" applyBorder="1" applyAlignment="1" applyProtection="1">
      <alignment horizontal="left" vertical="center"/>
      <protection locked="0"/>
    </xf>
    <xf numFmtId="0" fontId="28" fillId="0" borderId="0" xfId="0" applyFont="1" applyProtection="1">
      <alignment vertical="center"/>
      <protection locked="0"/>
    </xf>
    <xf numFmtId="0" fontId="96" fillId="11" borderId="0" xfId="0" applyFont="1" applyFill="1" applyAlignment="1" applyProtection="1">
      <alignment horizontal="left" vertical="center" wrapText="1"/>
      <protection locked="0"/>
    </xf>
    <xf numFmtId="0" fontId="98" fillId="0" borderId="0" xfId="0" applyFont="1" applyAlignment="1" applyProtection="1">
      <alignment horizontal="left" vertical="center"/>
      <protection locked="0"/>
    </xf>
    <xf numFmtId="0" fontId="28" fillId="0" borderId="0" xfId="0" applyFont="1">
      <alignment vertical="center"/>
    </xf>
    <xf numFmtId="177" fontId="96" fillId="0" borderId="21" xfId="0" applyNumberFormat="1" applyFont="1" applyBorder="1" applyAlignment="1" applyProtection="1">
      <alignment horizontal="left" vertical="center"/>
      <protection locked="0"/>
    </xf>
    <xf numFmtId="177" fontId="96" fillId="11" borderId="21" xfId="0" applyNumberFormat="1" applyFont="1" applyFill="1" applyBorder="1" applyAlignment="1" applyProtection="1">
      <alignment horizontal="left" vertical="center"/>
      <protection locked="0"/>
    </xf>
    <xf numFmtId="177" fontId="96" fillId="11" borderId="23" xfId="0" applyNumberFormat="1" applyFont="1" applyFill="1" applyBorder="1" applyAlignment="1" applyProtection="1">
      <alignment horizontal="left" vertical="center"/>
      <protection locked="0"/>
    </xf>
    <xf numFmtId="49" fontId="96" fillId="11" borderId="0" xfId="0" applyNumberFormat="1" applyFont="1" applyFill="1" applyAlignment="1" applyProtection="1">
      <alignment horizontal="left" vertical="center"/>
      <protection locked="0"/>
    </xf>
    <xf numFmtId="0" fontId="96" fillId="11" borderId="25" xfId="0" applyFont="1" applyFill="1" applyBorder="1" applyAlignment="1" applyProtection="1">
      <alignment horizontal="left" vertical="center"/>
      <protection locked="0"/>
    </xf>
    <xf numFmtId="0" fontId="0" fillId="0" borderId="0" xfId="0" applyProtection="1">
      <alignment vertical="center"/>
      <protection locked="0"/>
    </xf>
    <xf numFmtId="0" fontId="74" fillId="0" borderId="0" xfId="0" applyFont="1">
      <alignment vertical="center"/>
    </xf>
    <xf numFmtId="0" fontId="95" fillId="0" borderId="0" xfId="0" applyFont="1">
      <alignment vertical="center"/>
    </xf>
    <xf numFmtId="0" fontId="33" fillId="5" borderId="21" xfId="0" applyFont="1" applyFill="1" applyBorder="1" applyAlignment="1">
      <alignment horizontal="center" vertical="center"/>
    </xf>
    <xf numFmtId="0" fontId="27" fillId="0" borderId="0" xfId="0" applyFont="1">
      <alignment vertical="center"/>
    </xf>
    <xf numFmtId="0" fontId="99" fillId="0" borderId="0" xfId="0" applyFont="1">
      <alignment vertical="center"/>
    </xf>
    <xf numFmtId="0" fontId="33" fillId="11" borderId="0" xfId="0" applyFont="1" applyFill="1" applyAlignment="1" applyProtection="1">
      <alignment horizontal="left" vertical="center"/>
      <protection locked="0"/>
    </xf>
    <xf numFmtId="0" fontId="33" fillId="11" borderId="21" xfId="0" applyFont="1" applyFill="1" applyBorder="1" applyAlignment="1" applyProtection="1">
      <alignment horizontal="left" vertical="center"/>
      <protection locked="0"/>
    </xf>
    <xf numFmtId="0" fontId="96" fillId="0" borderId="0" xfId="0" applyFont="1" applyAlignment="1">
      <alignment horizontal="left" vertical="center"/>
    </xf>
    <xf numFmtId="0" fontId="33" fillId="0" borderId="0" xfId="0" applyFont="1" applyAlignment="1" applyProtection="1">
      <alignment horizontal="left" vertical="center"/>
      <protection locked="0"/>
    </xf>
    <xf numFmtId="49" fontId="96" fillId="0" borderId="0" xfId="0" applyNumberFormat="1" applyFont="1" applyAlignment="1" applyProtection="1">
      <alignment horizontal="left" vertical="center"/>
      <protection locked="0"/>
    </xf>
    <xf numFmtId="0" fontId="98" fillId="11" borderId="0" xfId="0" applyFont="1" applyFill="1" applyAlignment="1" applyProtection="1">
      <alignment horizontal="left" vertical="center"/>
      <protection locked="0"/>
    </xf>
    <xf numFmtId="0" fontId="98" fillId="11" borderId="21" xfId="0" applyFont="1" applyFill="1" applyBorder="1" applyAlignment="1" applyProtection="1">
      <alignment horizontal="left" vertical="center"/>
      <protection locked="0"/>
    </xf>
    <xf numFmtId="0" fontId="98" fillId="5" borderId="21" xfId="0" applyFont="1" applyFill="1" applyBorder="1" applyAlignment="1">
      <alignment horizontal="center" vertical="center"/>
    </xf>
    <xf numFmtId="0" fontId="96" fillId="0" borderId="20" xfId="0" applyFont="1" applyBorder="1" applyAlignment="1">
      <alignment horizontal="center" vertical="center" wrapText="1"/>
    </xf>
    <xf numFmtId="0" fontId="29" fillId="0" borderId="0" xfId="0" applyFont="1" applyAlignment="1">
      <alignment vertical="center" wrapText="1"/>
    </xf>
    <xf numFmtId="0" fontId="100" fillId="11" borderId="21" xfId="0" applyFont="1" applyFill="1" applyBorder="1" applyAlignment="1" applyProtection="1">
      <alignment horizontal="left" vertical="center"/>
      <protection locked="0"/>
    </xf>
    <xf numFmtId="0" fontId="100" fillId="0" borderId="21" xfId="0" applyFont="1" applyBorder="1" applyAlignment="1" applyProtection="1">
      <alignment horizontal="left" vertical="center"/>
      <protection locked="0"/>
    </xf>
    <xf numFmtId="0" fontId="33" fillId="0" borderId="21" xfId="0" applyFont="1" applyBorder="1" applyAlignment="1" applyProtection="1">
      <alignment horizontal="left" vertical="center"/>
      <protection locked="0"/>
    </xf>
    <xf numFmtId="0" fontId="43" fillId="11" borderId="0" xfId="0" applyFont="1" applyFill="1" applyAlignment="1" applyProtection="1">
      <alignment horizontal="left" vertical="center" wrapText="1"/>
      <protection locked="0"/>
    </xf>
    <xf numFmtId="0" fontId="101" fillId="0" borderId="0" xfId="0" applyFont="1" applyAlignment="1">
      <alignment horizontal="center" vertical="center"/>
    </xf>
    <xf numFmtId="0" fontId="102" fillId="0" borderId="0" xfId="0" applyFont="1" applyAlignment="1">
      <alignment horizontal="center" vertical="center"/>
    </xf>
    <xf numFmtId="0" fontId="104" fillId="11" borderId="20" xfId="0" applyFont="1" applyFill="1" applyBorder="1" applyAlignment="1">
      <alignment horizontal="center" vertical="center"/>
    </xf>
    <xf numFmtId="0" fontId="104" fillId="11" borderId="0" xfId="0" applyFont="1" applyFill="1" applyAlignment="1">
      <alignment horizontal="center" vertical="center"/>
    </xf>
    <xf numFmtId="0" fontId="102" fillId="0" borderId="99" xfId="0" applyFont="1" applyBorder="1" applyAlignment="1">
      <alignment horizontal="center" vertical="center"/>
    </xf>
    <xf numFmtId="0" fontId="105" fillId="0" borderId="0" xfId="0" applyFont="1">
      <alignment vertical="center"/>
    </xf>
    <xf numFmtId="0" fontId="105" fillId="0" borderId="99" xfId="0" applyFont="1" applyBorder="1">
      <alignment vertical="center"/>
    </xf>
    <xf numFmtId="0" fontId="105" fillId="0" borderId="100" xfId="0" applyFont="1" applyBorder="1">
      <alignment vertical="center"/>
    </xf>
    <xf numFmtId="0" fontId="105" fillId="0" borderId="101" xfId="0" applyFont="1" applyBorder="1">
      <alignment vertical="center"/>
    </xf>
    <xf numFmtId="0" fontId="105" fillId="0" borderId="0" xfId="0" applyFont="1" applyAlignment="1">
      <alignment vertical="center" wrapText="1"/>
    </xf>
    <xf numFmtId="0" fontId="105" fillId="0" borderId="99" xfId="0" applyFont="1" applyBorder="1" applyAlignment="1">
      <alignment vertical="center" wrapText="1"/>
    </xf>
    <xf numFmtId="0" fontId="105" fillId="0" borderId="102" xfId="0" applyFont="1" applyBorder="1" applyAlignment="1">
      <alignment vertical="center" wrapText="1"/>
    </xf>
    <xf numFmtId="0" fontId="105" fillId="0" borderId="103" xfId="0" applyFont="1" applyBorder="1" applyAlignment="1">
      <alignment vertical="center" wrapText="1"/>
    </xf>
    <xf numFmtId="0" fontId="107" fillId="0" borderId="0" xfId="0" applyFont="1" applyAlignment="1">
      <alignment vertical="center" wrapText="1"/>
    </xf>
    <xf numFmtId="0" fontId="102" fillId="0" borderId="104" xfId="0" applyFont="1" applyBorder="1" applyAlignment="1">
      <alignment horizontal="center" vertical="center"/>
    </xf>
    <xf numFmtId="0" fontId="102" fillId="0" borderId="105" xfId="0" applyFont="1" applyBorder="1" applyAlignment="1">
      <alignment horizontal="center" vertical="center"/>
    </xf>
    <xf numFmtId="0" fontId="102" fillId="0" borderId="106" xfId="0" applyFont="1" applyBorder="1" applyAlignment="1">
      <alignment horizontal="center" vertical="center"/>
    </xf>
    <xf numFmtId="0" fontId="102" fillId="0" borderId="107" xfId="0" applyFont="1" applyBorder="1" applyAlignment="1">
      <alignment horizontal="center" vertical="center"/>
    </xf>
    <xf numFmtId="0" fontId="107" fillId="0" borderId="108" xfId="0" applyFont="1" applyBorder="1" applyAlignment="1">
      <alignment vertical="center" wrapText="1"/>
    </xf>
    <xf numFmtId="0" fontId="107" fillId="0" borderId="109" xfId="0" applyFont="1" applyBorder="1" applyAlignment="1">
      <alignment vertical="center" wrapText="1"/>
    </xf>
    <xf numFmtId="0" fontId="102" fillId="0" borderId="110" xfId="0" applyFont="1" applyBorder="1" applyAlignment="1">
      <alignment horizontal="center" vertical="center"/>
    </xf>
    <xf numFmtId="0" fontId="102" fillId="0" borderId="111" xfId="0" applyFont="1" applyBorder="1" applyAlignment="1">
      <alignment horizontal="center" vertical="center"/>
    </xf>
    <xf numFmtId="0" fontId="102" fillId="0" borderId="0" xfId="0" applyFont="1">
      <alignment vertical="center"/>
    </xf>
    <xf numFmtId="0" fontId="102" fillId="0" borderId="112" xfId="0" applyFont="1" applyBorder="1">
      <alignment vertical="center"/>
    </xf>
    <xf numFmtId="0" fontId="102" fillId="0" borderId="113" xfId="0" applyFont="1" applyBorder="1" applyAlignment="1">
      <alignment horizontal="center" vertical="center"/>
    </xf>
    <xf numFmtId="0" fontId="102" fillId="0" borderId="112" xfId="0" applyFont="1" applyBorder="1" applyAlignment="1">
      <alignment horizontal="center" vertical="center"/>
    </xf>
    <xf numFmtId="0" fontId="105" fillId="0" borderId="114" xfId="0" applyFont="1" applyBorder="1">
      <alignment vertical="center"/>
    </xf>
    <xf numFmtId="0" fontId="105" fillId="0" borderId="115" xfId="0" applyFont="1" applyBorder="1">
      <alignment vertical="center"/>
    </xf>
    <xf numFmtId="0" fontId="105" fillId="0" borderId="116" xfId="0" applyFont="1" applyBorder="1">
      <alignment vertical="center"/>
    </xf>
    <xf numFmtId="0" fontId="105" fillId="0" borderId="112" xfId="0" applyFont="1" applyBorder="1">
      <alignment vertical="center"/>
    </xf>
    <xf numFmtId="0" fontId="105" fillId="0" borderId="110" xfId="0" applyFont="1" applyBorder="1">
      <alignment vertical="center"/>
    </xf>
    <xf numFmtId="0" fontId="105" fillId="0" borderId="117" xfId="0" applyFont="1" applyBorder="1">
      <alignment vertical="center"/>
    </xf>
    <xf numFmtId="0" fontId="102" fillId="0" borderId="117" xfId="0" applyFont="1" applyBorder="1" applyAlignment="1">
      <alignment horizontal="center" vertical="center"/>
    </xf>
    <xf numFmtId="0" fontId="107" fillId="0" borderId="118" xfId="0" applyFont="1" applyBorder="1" applyAlignment="1">
      <alignment vertical="center" wrapText="1"/>
    </xf>
    <xf numFmtId="0" fontId="102" fillId="0" borderId="123" xfId="0" applyFont="1" applyBorder="1" applyAlignment="1">
      <alignment horizontal="center" vertical="center"/>
    </xf>
    <xf numFmtId="0" fontId="102" fillId="0" borderId="124" xfId="0" applyFont="1" applyBorder="1" applyAlignment="1">
      <alignment horizontal="center" vertical="center"/>
    </xf>
    <xf numFmtId="0" fontId="102" fillId="0" borderId="0" xfId="0" applyFont="1" applyAlignment="1">
      <alignment vertical="center" wrapText="1"/>
    </xf>
    <xf numFmtId="0" fontId="102" fillId="0" borderId="124" xfId="0" applyFont="1" applyBorder="1" applyAlignment="1">
      <alignment vertical="center" wrapText="1"/>
    </xf>
    <xf numFmtId="0" fontId="102" fillId="0" borderId="125" xfId="0" applyFont="1" applyBorder="1" applyAlignment="1">
      <alignment horizontal="center" vertical="center"/>
    </xf>
    <xf numFmtId="0" fontId="102" fillId="0" borderId="126" xfId="0" applyFont="1" applyBorder="1" applyAlignment="1">
      <alignment horizontal="center" vertical="center"/>
    </xf>
    <xf numFmtId="0" fontId="101" fillId="0" borderId="0" xfId="0" applyFont="1" applyAlignment="1">
      <alignment vertical="center" wrapText="1"/>
    </xf>
    <xf numFmtId="0" fontId="102" fillId="0" borderId="128" xfId="0" applyFont="1" applyBorder="1" applyAlignment="1">
      <alignment horizontal="center" vertical="center"/>
    </xf>
    <xf numFmtId="0" fontId="102" fillId="0" borderId="129" xfId="0" applyFont="1" applyBorder="1" applyAlignment="1">
      <alignment horizontal="center" vertical="center"/>
    </xf>
    <xf numFmtId="0" fontId="102" fillId="0" borderId="130" xfId="0" applyFont="1" applyBorder="1" applyAlignment="1">
      <alignment vertical="center" wrapText="1"/>
    </xf>
    <xf numFmtId="0" fontId="102" fillId="0" borderId="131" xfId="0" applyFont="1" applyBorder="1" applyAlignment="1">
      <alignment horizontal="center" vertical="center"/>
    </xf>
    <xf numFmtId="0" fontId="102" fillId="0" borderId="132" xfId="0" applyFont="1" applyBorder="1" applyAlignment="1">
      <alignment horizontal="center" vertical="center"/>
    </xf>
    <xf numFmtId="0" fontId="105" fillId="0" borderId="0" xfId="0" applyFont="1" applyAlignment="1">
      <alignment horizontal="center" vertical="center"/>
    </xf>
    <xf numFmtId="0" fontId="108" fillId="0" borderId="0" xfId="0" applyFont="1" applyAlignment="1">
      <alignment vertical="center" wrapText="1"/>
    </xf>
    <xf numFmtId="0" fontId="110" fillId="0" borderId="0" xfId="0" applyFont="1" applyAlignment="1">
      <alignment horizontal="center" vertical="center"/>
    </xf>
    <xf numFmtId="0" fontId="59" fillId="11" borderId="21" xfId="0" applyFont="1" applyFill="1" applyBorder="1" applyAlignment="1">
      <alignment horizontal="center" vertical="center"/>
    </xf>
    <xf numFmtId="0" fontId="59" fillId="5" borderId="21" xfId="0" applyFont="1" applyFill="1" applyBorder="1" applyAlignment="1">
      <alignment horizontal="center" vertical="center"/>
    </xf>
    <xf numFmtId="0" fontId="3" fillId="0" borderId="0" xfId="0" applyFont="1">
      <alignment vertical="center"/>
    </xf>
    <xf numFmtId="0" fontId="2" fillId="0" borderId="0" xfId="0" applyFont="1">
      <alignment vertical="center"/>
    </xf>
    <xf numFmtId="0" fontId="115" fillId="0" borderId="0" xfId="0" applyFont="1" applyAlignment="1">
      <alignment vertical="center" wrapText="1"/>
    </xf>
    <xf numFmtId="0" fontId="116" fillId="0" borderId="0" xfId="0" applyFont="1" applyAlignment="1">
      <alignment vertical="center" wrapText="1"/>
    </xf>
    <xf numFmtId="0" fontId="12" fillId="0" borderId="0" xfId="0" applyFont="1" applyAlignment="1">
      <alignment horizontal="left" vertical="center"/>
    </xf>
    <xf numFmtId="0" fontId="95" fillId="0" borderId="0" xfId="0" applyFont="1" applyAlignment="1">
      <alignment vertical="top" wrapText="1"/>
    </xf>
    <xf numFmtId="0" fontId="1" fillId="10" borderId="20" xfId="0" applyFont="1" applyFill="1" applyBorder="1" applyAlignment="1">
      <alignment horizontal="center" vertical="center"/>
    </xf>
    <xf numFmtId="49" fontId="1" fillId="0" borderId="20" xfId="0" applyNumberFormat="1" applyFont="1" applyBorder="1" applyAlignment="1">
      <alignment vertical="top" wrapText="1"/>
    </xf>
    <xf numFmtId="49" fontId="1" fillId="0" borderId="20" xfId="0" applyNumberFormat="1" applyFont="1" applyBorder="1">
      <alignment vertical="center"/>
    </xf>
    <xf numFmtId="49" fontId="1" fillId="0" borderId="0" xfId="0" applyNumberFormat="1" applyFont="1" applyAlignment="1">
      <alignment horizontal="left" vertical="center"/>
    </xf>
    <xf numFmtId="49" fontId="1" fillId="0" borderId="20" xfId="0" applyNumberFormat="1" applyFont="1" applyBorder="1" applyAlignment="1">
      <alignment vertical="center" wrapText="1"/>
    </xf>
    <xf numFmtId="49" fontId="1" fillId="0" borderId="0" xfId="0" applyNumberFormat="1" applyFont="1" applyAlignment="1">
      <alignment horizontal="left" vertical="center" wrapText="1"/>
    </xf>
    <xf numFmtId="49" fontId="1" fillId="0" borderId="20" xfId="0" applyNumberFormat="1" applyFont="1" applyBorder="1" applyAlignment="1">
      <alignment horizontal="left" vertical="center" wrapText="1"/>
    </xf>
    <xf numFmtId="49" fontId="1" fillId="0" borderId="0" xfId="0" applyNumberFormat="1" applyFont="1" applyAlignment="1">
      <alignment vertical="center" wrapText="1"/>
    </xf>
    <xf numFmtId="0" fontId="1" fillId="0" borderId="20" xfId="0" applyFont="1" applyBorder="1" applyAlignment="1">
      <alignment horizontal="center" vertical="center"/>
    </xf>
    <xf numFmtId="0" fontId="119" fillId="0" borderId="0" xfId="0" applyFont="1" applyAlignment="1">
      <alignment vertical="center" wrapText="1"/>
    </xf>
    <xf numFmtId="49" fontId="1" fillId="0" borderId="22" xfId="0" applyNumberFormat="1" applyFont="1" applyBorder="1" applyAlignment="1">
      <alignment vertical="center" wrapText="1"/>
    </xf>
    <xf numFmtId="49" fontId="1" fillId="0" borderId="21" xfId="0" applyNumberFormat="1" applyFont="1" applyBorder="1" applyAlignment="1">
      <alignment horizontal="left" vertical="center"/>
    </xf>
    <xf numFmtId="49" fontId="1" fillId="0" borderId="21" xfId="0" applyNumberFormat="1" applyFont="1" applyBorder="1" applyAlignment="1">
      <alignment horizontal="left" vertical="center" wrapText="1"/>
    </xf>
    <xf numFmtId="49" fontId="1" fillId="0" borderId="21" xfId="0" applyNumberFormat="1" applyFont="1" applyBorder="1" applyAlignment="1">
      <alignment vertical="center" wrapText="1"/>
    </xf>
    <xf numFmtId="0" fontId="1" fillId="0" borderId="21" xfId="0" applyFont="1" applyBorder="1" applyAlignment="1">
      <alignment horizontal="center" vertical="center"/>
    </xf>
    <xf numFmtId="0" fontId="121" fillId="0" borderId="0" xfId="0" applyFont="1">
      <alignment vertical="center"/>
    </xf>
    <xf numFmtId="0" fontId="87" fillId="0" borderId="0" xfId="0" applyFont="1" applyAlignment="1">
      <alignment vertical="center" wrapText="1"/>
    </xf>
    <xf numFmtId="0" fontId="124" fillId="0" borderId="0" xfId="0" applyFont="1">
      <alignment vertical="center"/>
    </xf>
    <xf numFmtId="0" fontId="123" fillId="0" borderId="0" xfId="0" applyFont="1">
      <alignment vertical="center"/>
    </xf>
    <xf numFmtId="0" fontId="10" fillId="0" borderId="0" xfId="0" applyFont="1" applyAlignment="1">
      <alignment vertical="center" wrapText="1"/>
    </xf>
    <xf numFmtId="0" fontId="25" fillId="0" borderId="0" xfId="0" applyFont="1">
      <alignment vertical="center"/>
    </xf>
    <xf numFmtId="0" fontId="15" fillId="0" borderId="39" xfId="0" applyFont="1" applyBorder="1">
      <alignment vertical="center"/>
    </xf>
    <xf numFmtId="0" fontId="15" fillId="0" borderId="20" xfId="0" applyFont="1" applyBorder="1">
      <alignment vertical="center"/>
    </xf>
    <xf numFmtId="0" fontId="15" fillId="0" borderId="46" xfId="0" applyFont="1" applyBorder="1">
      <alignment vertical="center"/>
    </xf>
    <xf numFmtId="0" fontId="15" fillId="0" borderId="22" xfId="0" applyFont="1" applyBorder="1">
      <alignment vertical="center"/>
    </xf>
    <xf numFmtId="0" fontId="11" fillId="0" borderId="0" xfId="0" applyFont="1" applyAlignment="1">
      <alignment horizontal="left"/>
    </xf>
    <xf numFmtId="0" fontId="16" fillId="0" borderId="0" xfId="0" applyFont="1" applyAlignment="1">
      <alignment horizontal="left" vertical="center"/>
    </xf>
    <xf numFmtId="0" fontId="16" fillId="54" borderId="0" xfId="0" applyFont="1" applyFill="1" applyAlignment="1">
      <alignment horizontal="left" vertical="center"/>
    </xf>
    <xf numFmtId="0" fontId="16" fillId="0" borderId="149" xfId="0" applyFont="1" applyBorder="1" applyAlignment="1">
      <alignment horizontal="left" vertical="center"/>
    </xf>
    <xf numFmtId="0" fontId="16" fillId="0" borderId="17" xfId="0" applyFont="1" applyBorder="1" applyAlignment="1">
      <alignment horizontal="left" vertical="center"/>
    </xf>
    <xf numFmtId="0" fontId="16" fillId="54" borderId="16" xfId="0" applyFont="1" applyFill="1" applyBorder="1" applyAlignment="1">
      <alignment horizontal="left" vertical="center"/>
    </xf>
    <xf numFmtId="0" fontId="16" fillId="0" borderId="24" xfId="0" applyFont="1" applyBorder="1" applyAlignment="1">
      <alignment horizontal="left" vertical="center"/>
    </xf>
    <xf numFmtId="0" fontId="16" fillId="0" borderId="9" xfId="0" applyFont="1" applyBorder="1" applyAlignment="1">
      <alignment horizontal="left" vertical="center"/>
    </xf>
    <xf numFmtId="0" fontId="16" fillId="0" borderId="21" xfId="0" applyFont="1" applyBorder="1" applyAlignment="1">
      <alignment horizontal="left" vertical="center"/>
    </xf>
    <xf numFmtId="0" fontId="16" fillId="0" borderId="20" xfId="0" applyFont="1" applyBorder="1" applyAlignment="1">
      <alignment horizontal="left" vertical="center"/>
    </xf>
    <xf numFmtId="0" fontId="16" fillId="0" borderId="77" xfId="0" applyFont="1" applyBorder="1" applyAlignment="1">
      <alignment horizontal="left" vertical="center"/>
    </xf>
    <xf numFmtId="0" fontId="16" fillId="0" borderId="76" xfId="0" applyFont="1" applyBorder="1" applyAlignment="1">
      <alignment horizontal="left" vertical="center"/>
    </xf>
    <xf numFmtId="0" fontId="16" fillId="12" borderId="9" xfId="0" applyFont="1" applyFill="1" applyBorder="1" applyAlignment="1">
      <alignment horizontal="left" vertical="center" wrapText="1"/>
    </xf>
    <xf numFmtId="0" fontId="16" fillId="12" borderId="10" xfId="0" applyFont="1" applyFill="1" applyBorder="1" applyAlignment="1">
      <alignment horizontal="left" vertical="center"/>
    </xf>
    <xf numFmtId="0" fontId="16" fillId="12" borderId="20" xfId="0" applyFont="1" applyFill="1" applyBorder="1" applyAlignment="1">
      <alignment horizontal="left" vertical="center" wrapText="1"/>
    </xf>
    <xf numFmtId="0" fontId="16" fillId="12" borderId="0" xfId="0" applyFont="1" applyFill="1" applyAlignment="1">
      <alignment horizontal="left" vertical="center"/>
    </xf>
    <xf numFmtId="0" fontId="16" fillId="12" borderId="9" xfId="0" applyFont="1" applyFill="1" applyBorder="1" applyAlignment="1">
      <alignment horizontal="left" vertical="center"/>
    </xf>
    <xf numFmtId="0" fontId="16" fillId="12" borderId="21" xfId="0" applyFont="1" applyFill="1" applyBorder="1" applyAlignment="1">
      <alignment horizontal="left" vertical="center"/>
    </xf>
    <xf numFmtId="0" fontId="16" fillId="0" borderId="22" xfId="0" applyFont="1" applyBorder="1" applyAlignment="1">
      <alignment horizontal="left" vertical="center"/>
    </xf>
    <xf numFmtId="0" fontId="16" fillId="0" borderId="25" xfId="0" applyFont="1" applyBorder="1" applyAlignment="1">
      <alignment horizontal="left" vertical="center"/>
    </xf>
    <xf numFmtId="0" fontId="16" fillId="0" borderId="150" xfId="0" applyFont="1" applyBorder="1" applyAlignment="1">
      <alignment horizontal="left" vertical="center"/>
    </xf>
    <xf numFmtId="0" fontId="16" fillId="0" borderId="151" xfId="0" applyFont="1" applyBorder="1" applyAlignment="1">
      <alignment horizontal="left" vertical="center"/>
    </xf>
    <xf numFmtId="0" fontId="16" fillId="0" borderId="152" xfId="0" applyFont="1" applyBorder="1" applyAlignment="1">
      <alignment horizontal="left" vertical="center"/>
    </xf>
    <xf numFmtId="0" fontId="16" fillId="0" borderId="16" xfId="0" applyFont="1" applyBorder="1" applyAlignment="1">
      <alignment horizontal="left" vertical="center"/>
    </xf>
    <xf numFmtId="0" fontId="13" fillId="12" borderId="88" xfId="0" applyFont="1" applyFill="1" applyBorder="1" applyAlignment="1">
      <alignment horizontal="left" vertical="center"/>
    </xf>
    <xf numFmtId="0" fontId="13" fillId="12" borderId="36" xfId="0" applyFont="1" applyFill="1" applyBorder="1" applyAlignment="1">
      <alignment horizontal="left" vertical="center"/>
    </xf>
    <xf numFmtId="0" fontId="13" fillId="0" borderId="88" xfId="0" applyFont="1" applyBorder="1" applyAlignment="1">
      <alignment horizontal="left" vertical="center"/>
    </xf>
    <xf numFmtId="0" fontId="13" fillId="0" borderId="36" xfId="0" applyFont="1" applyBorder="1" applyAlignment="1">
      <alignment horizontal="left" vertical="center"/>
    </xf>
    <xf numFmtId="0" fontId="16" fillId="54" borderId="24" xfId="0" applyFont="1" applyFill="1" applyBorder="1" applyAlignment="1">
      <alignment horizontal="left" vertical="center"/>
    </xf>
    <xf numFmtId="0" fontId="13" fillId="12" borderId="153" xfId="0" applyFont="1" applyFill="1" applyBorder="1" applyAlignment="1">
      <alignment horizontal="left" vertical="center"/>
    </xf>
    <xf numFmtId="0" fontId="13" fillId="12" borderId="154" xfId="0" applyFont="1" applyFill="1" applyBorder="1" applyAlignment="1">
      <alignment horizontal="left" vertical="center"/>
    </xf>
    <xf numFmtId="0" fontId="16" fillId="34" borderId="155" xfId="0" applyFont="1" applyFill="1" applyBorder="1" applyAlignment="1">
      <alignment horizontal="left" vertical="center" wrapText="1"/>
    </xf>
    <xf numFmtId="0" fontId="16" fillId="0" borderId="156" xfId="0" applyFont="1" applyBorder="1" applyAlignment="1">
      <alignment horizontal="left" vertical="center" wrapText="1"/>
    </xf>
    <xf numFmtId="0" fontId="16" fillId="34" borderId="157" xfId="0" applyFont="1" applyFill="1" applyBorder="1" applyAlignment="1" applyProtection="1">
      <alignment horizontal="left" vertical="center" wrapText="1"/>
      <protection locked="0"/>
    </xf>
    <xf numFmtId="0" fontId="16" fillId="0" borderId="71" xfId="0" applyFont="1" applyBorder="1" applyAlignment="1" applyProtection="1">
      <alignment horizontal="left" vertical="center" wrapText="1"/>
      <protection locked="0"/>
    </xf>
    <xf numFmtId="0" fontId="16" fillId="0" borderId="75" xfId="0" applyFont="1" applyBorder="1" applyAlignment="1">
      <alignment horizontal="left" vertical="center"/>
    </xf>
    <xf numFmtId="0" fontId="16" fillId="0" borderId="0" xfId="0" applyFont="1" applyAlignment="1" applyProtection="1">
      <alignment horizontal="left" vertical="center"/>
      <protection locked="0"/>
    </xf>
    <xf numFmtId="0" fontId="13" fillId="0" borderId="16" xfId="0" applyFont="1" applyBorder="1" applyAlignment="1">
      <alignment horizontal="left" vertical="center"/>
    </xf>
    <xf numFmtId="0" fontId="13" fillId="0" borderId="24" xfId="0" applyFont="1" applyBorder="1" applyAlignment="1">
      <alignment horizontal="left" vertical="center"/>
    </xf>
    <xf numFmtId="0" fontId="13" fillId="0" borderId="17" xfId="0" applyFont="1" applyBorder="1" applyAlignment="1">
      <alignment horizontal="left" vertical="center"/>
    </xf>
    <xf numFmtId="0" fontId="13" fillId="0" borderId="20" xfId="0" applyFont="1" applyBorder="1" applyAlignment="1">
      <alignment horizontal="left" vertical="center"/>
    </xf>
    <xf numFmtId="0" fontId="13" fillId="0" borderId="0" xfId="0" applyFont="1" applyAlignment="1">
      <alignment horizontal="left" vertical="center"/>
    </xf>
    <xf numFmtId="0" fontId="13" fillId="0" borderId="21" xfId="0" applyFont="1" applyBorder="1" applyAlignment="1">
      <alignment horizontal="left" vertical="center"/>
    </xf>
    <xf numFmtId="0" fontId="13" fillId="82" borderId="16" xfId="0" applyFont="1" applyFill="1" applyBorder="1" applyAlignment="1">
      <alignment horizontal="left" vertical="center"/>
    </xf>
    <xf numFmtId="0" fontId="13" fillId="82" borderId="24" xfId="0" applyFont="1" applyFill="1" applyBorder="1" applyAlignment="1">
      <alignment horizontal="left" vertical="center"/>
    </xf>
    <xf numFmtId="0" fontId="13" fillId="82" borderId="17" xfId="0" applyFont="1" applyFill="1" applyBorder="1" applyAlignment="1">
      <alignment horizontal="left" vertical="center"/>
    </xf>
    <xf numFmtId="0" fontId="13" fillId="82" borderId="20" xfId="0" applyFont="1" applyFill="1" applyBorder="1" applyAlignment="1">
      <alignment horizontal="left" vertical="center"/>
    </xf>
    <xf numFmtId="0" fontId="13" fillId="82" borderId="0" xfId="0" applyFont="1" applyFill="1" applyAlignment="1">
      <alignment horizontal="left" vertical="center"/>
    </xf>
    <xf numFmtId="0" fontId="13" fillId="82" borderId="21" xfId="0" applyFont="1" applyFill="1" applyBorder="1" applyAlignment="1">
      <alignment horizontal="left" vertical="center"/>
    </xf>
    <xf numFmtId="0" fontId="13" fillId="0" borderId="22" xfId="0" applyFont="1" applyBorder="1" applyAlignment="1">
      <alignment horizontal="left" vertical="center"/>
    </xf>
    <xf numFmtId="0" fontId="13" fillId="0" borderId="25" xfId="0" applyFont="1" applyBorder="1" applyAlignment="1">
      <alignment horizontal="left" vertical="center"/>
    </xf>
    <xf numFmtId="0" fontId="13" fillId="0" borderId="23" xfId="0" applyFont="1" applyBorder="1" applyAlignment="1">
      <alignment horizontal="left" vertical="center"/>
    </xf>
    <xf numFmtId="0" fontId="126" fillId="0" borderId="0" xfId="0" applyFont="1" applyAlignment="1">
      <alignment horizontal="left" vertical="center" wrapText="1"/>
    </xf>
    <xf numFmtId="0" fontId="16" fillId="54" borderId="17" xfId="0" applyFont="1" applyFill="1" applyBorder="1" applyAlignment="1">
      <alignment horizontal="left" vertical="center"/>
    </xf>
    <xf numFmtId="0" fontId="16" fillId="12" borderId="21" xfId="0" applyFont="1" applyFill="1" applyBorder="1" applyAlignment="1">
      <alignment horizontal="left" vertical="center" wrapText="1"/>
    </xf>
    <xf numFmtId="0" fontId="16" fillId="0" borderId="23" xfId="0" applyFont="1" applyBorder="1" applyAlignment="1">
      <alignment horizontal="left" vertical="center"/>
    </xf>
    <xf numFmtId="0" fontId="16" fillId="34" borderId="156" xfId="0" applyFont="1" applyFill="1" applyBorder="1" applyAlignment="1">
      <alignment horizontal="left" vertical="center" wrapText="1"/>
    </xf>
    <xf numFmtId="0" fontId="16" fillId="0" borderId="161" xfId="0" applyFont="1" applyBorder="1" applyAlignment="1">
      <alignment horizontal="left" vertical="center" wrapText="1"/>
    </xf>
    <xf numFmtId="0" fontId="16" fillId="34" borderId="71" xfId="0" applyFont="1" applyFill="1" applyBorder="1" applyAlignment="1" applyProtection="1">
      <alignment horizontal="left" vertical="center" wrapText="1"/>
      <protection locked="0"/>
    </xf>
    <xf numFmtId="0" fontId="16" fillId="0" borderId="162" xfId="0" applyFont="1" applyBorder="1" applyAlignment="1" applyProtection="1">
      <alignment horizontal="left" vertical="center" wrapText="1"/>
      <protection locked="0"/>
    </xf>
    <xf numFmtId="0" fontId="16" fillId="54" borderId="150" xfId="0" applyFont="1" applyFill="1" applyBorder="1" applyAlignment="1">
      <alignment horizontal="left" vertical="center"/>
    </xf>
    <xf numFmtId="0" fontId="15" fillId="54" borderId="16" xfId="6" applyFont="1" applyFill="1" applyBorder="1" applyAlignment="1">
      <alignment horizontal="left" vertical="center"/>
      <protection locked="0"/>
    </xf>
    <xf numFmtId="0" fontId="16" fillId="6" borderId="20" xfId="0" applyFont="1" applyFill="1" applyBorder="1" applyAlignment="1">
      <alignment horizontal="left" vertical="center"/>
    </xf>
    <xf numFmtId="0" fontId="16" fillId="6" borderId="21" xfId="0" applyFont="1" applyFill="1" applyBorder="1" applyAlignment="1">
      <alignment horizontal="left" vertical="center"/>
    </xf>
    <xf numFmtId="0" fontId="10" fillId="12" borderId="20" xfId="6" applyFont="1" applyFill="1" applyBorder="1" applyAlignment="1">
      <alignment horizontal="left" vertical="center"/>
      <protection locked="0"/>
    </xf>
    <xf numFmtId="0" fontId="10" fillId="12" borderId="21" xfId="6" applyFont="1" applyFill="1" applyBorder="1" applyAlignment="1">
      <alignment horizontal="left" vertical="center"/>
      <protection locked="0"/>
    </xf>
    <xf numFmtId="0" fontId="10" fillId="6" borderId="20" xfId="6" applyFont="1" applyFill="1" applyBorder="1" applyAlignment="1">
      <alignment horizontal="left" vertical="center"/>
      <protection locked="0"/>
    </xf>
    <xf numFmtId="0" fontId="10" fillId="0" borderId="21" xfId="6" applyFont="1" applyBorder="1" applyAlignment="1">
      <alignment horizontal="left" vertical="center"/>
      <protection locked="0"/>
    </xf>
    <xf numFmtId="0" fontId="13" fillId="12" borderId="20" xfId="6" applyFont="1" applyFill="1" applyBorder="1" applyAlignment="1">
      <alignment horizontal="left" vertical="center"/>
      <protection locked="0"/>
    </xf>
    <xf numFmtId="0" fontId="13" fillId="0" borderId="21" xfId="6" applyFont="1" applyBorder="1" applyAlignment="1">
      <alignment horizontal="left" vertical="center"/>
      <protection locked="0"/>
    </xf>
    <xf numFmtId="0" fontId="10" fillId="0" borderId="22" xfId="6" applyFont="1" applyBorder="1" applyAlignment="1">
      <alignment horizontal="left" vertical="center"/>
      <protection locked="0"/>
    </xf>
    <xf numFmtId="0" fontId="10" fillId="0" borderId="23" xfId="6" applyFont="1" applyBorder="1" applyAlignment="1">
      <alignment horizontal="left" vertical="center"/>
      <protection locked="0"/>
    </xf>
    <xf numFmtId="0" fontId="13" fillId="0" borderId="0" xfId="0" applyFont="1" applyAlignment="1" applyProtection="1">
      <alignment horizontal="left" vertical="center"/>
      <protection locked="0"/>
    </xf>
    <xf numFmtId="0" fontId="15" fillId="58" borderId="0" xfId="6" applyFont="1" applyFill="1" applyAlignment="1">
      <alignment horizontal="left" vertical="center"/>
      <protection locked="0"/>
    </xf>
    <xf numFmtId="0" fontId="15" fillId="0" borderId="0" xfId="6" applyFont="1" applyAlignment="1">
      <alignment horizontal="left" vertical="center"/>
      <protection locked="0"/>
    </xf>
    <xf numFmtId="0" fontId="10" fillId="0" borderId="0" xfId="6" applyFont="1" applyAlignment="1">
      <alignment horizontal="left" vertical="center"/>
      <protection locked="0"/>
    </xf>
    <xf numFmtId="0" fontId="15" fillId="59" borderId="0" xfId="6" applyFont="1" applyFill="1" applyAlignment="1">
      <alignment horizontal="left" vertical="center"/>
      <protection locked="0"/>
    </xf>
    <xf numFmtId="0" fontId="13" fillId="59" borderId="0" xfId="6" applyFont="1" applyFill="1" applyAlignment="1">
      <alignment horizontal="left" vertical="center"/>
      <protection locked="0"/>
    </xf>
    <xf numFmtId="0" fontId="10" fillId="59" borderId="0" xfId="6" applyFont="1" applyFill="1" applyAlignment="1">
      <alignment horizontal="left" vertical="center"/>
      <protection locked="0"/>
    </xf>
    <xf numFmtId="0" fontId="13" fillId="0" borderId="0" xfId="6" applyFont="1" applyAlignment="1">
      <alignment horizontal="left" vertical="center"/>
      <protection locked="0"/>
    </xf>
    <xf numFmtId="0" fontId="16" fillId="59" borderId="0" xfId="0" applyFont="1" applyFill="1" applyAlignment="1">
      <alignment horizontal="left" vertical="center"/>
    </xf>
    <xf numFmtId="0" fontId="127" fillId="60" borderId="155" xfId="0" applyFont="1" applyFill="1" applyBorder="1" applyAlignment="1">
      <alignment horizontal="left" vertical="center" wrapText="1" readingOrder="1"/>
    </xf>
    <xf numFmtId="0" fontId="16" fillId="60" borderId="156" xfId="0" applyFont="1" applyFill="1" applyBorder="1" applyAlignment="1">
      <alignment horizontal="left" vertical="center"/>
    </xf>
    <xf numFmtId="0" fontId="127" fillId="60" borderId="161" xfId="0" applyFont="1" applyFill="1" applyBorder="1" applyAlignment="1">
      <alignment horizontal="left" vertical="center"/>
    </xf>
    <xf numFmtId="0" fontId="127" fillId="0" borderId="0" xfId="0" applyFont="1" applyAlignment="1">
      <alignment horizontal="left" vertical="center"/>
    </xf>
    <xf numFmtId="0" fontId="103" fillId="59" borderId="148" xfId="0" applyFont="1" applyFill="1" applyBorder="1" applyAlignment="1">
      <alignment horizontal="left" vertical="center" wrapText="1"/>
    </xf>
    <xf numFmtId="0" fontId="103" fillId="0" borderId="1" xfId="0" applyFont="1" applyBorder="1" applyAlignment="1">
      <alignment horizontal="left" vertical="center"/>
    </xf>
    <xf numFmtId="0" fontId="103" fillId="0" borderId="70" xfId="0" applyFont="1" applyBorder="1" applyAlignment="1">
      <alignment horizontal="left" vertical="center"/>
    </xf>
    <xf numFmtId="0" fontId="103" fillId="0" borderId="0" xfId="0" applyFont="1" applyAlignment="1">
      <alignment horizontal="left" vertical="center"/>
    </xf>
    <xf numFmtId="0" fontId="103" fillId="0" borderId="16" xfId="0" applyFont="1" applyBorder="1" applyAlignment="1">
      <alignment horizontal="left" vertical="center"/>
    </xf>
    <xf numFmtId="49" fontId="16" fillId="0" borderId="0" xfId="0" applyNumberFormat="1" applyFont="1" applyAlignment="1">
      <alignment horizontal="left" vertical="center"/>
    </xf>
    <xf numFmtId="0" fontId="103" fillId="0" borderId="20" xfId="0" applyFont="1" applyBorder="1" applyAlignment="1">
      <alignment horizontal="left" vertical="center"/>
    </xf>
    <xf numFmtId="0" fontId="103" fillId="0" borderId="0" xfId="0" applyFont="1" applyAlignment="1" applyProtection="1">
      <alignment horizontal="left" vertical="center" wrapText="1"/>
      <protection locked="0"/>
    </xf>
    <xf numFmtId="0" fontId="103" fillId="59" borderId="157" xfId="0" applyFont="1" applyFill="1" applyBorder="1" applyAlignment="1">
      <alignment horizontal="left" vertical="center" wrapText="1"/>
    </xf>
    <xf numFmtId="0" fontId="103" fillId="0" borderId="71" xfId="0" applyFont="1" applyBorder="1" applyAlignment="1">
      <alignment horizontal="left" vertical="center"/>
    </xf>
    <xf numFmtId="0" fontId="103" fillId="0" borderId="72" xfId="0" applyFont="1" applyBorder="1" applyAlignment="1">
      <alignment horizontal="left" vertical="center"/>
    </xf>
    <xf numFmtId="0" fontId="103" fillId="0" borderId="25" xfId="0" applyFont="1" applyBorder="1" applyAlignment="1">
      <alignment horizontal="left" vertical="center"/>
    </xf>
    <xf numFmtId="0" fontId="103" fillId="0" borderId="22" xfId="0" applyFont="1" applyBorder="1" applyAlignment="1">
      <alignment horizontal="left" vertical="center"/>
    </xf>
    <xf numFmtId="49" fontId="16" fillId="54" borderId="16" xfId="0" applyNumberFormat="1" applyFont="1" applyFill="1" applyBorder="1" applyAlignment="1">
      <alignment horizontal="left" vertical="center"/>
    </xf>
    <xf numFmtId="49" fontId="16" fillId="54" borderId="24" xfId="0" applyNumberFormat="1" applyFont="1" applyFill="1" applyBorder="1" applyAlignment="1">
      <alignment horizontal="left" vertical="center"/>
    </xf>
    <xf numFmtId="49" fontId="16" fillId="54" borderId="17" xfId="0" applyNumberFormat="1" applyFont="1" applyFill="1" applyBorder="1" applyAlignment="1">
      <alignment horizontal="left" vertical="center"/>
    </xf>
    <xf numFmtId="0" fontId="16" fillId="0" borderId="24" xfId="0" applyFont="1" applyBorder="1" applyAlignment="1">
      <alignment horizontal="left" vertical="center" wrapText="1"/>
    </xf>
    <xf numFmtId="49" fontId="16" fillId="0" borderId="22" xfId="0" applyNumberFormat="1" applyFont="1" applyBorder="1" applyAlignment="1">
      <alignment horizontal="left" vertical="center"/>
    </xf>
    <xf numFmtId="177" fontId="16" fillId="0" borderId="21" xfId="0" applyNumberFormat="1" applyFont="1" applyBorder="1" applyAlignment="1" applyProtection="1">
      <alignment horizontal="left" vertical="center"/>
      <protection locked="0"/>
    </xf>
    <xf numFmtId="0" fontId="16" fillId="0" borderId="0" xfId="0" applyFont="1" applyAlignment="1" applyProtection="1">
      <alignment horizontal="left" vertical="center" wrapText="1"/>
      <protection locked="0"/>
    </xf>
    <xf numFmtId="49" fontId="13" fillId="0" borderId="16" xfId="0" applyNumberFormat="1" applyFont="1" applyBorder="1" applyAlignment="1" applyProtection="1">
      <alignment horizontal="left" vertical="center"/>
      <protection locked="0" hidden="1"/>
    </xf>
    <xf numFmtId="49" fontId="13" fillId="0" borderId="20" xfId="0" applyNumberFormat="1" applyFont="1" applyBorder="1" applyAlignment="1" applyProtection="1">
      <alignment horizontal="left" vertical="center"/>
      <protection locked="0" hidden="1"/>
    </xf>
    <xf numFmtId="49" fontId="13" fillId="0" borderId="20" xfId="0" applyNumberFormat="1" applyFont="1" applyBorder="1" applyAlignment="1" applyProtection="1">
      <alignment horizontal="left" vertical="center" wrapText="1"/>
      <protection locked="0" hidden="1"/>
    </xf>
    <xf numFmtId="180" fontId="13" fillId="0" borderId="20" xfId="0" applyNumberFormat="1" applyFont="1" applyBorder="1" applyAlignment="1" applyProtection="1">
      <alignment horizontal="left" vertical="center"/>
      <protection locked="0" hidden="1"/>
    </xf>
    <xf numFmtId="0" fontId="103" fillId="0" borderId="21" xfId="0" applyFont="1" applyBorder="1" applyAlignment="1">
      <alignment horizontal="left" vertical="center"/>
    </xf>
    <xf numFmtId="0" fontId="103" fillId="0" borderId="150" xfId="0" applyFont="1" applyBorder="1" applyAlignment="1">
      <alignment horizontal="left" vertical="center"/>
    </xf>
    <xf numFmtId="0" fontId="103" fillId="0" borderId="151" xfId="0" applyFont="1" applyBorder="1" applyAlignment="1">
      <alignment horizontal="left" vertical="center"/>
    </xf>
    <xf numFmtId="0" fontId="103" fillId="0" borderId="152" xfId="0" applyFont="1" applyBorder="1" applyAlignment="1">
      <alignment horizontal="left" vertical="center"/>
    </xf>
    <xf numFmtId="0" fontId="128" fillId="0" borderId="16" xfId="0" applyFont="1" applyBorder="1" applyAlignment="1">
      <alignment horizontal="left" vertical="center"/>
    </xf>
    <xf numFmtId="0" fontId="103" fillId="0" borderId="24" xfId="0" applyFont="1" applyBorder="1" applyAlignment="1">
      <alignment horizontal="left" vertical="center"/>
    </xf>
    <xf numFmtId="0" fontId="103" fillId="0" borderId="17" xfId="0" applyFont="1" applyBorder="1" applyAlignment="1">
      <alignment horizontal="left" vertical="center"/>
    </xf>
    <xf numFmtId="0" fontId="103" fillId="0" borderId="21" xfId="0" applyFont="1" applyBorder="1" applyAlignment="1" applyProtection="1">
      <alignment horizontal="left" vertical="center" wrapText="1"/>
      <protection locked="0"/>
    </xf>
    <xf numFmtId="0" fontId="103" fillId="0" borderId="23" xfId="0" applyFont="1" applyBorder="1" applyAlignment="1" applyProtection="1">
      <alignment horizontal="left" vertical="center" wrapText="1"/>
      <protection locked="0"/>
    </xf>
    <xf numFmtId="0" fontId="16" fillId="0" borderId="16" xfId="0" applyFont="1" applyBorder="1" applyAlignment="1" applyProtection="1">
      <alignment horizontal="left" vertical="center"/>
      <protection locked="0"/>
    </xf>
    <xf numFmtId="0" fontId="16" fillId="0" borderId="75" xfId="0" applyFont="1" applyBorder="1" applyAlignment="1" applyProtection="1">
      <alignment horizontal="left" vertical="center"/>
      <protection locked="0"/>
    </xf>
    <xf numFmtId="0" fontId="16" fillId="0" borderId="22" xfId="0" applyFont="1" applyBorder="1" applyAlignment="1" applyProtection="1">
      <alignment horizontal="left" vertical="center"/>
      <protection locked="0"/>
    </xf>
    <xf numFmtId="0" fontId="16" fillId="0" borderId="77" xfId="0" applyFont="1" applyBorder="1" applyAlignment="1" applyProtection="1">
      <alignment horizontal="left" vertical="center"/>
      <protection locked="0"/>
    </xf>
    <xf numFmtId="0" fontId="129" fillId="0" borderId="17" xfId="0" applyFont="1" applyBorder="1">
      <alignment vertical="center"/>
    </xf>
    <xf numFmtId="0" fontId="16" fillId="54" borderId="75" xfId="0" applyFont="1" applyFill="1" applyBorder="1" applyAlignment="1">
      <alignment horizontal="left" vertical="center"/>
    </xf>
    <xf numFmtId="0" fontId="16" fillId="0" borderId="166" xfId="0" applyFont="1" applyBorder="1" applyAlignment="1">
      <alignment horizontal="left" vertical="center"/>
    </xf>
    <xf numFmtId="0" fontId="129" fillId="0" borderId="21" xfId="0" applyFont="1" applyBorder="1">
      <alignment vertical="center"/>
    </xf>
    <xf numFmtId="0" fontId="16" fillId="54" borderId="167" xfId="0" applyFont="1" applyFill="1" applyBorder="1" applyAlignment="1">
      <alignment horizontal="left" vertical="center"/>
    </xf>
    <xf numFmtId="0" fontId="16" fillId="12" borderId="168" xfId="0" applyFont="1" applyFill="1" applyBorder="1" applyAlignment="1">
      <alignment horizontal="left" vertical="center"/>
    </xf>
    <xf numFmtId="0" fontId="16" fillId="12" borderId="167" xfId="0" applyFont="1" applyFill="1" applyBorder="1" applyAlignment="1">
      <alignment horizontal="left" vertical="center"/>
    </xf>
    <xf numFmtId="0" fontId="16" fillId="12" borderId="25" xfId="0" applyFont="1" applyFill="1" applyBorder="1" applyAlignment="1">
      <alignment horizontal="left" vertical="center"/>
    </xf>
    <xf numFmtId="0" fontId="16" fillId="0" borderId="150" xfId="0" applyFont="1" applyBorder="1" applyAlignment="1">
      <alignment horizontal="left" vertical="center" wrapText="1"/>
    </xf>
    <xf numFmtId="0" fontId="16" fillId="12" borderId="169" xfId="0" applyFont="1" applyFill="1" applyBorder="1" applyAlignment="1">
      <alignment horizontal="left" vertical="center"/>
    </xf>
    <xf numFmtId="0" fontId="16" fillId="12" borderId="20" xfId="0" applyFont="1" applyFill="1" applyBorder="1" applyAlignment="1">
      <alignment horizontal="left" vertical="center"/>
    </xf>
    <xf numFmtId="0" fontId="16" fillId="12" borderId="171" xfId="0" applyFont="1" applyFill="1" applyBorder="1" applyAlignment="1">
      <alignment horizontal="left" vertical="center"/>
    </xf>
    <xf numFmtId="0" fontId="16" fillId="12" borderId="22" xfId="0" applyFont="1" applyFill="1" applyBorder="1" applyAlignment="1">
      <alignment horizontal="left" vertical="center"/>
    </xf>
    <xf numFmtId="0" fontId="16" fillId="12" borderId="172" xfId="0" applyFont="1" applyFill="1" applyBorder="1" applyAlignment="1">
      <alignment horizontal="left" vertical="center"/>
    </xf>
    <xf numFmtId="0" fontId="16" fillId="12" borderId="150" xfId="0" applyFont="1" applyFill="1" applyBorder="1" applyAlignment="1">
      <alignment horizontal="left" vertical="center"/>
    </xf>
    <xf numFmtId="0" fontId="16" fillId="79" borderId="173" xfId="0" applyFont="1" applyFill="1" applyBorder="1" applyAlignment="1">
      <alignment horizontal="left" vertical="center"/>
    </xf>
    <xf numFmtId="0" fontId="16" fillId="79" borderId="0" xfId="0" applyFont="1" applyFill="1" applyAlignment="1" applyProtection="1">
      <alignment horizontal="left" vertical="center"/>
      <protection locked="0"/>
    </xf>
    <xf numFmtId="0" fontId="16" fillId="0" borderId="173" xfId="0" applyFont="1" applyBorder="1" applyAlignment="1">
      <alignment horizontal="left" vertical="center"/>
    </xf>
    <xf numFmtId="0" fontId="16" fillId="0" borderId="43" xfId="0" applyFont="1" applyBorder="1" applyAlignment="1">
      <alignment horizontal="left" vertical="center"/>
    </xf>
    <xf numFmtId="0" fontId="47" fillId="0" borderId="0" xfId="0" applyFont="1" applyAlignment="1">
      <alignment horizontal="left" vertical="center"/>
    </xf>
    <xf numFmtId="0" fontId="131" fillId="0" borderId="0" xfId="0" applyFont="1" applyAlignment="1">
      <alignment horizontal="left" vertical="center"/>
    </xf>
    <xf numFmtId="0" fontId="16" fillId="12" borderId="75" xfId="0" applyFont="1" applyFill="1" applyBorder="1" applyAlignment="1" applyProtection="1">
      <alignment horizontal="left" vertical="center"/>
      <protection locked="0"/>
    </xf>
    <xf numFmtId="0" fontId="16" fillId="0" borderId="76" xfId="0" applyFont="1" applyBorder="1" applyAlignment="1" applyProtection="1">
      <alignment horizontal="left" vertical="center"/>
      <protection locked="0"/>
    </xf>
    <xf numFmtId="0" fontId="16" fillId="12" borderId="76" xfId="0" applyFont="1" applyFill="1" applyBorder="1" applyAlignment="1" applyProtection="1">
      <alignment horizontal="left" vertical="center"/>
      <protection locked="0"/>
    </xf>
    <xf numFmtId="0" fontId="16" fillId="0" borderId="43" xfId="0" applyFont="1" applyBorder="1" applyAlignment="1" applyProtection="1">
      <alignment horizontal="left" vertical="center"/>
      <protection locked="0"/>
    </xf>
    <xf numFmtId="0" fontId="16" fillId="12" borderId="43" xfId="0" applyFont="1" applyFill="1" applyBorder="1" applyAlignment="1" applyProtection="1">
      <alignment horizontal="left" vertical="center"/>
      <protection locked="0"/>
    </xf>
    <xf numFmtId="0" fontId="16" fillId="6" borderId="0" xfId="0" applyFont="1" applyFill="1" applyAlignment="1">
      <alignment horizontal="left" vertical="center"/>
    </xf>
    <xf numFmtId="0" fontId="16" fillId="0" borderId="20" xfId="0" applyFont="1" applyBorder="1" applyAlignment="1" applyProtection="1">
      <alignment horizontal="left" vertical="center"/>
      <protection locked="0"/>
    </xf>
    <xf numFmtId="0" fontId="16" fillId="79" borderId="0" xfId="0" applyFont="1" applyFill="1" applyAlignment="1">
      <alignment horizontal="left" vertical="center"/>
    </xf>
    <xf numFmtId="0" fontId="97" fillId="0" borderId="0" xfId="0" applyFont="1" applyAlignment="1" applyProtection="1">
      <alignment horizontal="left" vertical="center"/>
      <protection locked="0"/>
    </xf>
    <xf numFmtId="0" fontId="1" fillId="0" borderId="0" xfId="0" applyFont="1" applyAlignment="1" applyProtection="1">
      <alignment horizontal="left" vertical="center"/>
      <protection locked="0"/>
    </xf>
    <xf numFmtId="0" fontId="21" fillId="0" borderId="0" xfId="0" applyFont="1" applyAlignment="1" applyProtection="1">
      <alignment horizontal="left" vertical="center"/>
      <protection locked="0"/>
    </xf>
    <xf numFmtId="0" fontId="19" fillId="0" borderId="0" xfId="0" applyFont="1" applyAlignment="1" applyProtection="1">
      <alignment horizontal="left" vertical="center"/>
      <protection locked="0"/>
    </xf>
    <xf numFmtId="0" fontId="16" fillId="0" borderId="174" xfId="0" applyFont="1" applyBorder="1" applyAlignment="1">
      <alignment horizontal="left" vertical="center"/>
    </xf>
    <xf numFmtId="0" fontId="16" fillId="0" borderId="14" xfId="0" applyFont="1" applyBorder="1" applyAlignment="1">
      <alignment horizontal="left" vertical="center"/>
    </xf>
    <xf numFmtId="0" fontId="16" fillId="0" borderId="10" xfId="0" applyFont="1" applyBorder="1" applyAlignment="1">
      <alignment horizontal="left" vertical="center"/>
    </xf>
    <xf numFmtId="0" fontId="16" fillId="0" borderId="11" xfId="0" applyFont="1" applyBorder="1" applyAlignment="1">
      <alignment horizontal="left" vertical="center"/>
    </xf>
    <xf numFmtId="0" fontId="16" fillId="0" borderId="42" xfId="0" applyFont="1" applyBorder="1" applyAlignment="1">
      <alignment horizontal="left" vertical="center"/>
    </xf>
    <xf numFmtId="0" fontId="16" fillId="0" borderId="175" xfId="0" applyFont="1" applyBorder="1" applyAlignment="1">
      <alignment horizontal="left" vertical="center"/>
    </xf>
    <xf numFmtId="0" fontId="96" fillId="0" borderId="0" xfId="0" applyFont="1" applyAlignment="1">
      <alignment horizontal="left" vertical="center" wrapText="1"/>
    </xf>
    <xf numFmtId="0" fontId="7" fillId="0" borderId="0" xfId="0" applyFont="1" applyAlignment="1" applyProtection="1">
      <alignment horizontal="left" vertical="center"/>
      <protection locked="0"/>
    </xf>
    <xf numFmtId="0" fontId="3" fillId="0" borderId="0" xfId="0" applyFont="1" applyAlignment="1" applyProtection="1">
      <alignment horizontal="left" vertical="center"/>
      <protection locked="0"/>
    </xf>
    <xf numFmtId="0" fontId="3" fillId="0" borderId="0" xfId="0" applyFont="1" applyAlignment="1" applyProtection="1">
      <alignment horizontal="left"/>
      <protection locked="0"/>
    </xf>
    <xf numFmtId="0" fontId="1" fillId="0" borderId="0" xfId="0" applyFont="1" applyAlignment="1" applyProtection="1">
      <alignment horizontal="left" vertical="top"/>
      <protection locked="0"/>
    </xf>
    <xf numFmtId="0" fontId="16" fillId="0" borderId="0" xfId="0" applyFont="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83" fillId="0" borderId="0" xfId="6" applyFont="1" applyAlignment="1">
      <alignment horizontal="left" vertical="center"/>
      <protection locked="0"/>
    </xf>
    <xf numFmtId="0" fontId="1" fillId="0" borderId="16" xfId="0" applyFont="1" applyBorder="1" applyAlignment="1" applyProtection="1">
      <alignment horizontal="left" vertical="center"/>
      <protection locked="0" hidden="1"/>
    </xf>
    <xf numFmtId="0" fontId="1" fillId="0" borderId="24" xfId="0" applyFont="1" applyBorder="1" applyAlignment="1" applyProtection="1">
      <alignment horizontal="left" vertical="center"/>
      <protection locked="0"/>
    </xf>
    <xf numFmtId="0" fontId="16" fillId="0" borderId="20" xfId="0" applyFont="1" applyBorder="1" applyAlignment="1" applyProtection="1">
      <alignment horizontal="left"/>
      <protection locked="0"/>
    </xf>
    <xf numFmtId="0" fontId="28" fillId="0" borderId="0" xfId="6" applyAlignment="1">
      <alignment horizontal="left" vertical="center"/>
      <protection locked="0"/>
    </xf>
    <xf numFmtId="0" fontId="97" fillId="0" borderId="21" xfId="0" applyFont="1" applyBorder="1" applyAlignment="1" applyProtection="1">
      <alignment horizontal="left" vertical="center"/>
      <protection locked="0"/>
    </xf>
    <xf numFmtId="0" fontId="29" fillId="0" borderId="0" xfId="0" applyFont="1" applyAlignment="1">
      <alignment horizontal="left" vertical="center"/>
    </xf>
    <xf numFmtId="0" fontId="28" fillId="0" borderId="16" xfId="0" applyFont="1" applyBorder="1" applyAlignment="1">
      <alignment horizontal="left" vertical="center"/>
    </xf>
    <xf numFmtId="0" fontId="28" fillId="0" borderId="20" xfId="0" applyFont="1" applyBorder="1" applyAlignment="1">
      <alignment horizontal="left" vertical="center"/>
    </xf>
    <xf numFmtId="0" fontId="16" fillId="0" borderId="176" xfId="0" applyFont="1" applyBorder="1" applyAlignment="1">
      <alignment horizontal="left" vertical="center"/>
    </xf>
    <xf numFmtId="0" fontId="28" fillId="0" borderId="24" xfId="0" applyFont="1" applyBorder="1" applyAlignment="1">
      <alignment horizontal="left" vertical="center"/>
    </xf>
    <xf numFmtId="0" fontId="28" fillId="0" borderId="0" xfId="0" applyFont="1" applyAlignment="1">
      <alignment horizontal="left" vertical="center"/>
    </xf>
    <xf numFmtId="180" fontId="13" fillId="0" borderId="0" xfId="0" applyNumberFormat="1" applyFont="1" applyAlignment="1" applyProtection="1">
      <alignment horizontal="left" vertical="center" wrapText="1"/>
      <protection locked="0" hidden="1"/>
    </xf>
    <xf numFmtId="0" fontId="133" fillId="0" borderId="0" xfId="0" applyFont="1" applyAlignment="1">
      <alignment horizontal="left" vertical="center"/>
    </xf>
    <xf numFmtId="0" fontId="13" fillId="0" borderId="0" xfId="0" applyFont="1" applyAlignment="1" applyProtection="1">
      <alignment horizontal="left" vertical="center" wrapText="1"/>
      <protection locked="0"/>
    </xf>
    <xf numFmtId="0" fontId="1" fillId="0" borderId="0" xfId="0" applyFont="1" applyAlignment="1" applyProtection="1">
      <alignment horizontal="left" vertical="center"/>
      <protection locked="0" hidden="1"/>
    </xf>
    <xf numFmtId="0" fontId="16" fillId="0" borderId="0" xfId="0" applyFont="1" applyAlignment="1" applyProtection="1">
      <alignment horizontal="left" vertical="top"/>
      <protection locked="0"/>
    </xf>
    <xf numFmtId="0" fontId="97" fillId="0" borderId="0" xfId="0" applyFont="1" applyAlignment="1" applyProtection="1">
      <alignment horizontal="left" vertical="top"/>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center" wrapText="1"/>
      <protection locked="0"/>
    </xf>
    <xf numFmtId="0" fontId="97" fillId="0" borderId="0" xfId="0" applyFont="1" applyAlignment="1" applyProtection="1">
      <alignment horizontal="left" vertical="center" wrapText="1"/>
      <protection locked="0"/>
    </xf>
    <xf numFmtId="0" fontId="97" fillId="0" borderId="0" xfId="0" applyFont="1" applyAlignment="1" applyProtection="1">
      <alignment horizontal="left" vertical="top" wrapText="1"/>
      <protection locked="0"/>
    </xf>
    <xf numFmtId="0" fontId="104" fillId="0" borderId="0" xfId="0" applyFont="1" applyAlignment="1">
      <alignment horizontal="left" vertical="center"/>
    </xf>
    <xf numFmtId="0" fontId="16" fillId="0" borderId="177" xfId="0" applyFont="1" applyBorder="1" applyAlignment="1">
      <alignment horizontal="left" vertical="center"/>
    </xf>
    <xf numFmtId="0" fontId="133" fillId="0" borderId="0" xfId="0" applyFont="1" applyAlignment="1">
      <alignment horizontal="left" vertical="center" wrapText="1"/>
    </xf>
    <xf numFmtId="0" fontId="16" fillId="0" borderId="177" xfId="0" applyFont="1" applyBorder="1" applyAlignment="1">
      <alignment horizontal="left" vertical="center" wrapText="1"/>
    </xf>
    <xf numFmtId="0" fontId="126" fillId="0" borderId="178" xfId="0" applyFont="1" applyBorder="1" applyAlignment="1">
      <alignment horizontal="left" vertical="center" wrapText="1"/>
    </xf>
    <xf numFmtId="0" fontId="126" fillId="0" borderId="93" xfId="0" applyFont="1" applyBorder="1" applyAlignment="1">
      <alignment horizontal="left" vertical="center" wrapText="1"/>
    </xf>
    <xf numFmtId="0" fontId="129" fillId="0" borderId="0" xfId="0" applyFont="1" applyAlignment="1">
      <alignment vertical="center" wrapText="1"/>
    </xf>
    <xf numFmtId="0" fontId="54" fillId="0" borderId="0" xfId="0" applyFont="1" applyAlignment="1">
      <alignment horizontal="left" vertical="center"/>
    </xf>
    <xf numFmtId="0" fontId="126" fillId="0" borderId="87" xfId="0" applyFont="1" applyBorder="1" applyAlignment="1">
      <alignment horizontal="left" vertical="center" wrapText="1"/>
    </xf>
    <xf numFmtId="0" fontId="126" fillId="0" borderId="84" xfId="0" applyFont="1" applyBorder="1" applyAlignment="1">
      <alignment horizontal="left" vertical="center" wrapText="1"/>
    </xf>
    <xf numFmtId="0" fontId="16" fillId="0" borderId="17" xfId="0" applyFont="1" applyBorder="1" applyAlignment="1">
      <alignment horizontal="left" vertical="center" wrapText="1"/>
    </xf>
    <xf numFmtId="0" fontId="59" fillId="0" borderId="75" xfId="0" applyFont="1" applyBorder="1" applyAlignment="1">
      <alignment horizontal="left" vertical="center"/>
    </xf>
    <xf numFmtId="0" fontId="59" fillId="0" borderId="76" xfId="0" applyFont="1" applyBorder="1" applyAlignment="1">
      <alignment horizontal="left" vertical="center"/>
    </xf>
    <xf numFmtId="0" fontId="134" fillId="0" borderId="0" xfId="0" applyFont="1" applyAlignment="1">
      <alignment horizontal="left" vertical="center"/>
    </xf>
    <xf numFmtId="0" fontId="59" fillId="0" borderId="0" xfId="0" applyFont="1" applyAlignment="1">
      <alignment horizontal="left" vertical="center"/>
    </xf>
    <xf numFmtId="179" fontId="24" fillId="0" borderId="0" xfId="0" applyNumberFormat="1" applyFont="1" applyAlignment="1">
      <alignment horizontal="left" vertical="center"/>
    </xf>
    <xf numFmtId="49" fontId="16" fillId="0" borderId="25" xfId="0" applyNumberFormat="1" applyFont="1" applyBorder="1" applyAlignment="1">
      <alignment horizontal="left" vertical="center"/>
    </xf>
    <xf numFmtId="0" fontId="104" fillId="0" borderId="21" xfId="0" applyFont="1" applyBorder="1" applyAlignment="1">
      <alignment horizontal="left" vertical="center"/>
    </xf>
    <xf numFmtId="0" fontId="28" fillId="0" borderId="22" xfId="0" applyFont="1" applyBorder="1" applyAlignment="1">
      <alignment horizontal="left" vertical="center"/>
    </xf>
    <xf numFmtId="0" fontId="1" fillId="62" borderId="9" xfId="0" applyFont="1" applyFill="1" applyBorder="1" applyAlignment="1" applyProtection="1">
      <alignment horizontal="left" vertical="center"/>
      <protection locked="0"/>
    </xf>
    <xf numFmtId="0" fontId="1" fillId="62" borderId="0" xfId="0" applyFont="1" applyFill="1" applyAlignment="1" applyProtection="1">
      <alignment horizontal="left" vertical="center"/>
      <protection locked="0"/>
    </xf>
    <xf numFmtId="0" fontId="1" fillId="0" borderId="9" xfId="0" applyFont="1" applyBorder="1" applyAlignment="1" applyProtection="1">
      <alignment horizontal="left" vertical="center"/>
      <protection locked="0" hidden="1"/>
    </xf>
    <xf numFmtId="0" fontId="1" fillId="34" borderId="9" xfId="0" applyFont="1" applyFill="1" applyBorder="1" applyAlignment="1" applyProtection="1">
      <alignment horizontal="left" vertical="center"/>
      <protection locked="0" hidden="1"/>
    </xf>
    <xf numFmtId="0" fontId="1" fillId="34" borderId="0" xfId="0" applyFont="1" applyFill="1" applyAlignment="1" applyProtection="1">
      <alignment horizontal="left" vertical="center"/>
      <protection locked="0"/>
    </xf>
    <xf numFmtId="0" fontId="1" fillId="0" borderId="21" xfId="0" applyFont="1" applyBorder="1" applyAlignment="1" applyProtection="1">
      <alignment horizontal="left" vertical="center"/>
      <protection locked="0"/>
    </xf>
    <xf numFmtId="0" fontId="1" fillId="34" borderId="21" xfId="0" applyFont="1" applyFill="1" applyBorder="1" applyAlignment="1" applyProtection="1">
      <alignment horizontal="left" vertical="center"/>
      <protection locked="0"/>
    </xf>
    <xf numFmtId="0" fontId="1" fillId="0" borderId="179" xfId="0" applyFont="1" applyBorder="1" applyAlignment="1" applyProtection="1">
      <alignment horizontal="left" vertical="center"/>
      <protection locked="0" hidden="1"/>
    </xf>
    <xf numFmtId="0" fontId="1" fillId="0" borderId="23" xfId="0" applyFont="1" applyBorder="1" applyAlignment="1" applyProtection="1">
      <alignment horizontal="left" vertical="center"/>
      <protection locked="0"/>
    </xf>
    <xf numFmtId="0" fontId="1" fillId="0" borderId="23" xfId="0" applyFont="1" applyBorder="1" applyAlignment="1" applyProtection="1">
      <alignment horizontal="left" vertical="center"/>
      <protection locked="0" hidden="1"/>
    </xf>
    <xf numFmtId="0" fontId="1" fillId="12" borderId="9" xfId="0" applyFont="1" applyFill="1" applyBorder="1" applyAlignment="1" applyProtection="1">
      <alignment horizontal="left" vertical="center"/>
      <protection locked="0" hidden="1"/>
    </xf>
    <xf numFmtId="0" fontId="1" fillId="12" borderId="179" xfId="0" applyFont="1" applyFill="1" applyBorder="1" applyAlignment="1" applyProtection="1">
      <alignment horizontal="left" vertical="center"/>
      <protection locked="0" hidden="1"/>
    </xf>
    <xf numFmtId="0" fontId="16" fillId="12" borderId="23" xfId="0" applyFont="1" applyFill="1" applyBorder="1" applyAlignment="1">
      <alignment horizontal="left" vertical="center"/>
    </xf>
    <xf numFmtId="0" fontId="16" fillId="0" borderId="179" xfId="0" applyFont="1" applyBorder="1" applyAlignment="1">
      <alignment horizontal="left" vertical="center"/>
    </xf>
    <xf numFmtId="0" fontId="28" fillId="0" borderId="25" xfId="0" applyFont="1" applyBorder="1" applyAlignment="1">
      <alignment horizontal="left" vertical="center"/>
    </xf>
    <xf numFmtId="0" fontId="1" fillId="62" borderId="21" xfId="0" applyFont="1" applyFill="1" applyBorder="1" applyAlignment="1" applyProtection="1">
      <alignment horizontal="left" vertical="center"/>
      <protection locked="0"/>
    </xf>
    <xf numFmtId="0" fontId="10" fillId="54" borderId="0" xfId="0" applyFont="1" applyFill="1" applyAlignment="1" applyProtection="1">
      <alignment horizontal="left" vertical="center"/>
      <protection locked="0"/>
    </xf>
    <xf numFmtId="0" fontId="10" fillId="54" borderId="21" xfId="0" applyFont="1" applyFill="1" applyBorder="1" applyAlignment="1" applyProtection="1">
      <alignment horizontal="left" vertical="center"/>
      <protection locked="0"/>
    </xf>
    <xf numFmtId="0" fontId="1" fillId="62" borderId="20" xfId="0" applyFont="1" applyFill="1" applyBorder="1" applyAlignment="1" applyProtection="1">
      <alignment horizontal="left" vertical="center"/>
      <protection locked="0"/>
    </xf>
    <xf numFmtId="180" fontId="10" fillId="12" borderId="0" xfId="0" applyNumberFormat="1" applyFont="1" applyFill="1" applyAlignment="1" applyProtection="1">
      <alignment horizontal="left" vertical="center"/>
      <protection locked="0" hidden="1"/>
    </xf>
    <xf numFmtId="0" fontId="10" fillId="12" borderId="21" xfId="0" applyFont="1" applyFill="1" applyBorder="1" applyAlignment="1">
      <alignment horizontal="left" vertical="center"/>
    </xf>
    <xf numFmtId="0" fontId="1" fillId="0" borderId="20" xfId="0" applyFont="1" applyBorder="1" applyAlignment="1" applyProtection="1">
      <alignment horizontal="left" vertical="center"/>
      <protection locked="0" hidden="1"/>
    </xf>
    <xf numFmtId="180" fontId="10" fillId="0" borderId="25" xfId="0" applyNumberFormat="1" applyFont="1" applyBorder="1" applyAlignment="1" applyProtection="1">
      <alignment horizontal="left" vertical="center"/>
      <protection locked="0" hidden="1"/>
    </xf>
    <xf numFmtId="0" fontId="10" fillId="0" borderId="23" xfId="0" applyFont="1" applyBorder="1" applyAlignment="1">
      <alignment horizontal="left" vertical="center"/>
    </xf>
    <xf numFmtId="0" fontId="1" fillId="0" borderId="25" xfId="0" applyFont="1" applyBorder="1" applyAlignment="1" applyProtection="1">
      <alignment horizontal="left" vertical="center"/>
      <protection locked="0" hidden="1"/>
    </xf>
    <xf numFmtId="0" fontId="1" fillId="34" borderId="20" xfId="0" applyFont="1" applyFill="1" applyBorder="1" applyAlignment="1" applyProtection="1">
      <alignment horizontal="left" vertical="center"/>
      <protection locked="0" hidden="1"/>
    </xf>
    <xf numFmtId="0" fontId="1" fillId="34" borderId="22" xfId="0" applyFont="1" applyFill="1" applyBorder="1" applyAlignment="1" applyProtection="1">
      <alignment horizontal="left" vertical="center"/>
      <protection locked="0" hidden="1"/>
    </xf>
    <xf numFmtId="0" fontId="1" fillId="34" borderId="23" xfId="0" applyFont="1" applyFill="1" applyBorder="1" applyAlignment="1" applyProtection="1">
      <alignment horizontal="left" vertical="center"/>
      <protection locked="0"/>
    </xf>
    <xf numFmtId="0" fontId="1" fillId="0" borderId="22" xfId="0" applyFont="1" applyBorder="1" applyAlignment="1" applyProtection="1">
      <alignment horizontal="left" vertical="center"/>
      <protection locked="0" hidden="1"/>
    </xf>
    <xf numFmtId="180" fontId="13" fillId="0" borderId="0" xfId="0" applyNumberFormat="1" applyFont="1" applyAlignment="1" applyProtection="1">
      <alignment horizontal="left" vertical="center"/>
      <protection locked="0" hidden="1"/>
    </xf>
    <xf numFmtId="0" fontId="10" fillId="0" borderId="0" xfId="0" applyFont="1" applyAlignment="1">
      <alignment horizontal="left" vertical="center"/>
    </xf>
    <xf numFmtId="0" fontId="16" fillId="82" borderId="17" xfId="0" applyFont="1" applyFill="1" applyBorder="1" applyAlignment="1">
      <alignment horizontal="left" vertical="center"/>
    </xf>
    <xf numFmtId="0" fontId="16" fillId="81" borderId="16" xfId="0" applyFont="1" applyFill="1" applyBorder="1" applyAlignment="1">
      <alignment horizontal="left" vertical="center"/>
    </xf>
    <xf numFmtId="0" fontId="13" fillId="82" borderId="22" xfId="0" applyFont="1" applyFill="1" applyBorder="1" applyAlignment="1">
      <alignment horizontal="left" vertical="center"/>
    </xf>
    <xf numFmtId="0" fontId="16" fillId="6" borderId="16" xfId="0" applyFont="1" applyFill="1" applyBorder="1" applyAlignment="1">
      <alignment horizontal="left" vertical="center"/>
    </xf>
    <xf numFmtId="0" fontId="16" fillId="82" borderId="16" xfId="0" applyFont="1" applyFill="1" applyBorder="1" applyAlignment="1">
      <alignment horizontal="left" vertical="center"/>
    </xf>
    <xf numFmtId="0" fontId="16" fillId="82" borderId="24" xfId="0" applyFont="1" applyFill="1" applyBorder="1" applyAlignment="1">
      <alignment horizontal="left" vertical="center"/>
    </xf>
    <xf numFmtId="0" fontId="13" fillId="6" borderId="20" xfId="0" applyFont="1" applyFill="1" applyBorder="1" applyAlignment="1">
      <alignment horizontal="left" vertical="center"/>
    </xf>
    <xf numFmtId="0" fontId="13" fillId="6" borderId="0" xfId="0" applyFont="1" applyFill="1" applyAlignment="1">
      <alignment horizontal="left" vertical="center"/>
    </xf>
    <xf numFmtId="181" fontId="16" fillId="0" borderId="0" xfId="0" applyNumberFormat="1" applyFont="1" applyAlignment="1">
      <alignment horizontal="left" vertical="center"/>
    </xf>
    <xf numFmtId="0" fontId="13" fillId="6" borderId="21" xfId="0" applyFont="1" applyFill="1" applyBorder="1" applyAlignment="1">
      <alignment horizontal="left" vertical="center"/>
    </xf>
    <xf numFmtId="181" fontId="26" fillId="0" borderId="0" xfId="0" applyNumberFormat="1" applyFont="1" applyAlignment="1">
      <alignment horizontal="left" vertical="center"/>
    </xf>
    <xf numFmtId="0" fontId="13" fillId="6" borderId="20" xfId="0" applyFont="1" applyFill="1" applyBorder="1" applyAlignment="1">
      <alignment horizontal="left" vertical="center" wrapText="1"/>
    </xf>
    <xf numFmtId="0" fontId="16" fillId="34" borderId="0" xfId="0" applyFont="1" applyFill="1" applyAlignment="1" applyProtection="1">
      <alignment horizontal="left" vertical="center"/>
      <protection locked="0"/>
    </xf>
    <xf numFmtId="0" fontId="13" fillId="34" borderId="0" xfId="0" applyFont="1" applyFill="1" applyAlignment="1">
      <alignment horizontal="left" vertical="center"/>
    </xf>
    <xf numFmtId="0" fontId="13" fillId="54" borderId="20" xfId="0" applyFont="1" applyFill="1" applyBorder="1" applyAlignment="1">
      <alignment horizontal="left" vertical="center" wrapText="1"/>
    </xf>
    <xf numFmtId="2" fontId="13" fillId="0" borderId="0" xfId="0" applyNumberFormat="1" applyFont="1" applyAlignment="1">
      <alignment horizontal="left" vertical="center"/>
    </xf>
    <xf numFmtId="0" fontId="16" fillId="54" borderId="21" xfId="0" applyFont="1" applyFill="1" applyBorder="1" applyAlignment="1">
      <alignment horizontal="left" vertical="center"/>
    </xf>
    <xf numFmtId="0" fontId="13" fillId="34" borderId="21" xfId="0" applyFont="1" applyFill="1" applyBorder="1" applyAlignment="1">
      <alignment horizontal="left" vertical="center"/>
    </xf>
    <xf numFmtId="0" fontId="120" fillId="0" borderId="0" xfId="0" applyFont="1" applyAlignment="1">
      <alignment horizontal="left" vertical="center"/>
    </xf>
    <xf numFmtId="2" fontId="16" fillId="0" borderId="0" xfId="0" applyNumberFormat="1" applyFont="1" applyAlignment="1">
      <alignment horizontal="left" vertical="center"/>
    </xf>
    <xf numFmtId="0" fontId="13" fillId="6" borderId="22" xfId="0" applyFont="1" applyFill="1" applyBorder="1" applyAlignment="1">
      <alignment horizontal="left" vertical="center"/>
    </xf>
    <xf numFmtId="0" fontId="16" fillId="34" borderId="25" xfId="0" applyFont="1" applyFill="1" applyBorder="1" applyAlignment="1" applyProtection="1">
      <alignment horizontal="left" vertical="center"/>
      <protection locked="0"/>
    </xf>
    <xf numFmtId="0" fontId="13" fillId="34" borderId="25" xfId="0" applyFont="1" applyFill="1" applyBorder="1" applyAlignment="1">
      <alignment horizontal="left" vertical="center"/>
    </xf>
    <xf numFmtId="0" fontId="13" fillId="0" borderId="0" xfId="0" applyFont="1" applyAlignment="1">
      <alignment horizontal="left" vertical="center" wrapText="1"/>
    </xf>
    <xf numFmtId="0" fontId="13" fillId="34" borderId="23" xfId="0" applyFont="1" applyFill="1" applyBorder="1" applyAlignment="1">
      <alignment horizontal="left" vertical="center"/>
    </xf>
    <xf numFmtId="0" fontId="59" fillId="0" borderId="77" xfId="0" applyFont="1" applyBorder="1" applyAlignment="1">
      <alignment horizontal="left" vertical="center"/>
    </xf>
    <xf numFmtId="0" fontId="96" fillId="0" borderId="0" xfId="0" applyFont="1" applyAlignment="1">
      <alignment vertical="center" wrapText="1"/>
    </xf>
    <xf numFmtId="0" fontId="135" fillId="0" borderId="0" xfId="0" applyFont="1">
      <alignment vertical="center"/>
    </xf>
    <xf numFmtId="0" fontId="135" fillId="4" borderId="0" xfId="0" applyFont="1" applyFill="1">
      <alignment vertical="center"/>
    </xf>
    <xf numFmtId="0" fontId="28" fillId="84" borderId="0" xfId="0" applyFont="1" applyFill="1">
      <alignment vertical="center"/>
    </xf>
    <xf numFmtId="0" fontId="28" fillId="4" borderId="0" xfId="0" applyFont="1" applyFill="1">
      <alignment vertical="center"/>
    </xf>
    <xf numFmtId="0" fontId="28" fillId="59" borderId="0" xfId="0" applyFont="1" applyFill="1">
      <alignment vertical="center"/>
    </xf>
    <xf numFmtId="0" fontId="28" fillId="16" borderId="0" xfId="0" applyFont="1" applyFill="1">
      <alignment vertical="center"/>
    </xf>
    <xf numFmtId="0" fontId="28" fillId="85" borderId="0" xfId="0" applyFont="1" applyFill="1">
      <alignment vertical="center"/>
    </xf>
    <xf numFmtId="0" fontId="28" fillId="30" borderId="0" xfId="0" applyFont="1" applyFill="1">
      <alignment vertical="center"/>
    </xf>
    <xf numFmtId="0" fontId="28" fillId="86" borderId="0" xfId="0" applyFont="1" applyFill="1">
      <alignment vertical="center"/>
    </xf>
    <xf numFmtId="0" fontId="28" fillId="17" borderId="0" xfId="0" applyFont="1" applyFill="1">
      <alignment vertical="center"/>
    </xf>
    <xf numFmtId="0" fontId="28" fillId="12" borderId="0" xfId="0" applyFont="1" applyFill="1">
      <alignment vertical="center"/>
    </xf>
    <xf numFmtId="0" fontId="28" fillId="87" borderId="0" xfId="0" applyFont="1" applyFill="1">
      <alignment vertical="center"/>
    </xf>
    <xf numFmtId="0" fontId="96" fillId="0" borderId="0" xfId="0" applyFont="1" applyAlignment="1">
      <alignment vertical="center" shrinkToFit="1"/>
    </xf>
    <xf numFmtId="0" fontId="136" fillId="0" borderId="0" xfId="0" applyFont="1" applyAlignment="1"/>
    <xf numFmtId="0" fontId="137" fillId="0" borderId="0" xfId="0" applyFont="1" applyAlignment="1"/>
    <xf numFmtId="16" fontId="137" fillId="0" borderId="0" xfId="0" applyNumberFormat="1" applyFont="1" applyAlignment="1"/>
    <xf numFmtId="0" fontId="136" fillId="4" borderId="9" xfId="0" applyFont="1" applyFill="1" applyBorder="1" applyAlignment="1">
      <alignment vertical="center" wrapText="1"/>
    </xf>
    <xf numFmtId="0" fontId="137" fillId="4" borderId="0" xfId="0" applyFont="1" applyFill="1" applyAlignment="1"/>
    <xf numFmtId="0" fontId="135" fillId="0" borderId="0" xfId="0" applyFont="1" applyAlignment="1">
      <alignment horizontal="left"/>
    </xf>
    <xf numFmtId="0" fontId="138" fillId="0" borderId="0" xfId="0" applyFont="1">
      <alignment vertical="center"/>
    </xf>
    <xf numFmtId="0" fontId="138" fillId="0" borderId="0" xfId="0" applyFont="1" applyAlignment="1">
      <alignment horizontal="left"/>
    </xf>
    <xf numFmtId="0" fontId="139" fillId="0" borderId="0" xfId="0" applyFont="1" applyAlignment="1">
      <alignment horizontal="left"/>
    </xf>
    <xf numFmtId="0" fontId="138" fillId="84" borderId="0" xfId="0" applyFont="1" applyFill="1" applyAlignment="1">
      <alignment vertical="center" wrapText="1"/>
    </xf>
    <xf numFmtId="0" fontId="138" fillId="84" borderId="0" xfId="0" applyFont="1" applyFill="1" applyAlignment="1">
      <alignment horizontal="left"/>
    </xf>
    <xf numFmtId="0" fontId="139" fillId="0" borderId="0" xfId="0" applyFont="1" applyAlignment="1"/>
    <xf numFmtId="0" fontId="140" fillId="0" borderId="0" xfId="0" applyFont="1" applyAlignment="1">
      <alignment horizontal="left"/>
    </xf>
    <xf numFmtId="0" fontId="138" fillId="4" borderId="0" xfId="0" applyFont="1" applyFill="1">
      <alignment vertical="center"/>
    </xf>
    <xf numFmtId="0" fontId="138" fillId="4" borderId="0" xfId="0" applyFont="1" applyFill="1" applyAlignment="1">
      <alignment horizontal="left"/>
    </xf>
    <xf numFmtId="0" fontId="139" fillId="4" borderId="0" xfId="0" applyFont="1" applyFill="1" applyAlignment="1">
      <alignment horizontal="left"/>
    </xf>
    <xf numFmtId="0" fontId="139" fillId="0" borderId="0" xfId="0" applyFont="1">
      <alignment vertical="center"/>
    </xf>
    <xf numFmtId="0" fontId="138" fillId="59" borderId="0" xfId="0" applyFont="1" applyFill="1">
      <alignment vertical="center"/>
    </xf>
    <xf numFmtId="0" fontId="138" fillId="59" borderId="0" xfId="0" applyFont="1" applyFill="1" applyAlignment="1">
      <alignment horizontal="left"/>
    </xf>
    <xf numFmtId="0" fontId="139" fillId="16" borderId="0" xfId="0" applyFont="1" applyFill="1" applyAlignment="1"/>
    <xf numFmtId="0" fontId="138" fillId="16" borderId="0" xfId="0" applyFont="1" applyFill="1" applyAlignment="1">
      <alignment horizontal="left"/>
    </xf>
    <xf numFmtId="0" fontId="139" fillId="85" borderId="0" xfId="0" applyFont="1" applyFill="1" applyAlignment="1"/>
    <xf numFmtId="0" fontId="138" fillId="85" borderId="0" xfId="0" applyFont="1" applyFill="1" applyAlignment="1">
      <alignment horizontal="left"/>
    </xf>
    <xf numFmtId="0" fontId="141" fillId="0" borderId="0" xfId="0" applyFont="1">
      <alignment vertical="center"/>
    </xf>
    <xf numFmtId="0" fontId="142" fillId="0" borderId="0" xfId="0" applyFont="1">
      <alignment vertical="center"/>
    </xf>
    <xf numFmtId="0" fontId="139" fillId="30" borderId="0" xfId="0" applyFont="1" applyFill="1">
      <alignment vertical="center"/>
    </xf>
    <xf numFmtId="0" fontId="138" fillId="30" borderId="0" xfId="0" applyFont="1" applyFill="1" applyAlignment="1">
      <alignment horizontal="left"/>
    </xf>
    <xf numFmtId="0" fontId="138" fillId="86" borderId="0" xfId="0" applyFont="1" applyFill="1">
      <alignment vertical="center"/>
    </xf>
    <xf numFmtId="0" fontId="138" fillId="86" borderId="0" xfId="0" applyFont="1" applyFill="1" applyAlignment="1">
      <alignment horizontal="left"/>
    </xf>
    <xf numFmtId="0" fontId="139" fillId="0" borderId="9" xfId="0" applyFont="1" applyBorder="1">
      <alignment vertical="center"/>
    </xf>
    <xf numFmtId="0" fontId="138" fillId="0" borderId="9" xfId="0" applyFont="1" applyBorder="1">
      <alignment vertical="center"/>
    </xf>
    <xf numFmtId="0" fontId="138" fillId="17" borderId="9" xfId="0" applyFont="1" applyFill="1" applyBorder="1">
      <alignment vertical="center"/>
    </xf>
    <xf numFmtId="0" fontId="138" fillId="17" borderId="0" xfId="0" applyFont="1" applyFill="1" applyAlignment="1">
      <alignment horizontal="left"/>
    </xf>
    <xf numFmtId="0" fontId="139" fillId="12" borderId="9" xfId="0" applyFont="1" applyFill="1" applyBorder="1">
      <alignment vertical="center"/>
    </xf>
    <xf numFmtId="0" fontId="138" fillId="12" borderId="0" xfId="0" applyFont="1" applyFill="1" applyAlignment="1">
      <alignment horizontal="left"/>
    </xf>
    <xf numFmtId="0" fontId="138" fillId="86" borderId="9" xfId="0" applyFont="1" applyFill="1" applyBorder="1">
      <alignment vertical="center"/>
    </xf>
    <xf numFmtId="0" fontId="139" fillId="12" borderId="0" xfId="0" applyFont="1" applyFill="1" applyAlignment="1">
      <alignment horizontal="left"/>
    </xf>
    <xf numFmtId="0" fontId="139" fillId="16" borderId="0" xfId="0" applyFont="1" applyFill="1" applyAlignment="1">
      <alignment horizontal="left"/>
    </xf>
    <xf numFmtId="0" fontId="143" fillId="0" borderId="0" xfId="0" applyFont="1" applyAlignment="1">
      <alignment horizontal="left"/>
    </xf>
    <xf numFmtId="0" fontId="139" fillId="86" borderId="0" xfId="0" applyFont="1" applyFill="1" applyAlignment="1">
      <alignment horizontal="left"/>
    </xf>
    <xf numFmtId="0" fontId="140" fillId="4" borderId="0" xfId="0" applyFont="1" applyFill="1" applyAlignment="1">
      <alignment horizontal="left"/>
    </xf>
    <xf numFmtId="0" fontId="144" fillId="85" borderId="0" xfId="0" applyFont="1" applyFill="1" applyAlignment="1">
      <alignment horizontal="left"/>
    </xf>
    <xf numFmtId="0" fontId="144" fillId="0" borderId="0" xfId="0" applyFont="1" applyAlignment="1">
      <alignment horizontal="left"/>
    </xf>
    <xf numFmtId="0" fontId="140" fillId="30" borderId="0" xfId="0" applyFont="1" applyFill="1" applyAlignment="1">
      <alignment horizontal="left"/>
    </xf>
    <xf numFmtId="0" fontId="139" fillId="85" borderId="0" xfId="0" applyFont="1" applyFill="1" applyAlignment="1">
      <alignment horizontal="left"/>
    </xf>
    <xf numFmtId="0" fontId="139" fillId="84" borderId="0" xfId="0" applyFont="1" applyFill="1" applyAlignment="1">
      <alignment horizontal="left"/>
    </xf>
    <xf numFmtId="0" fontId="140" fillId="86" borderId="0" xfId="0" applyFont="1" applyFill="1" applyAlignment="1">
      <alignment horizontal="left"/>
    </xf>
    <xf numFmtId="0" fontId="140" fillId="12" borderId="0" xfId="0" applyFont="1" applyFill="1" applyAlignment="1">
      <alignment horizontal="left"/>
    </xf>
    <xf numFmtId="0" fontId="139" fillId="30" borderId="0" xfId="0" applyFont="1" applyFill="1" applyAlignment="1">
      <alignment horizontal="left"/>
    </xf>
    <xf numFmtId="0" fontId="43" fillId="0" borderId="0" xfId="0" applyFont="1" applyAlignment="1">
      <alignment vertical="center" shrinkToFit="1"/>
    </xf>
    <xf numFmtId="0" fontId="142" fillId="17" borderId="0" xfId="0" applyFont="1" applyFill="1" applyAlignment="1">
      <alignment horizontal="left"/>
    </xf>
    <xf numFmtId="0" fontId="139" fillId="17" borderId="0" xfId="0" applyFont="1" applyFill="1" applyAlignment="1">
      <alignment horizontal="left"/>
    </xf>
    <xf numFmtId="0" fontId="141" fillId="0" borderId="0" xfId="0" applyFont="1" applyAlignment="1">
      <alignment horizontal="left"/>
    </xf>
    <xf numFmtId="0" fontId="139" fillId="59" borderId="0" xfId="0" applyFont="1" applyFill="1" applyAlignment="1">
      <alignment horizontal="left"/>
    </xf>
    <xf numFmtId="0" fontId="138" fillId="0" borderId="0" xfId="0" applyFont="1" applyAlignment="1"/>
    <xf numFmtId="0" fontId="145" fillId="0" borderId="0" xfId="0" applyFont="1" applyAlignment="1"/>
    <xf numFmtId="0" fontId="145" fillId="4" borderId="0" xfId="0" applyFont="1" applyFill="1" applyAlignment="1"/>
    <xf numFmtId="0" fontId="138" fillId="84" borderId="0" xfId="0" applyFont="1" applyFill="1" applyAlignment="1"/>
    <xf numFmtId="0" fontId="138" fillId="4" borderId="0" xfId="0" applyFont="1" applyFill="1" applyAlignment="1"/>
    <xf numFmtId="0" fontId="138" fillId="59" borderId="0" xfId="0" applyFont="1" applyFill="1" applyAlignment="1"/>
    <xf numFmtId="0" fontId="138" fillId="16" borderId="0" xfId="0" applyFont="1" applyFill="1" applyAlignment="1"/>
    <xf numFmtId="0" fontId="138" fillId="85" borderId="0" xfId="0" applyFont="1" applyFill="1" applyAlignment="1"/>
    <xf numFmtId="0" fontId="138" fillId="30" borderId="0" xfId="0" applyFont="1" applyFill="1" applyAlignment="1"/>
    <xf numFmtId="0" fontId="138" fillId="86" borderId="0" xfId="0" applyFont="1" applyFill="1" applyAlignment="1"/>
    <xf numFmtId="0" fontId="138" fillId="17" borderId="0" xfId="0" applyFont="1" applyFill="1" applyAlignment="1"/>
    <xf numFmtId="0" fontId="138" fillId="12" borderId="0" xfId="0" applyFont="1" applyFill="1" applyAlignment="1"/>
    <xf numFmtId="0" fontId="47" fillId="87" borderId="0" xfId="0" applyFont="1" applyFill="1">
      <alignment vertical="center"/>
    </xf>
    <xf numFmtId="0" fontId="138" fillId="87" borderId="0" xfId="0" applyFont="1" applyFill="1" applyAlignment="1">
      <alignment horizontal="left"/>
    </xf>
    <xf numFmtId="0" fontId="139" fillId="0" borderId="9" xfId="0" applyFont="1" applyBorder="1" applyAlignment="1">
      <alignment vertical="center" wrapText="1"/>
    </xf>
    <xf numFmtId="0" fontId="139" fillId="0" borderId="0" xfId="0" applyFont="1" applyAlignment="1">
      <alignment vertical="center" wrapText="1"/>
    </xf>
    <xf numFmtId="0" fontId="142" fillId="87" borderId="0" xfId="0" applyFont="1" applyFill="1">
      <alignment vertical="center"/>
    </xf>
    <xf numFmtId="0" fontId="138" fillId="87" borderId="0" xfId="0" applyFont="1" applyFill="1" applyAlignment="1"/>
    <xf numFmtId="0" fontId="146" fillId="0" borderId="0" xfId="0" applyFont="1">
      <alignment vertical="center"/>
    </xf>
    <xf numFmtId="0" fontId="0" fillId="0" borderId="9" xfId="0" applyBorder="1">
      <alignment vertical="center"/>
    </xf>
    <xf numFmtId="0" fontId="10" fillId="88" borderId="2" xfId="0" applyFont="1" applyFill="1" applyBorder="1" applyAlignment="1" applyProtection="1">
      <alignment horizontal="center" vertical="center"/>
      <protection locked="0"/>
    </xf>
    <xf numFmtId="0" fontId="10" fillId="88" borderId="9" xfId="0" applyFont="1" applyFill="1" applyBorder="1" applyAlignment="1" applyProtection="1">
      <alignment horizontal="center" vertical="center"/>
      <protection locked="0"/>
    </xf>
    <xf numFmtId="0" fontId="149" fillId="2" borderId="2" xfId="0" applyFont="1" applyFill="1" applyBorder="1" applyAlignment="1" applyProtection="1">
      <alignment horizontal="center" vertical="center"/>
      <protection locked="0"/>
    </xf>
    <xf numFmtId="0" fontId="149" fillId="2" borderId="9" xfId="0" applyFont="1" applyFill="1" applyBorder="1" applyAlignment="1" applyProtection="1">
      <alignment horizontal="center" vertical="center"/>
      <protection locked="0"/>
    </xf>
    <xf numFmtId="0" fontId="149" fillId="2" borderId="0" xfId="0" applyFont="1" applyFill="1" applyAlignment="1" applyProtection="1">
      <alignment horizontal="center" vertical="center"/>
      <protection locked="0"/>
    </xf>
    <xf numFmtId="0" fontId="10" fillId="11" borderId="2" xfId="0" applyFont="1" applyFill="1" applyBorder="1" applyAlignment="1" applyProtection="1">
      <alignment horizontal="center" vertical="center"/>
      <protection locked="0"/>
    </xf>
    <xf numFmtId="0" fontId="10" fillId="11" borderId="2" xfId="0" applyFont="1" applyFill="1" applyBorder="1" applyAlignment="1">
      <alignment horizontal="center" vertical="center"/>
    </xf>
    <xf numFmtId="0" fontId="0" fillId="7" borderId="1" xfId="0" applyFill="1" applyBorder="1" applyAlignment="1">
      <alignment horizontal="center" vertical="center"/>
    </xf>
    <xf numFmtId="0" fontId="0" fillId="11" borderId="1" xfId="0" applyFill="1" applyBorder="1" applyAlignment="1" applyProtection="1">
      <alignment horizontal="center" vertical="center"/>
      <protection locked="0"/>
    </xf>
    <xf numFmtId="0" fontId="29" fillId="7" borderId="12" xfId="0" applyFont="1" applyFill="1" applyBorder="1" applyAlignment="1" applyProtection="1">
      <alignment horizontal="center" vertical="center"/>
      <protection locked="0"/>
    </xf>
    <xf numFmtId="0" fontId="29" fillId="7" borderId="1"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10" fillId="11" borderId="7" xfId="0" applyFont="1" applyFill="1" applyBorder="1" applyAlignment="1" applyProtection="1">
      <alignment horizontal="center" vertical="center"/>
      <protection locked="0"/>
    </xf>
    <xf numFmtId="0" fontId="10" fillId="11" borderId="7" xfId="0" applyFont="1" applyFill="1" applyBorder="1" applyAlignment="1">
      <alignment horizontal="center" vertical="center"/>
    </xf>
    <xf numFmtId="0" fontId="0" fillId="7" borderId="3" xfId="0" applyFill="1" applyBorder="1" applyAlignment="1">
      <alignment horizontal="center" vertical="center"/>
    </xf>
    <xf numFmtId="0" fontId="0" fillId="11" borderId="3" xfId="0" applyFill="1" applyBorder="1" applyAlignment="1" applyProtection="1">
      <alignment horizontal="center" vertical="center"/>
      <protection locked="0"/>
    </xf>
    <xf numFmtId="0" fontId="29" fillId="7" borderId="13" xfId="0" applyFont="1" applyFill="1" applyBorder="1" applyAlignment="1" applyProtection="1">
      <alignment horizontal="center" vertical="center"/>
      <protection locked="0"/>
    </xf>
    <xf numFmtId="0" fontId="29" fillId="7" borderId="3" xfId="0" applyFont="1" applyFill="1" applyBorder="1" applyAlignment="1" applyProtection="1">
      <alignment horizontal="center" vertical="center"/>
      <protection locked="0"/>
    </xf>
    <xf numFmtId="0" fontId="29" fillId="7" borderId="186" xfId="0" applyFont="1" applyFill="1" applyBorder="1" applyAlignment="1" applyProtection="1">
      <alignment horizontal="center" vertical="center"/>
      <protection locked="0"/>
    </xf>
    <xf numFmtId="0" fontId="29" fillId="7" borderId="156" xfId="0" applyFont="1" applyFill="1" applyBorder="1" applyAlignment="1" applyProtection="1">
      <alignment horizontal="center" vertical="center"/>
      <protection locked="0"/>
    </xf>
    <xf numFmtId="0" fontId="29" fillId="7" borderId="187" xfId="0" applyFont="1" applyFill="1" applyBorder="1" applyAlignment="1" applyProtection="1">
      <alignment horizontal="center" vertical="center"/>
      <protection locked="0"/>
    </xf>
    <xf numFmtId="0" fontId="29" fillId="7" borderId="71" xfId="0" applyFont="1" applyFill="1" applyBorder="1" applyAlignment="1" applyProtection="1">
      <alignment horizontal="center" vertical="center"/>
      <protection locked="0"/>
    </xf>
    <xf numFmtId="0" fontId="29" fillId="7" borderId="161" xfId="0" applyFont="1" applyFill="1" applyBorder="1" applyAlignment="1" applyProtection="1">
      <alignment horizontal="center" vertical="center"/>
      <protection locked="0"/>
    </xf>
    <xf numFmtId="0" fontId="29" fillId="7" borderId="70" xfId="0" applyFont="1" applyFill="1" applyBorder="1" applyAlignment="1" applyProtection="1">
      <alignment horizontal="center" vertical="center"/>
      <protection locked="0"/>
    </xf>
    <xf numFmtId="0" fontId="29" fillId="7" borderId="72" xfId="0" applyFont="1" applyFill="1" applyBorder="1" applyAlignment="1" applyProtection="1">
      <alignment horizontal="center" vertical="center"/>
      <protection locked="0"/>
    </xf>
    <xf numFmtId="0" fontId="103" fillId="0" borderId="0" xfId="0" applyFont="1" applyAlignment="1">
      <alignment horizontal="center" vertical="center" wrapText="1"/>
    </xf>
    <xf numFmtId="0" fontId="103" fillId="0" borderId="0" xfId="0" applyFont="1" applyAlignment="1">
      <alignment horizontal="left" vertical="center" wrapText="1"/>
    </xf>
    <xf numFmtId="49" fontId="103" fillId="0" borderId="0" xfId="0" applyNumberFormat="1" applyFont="1" applyAlignment="1">
      <alignment horizontal="center" vertical="center" wrapText="1"/>
    </xf>
    <xf numFmtId="0" fontId="103" fillId="0" borderId="0" xfId="0" applyFont="1" applyAlignment="1">
      <alignment horizontal="center" vertical="center"/>
    </xf>
    <xf numFmtId="0" fontId="127" fillId="0" borderId="0" xfId="0" applyFont="1" applyAlignment="1">
      <alignment horizontal="center" vertical="center"/>
    </xf>
    <xf numFmtId="0" fontId="150" fillId="2" borderId="16" xfId="0" applyFont="1" applyFill="1" applyBorder="1" applyAlignment="1">
      <alignment horizontal="center" vertical="center" wrapText="1"/>
    </xf>
    <xf numFmtId="0" fontId="150" fillId="2" borderId="24" xfId="0" applyFont="1" applyFill="1" applyBorder="1" applyAlignment="1">
      <alignment horizontal="center" vertical="center" wrapText="1"/>
    </xf>
    <xf numFmtId="49" fontId="150" fillId="2" borderId="24" xfId="0" applyNumberFormat="1" applyFont="1" applyFill="1" applyBorder="1" applyAlignment="1">
      <alignment horizontal="center" vertical="center" wrapText="1"/>
    </xf>
    <xf numFmtId="0" fontId="150" fillId="2" borderId="17" xfId="0" applyFont="1" applyFill="1" applyBorder="1" applyAlignment="1">
      <alignment horizontal="center" vertical="center" wrapText="1"/>
    </xf>
    <xf numFmtId="0" fontId="103" fillId="0" borderId="20" xfId="0" applyFont="1" applyBorder="1" applyAlignment="1">
      <alignment horizontal="center" vertical="center" wrapText="1"/>
    </xf>
    <xf numFmtId="0" fontId="103" fillId="89" borderId="20" xfId="0" applyFont="1" applyFill="1" applyBorder="1" applyAlignment="1">
      <alignment horizontal="center" vertical="center" wrapText="1"/>
    </xf>
    <xf numFmtId="0" fontId="103" fillId="89" borderId="0" xfId="0" applyFont="1" applyFill="1" applyAlignment="1" applyProtection="1">
      <alignment vertical="center" wrapText="1"/>
      <protection locked="0"/>
    </xf>
    <xf numFmtId="0" fontId="104" fillId="90" borderId="0" xfId="0" applyFont="1" applyFill="1" applyAlignment="1" applyProtection="1">
      <alignment horizontal="center" vertical="center" wrapText="1"/>
      <protection locked="0"/>
    </xf>
    <xf numFmtId="49" fontId="103" fillId="91" borderId="0" xfId="0" applyNumberFormat="1" applyFont="1" applyFill="1" applyAlignment="1" applyProtection="1">
      <alignment horizontal="center" vertical="center" wrapText="1"/>
      <protection locked="0"/>
    </xf>
    <xf numFmtId="0" fontId="127" fillId="89" borderId="0" xfId="0" applyFont="1" applyFill="1" applyAlignment="1" applyProtection="1">
      <alignment horizontal="center" vertical="center" wrapText="1"/>
      <protection locked="0" hidden="1"/>
    </xf>
    <xf numFmtId="0" fontId="103" fillId="89" borderId="0" xfId="0" applyFont="1" applyFill="1" applyAlignment="1" applyProtection="1">
      <alignment horizontal="center" vertical="center" wrapText="1"/>
      <protection locked="0"/>
    </xf>
    <xf numFmtId="0" fontId="103" fillId="89" borderId="21" xfId="0" applyFont="1" applyFill="1" applyBorder="1" applyAlignment="1" applyProtection="1">
      <alignment horizontal="left" vertical="center" wrapText="1"/>
      <protection locked="0"/>
    </xf>
    <xf numFmtId="0" fontId="103" fillId="0" borderId="21" xfId="0" applyFont="1" applyBorder="1" applyAlignment="1">
      <alignment horizontal="left" vertical="center" wrapText="1"/>
    </xf>
    <xf numFmtId="0" fontId="103" fillId="11" borderId="20" xfId="0" applyFont="1" applyFill="1" applyBorder="1" applyAlignment="1">
      <alignment horizontal="center" vertical="center" wrapText="1"/>
    </xf>
    <xf numFmtId="0" fontId="103" fillId="11" borderId="0" xfId="0" applyFont="1" applyFill="1" applyAlignment="1">
      <alignment horizontal="left" vertical="center" wrapText="1"/>
    </xf>
    <xf numFmtId="49" fontId="103" fillId="11" borderId="0" xfId="0" applyNumberFormat="1" applyFont="1" applyFill="1" applyAlignment="1">
      <alignment horizontal="center" vertical="center" wrapText="1"/>
    </xf>
    <xf numFmtId="0" fontId="103" fillId="11" borderId="0" xfId="0" applyFont="1" applyFill="1" applyAlignment="1">
      <alignment horizontal="center" vertical="center" wrapText="1"/>
    </xf>
    <xf numFmtId="0" fontId="103" fillId="11" borderId="21" xfId="0" applyFont="1" applyFill="1" applyBorder="1" applyAlignment="1">
      <alignment horizontal="left" vertical="center" wrapText="1"/>
    </xf>
    <xf numFmtId="0" fontId="28" fillId="60" borderId="20" xfId="0" applyFont="1" applyFill="1" applyBorder="1" applyAlignment="1">
      <alignment horizontal="center" vertical="center" wrapText="1" readingOrder="1"/>
    </xf>
    <xf numFmtId="0" fontId="96" fillId="59" borderId="20" xfId="0" applyFont="1" applyFill="1" applyBorder="1" applyAlignment="1">
      <alignment horizontal="center" vertical="center" wrapText="1"/>
    </xf>
    <xf numFmtId="0" fontId="127" fillId="88" borderId="0" xfId="0" applyFont="1" applyFill="1" applyAlignment="1">
      <alignment horizontal="center" vertical="center" wrapText="1"/>
    </xf>
    <xf numFmtId="0" fontId="127" fillId="88" borderId="0" xfId="0" applyFont="1" applyFill="1" applyAlignment="1">
      <alignment horizontal="center" vertical="center"/>
    </xf>
    <xf numFmtId="0" fontId="127" fillId="88" borderId="0" xfId="0" applyFont="1" applyFill="1" applyAlignment="1">
      <alignment horizontal="left" vertical="center"/>
    </xf>
    <xf numFmtId="0" fontId="127" fillId="88" borderId="0" xfId="0" applyFont="1" applyFill="1" applyAlignment="1">
      <alignment horizontal="centerContinuous" vertical="center"/>
    </xf>
    <xf numFmtId="0" fontId="104" fillId="59" borderId="157" xfId="0" applyFont="1" applyFill="1" applyBorder="1" applyAlignment="1">
      <alignment horizontal="left" vertical="center" wrapText="1"/>
    </xf>
    <xf numFmtId="0" fontId="103" fillId="59" borderId="72" xfId="0" applyFont="1" applyFill="1" applyBorder="1" applyAlignment="1" applyProtection="1">
      <alignment vertical="center" wrapText="1"/>
      <protection locked="0"/>
    </xf>
    <xf numFmtId="0" fontId="28" fillId="60" borderId="0" xfId="0" applyFont="1" applyFill="1" applyAlignment="1">
      <alignment horizontal="center" vertical="center"/>
    </xf>
    <xf numFmtId="0" fontId="28" fillId="60" borderId="21" xfId="0" applyFont="1" applyFill="1" applyBorder="1" applyAlignment="1">
      <alignment horizontal="center" vertical="center"/>
    </xf>
    <xf numFmtId="0" fontId="96" fillId="59" borderId="49" xfId="0" applyFont="1" applyFill="1" applyBorder="1" applyAlignment="1" applyProtection="1">
      <alignment horizontal="center" vertical="center" wrapText="1"/>
      <protection locked="0"/>
    </xf>
    <xf numFmtId="0" fontId="96" fillId="59" borderId="29" xfId="0" applyFont="1" applyFill="1" applyBorder="1" applyAlignment="1" applyProtection="1">
      <alignment horizontal="center" vertical="center" wrapText="1"/>
      <protection locked="0"/>
    </xf>
    <xf numFmtId="0" fontId="96" fillId="0" borderId="49" xfId="0" applyFont="1" applyBorder="1" applyAlignment="1" applyProtection="1">
      <alignment horizontal="center" vertical="center" wrapText="1"/>
      <protection locked="0"/>
    </xf>
    <xf numFmtId="0" fontId="96" fillId="0" borderId="29" xfId="0" applyFont="1" applyBorder="1" applyAlignment="1" applyProtection="1">
      <alignment horizontal="center" vertical="center" wrapText="1"/>
      <protection locked="0"/>
    </xf>
    <xf numFmtId="0" fontId="103" fillId="0" borderId="0" xfId="0" applyFont="1" applyAlignment="1">
      <alignment vertical="center" wrapText="1"/>
    </xf>
    <xf numFmtId="0" fontId="127" fillId="88" borderId="0" xfId="0" applyFont="1" applyFill="1" applyAlignment="1">
      <alignment horizontal="left" vertical="center" wrapText="1"/>
    </xf>
    <xf numFmtId="49" fontId="16" fillId="0" borderId="0" xfId="0" applyNumberFormat="1" applyFont="1" applyProtection="1">
      <alignment vertical="center"/>
      <protection hidden="1"/>
    </xf>
    <xf numFmtId="49" fontId="16" fillId="0" borderId="0" xfId="0" applyNumberFormat="1" applyFont="1" applyAlignment="1" applyProtection="1">
      <alignment vertical="center" wrapText="1"/>
      <protection hidden="1"/>
    </xf>
    <xf numFmtId="180" fontId="16" fillId="0" borderId="0" xfId="0" applyNumberFormat="1" applyFont="1" applyProtection="1">
      <alignment vertical="center"/>
      <protection hidden="1"/>
    </xf>
    <xf numFmtId="0" fontId="103" fillId="11" borderId="22" xfId="0" applyFont="1" applyFill="1" applyBorder="1" applyAlignment="1">
      <alignment horizontal="center" vertical="center" wrapText="1"/>
    </xf>
    <xf numFmtId="49" fontId="103" fillId="11" borderId="25" xfId="0" applyNumberFormat="1" applyFont="1" applyFill="1" applyBorder="1" applyAlignment="1">
      <alignment horizontal="center" vertical="center" wrapText="1"/>
    </xf>
    <xf numFmtId="0" fontId="103" fillId="11" borderId="25" xfId="0" applyFont="1" applyFill="1" applyBorder="1" applyAlignment="1">
      <alignment horizontal="center" vertical="center" wrapText="1"/>
    </xf>
    <xf numFmtId="0" fontId="103" fillId="11" borderId="23" xfId="0" applyFont="1" applyFill="1" applyBorder="1" applyAlignment="1">
      <alignment horizontal="left" vertical="center" wrapText="1"/>
    </xf>
    <xf numFmtId="0" fontId="103" fillId="0" borderId="16" xfId="0" applyFont="1" applyBorder="1" applyAlignment="1">
      <alignment horizontal="center" vertical="center"/>
    </xf>
    <xf numFmtId="0" fontId="103" fillId="0" borderId="24" xfId="0" applyFont="1" applyBorder="1" applyAlignment="1">
      <alignment horizontal="center" vertical="center"/>
    </xf>
    <xf numFmtId="0" fontId="103" fillId="0" borderId="24" xfId="0" applyFont="1" applyBorder="1" applyAlignment="1">
      <alignment horizontal="center" vertical="center" wrapText="1"/>
    </xf>
    <xf numFmtId="0" fontId="103" fillId="93" borderId="20" xfId="0" applyFont="1" applyFill="1" applyBorder="1" applyAlignment="1">
      <alignment horizontal="center" vertical="center"/>
    </xf>
    <xf numFmtId="49" fontId="103" fillId="93" borderId="0" xfId="0" applyNumberFormat="1" applyFont="1" applyFill="1" applyAlignment="1">
      <alignment horizontal="center" vertical="center"/>
    </xf>
    <xf numFmtId="0" fontId="103" fillId="93" borderId="0" xfId="0" applyFont="1" applyFill="1" applyAlignment="1">
      <alignment horizontal="center" vertical="center" wrapText="1"/>
    </xf>
    <xf numFmtId="0" fontId="103" fillId="93" borderId="0" xfId="0" applyFont="1" applyFill="1" applyAlignment="1">
      <alignment horizontal="center" vertical="center"/>
    </xf>
    <xf numFmtId="0" fontId="103" fillId="93" borderId="21" xfId="0" applyFont="1" applyFill="1" applyBorder="1" applyAlignment="1">
      <alignment horizontal="left" vertical="center" wrapText="1"/>
    </xf>
    <xf numFmtId="0" fontId="103" fillId="0" borderId="20" xfId="0" applyFont="1" applyBorder="1" applyAlignment="1">
      <alignment horizontal="center" vertical="center"/>
    </xf>
    <xf numFmtId="0" fontId="103" fillId="0" borderId="0" xfId="0" applyFont="1">
      <alignment vertical="center"/>
    </xf>
    <xf numFmtId="0" fontId="103" fillId="0" borderId="22" xfId="0" applyFont="1" applyBorder="1" applyAlignment="1">
      <alignment horizontal="center" vertical="center"/>
    </xf>
    <xf numFmtId="0" fontId="103" fillId="0" borderId="25" xfId="0" applyFont="1" applyBorder="1" applyAlignment="1">
      <alignment horizontal="center" vertical="center"/>
    </xf>
    <xf numFmtId="0" fontId="103" fillId="0" borderId="25" xfId="0" applyFont="1" applyBorder="1" applyAlignment="1">
      <alignment horizontal="center" vertical="center" wrapText="1"/>
    </xf>
    <xf numFmtId="0" fontId="103" fillId="0" borderId="23" xfId="0" applyFont="1" applyBorder="1" applyAlignment="1">
      <alignment horizontal="left" vertical="center"/>
    </xf>
    <xf numFmtId="0" fontId="103" fillId="93" borderId="16" xfId="0" applyFont="1" applyFill="1" applyBorder="1" applyAlignment="1">
      <alignment horizontal="center" vertical="center"/>
    </xf>
    <xf numFmtId="49" fontId="103" fillId="93" borderId="24" xfId="0" applyNumberFormat="1" applyFont="1" applyFill="1" applyBorder="1" applyAlignment="1">
      <alignment horizontal="center" vertical="center"/>
    </xf>
    <xf numFmtId="0" fontId="103" fillId="93" borderId="24" xfId="0" applyFont="1" applyFill="1" applyBorder="1" applyAlignment="1">
      <alignment horizontal="center" vertical="center" wrapText="1"/>
    </xf>
    <xf numFmtId="0" fontId="103" fillId="93" borderId="24" xfId="0" applyFont="1" applyFill="1" applyBorder="1" applyAlignment="1">
      <alignment horizontal="center" vertical="center"/>
    </xf>
    <xf numFmtId="0" fontId="103" fillId="93" borderId="17" xfId="0" applyFont="1" applyFill="1" applyBorder="1" applyAlignment="1">
      <alignment horizontal="left" vertical="center" wrapText="1"/>
    </xf>
    <xf numFmtId="0" fontId="103" fillId="93" borderId="22" xfId="0" applyFont="1" applyFill="1" applyBorder="1" applyAlignment="1">
      <alignment horizontal="center" vertical="center"/>
    </xf>
    <xf numFmtId="49" fontId="103" fillId="93" borderId="25" xfId="0" applyNumberFormat="1" applyFont="1" applyFill="1" applyBorder="1" applyAlignment="1">
      <alignment horizontal="center" vertical="center"/>
    </xf>
    <xf numFmtId="0" fontId="103" fillId="93" borderId="25" xfId="0" applyFont="1" applyFill="1" applyBorder="1" applyAlignment="1">
      <alignment horizontal="center" vertical="center" wrapText="1"/>
    </xf>
    <xf numFmtId="0" fontId="103" fillId="93" borderId="25" xfId="0" applyFont="1" applyFill="1" applyBorder="1" applyAlignment="1">
      <alignment horizontal="center" vertical="center"/>
    </xf>
    <xf numFmtId="0" fontId="103" fillId="93" borderId="23" xfId="0" applyFont="1" applyFill="1" applyBorder="1" applyAlignment="1">
      <alignment horizontal="left" vertical="center" wrapText="1"/>
    </xf>
    <xf numFmtId="0" fontId="103" fillId="0" borderId="1" xfId="0" applyFont="1" applyBorder="1">
      <alignment vertical="center"/>
    </xf>
    <xf numFmtId="0" fontId="127" fillId="0" borderId="1" xfId="0" applyFont="1" applyBorder="1" applyAlignment="1">
      <alignment horizontal="center" vertical="center"/>
    </xf>
    <xf numFmtId="0" fontId="127" fillId="0" borderId="2" xfId="0" applyFont="1" applyBorder="1" applyAlignment="1">
      <alignment horizontal="center" vertical="center"/>
    </xf>
    <xf numFmtId="0" fontId="103" fillId="0" borderId="3" xfId="0" applyFont="1" applyBorder="1">
      <alignment vertical="center"/>
    </xf>
    <xf numFmtId="0" fontId="127" fillId="0" borderId="3" xfId="0" applyFont="1" applyBorder="1" applyAlignment="1">
      <alignment horizontal="center" vertical="center"/>
    </xf>
    <xf numFmtId="0" fontId="127" fillId="0" borderId="0" xfId="0" applyFont="1" applyAlignment="1">
      <alignment horizontal="left" vertical="center" wrapText="1"/>
    </xf>
    <xf numFmtId="0" fontId="74" fillId="2" borderId="147" xfId="0" applyFont="1" applyFill="1" applyBorder="1">
      <alignment vertical="center"/>
    </xf>
    <xf numFmtId="0" fontId="74" fillId="0" borderId="36" xfId="0" applyFont="1" applyBorder="1">
      <alignment vertical="center"/>
    </xf>
    <xf numFmtId="0" fontId="74" fillId="11" borderId="36" xfId="0" applyFont="1" applyFill="1" applyBorder="1">
      <alignment vertical="center"/>
    </xf>
    <xf numFmtId="0" fontId="74" fillId="11" borderId="154" xfId="0" applyFont="1" applyFill="1" applyBorder="1">
      <alignment vertical="center"/>
    </xf>
    <xf numFmtId="49" fontId="103" fillId="0" borderId="16" xfId="0" applyNumberFormat="1" applyFont="1" applyBorder="1" applyAlignment="1">
      <alignment horizontal="center" vertical="center"/>
    </xf>
    <xf numFmtId="49" fontId="103" fillId="0" borderId="24" xfId="0" applyNumberFormat="1" applyFont="1" applyBorder="1" applyAlignment="1">
      <alignment horizontal="center" vertical="center"/>
    </xf>
    <xf numFmtId="49" fontId="103" fillId="0" borderId="24" xfId="0" applyNumberFormat="1" applyFont="1" applyBorder="1" applyAlignment="1">
      <alignment horizontal="center" vertical="center" wrapText="1"/>
    </xf>
    <xf numFmtId="49" fontId="103" fillId="0" borderId="17" xfId="0" applyNumberFormat="1" applyFont="1" applyBorder="1" applyAlignment="1">
      <alignment horizontal="left" vertical="center" wrapText="1"/>
    </xf>
    <xf numFmtId="49" fontId="103" fillId="93" borderId="20" xfId="0" applyNumberFormat="1" applyFont="1" applyFill="1" applyBorder="1" applyAlignment="1">
      <alignment horizontal="center" vertical="center"/>
    </xf>
    <xf numFmtId="49" fontId="103" fillId="93" borderId="0" xfId="0" applyNumberFormat="1" applyFont="1" applyFill="1" applyAlignment="1">
      <alignment horizontal="center" vertical="center" wrapText="1"/>
    </xf>
    <xf numFmtId="49" fontId="103" fillId="93" borderId="21" xfId="0" applyNumberFormat="1" applyFont="1" applyFill="1" applyBorder="1" applyAlignment="1">
      <alignment horizontal="left" vertical="center" wrapText="1"/>
    </xf>
    <xf numFmtId="49" fontId="103" fillId="0" borderId="20" xfId="0" applyNumberFormat="1" applyFont="1" applyBorder="1" applyAlignment="1">
      <alignment horizontal="center" vertical="center"/>
    </xf>
    <xf numFmtId="49" fontId="103" fillId="0" borderId="0" xfId="0" applyNumberFormat="1" applyFont="1" applyAlignment="1">
      <alignment horizontal="center" vertical="center"/>
    </xf>
    <xf numFmtId="49" fontId="103" fillId="0" borderId="21" xfId="0" applyNumberFormat="1" applyFont="1" applyBorder="1" applyAlignment="1">
      <alignment horizontal="left" vertical="center"/>
    </xf>
    <xf numFmtId="49" fontId="103" fillId="0" borderId="21" xfId="0" applyNumberFormat="1" applyFont="1" applyBorder="1" applyAlignment="1">
      <alignment horizontal="left" vertical="center" wrapText="1"/>
    </xf>
    <xf numFmtId="49" fontId="103" fillId="93" borderId="22" xfId="0" applyNumberFormat="1" applyFont="1" applyFill="1" applyBorder="1" applyAlignment="1">
      <alignment horizontal="center" vertical="center"/>
    </xf>
    <xf numFmtId="49" fontId="103" fillId="93" borderId="23" xfId="0" applyNumberFormat="1" applyFont="1" applyFill="1" applyBorder="1" applyAlignment="1">
      <alignment horizontal="left" vertical="center" wrapText="1"/>
    </xf>
    <xf numFmtId="49" fontId="127" fillId="0" borderId="0" xfId="0" applyNumberFormat="1" applyFont="1" applyAlignment="1">
      <alignment horizontal="center" vertical="center"/>
    </xf>
    <xf numFmtId="49" fontId="127" fillId="0" borderId="0" xfId="0" applyNumberFormat="1" applyFont="1" applyAlignment="1">
      <alignment horizontal="left" vertical="center"/>
    </xf>
    <xf numFmtId="49" fontId="127" fillId="0" borderId="0" xfId="0" applyNumberFormat="1" applyFont="1" applyAlignment="1">
      <alignment horizontal="center" vertical="center" wrapText="1"/>
    </xf>
    <xf numFmtId="0" fontId="127" fillId="0" borderId="0" xfId="0" applyFont="1" applyAlignment="1">
      <alignment horizontal="center" vertical="center" wrapText="1"/>
    </xf>
    <xf numFmtId="0" fontId="127" fillId="0" borderId="0" xfId="0" applyFont="1">
      <alignment vertical="center"/>
    </xf>
    <xf numFmtId="0" fontId="16" fillId="0" borderId="0" xfId="0" applyFont="1">
      <alignment vertical="center"/>
    </xf>
    <xf numFmtId="178" fontId="3" fillId="11" borderId="0" xfId="0" applyNumberFormat="1" applyFont="1" applyFill="1" applyAlignment="1">
      <alignment horizontal="center" vertical="center"/>
    </xf>
    <xf numFmtId="178" fontId="3" fillId="5" borderId="0" xfId="0" applyNumberFormat="1" applyFont="1" applyFill="1" applyAlignment="1">
      <alignment horizontal="center" vertical="center"/>
    </xf>
    <xf numFmtId="178" fontId="13" fillId="0" borderId="0" xfId="0" applyNumberFormat="1" applyFont="1" applyAlignment="1">
      <alignment horizontal="center" vertical="center"/>
    </xf>
    <xf numFmtId="178" fontId="13" fillId="0" borderId="25" xfId="0" applyNumberFormat="1" applyFont="1" applyBorder="1" applyAlignment="1">
      <alignment horizontal="center" vertical="center"/>
    </xf>
    <xf numFmtId="178" fontId="97" fillId="0" borderId="20" xfId="0" applyNumberFormat="1" applyFont="1" applyBorder="1" applyAlignment="1">
      <alignment horizontal="center" vertical="center"/>
    </xf>
    <xf numFmtId="178" fontId="97" fillId="0" borderId="0" xfId="0" applyNumberFormat="1" applyFont="1" applyAlignment="1">
      <alignment horizontal="center" vertical="center"/>
    </xf>
    <xf numFmtId="178" fontId="19" fillId="11" borderId="20" xfId="0" applyNumberFormat="1" applyFont="1" applyFill="1" applyBorder="1" applyAlignment="1">
      <alignment horizontal="center" vertical="center"/>
    </xf>
    <xf numFmtId="178" fontId="19" fillId="11" borderId="0" xfId="0" applyNumberFormat="1" applyFont="1" applyFill="1" applyAlignment="1">
      <alignment horizontal="center" vertical="center"/>
    </xf>
    <xf numFmtId="178" fontId="19" fillId="0" borderId="20" xfId="0" applyNumberFormat="1" applyFont="1" applyBorder="1" applyAlignment="1">
      <alignment horizontal="center" vertical="center"/>
    </xf>
    <xf numFmtId="178" fontId="19" fillId="0" borderId="0" xfId="0" applyNumberFormat="1" applyFont="1" applyAlignment="1">
      <alignment horizontal="center" vertical="center"/>
    </xf>
    <xf numFmtId="0" fontId="16" fillId="11" borderId="90" xfId="0" applyFont="1" applyFill="1" applyBorder="1" applyAlignment="1">
      <alignment horizontal="center" vertical="center"/>
    </xf>
    <xf numFmtId="0" fontId="16" fillId="0" borderId="90" xfId="0" applyFont="1" applyBorder="1" applyAlignment="1">
      <alignment horizontal="center" vertical="center"/>
    </xf>
    <xf numFmtId="0" fontId="16" fillId="11" borderId="22" xfId="0" applyFont="1" applyFill="1" applyBorder="1" applyAlignment="1">
      <alignment horizontal="center" vertical="center" wrapText="1"/>
    </xf>
    <xf numFmtId="178" fontId="3" fillId="5" borderId="21" xfId="0" applyNumberFormat="1" applyFont="1" applyFill="1" applyBorder="1" applyAlignment="1">
      <alignment horizontal="center" vertical="center"/>
    </xf>
    <xf numFmtId="178" fontId="13" fillId="0" borderId="21" xfId="0" applyNumberFormat="1" applyFont="1" applyBorder="1" applyAlignment="1">
      <alignment horizontal="center" vertical="center"/>
    </xf>
    <xf numFmtId="178" fontId="3" fillId="11" borderId="21" xfId="0" applyNumberFormat="1" applyFont="1" applyFill="1" applyBorder="1" applyAlignment="1">
      <alignment horizontal="center" vertical="center"/>
    </xf>
    <xf numFmtId="178" fontId="13" fillId="0" borderId="23" xfId="0" applyNumberFormat="1" applyFont="1" applyBorder="1" applyAlignment="1">
      <alignment horizontal="center" vertical="center"/>
    </xf>
    <xf numFmtId="178" fontId="3" fillId="11" borderId="20" xfId="0" applyNumberFormat="1" applyFont="1" applyFill="1" applyBorder="1">
      <alignment vertical="center"/>
    </xf>
    <xf numFmtId="178" fontId="97" fillId="0" borderId="21" xfId="0" applyNumberFormat="1" applyFont="1" applyBorder="1" applyAlignment="1">
      <alignment horizontal="center" vertical="center"/>
    </xf>
    <xf numFmtId="178" fontId="19" fillId="11" borderId="21" xfId="0" applyNumberFormat="1" applyFont="1" applyFill="1" applyBorder="1" applyAlignment="1">
      <alignment horizontal="center" vertical="center"/>
    </xf>
    <xf numFmtId="178" fontId="19" fillId="0" borderId="21" xfId="0" applyNumberFormat="1" applyFont="1" applyBorder="1" applyAlignment="1">
      <alignment horizontal="center" vertical="center"/>
    </xf>
    <xf numFmtId="0" fontId="97" fillId="5" borderId="21" xfId="0" applyFont="1" applyFill="1" applyBorder="1" applyAlignment="1">
      <alignment horizontal="center" vertical="center"/>
    </xf>
    <xf numFmtId="178" fontId="3" fillId="11" borderId="22" xfId="0" applyNumberFormat="1" applyFont="1" applyFill="1" applyBorder="1">
      <alignment vertical="center"/>
    </xf>
    <xf numFmtId="178" fontId="1" fillId="11" borderId="0" xfId="0" applyNumberFormat="1" applyFont="1" applyFill="1" applyAlignment="1">
      <alignment horizontal="center" vertical="center"/>
    </xf>
    <xf numFmtId="178" fontId="1" fillId="11" borderId="0" xfId="0" applyNumberFormat="1" applyFont="1" applyFill="1" applyAlignment="1">
      <alignment horizontal="right" vertical="center"/>
    </xf>
    <xf numFmtId="183" fontId="1" fillId="11" borderId="0" xfId="0" applyNumberFormat="1" applyFont="1" applyFill="1" applyAlignment="1">
      <alignment horizontal="left" vertical="center"/>
    </xf>
    <xf numFmtId="178" fontId="1" fillId="5" borderId="0" xfId="0" applyNumberFormat="1" applyFont="1" applyFill="1" applyAlignment="1">
      <alignment horizontal="center" vertical="center"/>
    </xf>
    <xf numFmtId="178" fontId="1" fillId="5" borderId="0" xfId="0" applyNumberFormat="1" applyFont="1" applyFill="1" applyAlignment="1">
      <alignment horizontal="right" vertical="center"/>
    </xf>
    <xf numFmtId="0" fontId="1" fillId="11" borderId="0" xfId="0" applyFont="1" applyFill="1" applyAlignment="1">
      <alignment horizontal="center" vertical="center"/>
    </xf>
    <xf numFmtId="184" fontId="1" fillId="11" borderId="0" xfId="0" applyNumberFormat="1" applyFont="1" applyFill="1" applyAlignment="1">
      <alignment horizontal="right" vertical="center"/>
    </xf>
    <xf numFmtId="184" fontId="1" fillId="11" borderId="0" xfId="0" applyNumberFormat="1" applyFont="1" applyFill="1" applyAlignment="1">
      <alignment horizontal="left" vertical="center"/>
    </xf>
    <xf numFmtId="178" fontId="3" fillId="5" borderId="0" xfId="0" applyNumberFormat="1" applyFont="1" applyFill="1">
      <alignment vertical="center"/>
    </xf>
    <xf numFmtId="0" fontId="1" fillId="11" borderId="25" xfId="0" applyFont="1" applyFill="1" applyBorder="1" applyAlignment="1">
      <alignment horizontal="center" vertical="center"/>
    </xf>
    <xf numFmtId="184" fontId="1" fillId="11" borderId="25" xfId="0" applyNumberFormat="1" applyFont="1" applyFill="1" applyBorder="1" applyAlignment="1">
      <alignment horizontal="right" vertical="center"/>
    </xf>
    <xf numFmtId="184" fontId="1" fillId="11" borderId="25" xfId="0" applyNumberFormat="1" applyFont="1" applyFill="1" applyBorder="1" applyAlignment="1">
      <alignment horizontal="left" vertical="center"/>
    </xf>
    <xf numFmtId="178" fontId="1" fillId="5" borderId="25" xfId="0" applyNumberFormat="1" applyFont="1" applyFill="1" applyBorder="1" applyAlignment="1">
      <alignment horizontal="center" vertical="center"/>
    </xf>
    <xf numFmtId="178" fontId="1" fillId="5" borderId="25" xfId="0" applyNumberFormat="1" applyFont="1" applyFill="1" applyBorder="1" applyAlignment="1">
      <alignment horizontal="right" vertical="center"/>
    </xf>
    <xf numFmtId="183" fontId="1" fillId="5" borderId="21" xfId="0" applyNumberFormat="1" applyFont="1" applyFill="1" applyBorder="1" applyAlignment="1">
      <alignment horizontal="left" vertical="center"/>
    </xf>
    <xf numFmtId="0" fontId="16" fillId="0" borderId="85" xfId="0" applyFont="1" applyBorder="1" applyAlignment="1">
      <alignment horizontal="center" vertical="center"/>
    </xf>
    <xf numFmtId="0" fontId="16" fillId="0" borderId="25" xfId="0" applyFont="1" applyBorder="1" applyAlignment="1">
      <alignment horizontal="center" vertical="center"/>
    </xf>
    <xf numFmtId="0" fontId="16" fillId="0" borderId="98" xfId="0" applyFont="1" applyBorder="1" applyAlignment="1">
      <alignment horizontal="center" vertical="center"/>
    </xf>
    <xf numFmtId="183" fontId="1" fillId="5" borderId="23" xfId="0" applyNumberFormat="1" applyFont="1" applyFill="1" applyBorder="1" applyAlignment="1">
      <alignment horizontal="left" vertical="center"/>
    </xf>
    <xf numFmtId="0" fontId="157" fillId="0" borderId="0" xfId="0" applyFont="1">
      <alignment vertical="center"/>
    </xf>
    <xf numFmtId="0" fontId="29" fillId="0" borderId="21" xfId="0" applyFont="1" applyBorder="1">
      <alignment vertical="center"/>
    </xf>
    <xf numFmtId="0" fontId="29" fillId="0" borderId="25" xfId="0" applyFont="1" applyBorder="1">
      <alignment vertical="center"/>
    </xf>
    <xf numFmtId="0" fontId="29" fillId="0" borderId="23" xfId="0" applyFont="1" applyBorder="1">
      <alignment vertical="center"/>
    </xf>
    <xf numFmtId="0" fontId="16" fillId="11" borderId="0" xfId="0" applyFont="1" applyFill="1">
      <alignment vertical="center"/>
    </xf>
    <xf numFmtId="0" fontId="16" fillId="11" borderId="14" xfId="0" applyFont="1" applyFill="1" applyBorder="1">
      <alignment vertical="center"/>
    </xf>
    <xf numFmtId="0" fontId="16" fillId="0" borderId="14" xfId="0" applyFont="1" applyBorder="1">
      <alignment vertical="center"/>
    </xf>
    <xf numFmtId="0" fontId="104" fillId="0" borderId="0" xfId="0" applyFont="1" applyAlignment="1">
      <alignment vertical="center" wrapText="1"/>
    </xf>
    <xf numFmtId="0" fontId="54" fillId="0" borderId="0" xfId="0" applyFont="1" applyAlignment="1">
      <alignment horizontal="center" vertical="center"/>
    </xf>
    <xf numFmtId="180" fontId="54" fillId="0" borderId="0" xfId="0" applyNumberFormat="1" applyFont="1" applyAlignment="1">
      <alignment horizontal="center" vertical="center"/>
    </xf>
    <xf numFmtId="0" fontId="120" fillId="0" borderId="25" xfId="0" applyFont="1" applyBorder="1" applyAlignment="1">
      <alignment horizontal="center" vertical="center"/>
    </xf>
    <xf numFmtId="0" fontId="0" fillId="0" borderId="21" xfId="0" applyBorder="1">
      <alignment vertical="center"/>
    </xf>
    <xf numFmtId="0" fontId="19" fillId="0" borderId="0" xfId="0" applyFont="1" applyAlignment="1">
      <alignment vertical="center" wrapText="1"/>
    </xf>
    <xf numFmtId="0" fontId="182" fillId="0" borderId="0" xfId="0" applyFont="1" applyAlignment="1">
      <alignment vertical="top"/>
    </xf>
    <xf numFmtId="0" fontId="184" fillId="0" borderId="0" xfId="0" applyFont="1">
      <alignment vertical="center"/>
    </xf>
    <xf numFmtId="0" fontId="120" fillId="0" borderId="0" xfId="0" applyFont="1" applyAlignment="1"/>
    <xf numFmtId="0" fontId="186" fillId="0" borderId="0" xfId="0" applyFont="1" applyAlignment="1">
      <alignment vertical="top" wrapText="1"/>
    </xf>
    <xf numFmtId="0" fontId="59" fillId="11" borderId="21" xfId="0" quotePrefix="1" applyFont="1" applyFill="1" applyBorder="1" applyAlignment="1">
      <alignment horizontal="center" vertical="center"/>
    </xf>
    <xf numFmtId="0" fontId="59" fillId="0" borderId="21" xfId="0" quotePrefix="1" applyFont="1" applyBorder="1" applyAlignment="1">
      <alignment horizontal="center" vertical="center"/>
    </xf>
    <xf numFmtId="0" fontId="59" fillId="0" borderId="23" xfId="0" quotePrefix="1" applyFont="1" applyBorder="1" applyAlignment="1">
      <alignment horizontal="center" vertical="center"/>
    </xf>
    <xf numFmtId="0" fontId="32" fillId="0" borderId="0" xfId="0" quotePrefix="1" applyFont="1" applyAlignment="1">
      <alignment horizontal="center" vertical="center"/>
    </xf>
    <xf numFmtId="0" fontId="32" fillId="0" borderId="21" xfId="0" quotePrefix="1" applyFont="1" applyBorder="1" applyAlignment="1">
      <alignment horizontal="center" vertical="center"/>
    </xf>
    <xf numFmtId="0" fontId="32" fillId="0" borderId="8" xfId="0" quotePrefix="1" applyFont="1" applyBorder="1" applyAlignment="1">
      <alignment horizontal="center" vertical="center"/>
    </xf>
    <xf numFmtId="0" fontId="32" fillId="13" borderId="0" xfId="0" quotePrefix="1" applyFont="1" applyFill="1" applyAlignment="1">
      <alignment horizontal="center" vertical="center"/>
    </xf>
    <xf numFmtId="0" fontId="32" fillId="13" borderId="0" xfId="6" quotePrefix="1" applyFont="1" applyFill="1" applyAlignment="1" applyProtection="1">
      <alignment horizontal="center" vertical="center"/>
    </xf>
    <xf numFmtId="0" fontId="32" fillId="15" borderId="0" xfId="0" quotePrefix="1" applyFont="1" applyFill="1" applyAlignment="1">
      <alignment horizontal="center" vertical="center"/>
    </xf>
    <xf numFmtId="0" fontId="27" fillId="0" borderId="21" xfId="6" quotePrefix="1" applyFont="1" applyBorder="1" applyAlignment="1" applyProtection="1">
      <alignment horizontal="center" vertical="center"/>
    </xf>
    <xf numFmtId="0" fontId="32" fillId="21" borderId="0" xfId="0" quotePrefix="1" applyFont="1" applyFill="1" applyAlignment="1">
      <alignment horizontal="center" vertical="center"/>
    </xf>
    <xf numFmtId="0" fontId="33" fillId="0" borderId="21" xfId="0" quotePrefix="1" applyFont="1" applyBorder="1" applyAlignment="1">
      <alignment horizontal="center" vertical="center"/>
    </xf>
    <xf numFmtId="0" fontId="33" fillId="23" borderId="0" xfId="0" quotePrefix="1" applyFont="1" applyFill="1" applyAlignment="1">
      <alignment horizontal="center" vertical="center"/>
    </xf>
    <xf numFmtId="0" fontId="33" fillId="15" borderId="21" xfId="0" quotePrefix="1" applyFont="1" applyFill="1" applyBorder="1" applyAlignment="1">
      <alignment horizontal="center" vertical="center"/>
    </xf>
    <xf numFmtId="0" fontId="33" fillId="0" borderId="0" xfId="0" quotePrefix="1" applyFont="1" applyAlignment="1">
      <alignment horizontal="center" vertical="center"/>
    </xf>
    <xf numFmtId="0" fontId="33" fillId="24" borderId="0" xfId="0" quotePrefix="1" applyFont="1" applyFill="1" applyAlignment="1">
      <alignment horizontal="center" vertical="center"/>
    </xf>
    <xf numFmtId="58" fontId="33" fillId="20" borderId="21"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5" borderId="0" xfId="0" quotePrefix="1" applyFont="1" applyFill="1" applyAlignment="1">
      <alignment horizontal="center" vertical="center"/>
    </xf>
    <xf numFmtId="0" fontId="33" fillId="26" borderId="0" xfId="0" quotePrefix="1" applyFont="1" applyFill="1" applyAlignment="1">
      <alignment horizontal="center" vertical="center"/>
    </xf>
    <xf numFmtId="0" fontId="27" fillId="26" borderId="0" xfId="6" quotePrefix="1" applyFont="1" applyFill="1" applyAlignment="1" applyProtection="1">
      <alignment horizontal="center" vertical="center"/>
    </xf>
    <xf numFmtId="0" fontId="33" fillId="27" borderId="0" xfId="0" quotePrefix="1" applyFont="1" applyFill="1" applyAlignment="1">
      <alignment horizontal="center" vertical="center"/>
    </xf>
    <xf numFmtId="58" fontId="33" fillId="11" borderId="21" xfId="0" quotePrefix="1" applyNumberFormat="1" applyFont="1" applyFill="1" applyBorder="1" applyAlignment="1">
      <alignment horizontal="center" vertical="center"/>
    </xf>
    <xf numFmtId="58" fontId="27" fillId="11" borderId="21" xfId="0" quotePrefix="1" applyNumberFormat="1" applyFont="1" applyFill="1" applyBorder="1" applyAlignment="1">
      <alignment horizontal="center" vertical="center"/>
    </xf>
    <xf numFmtId="49" fontId="16" fillId="0" borderId="80" xfId="0" applyNumberFormat="1" applyFont="1" applyBorder="1" applyAlignment="1" applyProtection="1">
      <alignment horizontal="left" vertical="top"/>
      <protection locked="0"/>
    </xf>
    <xf numFmtId="49" fontId="16" fillId="0" borderId="81" xfId="0" applyNumberFormat="1" applyFont="1" applyBorder="1" applyAlignment="1" applyProtection="1">
      <alignment horizontal="left" vertical="top"/>
      <protection locked="0"/>
    </xf>
    <xf numFmtId="49" fontId="16" fillId="0" borderId="165" xfId="0" applyNumberFormat="1" applyFont="1" applyBorder="1" applyAlignment="1" applyProtection="1">
      <alignment horizontal="left" vertical="top"/>
      <protection locked="0"/>
    </xf>
    <xf numFmtId="49" fontId="16" fillId="0" borderId="20" xfId="0" applyNumberFormat="1" applyFont="1" applyBorder="1" applyAlignment="1" applyProtection="1">
      <alignment horizontal="left" vertical="top"/>
      <protection locked="0"/>
    </xf>
    <xf numFmtId="49" fontId="16" fillId="0" borderId="0" xfId="0" applyNumberFormat="1" applyFont="1" applyAlignment="1" applyProtection="1">
      <alignment horizontal="left" vertical="top"/>
      <protection locked="0"/>
    </xf>
    <xf numFmtId="49" fontId="16" fillId="0" borderId="90" xfId="0" applyNumberFormat="1" applyFont="1" applyBorder="1" applyAlignment="1" applyProtection="1">
      <alignment horizontal="left" vertical="top"/>
      <protection locked="0"/>
    </xf>
    <xf numFmtId="49" fontId="16" fillId="0" borderId="22" xfId="0" applyNumberFormat="1" applyFont="1" applyBorder="1" applyAlignment="1" applyProtection="1">
      <alignment horizontal="left" vertical="top"/>
      <protection locked="0"/>
    </xf>
    <xf numFmtId="49" fontId="16" fillId="0" borderId="25" xfId="0" applyNumberFormat="1" applyFont="1" applyBorder="1" applyAlignment="1" applyProtection="1">
      <alignment horizontal="left" vertical="top"/>
      <protection locked="0"/>
    </xf>
    <xf numFmtId="49" fontId="16" fillId="0" borderId="96" xfId="0" applyNumberFormat="1" applyFont="1" applyBorder="1" applyAlignment="1" applyProtection="1">
      <alignment horizontal="left" vertical="top"/>
      <protection locked="0"/>
    </xf>
    <xf numFmtId="49" fontId="16" fillId="0" borderId="92" xfId="0" applyNumberFormat="1" applyFont="1" applyBorder="1" applyAlignment="1" applyProtection="1">
      <alignment horizontal="left" vertical="top"/>
      <protection locked="0"/>
    </xf>
    <xf numFmtId="49" fontId="16" fillId="0" borderId="21" xfId="0" applyNumberFormat="1" applyFont="1" applyBorder="1" applyAlignment="1" applyProtection="1">
      <alignment horizontal="left" vertical="top"/>
      <protection locked="0"/>
    </xf>
    <xf numFmtId="49" fontId="16" fillId="0" borderId="23" xfId="0" applyNumberFormat="1" applyFont="1" applyBorder="1" applyAlignment="1" applyProtection="1">
      <alignment horizontal="left" vertical="top"/>
      <protection locked="0"/>
    </xf>
    <xf numFmtId="0" fontId="16" fillId="10" borderId="24" xfId="0" applyFont="1" applyFill="1" applyBorder="1" applyAlignment="1" applyProtection="1">
      <alignment horizontal="right" vertical="center"/>
      <protection locked="0"/>
    </xf>
    <xf numFmtId="0" fontId="16" fillId="6" borderId="24" xfId="0" applyFont="1" applyFill="1" applyBorder="1" applyAlignment="1" applyProtection="1">
      <alignment horizontal="right" vertical="center"/>
      <protection locked="0"/>
    </xf>
    <xf numFmtId="0" fontId="16" fillId="6" borderId="25" xfId="0" applyFont="1" applyFill="1" applyBorder="1" applyAlignment="1" applyProtection="1">
      <alignment horizontal="right" vertical="center"/>
      <protection locked="0"/>
    </xf>
    <xf numFmtId="186" fontId="16" fillId="10" borderId="24" xfId="0" applyNumberFormat="1" applyFont="1" applyFill="1" applyBorder="1" applyAlignment="1">
      <alignment horizontal="left" vertical="center"/>
    </xf>
    <xf numFmtId="186" fontId="16" fillId="6" borderId="24" xfId="0" applyNumberFormat="1" applyFont="1" applyFill="1" applyBorder="1" applyAlignment="1">
      <alignment horizontal="left" vertical="center"/>
    </xf>
    <xf numFmtId="186" fontId="16" fillId="6" borderId="25" xfId="0" applyNumberFormat="1" applyFont="1" applyFill="1" applyBorder="1" applyAlignment="1">
      <alignment horizontal="left" vertical="center"/>
    </xf>
    <xf numFmtId="0" fontId="16" fillId="11" borderId="24" xfId="0" applyFont="1" applyFill="1" applyBorder="1" applyAlignment="1">
      <alignment horizontal="center" vertical="center" wrapText="1"/>
    </xf>
    <xf numFmtId="0" fontId="16" fillId="34" borderId="208" xfId="0" applyFont="1" applyFill="1" applyBorder="1" applyAlignment="1">
      <alignment horizontal="center" vertical="center" wrapText="1"/>
    </xf>
    <xf numFmtId="0" fontId="16" fillId="34" borderId="0" xfId="0" applyFont="1" applyFill="1" applyAlignment="1">
      <alignment horizontal="center" vertical="center" wrapText="1"/>
    </xf>
    <xf numFmtId="0" fontId="16" fillId="34" borderId="90" xfId="0" applyFont="1" applyFill="1" applyBorder="1" applyAlignment="1">
      <alignment horizontal="center" vertical="center" wrapText="1"/>
    </xf>
    <xf numFmtId="0" fontId="16" fillId="0" borderId="97" xfId="0" applyFont="1" applyBorder="1" applyAlignment="1">
      <alignment horizontal="center" vertical="center" wrapText="1"/>
    </xf>
    <xf numFmtId="0" fontId="16" fillId="0" borderId="36" xfId="0" applyFont="1" applyBorder="1" applyAlignment="1">
      <alignment horizontal="center" vertical="center" wrapText="1"/>
    </xf>
    <xf numFmtId="0" fontId="97" fillId="11" borderId="97" xfId="0" applyFont="1" applyFill="1" applyBorder="1" applyAlignment="1" applyProtection="1">
      <alignment horizontal="center" vertical="center" wrapText="1"/>
      <protection locked="0"/>
    </xf>
    <xf numFmtId="0" fontId="97" fillId="34" borderId="97" xfId="0" applyFont="1" applyFill="1" applyBorder="1" applyAlignment="1" applyProtection="1">
      <alignment horizontal="center" vertical="center" wrapText="1"/>
      <protection locked="0"/>
    </xf>
    <xf numFmtId="0" fontId="182" fillId="0" borderId="0" xfId="0" applyFont="1" applyAlignment="1">
      <alignment horizontal="center" vertical="top"/>
    </xf>
    <xf numFmtId="0" fontId="97" fillId="0" borderId="97" xfId="0" applyFont="1" applyBorder="1" applyAlignment="1" applyProtection="1">
      <alignment horizontal="center" vertical="center" wrapText="1"/>
      <protection locked="0"/>
    </xf>
    <xf numFmtId="0" fontId="16" fillId="11" borderId="204" xfId="0" applyFont="1" applyFill="1" applyBorder="1" applyAlignment="1">
      <alignment horizontal="center" vertical="center" wrapText="1"/>
    </xf>
    <xf numFmtId="0" fontId="16" fillId="34" borderId="191" xfId="0" applyFont="1" applyFill="1" applyBorder="1" applyAlignment="1">
      <alignment horizontal="center" vertical="center" wrapText="1"/>
    </xf>
    <xf numFmtId="0" fontId="16" fillId="34" borderId="146" xfId="0" applyFont="1" applyFill="1" applyBorder="1" applyAlignment="1">
      <alignment horizontal="center" vertical="center" wrapText="1"/>
    </xf>
    <xf numFmtId="0" fontId="16" fillId="34" borderId="97" xfId="0" applyFont="1" applyFill="1" applyBorder="1" applyAlignment="1">
      <alignment horizontal="center" vertical="center" wrapText="1"/>
    </xf>
    <xf numFmtId="0" fontId="16" fillId="11" borderId="191" xfId="0" applyFont="1" applyFill="1" applyBorder="1" applyAlignment="1" applyProtection="1">
      <alignment horizontal="center" vertical="center" wrapText="1"/>
      <protection locked="0"/>
    </xf>
    <xf numFmtId="0" fontId="16" fillId="34" borderId="191" xfId="0" applyFont="1" applyFill="1" applyBorder="1" applyAlignment="1" applyProtection="1">
      <alignment horizontal="center" vertical="center" wrapText="1"/>
      <protection locked="0"/>
    </xf>
    <xf numFmtId="0" fontId="16" fillId="34" borderId="97" xfId="0" applyFont="1" applyFill="1" applyBorder="1" applyAlignment="1" applyProtection="1">
      <alignment horizontal="center" vertical="center" wrapText="1"/>
      <protection locked="0"/>
    </xf>
    <xf numFmtId="0" fontId="16" fillId="0" borderId="191" xfId="0" applyFont="1" applyBorder="1" applyAlignment="1">
      <alignment horizontal="center" vertical="center" wrapText="1"/>
    </xf>
    <xf numFmtId="0" fontId="16" fillId="0" borderId="191" xfId="0" applyFont="1" applyBorder="1" applyAlignment="1" applyProtection="1">
      <alignment horizontal="center" vertical="center" wrapText="1"/>
      <protection locked="0"/>
    </xf>
    <xf numFmtId="0" fontId="16" fillId="0" borderId="97" xfId="0" applyFont="1" applyBorder="1" applyAlignment="1" applyProtection="1">
      <alignment horizontal="center" vertical="center" wrapText="1"/>
      <protection locked="0"/>
    </xf>
    <xf numFmtId="0" fontId="16" fillId="11" borderId="191" xfId="0" applyFont="1" applyFill="1" applyBorder="1" applyAlignment="1">
      <alignment horizontal="center" vertical="center" wrapText="1"/>
    </xf>
    <xf numFmtId="0" fontId="96" fillId="11" borderId="80" xfId="0" applyFont="1" applyFill="1" applyBorder="1" applyAlignment="1">
      <alignment horizontal="center" vertical="top" wrapText="1"/>
    </xf>
    <xf numFmtId="0" fontId="96" fillId="12" borderId="81" xfId="0" applyFont="1" applyFill="1" applyBorder="1" applyAlignment="1">
      <alignment horizontal="center" vertical="top" wrapText="1"/>
    </xf>
    <xf numFmtId="0" fontId="96" fillId="12" borderId="92" xfId="0" applyFont="1" applyFill="1" applyBorder="1" applyAlignment="1">
      <alignment horizontal="center" vertical="top" wrapText="1"/>
    </xf>
    <xf numFmtId="0" fontId="96" fillId="12" borderId="20" xfId="0" applyFont="1" applyFill="1" applyBorder="1" applyAlignment="1">
      <alignment horizontal="center" vertical="top" wrapText="1"/>
    </xf>
    <xf numFmtId="0" fontId="96" fillId="12" borderId="0" xfId="0" applyFont="1" applyFill="1" applyAlignment="1">
      <alignment horizontal="center" vertical="top" wrapText="1"/>
    </xf>
    <xf numFmtId="0" fontId="96" fillId="12" borderId="21" xfId="0" applyFont="1" applyFill="1" applyBorder="1" applyAlignment="1">
      <alignment horizontal="center" vertical="top" wrapText="1"/>
    </xf>
    <xf numFmtId="0" fontId="96" fillId="12" borderId="22" xfId="0" applyFont="1" applyFill="1" applyBorder="1" applyAlignment="1">
      <alignment horizontal="center" vertical="top" wrapText="1"/>
    </xf>
    <xf numFmtId="0" fontId="96" fillId="12" borderId="25" xfId="0" applyFont="1" applyFill="1" applyBorder="1" applyAlignment="1">
      <alignment horizontal="center" vertical="top" wrapText="1"/>
    </xf>
    <xf numFmtId="0" fontId="96" fillId="12" borderId="23" xfId="0" applyFont="1" applyFill="1" applyBorder="1" applyAlignment="1">
      <alignment horizontal="center" vertical="top" wrapText="1"/>
    </xf>
    <xf numFmtId="0" fontId="97" fillId="0" borderId="146" xfId="0" applyFont="1" applyBorder="1" applyAlignment="1">
      <alignment horizontal="center" vertical="center" wrapText="1"/>
    </xf>
    <xf numFmtId="0" fontId="97" fillId="0" borderId="97" xfId="0" applyFont="1" applyBorder="1" applyAlignment="1">
      <alignment horizontal="center" vertical="center" wrapText="1"/>
    </xf>
    <xf numFmtId="0" fontId="97" fillId="0" borderId="36" xfId="0" applyFont="1" applyBorder="1" applyAlignment="1">
      <alignment horizontal="center" vertical="center" wrapText="1"/>
    </xf>
    <xf numFmtId="0" fontId="16" fillId="0" borderId="146" xfId="0" applyFont="1" applyBorder="1" applyAlignment="1">
      <alignment horizontal="center" vertical="center"/>
    </xf>
    <xf numFmtId="0" fontId="16" fillId="0" borderId="97" xfId="0" applyFont="1" applyBorder="1" applyAlignment="1">
      <alignment horizontal="center" vertical="center"/>
    </xf>
    <xf numFmtId="0" fontId="16" fillId="0" borderId="219" xfId="0" applyFont="1" applyBorder="1" applyAlignment="1">
      <alignment horizontal="center" vertical="center"/>
    </xf>
    <xf numFmtId="0" fontId="16" fillId="0" borderId="91" xfId="0" applyFont="1" applyBorder="1" applyAlignment="1">
      <alignment horizontal="center" vertical="center"/>
    </xf>
    <xf numFmtId="0" fontId="1" fillId="0" borderId="146" xfId="0" applyFont="1" applyBorder="1" applyAlignment="1">
      <alignment horizontal="center" vertical="center" wrapText="1"/>
    </xf>
    <xf numFmtId="0" fontId="1" fillId="0" borderId="97" xfId="0" applyFont="1" applyBorder="1" applyAlignment="1">
      <alignment horizontal="center" vertical="center" wrapText="1"/>
    </xf>
    <xf numFmtId="0" fontId="1" fillId="11" borderId="97" xfId="0" applyFont="1" applyFill="1" applyBorder="1" applyAlignment="1">
      <alignment horizontal="center" vertical="center" wrapText="1"/>
    </xf>
    <xf numFmtId="0" fontId="1" fillId="34" borderId="97" xfId="0" applyFont="1" applyFill="1" applyBorder="1" applyAlignment="1">
      <alignment horizontal="center" vertical="center" wrapText="1"/>
    </xf>
    <xf numFmtId="0" fontId="1" fillId="0" borderId="36" xfId="0" applyFont="1" applyBorder="1" applyAlignment="1">
      <alignment horizontal="center" vertical="center" wrapText="1"/>
    </xf>
    <xf numFmtId="0" fontId="182" fillId="0" borderId="0" xfId="0" applyFont="1" applyAlignment="1">
      <alignment horizontal="center" vertical="top" wrapText="1"/>
    </xf>
    <xf numFmtId="0" fontId="16" fillId="0" borderId="36" xfId="0" applyFont="1" applyBorder="1" applyAlignment="1">
      <alignment horizontal="center" vertical="center"/>
    </xf>
    <xf numFmtId="0" fontId="183" fillId="0" borderId="0" xfId="0" applyFont="1" applyAlignment="1">
      <alignment horizontal="center" vertical="top"/>
    </xf>
    <xf numFmtId="0" fontId="97" fillId="12" borderId="97" xfId="0" applyFont="1" applyFill="1" applyBorder="1" applyAlignment="1" applyProtection="1">
      <alignment horizontal="center" vertical="center" wrapText="1"/>
      <protection locked="0"/>
    </xf>
    <xf numFmtId="178" fontId="185" fillId="11" borderId="97" xfId="3" applyNumberFormat="1" applyFont="1" applyFill="1" applyBorder="1" applyAlignment="1" applyProtection="1">
      <alignment horizontal="center" vertical="center"/>
    </xf>
    <xf numFmtId="178" fontId="185" fillId="34" borderId="97" xfId="3" applyNumberFormat="1" applyFont="1" applyBorder="1" applyAlignment="1" applyProtection="1">
      <alignment horizontal="center" vertical="center"/>
    </xf>
    <xf numFmtId="178" fontId="185" fillId="34" borderId="36" xfId="3" applyNumberFormat="1" applyFont="1" applyBorder="1" applyAlignment="1" applyProtection="1">
      <alignment horizontal="center" vertical="center"/>
    </xf>
    <xf numFmtId="1" fontId="16" fillId="11" borderId="24" xfId="0" applyNumberFormat="1" applyFont="1" applyFill="1" applyBorder="1" applyAlignment="1" applyProtection="1">
      <alignment horizontal="right" vertical="center" wrapText="1"/>
      <protection locked="0"/>
    </xf>
    <xf numFmtId="1" fontId="16" fillId="12" borderId="24" xfId="0" applyNumberFormat="1" applyFont="1" applyFill="1" applyBorder="1" applyAlignment="1" applyProtection="1">
      <alignment horizontal="right" vertical="center" wrapText="1"/>
      <protection locked="0"/>
    </xf>
    <xf numFmtId="1" fontId="16" fillId="12" borderId="25" xfId="0" applyNumberFormat="1" applyFont="1" applyFill="1" applyBorder="1" applyAlignment="1" applyProtection="1">
      <alignment horizontal="right" vertical="center" wrapText="1"/>
      <protection locked="0"/>
    </xf>
    <xf numFmtId="0" fontId="1" fillId="11" borderId="146" xfId="0" applyFont="1" applyFill="1" applyBorder="1" applyAlignment="1">
      <alignment horizontal="center" vertical="center" wrapText="1"/>
    </xf>
    <xf numFmtId="0" fontId="1" fillId="34" borderId="212" xfId="0" applyFont="1" applyFill="1" applyBorder="1" applyAlignment="1">
      <alignment horizontal="center" vertical="center" wrapText="1"/>
    </xf>
    <xf numFmtId="0" fontId="1" fillId="34" borderId="213" xfId="0" applyFont="1" applyFill="1" applyBorder="1" applyAlignment="1">
      <alignment horizontal="center" vertical="center" wrapText="1"/>
    </xf>
    <xf numFmtId="0" fontId="1" fillId="0" borderId="213" xfId="0" applyFont="1" applyBorder="1" applyAlignment="1">
      <alignment horizontal="center" vertical="center" wrapText="1"/>
    </xf>
    <xf numFmtId="0" fontId="1" fillId="34" borderId="36" xfId="0" applyFont="1" applyFill="1" applyBorder="1" applyAlignment="1">
      <alignment horizontal="center" vertical="center" wrapText="1"/>
    </xf>
    <xf numFmtId="0" fontId="1" fillId="34" borderId="218" xfId="0" applyFont="1" applyFill="1" applyBorder="1" applyAlignment="1">
      <alignment horizontal="center" vertical="center" wrapText="1"/>
    </xf>
    <xf numFmtId="0" fontId="16" fillId="0" borderId="146" xfId="0" applyFont="1" applyBorder="1" applyAlignment="1">
      <alignment horizontal="center" vertical="center" wrapText="1"/>
    </xf>
    <xf numFmtId="186" fontId="16" fillId="0" borderId="0" xfId="0" applyNumberFormat="1" applyFont="1" applyAlignment="1" applyProtection="1">
      <alignment vertical="center" wrapText="1"/>
      <protection locked="0"/>
    </xf>
    <xf numFmtId="186" fontId="16" fillId="0" borderId="0" xfId="0" applyNumberFormat="1" applyFont="1" applyProtection="1">
      <alignment vertical="center"/>
      <protection locked="0"/>
    </xf>
    <xf numFmtId="0" fontId="178" fillId="0" borderId="97" xfId="0" applyFont="1" applyBorder="1" applyAlignment="1" applyProtection="1">
      <alignment horizontal="center" vertical="center"/>
      <protection locked="0"/>
    </xf>
    <xf numFmtId="0" fontId="178" fillId="0" borderId="36" xfId="0" applyFont="1" applyBorder="1" applyAlignment="1" applyProtection="1">
      <alignment horizontal="center" vertical="center"/>
      <protection locked="0"/>
    </xf>
    <xf numFmtId="0" fontId="178" fillId="0" borderId="91" xfId="0" applyFont="1" applyBorder="1" applyAlignment="1" applyProtection="1">
      <alignment horizontal="center" vertical="center"/>
      <protection locked="0"/>
    </xf>
    <xf numFmtId="0" fontId="178" fillId="0" borderId="35" xfId="0" applyFont="1" applyBorder="1" applyAlignment="1" applyProtection="1">
      <alignment horizontal="center" vertical="center"/>
      <protection locked="0"/>
    </xf>
    <xf numFmtId="0" fontId="16" fillId="0" borderId="146" xfId="0" applyFont="1" applyBorder="1" applyAlignment="1" applyProtection="1">
      <alignment horizontal="center" vertical="top" wrapText="1"/>
      <protection locked="0"/>
    </xf>
    <xf numFmtId="0" fontId="16" fillId="0" borderId="97" xfId="0" applyFont="1" applyBorder="1" applyAlignment="1" applyProtection="1">
      <alignment horizontal="center" vertical="top" wrapText="1"/>
      <protection locked="0"/>
    </xf>
    <xf numFmtId="0" fontId="16" fillId="0" borderId="97" xfId="0" applyFont="1" applyBorder="1" applyAlignment="1" applyProtection="1">
      <alignment horizontal="center" vertical="center"/>
      <protection locked="0"/>
    </xf>
    <xf numFmtId="0" fontId="16" fillId="0" borderId="36" xfId="0" applyFont="1" applyBorder="1" applyAlignment="1" applyProtection="1">
      <alignment horizontal="center" vertical="center"/>
      <protection locked="0"/>
    </xf>
    <xf numFmtId="0" fontId="97" fillId="0" borderId="146" xfId="0" applyFont="1" applyBorder="1" applyAlignment="1">
      <alignment horizontal="center" vertical="center"/>
    </xf>
    <xf numFmtId="0" fontId="97" fillId="0" borderId="97" xfId="0" applyFont="1" applyBorder="1" applyAlignment="1">
      <alignment horizontal="center" vertical="center"/>
    </xf>
    <xf numFmtId="0" fontId="16" fillId="0" borderId="97" xfId="0" applyFont="1" applyBorder="1" applyAlignment="1">
      <alignment horizontal="left" vertical="center" wrapText="1"/>
    </xf>
    <xf numFmtId="0" fontId="96" fillId="11" borderId="146" xfId="0" applyFont="1" applyFill="1" applyBorder="1" applyAlignment="1">
      <alignment horizontal="left" vertical="top" wrapText="1"/>
    </xf>
    <xf numFmtId="0" fontId="96" fillId="12" borderId="97" xfId="0" applyFont="1" applyFill="1" applyBorder="1" applyAlignment="1">
      <alignment horizontal="left" vertical="top" wrapText="1"/>
    </xf>
    <xf numFmtId="0" fontId="96" fillId="12" borderId="36" xfId="0" applyFont="1" applyFill="1" applyBorder="1" applyAlignment="1">
      <alignment horizontal="left" vertical="top" wrapText="1"/>
    </xf>
    <xf numFmtId="0" fontId="96" fillId="12" borderId="146" xfId="0" applyFont="1" applyFill="1" applyBorder="1" applyAlignment="1">
      <alignment horizontal="left" vertical="top" wrapText="1"/>
    </xf>
    <xf numFmtId="0" fontId="96" fillId="12" borderId="188" xfId="0" applyFont="1" applyFill="1" applyBorder="1" applyAlignment="1">
      <alignment horizontal="left" vertical="top" wrapText="1"/>
    </xf>
    <xf numFmtId="0" fontId="96" fillId="12" borderId="189" xfId="0" applyFont="1" applyFill="1" applyBorder="1" applyAlignment="1">
      <alignment horizontal="left" vertical="top" wrapText="1"/>
    </xf>
    <xf numFmtId="0" fontId="96" fillId="12" borderId="154" xfId="0" applyFont="1" applyFill="1" applyBorder="1" applyAlignment="1">
      <alignment horizontal="left" vertical="top" wrapText="1"/>
    </xf>
    <xf numFmtId="0" fontId="178" fillId="11" borderId="97" xfId="0" applyFont="1" applyFill="1" applyBorder="1" applyAlignment="1" applyProtection="1">
      <alignment horizontal="center" vertical="center"/>
      <protection locked="0"/>
    </xf>
    <xf numFmtId="0" fontId="178" fillId="34" borderId="36" xfId="0" applyFont="1" applyFill="1" applyBorder="1" applyAlignment="1" applyProtection="1">
      <alignment horizontal="center" vertical="center"/>
      <protection locked="0"/>
    </xf>
    <xf numFmtId="0" fontId="178" fillId="34" borderId="97" xfId="0" applyFont="1" applyFill="1" applyBorder="1" applyAlignment="1" applyProtection="1">
      <alignment horizontal="center" vertical="center"/>
      <protection locked="0"/>
    </xf>
    <xf numFmtId="0" fontId="97" fillId="0" borderId="146" xfId="0" applyFont="1" applyBorder="1" applyAlignment="1">
      <alignment horizontal="left" vertical="top" wrapText="1"/>
    </xf>
    <xf numFmtId="0" fontId="97" fillId="0" borderId="97" xfId="0" applyFont="1" applyBorder="1" applyAlignment="1">
      <alignment horizontal="left" vertical="top" wrapText="1"/>
    </xf>
    <xf numFmtId="0" fontId="97" fillId="0" borderId="201" xfId="0" applyFont="1" applyBorder="1" applyAlignment="1">
      <alignment horizontal="left" vertical="top" wrapText="1"/>
    </xf>
    <xf numFmtId="0" fontId="97" fillId="0" borderId="188" xfId="0" applyFont="1" applyBorder="1" applyAlignment="1">
      <alignment horizontal="left" vertical="top" wrapText="1"/>
    </xf>
    <xf numFmtId="0" fontId="97" fillId="0" borderId="189" xfId="0" applyFont="1" applyBorder="1" applyAlignment="1">
      <alignment horizontal="left" vertical="top" wrapText="1"/>
    </xf>
    <xf numFmtId="0" fontId="97" fillId="0" borderId="220" xfId="0" applyFont="1" applyBorder="1" applyAlignment="1">
      <alignment horizontal="left" vertical="top" wrapText="1"/>
    </xf>
    <xf numFmtId="0" fontId="166" fillId="0" borderId="89" xfId="0" applyFont="1" applyBorder="1" applyAlignment="1" applyProtection="1">
      <alignment horizontal="left" vertical="top" wrapText="1"/>
      <protection locked="0"/>
    </xf>
    <xf numFmtId="0" fontId="167" fillId="0" borderId="97" xfId="0" applyFont="1" applyBorder="1" applyAlignment="1" applyProtection="1">
      <alignment horizontal="left" vertical="top" wrapText="1"/>
      <protection locked="0"/>
    </xf>
    <xf numFmtId="0" fontId="167" fillId="0" borderId="36" xfId="0" applyFont="1" applyBorder="1" applyAlignment="1" applyProtection="1">
      <alignment horizontal="left" vertical="top" wrapText="1"/>
      <protection locked="0"/>
    </xf>
    <xf numFmtId="0" fontId="167" fillId="0" borderId="89" xfId="0" applyFont="1" applyBorder="1" applyAlignment="1" applyProtection="1">
      <alignment horizontal="left" vertical="top" wrapText="1"/>
      <protection locked="0"/>
    </xf>
    <xf numFmtId="0" fontId="167" fillId="0" borderId="195" xfId="0" applyFont="1" applyBorder="1" applyAlignment="1" applyProtection="1">
      <alignment horizontal="left" vertical="top" wrapText="1"/>
      <protection locked="0"/>
    </xf>
    <xf numFmtId="0" fontId="167" fillId="0" borderId="189" xfId="0" applyFont="1" applyBorder="1" applyAlignment="1" applyProtection="1">
      <alignment horizontal="left" vertical="top" wrapText="1"/>
      <protection locked="0"/>
    </xf>
    <xf numFmtId="0" fontId="167" fillId="0" borderId="154" xfId="0" applyFont="1" applyBorder="1" applyAlignment="1" applyProtection="1">
      <alignment horizontal="left" vertical="top" wrapText="1"/>
      <protection locked="0"/>
    </xf>
    <xf numFmtId="178" fontId="10" fillId="11" borderId="80" xfId="0" applyNumberFormat="1" applyFont="1" applyFill="1" applyBorder="1" applyAlignment="1">
      <alignment horizontal="center" vertical="top" wrapText="1"/>
    </xf>
    <xf numFmtId="178" fontId="10" fillId="12" borderId="81" xfId="0" applyNumberFormat="1" applyFont="1" applyFill="1" applyBorder="1" applyAlignment="1">
      <alignment horizontal="center" vertical="top" wrapText="1"/>
    </xf>
    <xf numFmtId="178" fontId="10" fillId="12" borderId="92" xfId="0" applyNumberFormat="1" applyFont="1" applyFill="1" applyBorder="1" applyAlignment="1">
      <alignment horizontal="center" vertical="top" wrapText="1"/>
    </xf>
    <xf numFmtId="178" fontId="10" fillId="12" borderId="20" xfId="0" applyNumberFormat="1" applyFont="1" applyFill="1" applyBorder="1" applyAlignment="1">
      <alignment horizontal="center" vertical="top" wrapText="1"/>
    </xf>
    <xf numFmtId="178" fontId="10" fillId="12" borderId="0" xfId="0" applyNumberFormat="1" applyFont="1" applyFill="1" applyAlignment="1">
      <alignment horizontal="center" vertical="top" wrapText="1"/>
    </xf>
    <xf numFmtId="178" fontId="10" fillId="12" borderId="21" xfId="0" applyNumberFormat="1" applyFont="1" applyFill="1" applyBorder="1" applyAlignment="1">
      <alignment horizontal="center" vertical="top" wrapText="1"/>
    </xf>
    <xf numFmtId="178" fontId="10" fillId="12" borderId="82" xfId="0" applyNumberFormat="1" applyFont="1" applyFill="1" applyBorder="1" applyAlignment="1">
      <alignment horizontal="center" vertical="top" wrapText="1"/>
    </xf>
    <xf numFmtId="178" fontId="10" fillId="12" borderId="83" xfId="0" applyNumberFormat="1" applyFont="1" applyFill="1" applyBorder="1" applyAlignment="1">
      <alignment horizontal="center" vertical="top" wrapText="1"/>
    </xf>
    <xf numFmtId="178" fontId="10" fillId="12" borderId="94" xfId="0" applyNumberFormat="1" applyFont="1" applyFill="1" applyBorder="1" applyAlignment="1">
      <alignment horizontal="center" vertical="top" wrapText="1"/>
    </xf>
    <xf numFmtId="0" fontId="15" fillId="11" borderId="145" xfId="0" applyFont="1" applyFill="1" applyBorder="1" applyAlignment="1">
      <alignment horizontal="center" vertical="center" wrapText="1"/>
    </xf>
    <xf numFmtId="0" fontId="15" fillId="12" borderId="145" xfId="0" applyFont="1" applyFill="1" applyBorder="1" applyAlignment="1">
      <alignment horizontal="center" vertical="center" wrapText="1"/>
    </xf>
    <xf numFmtId="0" fontId="15" fillId="12" borderId="147" xfId="0" applyFont="1" applyFill="1" applyBorder="1" applyAlignment="1">
      <alignment horizontal="center" vertical="center" wrapText="1"/>
    </xf>
    <xf numFmtId="0" fontId="15" fillId="12" borderId="97" xfId="0" applyFont="1" applyFill="1" applyBorder="1" applyAlignment="1">
      <alignment horizontal="center" vertical="center" wrapText="1"/>
    </xf>
    <xf numFmtId="0" fontId="15" fillId="12" borderId="36" xfId="0" applyFont="1" applyFill="1" applyBorder="1" applyAlignment="1">
      <alignment horizontal="center" vertical="center" wrapText="1"/>
    </xf>
    <xf numFmtId="0" fontId="15" fillId="12" borderId="189" xfId="0" applyFont="1" applyFill="1" applyBorder="1" applyAlignment="1">
      <alignment horizontal="center" vertical="center" wrapText="1"/>
    </xf>
    <xf numFmtId="0" fontId="15" fillId="12" borderId="154" xfId="0" applyFont="1" applyFill="1" applyBorder="1" applyAlignment="1">
      <alignment horizontal="center" vertical="center" wrapText="1"/>
    </xf>
    <xf numFmtId="0" fontId="33" fillId="11" borderId="80" xfId="0" applyFont="1" applyFill="1" applyBorder="1" applyAlignment="1">
      <alignment horizontal="left" vertical="top" wrapText="1"/>
    </xf>
    <xf numFmtId="0" fontId="33" fillId="12" borderId="81" xfId="0" applyFont="1" applyFill="1" applyBorder="1" applyAlignment="1">
      <alignment horizontal="left" vertical="top" wrapText="1"/>
    </xf>
    <xf numFmtId="0" fontId="33" fillId="12" borderId="92" xfId="0" applyFont="1" applyFill="1" applyBorder="1" applyAlignment="1">
      <alignment horizontal="left" vertical="top" wrapText="1"/>
    </xf>
    <xf numFmtId="0" fontId="33" fillId="12" borderId="20" xfId="0" applyFont="1" applyFill="1" applyBorder="1" applyAlignment="1">
      <alignment horizontal="left" vertical="top" wrapText="1"/>
    </xf>
    <xf numFmtId="0" fontId="33" fillId="12" borderId="0" xfId="0" applyFont="1" applyFill="1" applyAlignment="1">
      <alignment horizontal="left" vertical="top" wrapText="1"/>
    </xf>
    <xf numFmtId="0" fontId="33" fillId="12" borderId="21" xfId="0" applyFont="1" applyFill="1" applyBorder="1" applyAlignment="1">
      <alignment horizontal="left" vertical="top" wrapText="1"/>
    </xf>
    <xf numFmtId="0" fontId="33" fillId="12" borderId="82" xfId="0" applyFont="1" applyFill="1" applyBorder="1" applyAlignment="1">
      <alignment horizontal="left" vertical="top" wrapText="1"/>
    </xf>
    <xf numFmtId="0" fontId="33" fillId="12" borderId="83" xfId="0" applyFont="1" applyFill="1" applyBorder="1" applyAlignment="1">
      <alignment horizontal="left" vertical="top" wrapText="1"/>
    </xf>
    <xf numFmtId="0" fontId="33" fillId="12" borderId="94" xfId="0" applyFont="1" applyFill="1" applyBorder="1" applyAlignment="1">
      <alignment horizontal="left" vertical="top" wrapText="1"/>
    </xf>
    <xf numFmtId="0" fontId="16" fillId="0" borderId="146" xfId="0" applyFont="1" applyBorder="1" applyAlignment="1">
      <alignment horizontal="left" vertical="center" wrapText="1"/>
    </xf>
    <xf numFmtId="0" fontId="16" fillId="11" borderId="146" xfId="0" applyFont="1" applyFill="1" applyBorder="1" applyAlignment="1">
      <alignment horizontal="center" vertical="center"/>
    </xf>
    <xf numFmtId="0" fontId="16" fillId="34" borderId="97" xfId="0" applyFont="1" applyFill="1" applyBorder="1" applyAlignment="1">
      <alignment horizontal="center" vertical="center"/>
    </xf>
    <xf numFmtId="0" fontId="16" fillId="34" borderId="146" xfId="0" applyFont="1" applyFill="1" applyBorder="1" applyAlignment="1">
      <alignment horizontal="center" vertical="center"/>
    </xf>
    <xf numFmtId="0" fontId="97" fillId="0" borderId="141" xfId="0" applyFont="1" applyBorder="1" applyAlignment="1" applyProtection="1">
      <alignment horizontal="left" vertical="top" wrapText="1"/>
      <protection locked="0"/>
    </xf>
    <xf numFmtId="0" fontId="97" fillId="0" borderId="191" xfId="0" applyFont="1" applyBorder="1" applyAlignment="1" applyProtection="1">
      <alignment horizontal="left" vertical="top" wrapText="1"/>
      <protection locked="0"/>
    </xf>
    <xf numFmtId="0" fontId="97" fillId="0" borderId="34" xfId="0" applyFont="1" applyBorder="1" applyAlignment="1" applyProtection="1">
      <alignment horizontal="left" vertical="top" wrapText="1"/>
      <protection locked="0"/>
    </xf>
    <xf numFmtId="0" fontId="97" fillId="0" borderId="97" xfId="0" applyFont="1" applyBorder="1" applyAlignment="1" applyProtection="1">
      <alignment horizontal="left" vertical="top" wrapText="1"/>
      <protection locked="0"/>
    </xf>
    <xf numFmtId="0" fontId="97" fillId="0" borderId="36" xfId="0" applyFont="1" applyBorder="1" applyAlignment="1" applyProtection="1">
      <alignment horizontal="left" vertical="top" wrapText="1"/>
      <protection locked="0"/>
    </xf>
    <xf numFmtId="0" fontId="97" fillId="0" borderId="189" xfId="0" applyFont="1" applyBorder="1" applyAlignment="1" applyProtection="1">
      <alignment horizontal="left" vertical="top" wrapText="1"/>
      <protection locked="0"/>
    </xf>
    <xf numFmtId="0" fontId="97" fillId="0" borderId="154" xfId="0" applyFont="1" applyBorder="1" applyAlignment="1" applyProtection="1">
      <alignment horizontal="left" vertical="top" wrapText="1"/>
      <protection locked="0"/>
    </xf>
    <xf numFmtId="0" fontId="16" fillId="10" borderId="86" xfId="0" applyFont="1" applyFill="1" applyBorder="1" applyAlignment="1">
      <alignment horizontal="center" vertical="center"/>
    </xf>
    <xf numFmtId="0" fontId="16" fillId="6" borderId="87" xfId="0" applyFont="1" applyFill="1" applyBorder="1" applyAlignment="1">
      <alignment horizontal="center" vertical="center"/>
    </xf>
    <xf numFmtId="0" fontId="16" fillId="6" borderId="89" xfId="0" applyFont="1" applyFill="1" applyBorder="1" applyAlignment="1">
      <alignment horizontal="center" vertical="center"/>
    </xf>
    <xf numFmtId="0" fontId="16" fillId="10" borderId="88" xfId="0" applyFont="1" applyFill="1" applyBorder="1" applyAlignment="1">
      <alignment horizontal="center" vertical="center"/>
    </xf>
    <xf numFmtId="0" fontId="16" fillId="6" borderId="95" xfId="0" applyFont="1" applyFill="1" applyBorder="1" applyAlignment="1">
      <alignment horizontal="center" vertical="center"/>
    </xf>
    <xf numFmtId="0" fontId="16" fillId="0" borderId="188" xfId="0" applyFont="1" applyBorder="1" applyAlignment="1">
      <alignment horizontal="center" vertical="center"/>
    </xf>
    <xf numFmtId="0" fontId="16" fillId="0" borderId="189" xfId="0" applyFont="1" applyBorder="1" applyAlignment="1">
      <alignment horizontal="center" vertical="center"/>
    </xf>
    <xf numFmtId="0" fontId="16" fillId="0" borderId="154" xfId="0" applyFont="1" applyBorder="1" applyAlignment="1">
      <alignment horizontal="center" vertical="center"/>
    </xf>
    <xf numFmtId="49" fontId="16" fillId="0" borderId="22" xfId="0" applyNumberFormat="1" applyFont="1" applyBorder="1" applyAlignment="1" applyProtection="1">
      <alignment horizontal="center" vertical="center" wrapText="1"/>
      <protection locked="0"/>
    </xf>
    <xf numFmtId="49" fontId="16" fillId="0" borderId="25" xfId="0" applyNumberFormat="1" applyFont="1" applyBorder="1" applyAlignment="1" applyProtection="1">
      <alignment horizontal="center" vertical="center" wrapText="1"/>
      <protection locked="0"/>
    </xf>
    <xf numFmtId="49" fontId="16" fillId="0" borderId="98" xfId="0" applyNumberFormat="1" applyFont="1" applyBorder="1" applyAlignment="1" applyProtection="1">
      <alignment horizontal="center" vertical="center" wrapText="1"/>
      <protection locked="0"/>
    </xf>
    <xf numFmtId="49" fontId="16" fillId="0" borderId="96" xfId="0" applyNumberFormat="1" applyFont="1" applyBorder="1" applyAlignment="1" applyProtection="1">
      <alignment horizontal="center" vertical="center" wrapText="1"/>
      <protection locked="0"/>
    </xf>
    <xf numFmtId="49" fontId="16" fillId="0" borderId="23" xfId="0" applyNumberFormat="1" applyFont="1" applyBorder="1" applyAlignment="1" applyProtection="1">
      <alignment horizontal="center" vertical="center" wrapText="1"/>
      <protection locked="0"/>
    </xf>
    <xf numFmtId="0" fontId="13" fillId="11" borderId="153" xfId="0" applyFont="1" applyFill="1" applyBorder="1" applyAlignment="1" applyProtection="1">
      <alignment horizontal="center" vertical="center"/>
      <protection locked="0"/>
    </xf>
    <xf numFmtId="0" fontId="13" fillId="12" borderId="216" xfId="0" applyFont="1" applyFill="1" applyBorder="1" applyAlignment="1" applyProtection="1">
      <alignment horizontal="center" vertical="center"/>
      <protection locked="0"/>
    </xf>
    <xf numFmtId="0" fontId="13" fillId="12" borderId="217" xfId="0" applyFont="1" applyFill="1" applyBorder="1" applyAlignment="1" applyProtection="1">
      <alignment horizontal="center" vertical="center"/>
      <protection locked="0"/>
    </xf>
    <xf numFmtId="0" fontId="13" fillId="11" borderId="215" xfId="0" applyFont="1" applyFill="1" applyBorder="1" applyAlignment="1" applyProtection="1">
      <alignment horizontal="center" vertical="center"/>
      <protection locked="0"/>
    </xf>
    <xf numFmtId="0" fontId="159" fillId="0" borderId="0" xfId="0" applyFont="1" applyAlignment="1">
      <alignment horizontal="center" vertical="center"/>
    </xf>
    <xf numFmtId="0" fontId="120" fillId="0" borderId="0" xfId="0" applyFont="1" applyAlignment="1">
      <alignment horizontal="center" vertical="center"/>
    </xf>
    <xf numFmtId="0" fontId="187" fillId="0" borderId="24" xfId="0" applyFont="1" applyBorder="1" applyAlignment="1">
      <alignment horizontal="center" vertical="center"/>
    </xf>
    <xf numFmtId="0" fontId="7" fillId="2" borderId="144" xfId="0" applyFont="1" applyFill="1" applyBorder="1" applyAlignment="1">
      <alignment horizontal="center" vertical="center" wrapText="1"/>
    </xf>
    <xf numFmtId="0" fontId="7" fillId="80" borderId="146" xfId="0" applyFont="1" applyFill="1" applyBorder="1" applyAlignment="1">
      <alignment horizontal="center" vertical="center" wrapText="1"/>
    </xf>
    <xf numFmtId="0" fontId="7" fillId="80" borderId="188" xfId="0" applyFont="1" applyFill="1" applyBorder="1" applyAlignment="1">
      <alignment horizontal="center" vertical="center" wrapText="1"/>
    </xf>
    <xf numFmtId="0" fontId="97" fillId="11" borderId="146" xfId="0" applyFont="1" applyFill="1" applyBorder="1" applyAlignment="1">
      <alignment horizontal="center" vertical="center" wrapText="1"/>
    </xf>
    <xf numFmtId="0" fontId="97" fillId="34" borderId="97" xfId="0" applyFont="1" applyFill="1" applyBorder="1" applyAlignment="1">
      <alignment horizontal="center" vertical="center" wrapText="1"/>
    </xf>
    <xf numFmtId="0" fontId="97" fillId="34" borderId="146" xfId="0" applyFont="1" applyFill="1" applyBorder="1" applyAlignment="1">
      <alignment horizontal="center" vertical="center" wrapText="1"/>
    </xf>
    <xf numFmtId="0" fontId="10" fillId="11" borderId="84" xfId="0" applyFont="1" applyFill="1" applyBorder="1" applyAlignment="1" applyProtection="1">
      <alignment horizontal="center" vertical="center" wrapText="1"/>
      <protection locked="0"/>
    </xf>
    <xf numFmtId="0" fontId="10" fillId="12" borderId="92" xfId="0" applyFont="1" applyFill="1" applyBorder="1" applyAlignment="1" applyProtection="1">
      <alignment horizontal="center" vertical="center" wrapText="1"/>
      <protection locked="0"/>
    </xf>
    <xf numFmtId="0" fontId="10" fillId="12" borderId="85" xfId="0" applyFont="1" applyFill="1" applyBorder="1" applyAlignment="1" applyProtection="1">
      <alignment horizontal="center" vertical="center" wrapText="1"/>
      <protection locked="0"/>
    </xf>
    <xf numFmtId="0" fontId="10" fillId="12" borderId="94" xfId="0" applyFont="1" applyFill="1" applyBorder="1" applyAlignment="1" applyProtection="1">
      <alignment horizontal="center" vertical="center" wrapText="1"/>
      <protection locked="0"/>
    </xf>
    <xf numFmtId="185" fontId="179" fillId="0" borderId="146" xfId="0" applyNumberFormat="1" applyFont="1" applyBorder="1" applyAlignment="1">
      <alignment horizontal="center" vertical="center"/>
    </xf>
    <xf numFmtId="185" fontId="179" fillId="0" borderId="97" xfId="0" applyNumberFormat="1" applyFont="1" applyBorder="1" applyAlignment="1">
      <alignment horizontal="center" vertical="center"/>
    </xf>
    <xf numFmtId="185" fontId="179" fillId="0" borderId="91" xfId="0" applyNumberFormat="1" applyFont="1" applyBorder="1" applyAlignment="1">
      <alignment horizontal="center" vertical="center"/>
    </xf>
    <xf numFmtId="185" fontId="179" fillId="0" borderId="191" xfId="0" applyNumberFormat="1" applyFont="1" applyBorder="1" applyAlignment="1">
      <alignment horizontal="center" vertical="center"/>
    </xf>
    <xf numFmtId="0" fontId="10" fillId="11" borderId="97" xfId="0" applyFont="1" applyFill="1" applyBorder="1" applyAlignment="1" applyProtection="1">
      <alignment horizontal="center" vertical="center"/>
      <protection locked="0"/>
    </xf>
    <xf numFmtId="0" fontId="10" fillId="34" borderId="97" xfId="0" applyFont="1" applyFill="1" applyBorder="1" applyAlignment="1" applyProtection="1">
      <alignment horizontal="center" vertical="center"/>
      <protection locked="0"/>
    </xf>
    <xf numFmtId="0" fontId="10" fillId="34" borderId="36" xfId="0" applyFont="1" applyFill="1" applyBorder="1" applyAlignment="1" applyProtection="1">
      <alignment horizontal="center" vertical="center"/>
      <protection locked="0"/>
    </xf>
    <xf numFmtId="49" fontId="16" fillId="0" borderId="97" xfId="0" applyNumberFormat="1" applyFont="1" applyBorder="1" applyAlignment="1">
      <alignment horizontal="center" vertical="center"/>
    </xf>
    <xf numFmtId="49" fontId="16" fillId="0" borderId="36" xfId="0" applyNumberFormat="1" applyFont="1" applyBorder="1" applyAlignment="1">
      <alignment horizontal="center" vertical="center"/>
    </xf>
    <xf numFmtId="49" fontId="16" fillId="0" borderId="204" xfId="0" applyNumberFormat="1" applyFont="1" applyBorder="1" applyAlignment="1" applyProtection="1">
      <alignment horizontal="center" vertical="center" wrapText="1"/>
      <protection locked="0"/>
    </xf>
    <xf numFmtId="49" fontId="16" fillId="0" borderId="191" xfId="0" applyNumberFormat="1" applyFont="1" applyBorder="1" applyAlignment="1" applyProtection="1">
      <alignment horizontal="center" vertical="center" wrapText="1"/>
      <protection locked="0"/>
    </xf>
    <xf numFmtId="49" fontId="16" fillId="0" borderId="85" xfId="0" applyNumberFormat="1" applyFont="1" applyBorder="1" applyAlignment="1" applyProtection="1">
      <alignment horizontal="center" vertical="center" wrapText="1"/>
      <protection locked="0"/>
    </xf>
    <xf numFmtId="49" fontId="16" fillId="0" borderId="146" xfId="0" applyNumberFormat="1" applyFont="1" applyBorder="1" applyAlignment="1" applyProtection="1">
      <alignment horizontal="center" vertical="center" wrapText="1"/>
      <protection locked="0"/>
    </xf>
    <xf numFmtId="49" fontId="16" fillId="0" borderId="97" xfId="0" applyNumberFormat="1" applyFont="1" applyBorder="1" applyAlignment="1" applyProtection="1">
      <alignment horizontal="center" vertical="center" wrapText="1"/>
      <protection locked="0"/>
    </xf>
    <xf numFmtId="49" fontId="16" fillId="0" borderId="88" xfId="0" applyNumberFormat="1" applyFont="1" applyBorder="1" applyAlignment="1" applyProtection="1">
      <alignment horizontal="center" vertical="center" wrapText="1"/>
      <protection locked="0"/>
    </xf>
    <xf numFmtId="49" fontId="16" fillId="0" borderId="188" xfId="0" applyNumberFormat="1" applyFont="1" applyBorder="1" applyAlignment="1" applyProtection="1">
      <alignment horizontal="center" vertical="center" wrapText="1"/>
      <protection locked="0"/>
    </xf>
    <xf numFmtId="49" fontId="16" fillId="0" borderId="189" xfId="0" applyNumberFormat="1" applyFont="1" applyBorder="1" applyAlignment="1" applyProtection="1">
      <alignment horizontal="center" vertical="center" wrapText="1"/>
      <protection locked="0"/>
    </xf>
    <xf numFmtId="49" fontId="16" fillId="0" borderId="153" xfId="0" applyNumberFormat="1" applyFont="1" applyBorder="1" applyAlignment="1" applyProtection="1">
      <alignment horizontal="center" vertical="center" wrapText="1"/>
      <protection locked="0"/>
    </xf>
    <xf numFmtId="49" fontId="1" fillId="0" borderId="141" xfId="0" applyNumberFormat="1" applyFont="1" applyBorder="1" applyAlignment="1" applyProtection="1">
      <alignment horizontal="center" vertical="center" wrapText="1"/>
      <protection locked="0"/>
    </xf>
    <xf numFmtId="49" fontId="1" fillId="0" borderId="191" xfId="0" applyNumberFormat="1" applyFont="1" applyBorder="1" applyAlignment="1" applyProtection="1">
      <alignment horizontal="center" vertical="center" wrapText="1"/>
      <protection locked="0"/>
    </xf>
    <xf numFmtId="49" fontId="1" fillId="0" borderId="89" xfId="0" applyNumberFormat="1" applyFont="1" applyBorder="1" applyAlignment="1" applyProtection="1">
      <alignment horizontal="center" vertical="center" wrapText="1"/>
      <protection locked="0"/>
    </xf>
    <xf numFmtId="49" fontId="1" fillId="0" borderId="97" xfId="0" applyNumberFormat="1" applyFont="1" applyBorder="1" applyAlignment="1" applyProtection="1">
      <alignment horizontal="center" vertical="center" wrapText="1"/>
      <protection locked="0"/>
    </xf>
    <xf numFmtId="49" fontId="1" fillId="0" borderId="195" xfId="0" applyNumberFormat="1" applyFont="1" applyBorder="1" applyAlignment="1" applyProtection="1">
      <alignment horizontal="center" vertical="center" wrapText="1"/>
      <protection locked="0"/>
    </xf>
    <xf numFmtId="49" fontId="1" fillId="0" borderId="189" xfId="0" applyNumberFormat="1" applyFont="1" applyBorder="1" applyAlignment="1" applyProtection="1">
      <alignment horizontal="center" vertical="center" wrapText="1"/>
      <protection locked="0"/>
    </xf>
    <xf numFmtId="0" fontId="180" fillId="0" borderId="43" xfId="0" applyFont="1" applyBorder="1" applyAlignment="1" applyProtection="1">
      <alignment horizontal="left" vertical="top" wrapText="1"/>
      <protection locked="0"/>
    </xf>
    <xf numFmtId="0" fontId="181" fillId="0" borderId="43" xfId="0" applyFont="1" applyBorder="1" applyAlignment="1" applyProtection="1">
      <alignment horizontal="left" vertical="top" wrapText="1"/>
      <protection locked="0"/>
    </xf>
    <xf numFmtId="0" fontId="97" fillId="11" borderId="97" xfId="3" applyFont="1" applyFill="1" applyBorder="1" applyAlignment="1" applyProtection="1">
      <alignment horizontal="center" vertical="center"/>
    </xf>
    <xf numFmtId="0" fontId="97" fillId="34" borderId="97" xfId="3" applyFont="1" applyBorder="1" applyAlignment="1" applyProtection="1">
      <alignment horizontal="center" vertical="center"/>
    </xf>
    <xf numFmtId="0" fontId="97" fillId="34" borderId="36" xfId="3" applyFont="1" applyBorder="1" applyAlignment="1" applyProtection="1">
      <alignment horizontal="center" vertical="center"/>
    </xf>
    <xf numFmtId="49" fontId="16" fillId="0" borderId="20" xfId="0" applyNumberFormat="1" applyFont="1" applyBorder="1" applyAlignment="1" applyProtection="1">
      <alignment horizontal="center" vertical="center" wrapText="1"/>
      <protection locked="0"/>
    </xf>
    <xf numFmtId="49" fontId="16" fillId="0" borderId="0" xfId="0" applyNumberFormat="1" applyFont="1" applyAlignment="1" applyProtection="1">
      <alignment horizontal="center" vertical="center" wrapText="1"/>
      <protection locked="0"/>
    </xf>
    <xf numFmtId="49" fontId="16" fillId="0" borderId="78" xfId="0" applyNumberFormat="1" applyFont="1" applyBorder="1" applyAlignment="1" applyProtection="1">
      <alignment horizontal="center" vertical="center" wrapText="1"/>
      <protection locked="0"/>
    </xf>
    <xf numFmtId="49" fontId="16" fillId="0" borderId="90" xfId="0" applyNumberFormat="1" applyFont="1" applyBorder="1" applyAlignment="1" applyProtection="1">
      <alignment horizontal="center" vertical="center" wrapText="1"/>
      <protection locked="0"/>
    </xf>
    <xf numFmtId="49" fontId="16" fillId="0" borderId="21" xfId="0" applyNumberFormat="1" applyFont="1" applyBorder="1" applyAlignment="1" applyProtection="1">
      <alignment horizontal="center" vertical="center" wrapText="1"/>
      <protection locked="0"/>
    </xf>
    <xf numFmtId="49" fontId="16" fillId="11" borderId="20" xfId="0" applyNumberFormat="1" applyFont="1" applyFill="1" applyBorder="1" applyAlignment="1" applyProtection="1">
      <alignment horizontal="center" vertical="center" wrapText="1"/>
      <protection locked="0"/>
    </xf>
    <xf numFmtId="49" fontId="16" fillId="34" borderId="0" xfId="0" applyNumberFormat="1" applyFont="1" applyFill="1" applyAlignment="1" applyProtection="1">
      <alignment horizontal="center" vertical="center" wrapText="1"/>
      <protection locked="0"/>
    </xf>
    <xf numFmtId="49" fontId="16" fillId="11" borderId="78" xfId="0" applyNumberFormat="1" applyFont="1" applyFill="1" applyBorder="1" applyAlignment="1" applyProtection="1">
      <alignment horizontal="center" vertical="center" wrapText="1"/>
      <protection locked="0"/>
    </xf>
    <xf numFmtId="49" fontId="16" fillId="34" borderId="90" xfId="0" applyNumberFormat="1" applyFont="1" applyFill="1" applyBorder="1" applyAlignment="1" applyProtection="1">
      <alignment horizontal="center" vertical="center" wrapText="1"/>
      <protection locked="0"/>
    </xf>
    <xf numFmtId="49" fontId="16" fillId="11" borderId="0" xfId="0" applyNumberFormat="1" applyFont="1" applyFill="1" applyAlignment="1" applyProtection="1">
      <alignment horizontal="center" vertical="center" wrapText="1"/>
      <protection locked="0"/>
    </xf>
    <xf numFmtId="49" fontId="16" fillId="34" borderId="21" xfId="0" applyNumberFormat="1" applyFont="1" applyFill="1" applyBorder="1" applyAlignment="1" applyProtection="1">
      <alignment horizontal="center" vertical="center" wrapText="1"/>
      <protection locked="0"/>
    </xf>
    <xf numFmtId="0" fontId="16" fillId="0" borderId="146" xfId="0" applyFont="1" applyBorder="1" applyAlignment="1">
      <alignment horizontal="left" vertical="center"/>
    </xf>
    <xf numFmtId="0" fontId="16" fillId="0" borderId="97" xfId="0" applyFont="1" applyBorder="1" applyAlignment="1">
      <alignment horizontal="left" vertical="center"/>
    </xf>
    <xf numFmtId="0" fontId="16" fillId="0" borderId="36" xfId="0" applyFont="1" applyBorder="1" applyAlignment="1">
      <alignment horizontal="left" vertical="center"/>
    </xf>
    <xf numFmtId="0" fontId="16" fillId="11" borderId="97" xfId="0" applyFont="1" applyFill="1" applyBorder="1" applyAlignment="1">
      <alignment horizontal="center" vertical="center"/>
    </xf>
    <xf numFmtId="0" fontId="16" fillId="12" borderId="97" xfId="0" applyFont="1" applyFill="1" applyBorder="1" applyAlignment="1">
      <alignment horizontal="center" vertical="center"/>
    </xf>
    <xf numFmtId="1" fontId="159" fillId="11" borderId="97" xfId="0" applyNumberFormat="1" applyFont="1" applyFill="1" applyBorder="1" applyAlignment="1" applyProtection="1">
      <alignment horizontal="center" vertical="center"/>
      <protection locked="0"/>
    </xf>
    <xf numFmtId="1" fontId="159" fillId="12" borderId="97" xfId="0" applyNumberFormat="1" applyFont="1" applyFill="1" applyBorder="1" applyAlignment="1" applyProtection="1">
      <alignment horizontal="center" vertical="center"/>
      <protection locked="0"/>
    </xf>
    <xf numFmtId="1" fontId="159" fillId="12" borderId="36" xfId="0" applyNumberFormat="1" applyFont="1" applyFill="1" applyBorder="1" applyAlignment="1" applyProtection="1">
      <alignment horizontal="center" vertical="center"/>
      <protection locked="0"/>
    </xf>
    <xf numFmtId="49" fontId="16" fillId="11" borderId="178" xfId="0" applyNumberFormat="1" applyFont="1" applyFill="1" applyBorder="1" applyAlignment="1" applyProtection="1">
      <alignment horizontal="center" vertical="center" wrapText="1"/>
      <protection locked="0"/>
    </xf>
    <xf numFmtId="49" fontId="16" fillId="34" borderId="93" xfId="0" applyNumberFormat="1" applyFont="1" applyFill="1" applyBorder="1" applyAlignment="1" applyProtection="1">
      <alignment horizontal="center" vertical="center" wrapText="1"/>
      <protection locked="0"/>
    </xf>
    <xf numFmtId="49" fontId="16" fillId="34" borderId="78" xfId="0" applyNumberFormat="1" applyFont="1" applyFill="1" applyBorder="1" applyAlignment="1" applyProtection="1">
      <alignment horizontal="center" vertical="center" wrapText="1"/>
      <protection locked="0"/>
    </xf>
    <xf numFmtId="49" fontId="16" fillId="11" borderId="93" xfId="0" applyNumberFormat="1" applyFont="1" applyFill="1" applyBorder="1" applyAlignment="1" applyProtection="1">
      <alignment horizontal="center" vertical="center" wrapText="1"/>
      <protection locked="0"/>
    </xf>
    <xf numFmtId="49" fontId="16" fillId="11" borderId="90" xfId="0" applyNumberFormat="1" applyFont="1" applyFill="1" applyBorder="1" applyAlignment="1" applyProtection="1">
      <alignment horizontal="center" vertical="center" wrapText="1"/>
      <protection locked="0"/>
    </xf>
    <xf numFmtId="49" fontId="16" fillId="34" borderId="32" xfId="0" applyNumberFormat="1" applyFont="1" applyFill="1" applyBorder="1" applyAlignment="1" applyProtection="1">
      <alignment horizontal="center" vertical="center" wrapText="1"/>
      <protection locked="0"/>
    </xf>
    <xf numFmtId="49" fontId="16" fillId="0" borderId="178" xfId="0" applyNumberFormat="1" applyFont="1" applyBorder="1" applyAlignment="1" applyProtection="1">
      <alignment horizontal="center" vertical="center" wrapText="1"/>
      <protection locked="0"/>
    </xf>
    <xf numFmtId="49" fontId="16" fillId="0" borderId="93" xfId="0" applyNumberFormat="1" applyFont="1" applyBorder="1" applyAlignment="1" applyProtection="1">
      <alignment horizontal="center" vertical="center" wrapText="1"/>
      <protection locked="0"/>
    </xf>
    <xf numFmtId="49" fontId="16" fillId="0" borderId="32" xfId="0" applyNumberFormat="1" applyFont="1" applyBorder="1" applyAlignment="1" applyProtection="1">
      <alignment horizontal="center" vertical="center" wrapText="1"/>
      <protection locked="0"/>
    </xf>
    <xf numFmtId="0" fontId="54" fillId="2" borderId="16" xfId="2" applyFont="1" applyFill="1" applyBorder="1" applyAlignment="1" applyProtection="1">
      <alignment horizontal="center" vertical="center"/>
    </xf>
    <xf numFmtId="0" fontId="54" fillId="80" borderId="24" xfId="2" applyFont="1" applyFill="1" applyBorder="1" applyAlignment="1" applyProtection="1">
      <alignment horizontal="center" vertical="center"/>
    </xf>
    <xf numFmtId="0" fontId="54" fillId="80" borderId="17" xfId="2" applyFont="1" applyFill="1" applyBorder="1" applyAlignment="1" applyProtection="1">
      <alignment horizontal="center" vertical="center"/>
    </xf>
    <xf numFmtId="49" fontId="16" fillId="0" borderId="219" xfId="0" applyNumberFormat="1" applyFont="1" applyBorder="1" applyAlignment="1" applyProtection="1">
      <alignment horizontal="center" vertical="center" wrapText="1"/>
      <protection locked="0"/>
    </xf>
    <xf numFmtId="49" fontId="16" fillId="0" borderId="91" xfId="0" applyNumberFormat="1" applyFont="1" applyBorder="1" applyAlignment="1" applyProtection="1">
      <alignment horizontal="center" vertical="center" wrapText="1"/>
      <protection locked="0"/>
    </xf>
    <xf numFmtId="49" fontId="16" fillId="0" borderId="84" xfId="0" applyNumberFormat="1" applyFont="1" applyBorder="1" applyAlignment="1" applyProtection="1">
      <alignment horizontal="center" vertical="center" wrapText="1"/>
      <protection locked="0"/>
    </xf>
    <xf numFmtId="49" fontId="16" fillId="0" borderId="165" xfId="0" applyNumberFormat="1" applyFont="1" applyBorder="1" applyAlignment="1" applyProtection="1">
      <alignment horizontal="center" vertical="center" wrapText="1"/>
      <protection locked="0"/>
    </xf>
    <xf numFmtId="49" fontId="16" fillId="0" borderId="35" xfId="0" applyNumberFormat="1" applyFont="1" applyBorder="1" applyAlignment="1" applyProtection="1">
      <alignment horizontal="center" vertical="center" wrapText="1"/>
      <protection locked="0"/>
    </xf>
    <xf numFmtId="0" fontId="97" fillId="0" borderId="36" xfId="0" applyFont="1" applyBorder="1" applyAlignment="1">
      <alignment horizontal="center" vertical="center"/>
    </xf>
    <xf numFmtId="49" fontId="97" fillId="0" borderId="22" xfId="0" applyNumberFormat="1" applyFont="1" applyBorder="1" applyAlignment="1" applyProtection="1">
      <alignment horizontal="center" vertical="center" wrapText="1"/>
      <protection locked="0"/>
    </xf>
    <xf numFmtId="49" fontId="97" fillId="0" borderId="98" xfId="0" applyNumberFormat="1" applyFont="1" applyBorder="1" applyAlignment="1" applyProtection="1">
      <alignment horizontal="center" vertical="center" wrapText="1"/>
      <protection locked="0"/>
    </xf>
    <xf numFmtId="49" fontId="97" fillId="0" borderId="33" xfId="0" applyNumberFormat="1" applyFont="1" applyBorder="1" applyAlignment="1" applyProtection="1">
      <alignment horizontal="center" vertical="center" wrapText="1"/>
      <protection locked="0"/>
    </xf>
    <xf numFmtId="0" fontId="54" fillId="2" borderId="144" xfId="0" applyFont="1" applyFill="1" applyBorder="1" applyAlignment="1">
      <alignment horizontal="center" vertical="center"/>
    </xf>
    <xf numFmtId="0" fontId="54" fillId="80" borderId="145" xfId="0" applyFont="1" applyFill="1" applyBorder="1" applyAlignment="1">
      <alignment horizontal="center" vertical="center"/>
    </xf>
    <xf numFmtId="0" fontId="54" fillId="80" borderId="147" xfId="0" applyFont="1" applyFill="1" applyBorder="1" applyAlignment="1">
      <alignment horizontal="center" vertical="center"/>
    </xf>
    <xf numFmtId="0" fontId="1" fillId="97" borderId="86" xfId="0" applyFont="1" applyFill="1" applyBorder="1" applyAlignment="1">
      <alignment horizontal="center" vertical="center"/>
    </xf>
    <xf numFmtId="0" fontId="1" fillId="98" borderId="87" xfId="0" applyFont="1" applyFill="1" applyBorder="1" applyAlignment="1">
      <alignment horizontal="center" vertical="center"/>
    </xf>
    <xf numFmtId="0" fontId="1" fillId="98" borderId="95" xfId="0" applyFont="1" applyFill="1" applyBorder="1" applyAlignment="1">
      <alignment horizontal="center" vertical="center"/>
    </xf>
    <xf numFmtId="0" fontId="97" fillId="0" borderId="219" xfId="0" applyFont="1" applyBorder="1" applyAlignment="1">
      <alignment horizontal="center" vertical="center"/>
    </xf>
    <xf numFmtId="0" fontId="97" fillId="0" borderId="91" xfId="0" applyFont="1" applyBorder="1" applyAlignment="1">
      <alignment horizontal="center" vertical="center"/>
    </xf>
    <xf numFmtId="0" fontId="97" fillId="0" borderId="35" xfId="0" applyFont="1" applyBorder="1" applyAlignment="1">
      <alignment horizontal="center" vertical="center"/>
    </xf>
    <xf numFmtId="49" fontId="16" fillId="5" borderId="146" xfId="0" applyNumberFormat="1" applyFont="1" applyFill="1" applyBorder="1" applyAlignment="1">
      <alignment horizontal="center" vertical="top" wrapText="1"/>
    </xf>
    <xf numFmtId="49" fontId="16" fillId="62" borderId="97" xfId="0" applyNumberFormat="1" applyFont="1" applyFill="1" applyBorder="1" applyAlignment="1">
      <alignment horizontal="center" vertical="top" wrapText="1"/>
    </xf>
    <xf numFmtId="49" fontId="16" fillId="5" borderId="97" xfId="0" applyNumberFormat="1" applyFont="1" applyFill="1" applyBorder="1" applyAlignment="1">
      <alignment horizontal="center" vertical="top"/>
    </xf>
    <xf numFmtId="49" fontId="16" fillId="62" borderId="97" xfId="0" applyNumberFormat="1" applyFont="1" applyFill="1" applyBorder="1" applyAlignment="1">
      <alignment horizontal="center" vertical="top"/>
    </xf>
    <xf numFmtId="49" fontId="16" fillId="5" borderId="97" xfId="0" applyNumberFormat="1" applyFont="1" applyFill="1" applyBorder="1" applyAlignment="1">
      <alignment horizontal="center" vertical="top" wrapText="1"/>
    </xf>
    <xf numFmtId="49" fontId="16" fillId="62" borderId="36" xfId="0" applyNumberFormat="1" applyFont="1" applyFill="1" applyBorder="1" applyAlignment="1">
      <alignment horizontal="center" vertical="top"/>
    </xf>
    <xf numFmtId="0" fontId="10" fillId="10" borderId="86" xfId="0" applyFont="1" applyFill="1" applyBorder="1" applyAlignment="1">
      <alignment horizontal="right" vertical="top"/>
    </xf>
    <xf numFmtId="0" fontId="10" fillId="6" borderId="87" xfId="0" applyFont="1" applyFill="1" applyBorder="1" applyAlignment="1">
      <alignment horizontal="right" vertical="top"/>
    </xf>
    <xf numFmtId="0" fontId="10" fillId="6" borderId="89" xfId="0" applyFont="1" applyFill="1" applyBorder="1" applyAlignment="1">
      <alignment horizontal="right" vertical="top"/>
    </xf>
    <xf numFmtId="0" fontId="10" fillId="10" borderId="88" xfId="0" applyFont="1" applyFill="1" applyBorder="1" applyAlignment="1" applyProtection="1">
      <alignment horizontal="left" vertical="top"/>
      <protection locked="0"/>
    </xf>
    <xf numFmtId="0" fontId="10" fillId="6" borderId="87" xfId="0" applyFont="1" applyFill="1" applyBorder="1" applyAlignment="1" applyProtection="1">
      <alignment horizontal="left" vertical="top"/>
      <protection locked="0"/>
    </xf>
    <xf numFmtId="0" fontId="10" fillId="6" borderId="89" xfId="0" applyFont="1" applyFill="1" applyBorder="1" applyAlignment="1" applyProtection="1">
      <alignment horizontal="left" vertical="top"/>
      <protection locked="0"/>
    </xf>
    <xf numFmtId="0" fontId="10" fillId="10" borderId="88" xfId="0" applyFont="1" applyFill="1" applyBorder="1" applyAlignment="1">
      <alignment horizontal="right" vertical="top"/>
    </xf>
    <xf numFmtId="185" fontId="15" fillId="10" borderId="88" xfId="0" applyNumberFormat="1" applyFont="1" applyFill="1" applyBorder="1" applyAlignment="1" applyProtection="1">
      <alignment horizontal="left" vertical="top"/>
      <protection locked="0"/>
    </xf>
    <xf numFmtId="185" fontId="15" fillId="6" borderId="87" xfId="0" applyNumberFormat="1" applyFont="1" applyFill="1" applyBorder="1" applyAlignment="1" applyProtection="1">
      <alignment horizontal="left" vertical="top"/>
      <protection locked="0"/>
    </xf>
    <xf numFmtId="185" fontId="15" fillId="6" borderId="95" xfId="0" applyNumberFormat="1" applyFont="1" applyFill="1" applyBorder="1" applyAlignment="1" applyProtection="1">
      <alignment horizontal="left" vertical="top"/>
      <protection locked="0"/>
    </xf>
    <xf numFmtId="49" fontId="97" fillId="0" borderId="20" xfId="0" applyNumberFormat="1" applyFont="1" applyBorder="1" applyAlignment="1" applyProtection="1">
      <alignment horizontal="center" vertical="center" wrapText="1"/>
      <protection locked="0"/>
    </xf>
    <xf numFmtId="49" fontId="97" fillId="0" borderId="78" xfId="0" applyNumberFormat="1" applyFont="1" applyBorder="1" applyAlignment="1" applyProtection="1">
      <alignment horizontal="center" vertical="center" wrapText="1"/>
      <protection locked="0"/>
    </xf>
    <xf numFmtId="49" fontId="97" fillId="0" borderId="32" xfId="0" applyNumberFormat="1" applyFont="1" applyBorder="1" applyAlignment="1" applyProtection="1">
      <alignment horizontal="center" vertical="center" wrapText="1"/>
      <protection locked="0"/>
    </xf>
    <xf numFmtId="49" fontId="97" fillId="11" borderId="20" xfId="0" applyNumberFormat="1" applyFont="1" applyFill="1" applyBorder="1" applyAlignment="1" applyProtection="1">
      <alignment horizontal="center" vertical="center" wrapText="1"/>
      <protection locked="0"/>
    </xf>
    <xf numFmtId="49" fontId="97" fillId="34" borderId="78" xfId="0" applyNumberFormat="1" applyFont="1" applyFill="1" applyBorder="1" applyAlignment="1" applyProtection="1">
      <alignment horizontal="center" vertical="center" wrapText="1"/>
      <protection locked="0"/>
    </xf>
    <xf numFmtId="49" fontId="97" fillId="11" borderId="78" xfId="0" applyNumberFormat="1" applyFont="1" applyFill="1" applyBorder="1" applyAlignment="1" applyProtection="1">
      <alignment horizontal="center" vertical="center" wrapText="1"/>
      <protection locked="0"/>
    </xf>
    <xf numFmtId="49" fontId="97" fillId="34" borderId="32" xfId="0" applyNumberFormat="1" applyFont="1" applyFill="1" applyBorder="1" applyAlignment="1" applyProtection="1">
      <alignment horizontal="center" vertical="center" wrapText="1"/>
      <protection locked="0"/>
    </xf>
    <xf numFmtId="0" fontId="97" fillId="0" borderId="36" xfId="0" applyFont="1" applyBorder="1">
      <alignment vertical="center"/>
    </xf>
    <xf numFmtId="49" fontId="16" fillId="11" borderId="22" xfId="0" applyNumberFormat="1" applyFont="1" applyFill="1" applyBorder="1" applyAlignment="1" applyProtection="1">
      <alignment horizontal="center" vertical="center" wrapText="1"/>
      <protection locked="0"/>
    </xf>
    <xf numFmtId="49" fontId="16" fillId="34" borderId="25" xfId="0" applyNumberFormat="1" applyFont="1" applyFill="1" applyBorder="1" applyAlignment="1" applyProtection="1">
      <alignment horizontal="center" vertical="center" wrapText="1"/>
      <protection locked="0"/>
    </xf>
    <xf numFmtId="49" fontId="16" fillId="34" borderId="96" xfId="0" applyNumberFormat="1" applyFont="1" applyFill="1" applyBorder="1" applyAlignment="1" applyProtection="1">
      <alignment horizontal="center" vertical="center" wrapText="1"/>
      <protection locked="0"/>
    </xf>
    <xf numFmtId="49" fontId="97" fillId="11" borderId="25" xfId="0" applyNumberFormat="1" applyFont="1" applyFill="1" applyBorder="1" applyAlignment="1" applyProtection="1">
      <alignment horizontal="center" vertical="center" wrapText="1"/>
      <protection locked="0"/>
    </xf>
    <xf numFmtId="49" fontId="97" fillId="34" borderId="25" xfId="0" applyNumberFormat="1" applyFont="1" applyFill="1" applyBorder="1" applyAlignment="1" applyProtection="1">
      <alignment horizontal="center" vertical="center" wrapText="1"/>
      <protection locked="0"/>
    </xf>
    <xf numFmtId="49" fontId="97" fillId="11" borderId="98" xfId="0" applyNumberFormat="1" applyFont="1" applyFill="1" applyBorder="1" applyAlignment="1" applyProtection="1">
      <alignment horizontal="center" vertical="center" wrapText="1"/>
      <protection locked="0"/>
    </xf>
    <xf numFmtId="49" fontId="97" fillId="34" borderId="96" xfId="0" applyNumberFormat="1" applyFont="1" applyFill="1" applyBorder="1" applyAlignment="1" applyProtection="1">
      <alignment horizontal="center" vertical="center" wrapText="1"/>
      <protection locked="0"/>
    </xf>
    <xf numFmtId="49" fontId="16" fillId="11" borderId="25" xfId="0" applyNumberFormat="1" applyFont="1" applyFill="1" applyBorder="1" applyAlignment="1" applyProtection="1">
      <alignment horizontal="center" vertical="center" wrapText="1"/>
      <protection locked="0"/>
    </xf>
    <xf numFmtId="49" fontId="16" fillId="34" borderId="23" xfId="0" applyNumberFormat="1" applyFont="1" applyFill="1" applyBorder="1" applyAlignment="1" applyProtection="1">
      <alignment horizontal="center" vertical="center" wrapText="1"/>
      <protection locked="0"/>
    </xf>
    <xf numFmtId="49" fontId="16" fillId="11" borderId="82" xfId="0" applyNumberFormat="1" applyFont="1" applyFill="1" applyBorder="1" applyAlignment="1" applyProtection="1">
      <alignment horizontal="center" vertical="center" wrapText="1"/>
      <protection locked="0"/>
    </xf>
    <xf numFmtId="49" fontId="16" fillId="34" borderId="83" xfId="0" applyNumberFormat="1" applyFont="1" applyFill="1" applyBorder="1" applyAlignment="1" applyProtection="1">
      <alignment horizontal="center" vertical="center" wrapText="1"/>
      <protection locked="0"/>
    </xf>
    <xf numFmtId="49" fontId="16" fillId="34" borderId="141" xfId="0" applyNumberFormat="1" applyFont="1" applyFill="1" applyBorder="1" applyAlignment="1" applyProtection="1">
      <alignment horizontal="center" vertical="center" wrapText="1"/>
      <protection locked="0"/>
    </xf>
    <xf numFmtId="49" fontId="16" fillId="11" borderId="83" xfId="0" applyNumberFormat="1" applyFont="1" applyFill="1" applyBorder="1" applyAlignment="1" applyProtection="1">
      <alignment horizontal="center" vertical="center" wrapText="1"/>
      <protection locked="0"/>
    </xf>
    <xf numFmtId="49" fontId="16" fillId="34" borderId="94" xfId="0" applyNumberFormat="1" applyFont="1" applyFill="1" applyBorder="1" applyAlignment="1" applyProtection="1">
      <alignment horizontal="center" vertical="center" wrapText="1"/>
      <protection locked="0"/>
    </xf>
    <xf numFmtId="0" fontId="13" fillId="5" borderId="86" xfId="5" applyFont="1" applyFill="1" applyBorder="1" applyAlignment="1" applyProtection="1">
      <alignment horizontal="center" vertical="center"/>
    </xf>
    <xf numFmtId="0" fontId="13" fillId="62" borderId="87" xfId="5" applyFont="1" applyFill="1" applyBorder="1" applyAlignment="1" applyProtection="1">
      <alignment horizontal="center" vertical="center"/>
    </xf>
    <xf numFmtId="0" fontId="13" fillId="5" borderId="88" xfId="5" applyFont="1" applyFill="1" applyBorder="1" applyAlignment="1" applyProtection="1">
      <alignment horizontal="center" vertical="center"/>
    </xf>
    <xf numFmtId="0" fontId="13" fillId="62" borderId="89" xfId="5" applyFont="1" applyFill="1" applyBorder="1" applyAlignment="1" applyProtection="1">
      <alignment horizontal="center" vertical="center"/>
    </xf>
    <xf numFmtId="0" fontId="13" fillId="5" borderId="87" xfId="5" applyFont="1" applyFill="1" applyBorder="1" applyAlignment="1" applyProtection="1">
      <alignment horizontal="center" vertical="center"/>
    </xf>
    <xf numFmtId="49" fontId="16" fillId="5" borderId="88" xfId="0" applyNumberFormat="1" applyFont="1" applyFill="1" applyBorder="1" applyAlignment="1">
      <alignment horizontal="center" vertical="center" wrapText="1"/>
    </xf>
    <xf numFmtId="49" fontId="16" fillId="62" borderId="87" xfId="0" applyNumberFormat="1" applyFont="1" applyFill="1" applyBorder="1" applyAlignment="1">
      <alignment horizontal="center" vertical="center" wrapText="1"/>
    </xf>
    <xf numFmtId="49" fontId="16" fillId="62" borderId="95" xfId="0" applyNumberFormat="1" applyFont="1" applyFill="1" applyBorder="1" applyAlignment="1">
      <alignment horizontal="center" vertical="center" wrapText="1"/>
    </xf>
    <xf numFmtId="49" fontId="97" fillId="0" borderId="0" xfId="0" applyNumberFormat="1" applyFont="1" applyAlignment="1" applyProtection="1">
      <alignment horizontal="center" vertical="center" wrapText="1"/>
      <protection locked="0"/>
    </xf>
    <xf numFmtId="49" fontId="97" fillId="0" borderId="222" xfId="0" applyNumberFormat="1" applyFont="1" applyBorder="1" applyAlignment="1" applyProtection="1">
      <alignment horizontal="center" vertical="center" wrapText="1"/>
      <protection locked="0"/>
    </xf>
    <xf numFmtId="49" fontId="97" fillId="0" borderId="90" xfId="0" applyNumberFormat="1" applyFont="1" applyBorder="1" applyAlignment="1" applyProtection="1">
      <alignment horizontal="center" vertical="center" wrapText="1"/>
      <protection locked="0"/>
    </xf>
    <xf numFmtId="49" fontId="97" fillId="11" borderId="0" xfId="0" applyNumberFormat="1" applyFont="1" applyFill="1" applyAlignment="1" applyProtection="1">
      <alignment horizontal="center" vertical="center" wrapText="1"/>
      <protection locked="0"/>
    </xf>
    <xf numFmtId="49" fontId="97" fillId="34" borderId="0" xfId="0" applyNumberFormat="1" applyFont="1" applyFill="1" applyAlignment="1" applyProtection="1">
      <alignment horizontal="center" vertical="center" wrapText="1"/>
      <protection locked="0"/>
    </xf>
    <xf numFmtId="49" fontId="97" fillId="34" borderId="222" xfId="0" applyNumberFormat="1" applyFont="1" applyFill="1" applyBorder="1" applyAlignment="1" applyProtection="1">
      <alignment horizontal="center" vertical="center" wrapText="1"/>
      <protection locked="0"/>
    </xf>
    <xf numFmtId="49" fontId="97" fillId="34" borderId="90" xfId="0" applyNumberFormat="1" applyFont="1" applyFill="1" applyBorder="1" applyAlignment="1" applyProtection="1">
      <alignment horizontal="center" vertical="center" wrapText="1"/>
      <protection locked="0"/>
    </xf>
    <xf numFmtId="0" fontId="1" fillId="97" borderId="158" xfId="0" applyFont="1" applyFill="1" applyBorder="1" applyAlignment="1">
      <alignment horizontal="center" vertical="center"/>
    </xf>
    <xf numFmtId="0" fontId="1" fillId="98" borderId="159" xfId="0" applyFont="1" applyFill="1" applyBorder="1" applyAlignment="1">
      <alignment horizontal="center" vertical="center"/>
    </xf>
    <xf numFmtId="0" fontId="1" fillId="98" borderId="164" xfId="0" applyFont="1" applyFill="1" applyBorder="1" applyAlignment="1">
      <alignment horizontal="center" vertical="center"/>
    </xf>
    <xf numFmtId="49" fontId="19" fillId="11" borderId="0" xfId="0" applyNumberFormat="1" applyFont="1" applyFill="1" applyAlignment="1" applyProtection="1">
      <alignment horizontal="center" vertical="center" wrapText="1"/>
      <protection locked="0"/>
    </xf>
    <xf numFmtId="49" fontId="19" fillId="34" borderId="0" xfId="0" applyNumberFormat="1" applyFont="1" applyFill="1" applyAlignment="1" applyProtection="1">
      <alignment horizontal="center" vertical="center" wrapText="1"/>
      <protection locked="0"/>
    </xf>
    <xf numFmtId="49" fontId="19" fillId="34" borderId="222" xfId="0" applyNumberFormat="1" applyFont="1" applyFill="1" applyBorder="1" applyAlignment="1" applyProtection="1">
      <alignment horizontal="center" vertical="center" wrapText="1"/>
      <protection locked="0"/>
    </xf>
    <xf numFmtId="49" fontId="19" fillId="11" borderId="78" xfId="0" applyNumberFormat="1" applyFont="1" applyFill="1" applyBorder="1" applyAlignment="1" applyProtection="1">
      <alignment horizontal="center" vertical="center" wrapText="1"/>
      <protection locked="0"/>
    </xf>
    <xf numFmtId="49" fontId="19" fillId="34" borderId="90" xfId="0" applyNumberFormat="1" applyFont="1" applyFill="1" applyBorder="1" applyAlignment="1" applyProtection="1">
      <alignment horizontal="center" vertical="center" wrapText="1"/>
      <protection locked="0"/>
    </xf>
    <xf numFmtId="49" fontId="19" fillId="0" borderId="0" xfId="0" applyNumberFormat="1" applyFont="1" applyAlignment="1" applyProtection="1">
      <alignment horizontal="center" vertical="center" wrapText="1"/>
      <protection locked="0"/>
    </xf>
    <xf numFmtId="49" fontId="19" fillId="0" borderId="222" xfId="0" applyNumberFormat="1" applyFont="1" applyBorder="1" applyAlignment="1" applyProtection="1">
      <alignment horizontal="center" vertical="center" wrapText="1"/>
      <protection locked="0"/>
    </xf>
    <xf numFmtId="49" fontId="19" fillId="0" borderId="78" xfId="0" applyNumberFormat="1" applyFont="1" applyBorder="1" applyAlignment="1" applyProtection="1">
      <alignment horizontal="center" vertical="center" wrapText="1"/>
      <protection locked="0"/>
    </xf>
    <xf numFmtId="49" fontId="19" fillId="0" borderId="90" xfId="0" applyNumberFormat="1" applyFont="1" applyBorder="1" applyAlignment="1" applyProtection="1">
      <alignment horizontal="center" vertical="center" wrapText="1"/>
      <protection locked="0"/>
    </xf>
    <xf numFmtId="0" fontId="97" fillId="5" borderId="20" xfId="0" applyFont="1" applyFill="1" applyBorder="1" applyAlignment="1" applyProtection="1">
      <alignment horizontal="center" vertical="center" wrapText="1"/>
      <protection locked="0"/>
    </xf>
    <xf numFmtId="0" fontId="97" fillId="54" borderId="0" xfId="0" applyFont="1" applyFill="1" applyAlignment="1" applyProtection="1">
      <alignment horizontal="center" vertical="center" wrapText="1"/>
      <protection locked="0"/>
    </xf>
    <xf numFmtId="0" fontId="97" fillId="5" borderId="78" xfId="0" applyFont="1" applyFill="1" applyBorder="1" applyAlignment="1" applyProtection="1">
      <alignment horizontal="center" vertical="center" wrapText="1"/>
      <protection locked="0"/>
    </xf>
    <xf numFmtId="0" fontId="97" fillId="54" borderId="90" xfId="0" applyFont="1" applyFill="1" applyBorder="1" applyAlignment="1" applyProtection="1">
      <alignment horizontal="center" vertical="center" wrapText="1"/>
      <protection locked="0"/>
    </xf>
    <xf numFmtId="0" fontId="97" fillId="11" borderId="78" xfId="0" applyFont="1" applyFill="1" applyBorder="1" applyAlignment="1" applyProtection="1">
      <alignment horizontal="center" vertical="center" wrapText="1"/>
      <protection locked="0"/>
    </xf>
    <xf numFmtId="0" fontId="97" fillId="34" borderId="0" xfId="0" applyFont="1" applyFill="1" applyAlignment="1" applyProtection="1">
      <alignment horizontal="center" vertical="center" wrapText="1"/>
      <protection locked="0"/>
    </xf>
    <xf numFmtId="0" fontId="97" fillId="34" borderId="90" xfId="0" applyFont="1" applyFill="1" applyBorder="1" applyAlignment="1" applyProtection="1">
      <alignment horizontal="center" vertical="center" wrapText="1"/>
      <protection locked="0"/>
    </xf>
    <xf numFmtId="0" fontId="97" fillId="11" borderId="0" xfId="0" applyFont="1" applyFill="1" applyAlignment="1" applyProtection="1">
      <alignment horizontal="center" vertical="center" wrapText="1"/>
      <protection locked="0"/>
    </xf>
    <xf numFmtId="0" fontId="97" fillId="34" borderId="21" xfId="0" applyFont="1" applyFill="1" applyBorder="1" applyAlignment="1" applyProtection="1">
      <alignment horizontal="center" vertical="center" wrapText="1"/>
      <protection locked="0"/>
    </xf>
    <xf numFmtId="0" fontId="16" fillId="10" borderId="22" xfId="0" applyFont="1" applyFill="1" applyBorder="1" applyAlignment="1" applyProtection="1">
      <alignment horizontal="center" vertical="center"/>
      <protection locked="0"/>
    </xf>
    <xf numFmtId="0" fontId="16" fillId="6" borderId="25" xfId="0" applyFont="1" applyFill="1" applyBorder="1" applyAlignment="1" applyProtection="1">
      <alignment horizontal="center" vertical="center"/>
      <protection locked="0"/>
    </xf>
    <xf numFmtId="0" fontId="16" fillId="10" borderId="98" xfId="0" applyFont="1" applyFill="1" applyBorder="1" applyAlignment="1" applyProtection="1">
      <alignment horizontal="center" vertical="center"/>
      <protection locked="0"/>
    </xf>
    <xf numFmtId="0" fontId="16" fillId="6" borderId="96" xfId="0" applyFont="1" applyFill="1" applyBorder="1" applyAlignment="1" applyProtection="1">
      <alignment horizontal="center" vertical="center"/>
      <protection locked="0"/>
    </xf>
    <xf numFmtId="0" fontId="16" fillId="0" borderId="98" xfId="0" applyFont="1" applyBorder="1" applyAlignment="1" applyProtection="1">
      <alignment horizontal="center" vertical="center"/>
      <protection locked="0"/>
    </xf>
    <xf numFmtId="0" fontId="16" fillId="0" borderId="25" xfId="0" applyFont="1" applyBorder="1" applyAlignment="1" applyProtection="1">
      <alignment horizontal="center" vertical="center"/>
      <protection locked="0"/>
    </xf>
    <xf numFmtId="0" fontId="16" fillId="0" borderId="96" xfId="0" applyFont="1" applyBorder="1" applyAlignment="1" applyProtection="1">
      <alignment horizontal="center" vertical="center"/>
      <protection locked="0"/>
    </xf>
    <xf numFmtId="0" fontId="16" fillId="0" borderId="23" xfId="0" applyFont="1" applyBorder="1" applyAlignment="1" applyProtection="1">
      <alignment horizontal="center" vertical="center"/>
      <protection locked="0"/>
    </xf>
    <xf numFmtId="0" fontId="54" fillId="2" borderId="16" xfId="0" applyFont="1" applyFill="1" applyBorder="1" applyAlignment="1">
      <alignment horizontal="center" vertical="center"/>
    </xf>
    <xf numFmtId="0" fontId="54" fillId="80" borderId="24" xfId="0" applyFont="1" applyFill="1" applyBorder="1" applyAlignment="1">
      <alignment horizontal="center" vertical="center"/>
    </xf>
    <xf numFmtId="0" fontId="54" fillId="80" borderId="17" xfId="0" applyFont="1" applyFill="1" applyBorder="1" applyAlignment="1">
      <alignment horizontal="center" vertical="center"/>
    </xf>
    <xf numFmtId="49" fontId="16" fillId="5" borderId="219" xfId="0" applyNumberFormat="1" applyFont="1" applyFill="1" applyBorder="1" applyAlignment="1">
      <alignment horizontal="center" vertical="top" wrapText="1"/>
    </xf>
    <xf numFmtId="49" fontId="16" fillId="62" borderId="91" xfId="0" applyNumberFormat="1" applyFont="1" applyFill="1" applyBorder="1" applyAlignment="1">
      <alignment horizontal="center" vertical="top" wrapText="1"/>
    </xf>
    <xf numFmtId="49" fontId="16" fillId="5" borderId="165" xfId="0" applyNumberFormat="1" applyFont="1" applyFill="1" applyBorder="1" applyAlignment="1">
      <alignment horizontal="center" vertical="top"/>
    </xf>
    <xf numFmtId="49" fontId="16" fillId="62" borderId="91" xfId="0" applyNumberFormat="1" applyFont="1" applyFill="1" applyBorder="1" applyAlignment="1">
      <alignment horizontal="center" vertical="top"/>
    </xf>
    <xf numFmtId="49" fontId="16" fillId="62" borderId="35" xfId="0" applyNumberFormat="1" applyFont="1" applyFill="1" applyBorder="1" applyAlignment="1">
      <alignment horizontal="center" vertical="top"/>
    </xf>
    <xf numFmtId="0" fontId="16" fillId="110" borderId="86" xfId="0" applyFont="1" applyFill="1" applyBorder="1" applyAlignment="1">
      <alignment horizontal="center" vertical="center"/>
    </xf>
    <xf numFmtId="0" fontId="16" fillId="79" borderId="87" xfId="0" applyFont="1" applyFill="1" applyBorder="1" applyAlignment="1">
      <alignment horizontal="center" vertical="center"/>
    </xf>
    <xf numFmtId="0" fontId="16" fillId="79" borderId="89" xfId="0" applyFont="1" applyFill="1" applyBorder="1" applyAlignment="1">
      <alignment horizontal="center" vertical="center"/>
    </xf>
    <xf numFmtId="0" fontId="16" fillId="79" borderId="95" xfId="0" applyFont="1" applyFill="1" applyBorder="1" applyAlignment="1">
      <alignment horizontal="center" vertical="center"/>
    </xf>
    <xf numFmtId="0" fontId="1" fillId="10" borderId="82" xfId="4" applyFont="1" applyFill="1" applyBorder="1" applyAlignment="1" applyProtection="1">
      <alignment horizontal="center" vertical="center"/>
    </xf>
    <xf numFmtId="0" fontId="1" fillId="6" borderId="83" xfId="4" applyFont="1" applyBorder="1" applyAlignment="1" applyProtection="1">
      <alignment horizontal="center" vertical="center"/>
    </xf>
    <xf numFmtId="0" fontId="1" fillId="6" borderId="141" xfId="4" applyFont="1" applyBorder="1" applyAlignment="1" applyProtection="1">
      <alignment horizontal="center" vertical="center"/>
    </xf>
    <xf numFmtId="0" fontId="1" fillId="10" borderId="83" xfId="4" applyFont="1" applyFill="1" applyBorder="1" applyAlignment="1" applyProtection="1">
      <alignment horizontal="center" vertical="center"/>
    </xf>
    <xf numFmtId="0" fontId="1" fillId="6" borderId="221" xfId="4" applyFont="1" applyBorder="1" applyAlignment="1" applyProtection="1">
      <alignment horizontal="center" vertical="center"/>
    </xf>
    <xf numFmtId="0" fontId="16" fillId="10" borderId="85" xfId="0" applyFont="1" applyFill="1" applyBorder="1" applyAlignment="1">
      <alignment horizontal="center" vertical="center"/>
    </xf>
    <xf numFmtId="0" fontId="16" fillId="6" borderId="83" xfId="0" applyFont="1" applyFill="1" applyBorder="1" applyAlignment="1">
      <alignment horizontal="center" vertical="center"/>
    </xf>
    <xf numFmtId="0" fontId="16" fillId="6" borderId="141" xfId="0" applyFont="1" applyFill="1" applyBorder="1" applyAlignment="1">
      <alignment horizontal="center" vertical="center"/>
    </xf>
    <xf numFmtId="0" fontId="16" fillId="10" borderId="83" xfId="0" applyFont="1" applyFill="1" applyBorder="1" applyAlignment="1">
      <alignment horizontal="center" vertical="center"/>
    </xf>
    <xf numFmtId="0" fontId="16" fillId="6" borderId="94" xfId="0" applyFont="1" applyFill="1" applyBorder="1" applyAlignment="1">
      <alignment horizontal="center" vertical="center"/>
    </xf>
    <xf numFmtId="0" fontId="97" fillId="10" borderId="20" xfId="0" applyFont="1" applyFill="1" applyBorder="1" applyAlignment="1" applyProtection="1">
      <alignment horizontal="center" vertical="center" wrapText="1"/>
      <protection locked="0"/>
    </xf>
    <xf numFmtId="0" fontId="97" fillId="6" borderId="0" xfId="0" applyFont="1" applyFill="1" applyAlignment="1" applyProtection="1">
      <alignment horizontal="center" vertical="center" wrapText="1"/>
      <protection locked="0"/>
    </xf>
    <xf numFmtId="0" fontId="97" fillId="10" borderId="78" xfId="0" applyFont="1" applyFill="1" applyBorder="1" applyAlignment="1" applyProtection="1">
      <alignment horizontal="center" vertical="center" wrapText="1"/>
      <protection locked="0"/>
    </xf>
    <xf numFmtId="0" fontId="97" fillId="6" borderId="90" xfId="0" applyFont="1" applyFill="1" applyBorder="1" applyAlignment="1" applyProtection="1">
      <alignment horizontal="center" vertical="center" wrapText="1"/>
      <protection locked="0"/>
    </xf>
    <xf numFmtId="0" fontId="97" fillId="0" borderId="78" xfId="0" applyFont="1" applyBorder="1" applyAlignment="1" applyProtection="1">
      <alignment horizontal="center" vertical="center" wrapText="1"/>
      <protection locked="0"/>
    </xf>
    <xf numFmtId="0" fontId="97" fillId="0" borderId="0" xfId="0" applyFont="1" applyAlignment="1" applyProtection="1">
      <alignment horizontal="center" vertical="center" wrapText="1"/>
      <protection locked="0"/>
    </xf>
    <xf numFmtId="0" fontId="97" fillId="0" borderId="90" xfId="0" applyFont="1" applyBorder="1" applyAlignment="1" applyProtection="1">
      <alignment horizontal="center" vertical="center" wrapText="1"/>
      <protection locked="0"/>
    </xf>
    <xf numFmtId="0" fontId="97" fillId="0" borderId="21" xfId="0" applyFont="1" applyBorder="1" applyAlignment="1" applyProtection="1">
      <alignment horizontal="center" vertical="center" wrapText="1"/>
      <protection locked="0"/>
    </xf>
    <xf numFmtId="0" fontId="16" fillId="10" borderId="20" xfId="0" applyFont="1" applyFill="1" applyBorder="1" applyAlignment="1" applyProtection="1">
      <alignment horizontal="center" vertical="center"/>
      <protection locked="0"/>
    </xf>
    <xf numFmtId="0" fontId="16" fillId="6" borderId="0" xfId="0" applyFont="1" applyFill="1" applyAlignment="1" applyProtection="1">
      <alignment horizontal="center" vertical="center"/>
      <protection locked="0"/>
    </xf>
    <xf numFmtId="0" fontId="16" fillId="10" borderId="78" xfId="0" applyFont="1" applyFill="1" applyBorder="1" applyAlignment="1" applyProtection="1">
      <alignment horizontal="center" vertical="center"/>
      <protection locked="0"/>
    </xf>
    <xf numFmtId="0" fontId="16" fillId="6" borderId="90" xfId="0" applyFont="1" applyFill="1" applyBorder="1" applyAlignment="1" applyProtection="1">
      <alignment horizontal="center" vertical="center"/>
      <protection locked="0"/>
    </xf>
    <xf numFmtId="0" fontId="16" fillId="0" borderId="78" xfId="0" applyFont="1" applyBorder="1" applyAlignment="1" applyProtection="1">
      <alignment horizontal="center" vertical="center"/>
      <protection locked="0"/>
    </xf>
    <xf numFmtId="0" fontId="16" fillId="0" borderId="0" xfId="0" applyFont="1" applyAlignment="1" applyProtection="1">
      <alignment horizontal="center" vertical="center"/>
      <protection locked="0"/>
    </xf>
    <xf numFmtId="0" fontId="16" fillId="0" borderId="90" xfId="0" applyFont="1" applyBorder="1" applyAlignment="1" applyProtection="1">
      <alignment horizontal="center" vertical="center"/>
      <protection locked="0"/>
    </xf>
    <xf numFmtId="0" fontId="16" fillId="0" borderId="21" xfId="0" applyFont="1" applyBorder="1" applyAlignment="1" applyProtection="1">
      <alignment horizontal="center" vertical="center"/>
      <protection locked="0"/>
    </xf>
    <xf numFmtId="0" fontId="13" fillId="5" borderId="219" xfId="0" applyFont="1" applyFill="1" applyBorder="1" applyAlignment="1">
      <alignment horizontal="center" vertical="center"/>
    </xf>
    <xf numFmtId="0" fontId="13" fillId="54" borderId="91" xfId="0" applyFont="1" applyFill="1" applyBorder="1" applyAlignment="1">
      <alignment horizontal="center" vertical="center"/>
    </xf>
    <xf numFmtId="0" fontId="13" fillId="5" borderId="91" xfId="0" applyFont="1" applyFill="1" applyBorder="1" applyAlignment="1">
      <alignment horizontal="center" vertical="center"/>
    </xf>
    <xf numFmtId="0" fontId="13" fillId="5" borderId="165" xfId="0" applyFont="1" applyFill="1" applyBorder="1" applyAlignment="1">
      <alignment horizontal="center" vertical="center"/>
    </xf>
    <xf numFmtId="0" fontId="13" fillId="54" borderId="35" xfId="0" applyFont="1" applyFill="1" applyBorder="1" applyAlignment="1">
      <alignment horizontal="center" vertical="center"/>
    </xf>
    <xf numFmtId="0" fontId="16" fillId="11" borderId="91" xfId="0" applyFont="1" applyFill="1" applyBorder="1" applyAlignment="1">
      <alignment horizontal="center" vertical="center" wrapText="1"/>
    </xf>
    <xf numFmtId="0" fontId="16" fillId="12" borderId="91" xfId="0" applyFont="1" applyFill="1" applyBorder="1" applyAlignment="1">
      <alignment horizontal="center" vertical="center" wrapText="1"/>
    </xf>
    <xf numFmtId="178" fontId="16" fillId="11" borderId="91" xfId="0" applyNumberFormat="1" applyFont="1" applyFill="1" applyBorder="1" applyAlignment="1">
      <alignment horizontal="center" vertical="center" wrapText="1"/>
    </xf>
    <xf numFmtId="178" fontId="16" fillId="12" borderId="91" xfId="0" applyNumberFormat="1" applyFont="1" applyFill="1" applyBorder="1" applyAlignment="1">
      <alignment horizontal="center" vertical="center" wrapText="1"/>
    </xf>
    <xf numFmtId="0" fontId="16" fillId="12" borderId="35" xfId="0" applyFont="1" applyFill="1" applyBorder="1" applyAlignment="1">
      <alignment horizontal="center" vertical="center" wrapText="1"/>
    </xf>
    <xf numFmtId="178" fontId="16" fillId="0" borderId="93" xfId="0" applyNumberFormat="1" applyFont="1" applyBorder="1" applyAlignment="1">
      <alignment horizontal="center" vertical="center" wrapText="1"/>
    </xf>
    <xf numFmtId="178" fontId="16" fillId="0" borderId="32" xfId="0" applyNumberFormat="1" applyFont="1" applyBorder="1" applyAlignment="1">
      <alignment horizontal="center" vertical="center" wrapText="1"/>
    </xf>
    <xf numFmtId="178" fontId="16" fillId="11" borderId="191" xfId="0" applyNumberFormat="1" applyFont="1" applyFill="1" applyBorder="1" applyAlignment="1">
      <alignment horizontal="center" vertical="center" wrapText="1"/>
    </xf>
    <xf numFmtId="178" fontId="16" fillId="12" borderId="191" xfId="0" applyNumberFormat="1" applyFont="1" applyFill="1" applyBorder="1" applyAlignment="1">
      <alignment horizontal="center" vertical="center" wrapText="1"/>
    </xf>
    <xf numFmtId="178" fontId="16" fillId="12" borderId="34" xfId="0" applyNumberFormat="1" applyFont="1" applyFill="1" applyBorder="1" applyAlignment="1">
      <alignment horizontal="center" vertical="center" wrapText="1"/>
    </xf>
    <xf numFmtId="0" fontId="16" fillId="10" borderId="146" xfId="0" applyFont="1" applyFill="1" applyBorder="1" applyAlignment="1">
      <alignment horizontal="center" vertical="center"/>
    </xf>
    <xf numFmtId="0" fontId="16" fillId="6" borderId="97" xfId="0" applyFont="1" applyFill="1" applyBorder="1" applyAlignment="1">
      <alignment horizontal="center" vertical="center"/>
    </xf>
    <xf numFmtId="0" fontId="16" fillId="10" borderId="97" xfId="0" applyFont="1" applyFill="1" applyBorder="1" applyAlignment="1">
      <alignment horizontal="center" vertical="center"/>
    </xf>
    <xf numFmtId="0" fontId="16" fillId="6" borderId="36" xfId="0" applyFont="1" applyFill="1" applyBorder="1" applyAlignment="1">
      <alignment horizontal="center" vertical="center"/>
    </xf>
    <xf numFmtId="177" fontId="16" fillId="0" borderId="188" xfId="0" applyNumberFormat="1" applyFont="1" applyBorder="1" applyAlignment="1" applyProtection="1">
      <alignment horizontal="center" vertical="center"/>
      <protection locked="0"/>
    </xf>
    <xf numFmtId="177" fontId="16" fillId="0" borderId="189" xfId="0" applyNumberFormat="1" applyFont="1" applyBorder="1" applyAlignment="1" applyProtection="1">
      <alignment horizontal="center" vertical="center"/>
      <protection locked="0"/>
    </xf>
    <xf numFmtId="177" fontId="16" fillId="0" borderId="154" xfId="0" applyNumberFormat="1" applyFont="1" applyBorder="1" applyAlignment="1" applyProtection="1">
      <alignment horizontal="center" vertical="center"/>
      <protection locked="0"/>
    </xf>
    <xf numFmtId="0" fontId="97" fillId="0" borderId="91" xfId="0" applyFont="1" applyBorder="1" applyAlignment="1" applyProtection="1">
      <alignment horizontal="center" vertical="center" wrapText="1"/>
      <protection locked="0"/>
    </xf>
    <xf numFmtId="0" fontId="178" fillId="0" borderId="84" xfId="0" applyFont="1" applyBorder="1" applyAlignment="1" applyProtection="1">
      <alignment horizontal="center" vertical="center"/>
      <protection locked="0"/>
    </xf>
    <xf numFmtId="0" fontId="178" fillId="0" borderId="92" xfId="0" applyFont="1" applyBorder="1" applyAlignment="1" applyProtection="1">
      <alignment horizontal="center" vertical="center"/>
      <protection locked="0"/>
    </xf>
    <xf numFmtId="0" fontId="178" fillId="0" borderId="85" xfId="0" applyFont="1" applyBorder="1" applyAlignment="1" applyProtection="1">
      <alignment horizontal="center" vertical="center"/>
      <protection locked="0"/>
    </xf>
    <xf numFmtId="0" fontId="178" fillId="0" borderId="94" xfId="0" applyFont="1" applyBorder="1" applyAlignment="1" applyProtection="1">
      <alignment horizontal="center" vertical="center"/>
      <protection locked="0"/>
    </xf>
    <xf numFmtId="0" fontId="16" fillId="0" borderId="0" xfId="0" applyFont="1" applyAlignment="1">
      <alignment horizontal="left" vertical="center"/>
    </xf>
    <xf numFmtId="0" fontId="16" fillId="0" borderId="0" xfId="0" applyFont="1" applyAlignment="1">
      <alignment horizontal="center" vertical="center"/>
    </xf>
    <xf numFmtId="0" fontId="54" fillId="2" borderId="158" xfId="0" applyFont="1" applyFill="1" applyBorder="1" applyAlignment="1">
      <alignment horizontal="center" vertical="center"/>
    </xf>
    <xf numFmtId="0" fontId="54" fillId="80" borderId="159" xfId="0" applyFont="1" applyFill="1" applyBorder="1" applyAlignment="1">
      <alignment horizontal="center" vertical="center"/>
    </xf>
    <xf numFmtId="0" fontId="54" fillId="80" borderId="163" xfId="0" applyFont="1" applyFill="1" applyBorder="1" applyAlignment="1">
      <alignment horizontal="center" vertical="center"/>
    </xf>
    <xf numFmtId="0" fontId="54" fillId="2" borderId="160" xfId="0" applyFont="1" applyFill="1" applyBorder="1" applyAlignment="1">
      <alignment horizontal="center" vertical="center" wrapText="1"/>
    </xf>
    <xf numFmtId="0" fontId="54" fillId="80" borderId="164" xfId="0" applyFont="1" applyFill="1" applyBorder="1" applyAlignment="1">
      <alignment horizontal="center" vertical="center"/>
    </xf>
    <xf numFmtId="0" fontId="97" fillId="5" borderId="146" xfId="0" applyFont="1" applyFill="1" applyBorder="1" applyAlignment="1">
      <alignment horizontal="center" vertical="center"/>
    </xf>
    <xf numFmtId="0" fontId="97" fillId="62" borderId="97" xfId="0" applyFont="1" applyFill="1" applyBorder="1" applyAlignment="1">
      <alignment horizontal="center" vertical="center"/>
    </xf>
    <xf numFmtId="0" fontId="97" fillId="5" borderId="97" xfId="0" applyFont="1" applyFill="1" applyBorder="1" applyAlignment="1">
      <alignment horizontal="center" vertical="center"/>
    </xf>
    <xf numFmtId="0" fontId="97" fillId="62" borderId="201" xfId="0" applyFont="1" applyFill="1" applyBorder="1" applyAlignment="1">
      <alignment horizontal="center" vertical="center"/>
    </xf>
    <xf numFmtId="0" fontId="97" fillId="5" borderId="89" xfId="0" applyFont="1" applyFill="1" applyBorder="1" applyAlignment="1">
      <alignment horizontal="center" vertical="center"/>
    </xf>
    <xf numFmtId="0" fontId="97" fillId="62" borderId="36" xfId="0" applyFont="1" applyFill="1" applyBorder="1" applyAlignment="1">
      <alignment horizontal="center" vertical="center"/>
    </xf>
    <xf numFmtId="0" fontId="97" fillId="11" borderId="146" xfId="0" applyFont="1" applyFill="1" applyBorder="1" applyAlignment="1">
      <alignment horizontal="center" vertical="center"/>
    </xf>
    <xf numFmtId="0" fontId="97" fillId="34" borderId="97" xfId="0" applyFont="1" applyFill="1" applyBorder="1" applyAlignment="1">
      <alignment horizontal="center" vertical="center"/>
    </xf>
    <xf numFmtId="0" fontId="97" fillId="11" borderId="97" xfId="0" applyFont="1" applyFill="1" applyBorder="1" applyAlignment="1">
      <alignment horizontal="center" vertical="center"/>
    </xf>
    <xf numFmtId="0" fontId="97" fillId="11" borderId="97" xfId="0" applyFont="1" applyFill="1" applyBorder="1" applyAlignment="1" applyProtection="1">
      <alignment horizontal="center" vertical="center"/>
      <protection locked="0"/>
    </xf>
    <xf numFmtId="0" fontId="97" fillId="34" borderId="97" xfId="0" applyFont="1" applyFill="1" applyBorder="1" applyAlignment="1" applyProtection="1">
      <alignment horizontal="center" vertical="center"/>
      <protection locked="0"/>
    </xf>
    <xf numFmtId="0" fontId="97" fillId="34" borderId="201" xfId="0" applyFont="1" applyFill="1" applyBorder="1" applyAlignment="1" applyProtection="1">
      <alignment horizontal="center" vertical="center"/>
      <protection locked="0"/>
    </xf>
    <xf numFmtId="0" fontId="97" fillId="11" borderId="89" xfId="0" applyFont="1" applyFill="1" applyBorder="1" applyAlignment="1" applyProtection="1">
      <alignment horizontal="center" vertical="center"/>
      <protection locked="0"/>
    </xf>
    <xf numFmtId="0" fontId="97" fillId="34" borderId="36" xfId="0" applyFont="1" applyFill="1" applyBorder="1" applyAlignment="1" applyProtection="1">
      <alignment horizontal="center" vertical="center" wrapText="1"/>
      <protection locked="0"/>
    </xf>
    <xf numFmtId="0" fontId="7" fillId="2" borderId="144" xfId="0" applyFont="1" applyFill="1" applyBorder="1" applyAlignment="1">
      <alignment horizontal="center" vertical="center"/>
    </xf>
    <xf numFmtId="0" fontId="7" fillId="80" borderId="145" xfId="0" applyFont="1" applyFill="1" applyBorder="1" applyAlignment="1">
      <alignment horizontal="center" vertical="center"/>
    </xf>
    <xf numFmtId="0" fontId="7" fillId="80" borderId="147" xfId="0" applyFont="1" applyFill="1" applyBorder="1" applyAlignment="1">
      <alignment horizontal="center" vertical="center"/>
    </xf>
    <xf numFmtId="0" fontId="16" fillId="97" borderId="146" xfId="0" applyFont="1" applyFill="1" applyBorder="1" applyAlignment="1">
      <alignment horizontal="center" vertical="center"/>
    </xf>
    <xf numFmtId="0" fontId="16" fillId="98" borderId="97" xfId="0" applyFont="1" applyFill="1" applyBorder="1" applyAlignment="1">
      <alignment horizontal="center" vertical="center"/>
    </xf>
    <xf numFmtId="0" fontId="16" fillId="97" borderId="97" xfId="0" applyFont="1" applyFill="1" applyBorder="1" applyAlignment="1">
      <alignment horizontal="center" vertical="center"/>
    </xf>
    <xf numFmtId="0" fontId="16" fillId="98" borderId="36" xfId="0" applyFont="1" applyFill="1" applyBorder="1" applyAlignment="1">
      <alignment horizontal="center" vertical="center"/>
    </xf>
    <xf numFmtId="0" fontId="16" fillId="11" borderId="146" xfId="0" applyFont="1" applyFill="1" applyBorder="1" applyAlignment="1">
      <alignment horizontal="center" vertical="center" wrapText="1"/>
    </xf>
    <xf numFmtId="0" fontId="16" fillId="12" borderId="97" xfId="0" applyFont="1" applyFill="1" applyBorder="1" applyAlignment="1">
      <alignment horizontal="center" vertical="center" wrapText="1"/>
    </xf>
    <xf numFmtId="0" fontId="16" fillId="12" borderId="146" xfId="0" applyFont="1" applyFill="1" applyBorder="1" applyAlignment="1">
      <alignment horizontal="center" vertical="center" wrapText="1"/>
    </xf>
    <xf numFmtId="0" fontId="97" fillId="11" borderId="146" xfId="0" applyFont="1" applyFill="1" applyBorder="1" applyAlignment="1" applyProtection="1">
      <alignment horizontal="center" vertical="center"/>
      <protection locked="0"/>
    </xf>
    <xf numFmtId="0" fontId="97" fillId="11" borderId="97" xfId="0" applyFont="1" applyFill="1" applyBorder="1" applyAlignment="1" applyProtection="1">
      <alignment horizontal="center" vertical="center"/>
      <protection locked="0" hidden="1"/>
    </xf>
    <xf numFmtId="0" fontId="97" fillId="34" borderId="97" xfId="0" applyFont="1" applyFill="1" applyBorder="1" applyAlignment="1" applyProtection="1">
      <alignment horizontal="center" vertical="center"/>
      <protection locked="0" hidden="1"/>
    </xf>
    <xf numFmtId="0" fontId="97" fillId="34" borderId="36" xfId="0" applyFont="1" applyFill="1" applyBorder="1" applyAlignment="1" applyProtection="1">
      <alignment horizontal="center" vertical="center"/>
      <protection locked="0"/>
    </xf>
    <xf numFmtId="180" fontId="97" fillId="0" borderId="97" xfId="0" applyNumberFormat="1" applyFont="1" applyBorder="1" applyAlignment="1">
      <alignment horizontal="center" vertical="center"/>
    </xf>
    <xf numFmtId="180" fontId="97" fillId="0" borderId="36" xfId="0" applyNumberFormat="1" applyFont="1" applyBorder="1" applyAlignment="1">
      <alignment horizontal="center" vertical="center"/>
    </xf>
    <xf numFmtId="0" fontId="97" fillId="0" borderId="188" xfId="0" applyFont="1" applyBorder="1" applyAlignment="1" applyProtection="1">
      <alignment horizontal="center" vertical="center"/>
      <protection locked="0"/>
    </xf>
    <xf numFmtId="0" fontId="97" fillId="0" borderId="189" xfId="0" applyFont="1" applyBorder="1" applyAlignment="1" applyProtection="1">
      <alignment horizontal="center" vertical="center"/>
      <protection locked="0"/>
    </xf>
    <xf numFmtId="0" fontId="97" fillId="0" borderId="189" xfId="0" applyFont="1" applyBorder="1" applyAlignment="1" applyProtection="1">
      <alignment horizontal="center" vertical="center"/>
      <protection locked="0" hidden="1"/>
    </xf>
    <xf numFmtId="0" fontId="97" fillId="0" borderId="154" xfId="0" applyFont="1" applyBorder="1" applyAlignment="1" applyProtection="1">
      <alignment horizontal="center" vertical="center"/>
      <protection locked="0"/>
    </xf>
    <xf numFmtId="180" fontId="97" fillId="0" borderId="189" xfId="0" applyNumberFormat="1" applyFont="1" applyBorder="1" applyAlignment="1">
      <alignment horizontal="center" vertical="center"/>
    </xf>
    <xf numFmtId="180" fontId="97" fillId="0" borderId="154" xfId="0" applyNumberFormat="1" applyFont="1" applyBorder="1" applyAlignment="1">
      <alignment horizontal="center" vertical="center"/>
    </xf>
    <xf numFmtId="0" fontId="97" fillId="0" borderId="188" xfId="0" applyFont="1" applyBorder="1" applyAlignment="1">
      <alignment horizontal="center" vertical="center" wrapText="1"/>
    </xf>
    <xf numFmtId="0" fontId="97" fillId="0" borderId="189" xfId="0" applyFont="1" applyBorder="1" applyAlignment="1">
      <alignment horizontal="center" vertical="center" wrapText="1"/>
    </xf>
    <xf numFmtId="0" fontId="97" fillId="34" borderId="36" xfId="0" applyFont="1" applyFill="1" applyBorder="1" applyAlignment="1">
      <alignment horizontal="center" vertical="center"/>
    </xf>
    <xf numFmtId="0" fontId="97" fillId="0" borderId="146" xfId="0" applyFont="1" applyBorder="1" applyAlignment="1" applyProtection="1">
      <alignment horizontal="center" vertical="center"/>
      <protection locked="0"/>
    </xf>
    <xf numFmtId="0" fontId="97" fillId="0" borderId="97" xfId="0" applyFont="1" applyBorder="1" applyAlignment="1" applyProtection="1">
      <alignment horizontal="center" vertical="center"/>
      <protection locked="0"/>
    </xf>
    <xf numFmtId="180" fontId="97" fillId="11" borderId="97" xfId="0" applyNumberFormat="1" applyFont="1" applyFill="1" applyBorder="1" applyAlignment="1">
      <alignment horizontal="center" vertical="center"/>
    </xf>
    <xf numFmtId="180" fontId="97" fillId="34" borderId="97" xfId="0" applyNumberFormat="1" applyFont="1" applyFill="1" applyBorder="1" applyAlignment="1">
      <alignment horizontal="center" vertical="center"/>
    </xf>
    <xf numFmtId="180" fontId="16" fillId="11" borderId="189" xfId="0" applyNumberFormat="1" applyFont="1" applyFill="1" applyBorder="1" applyAlignment="1" applyProtection="1">
      <alignment horizontal="center" vertical="center"/>
      <protection locked="0"/>
    </xf>
    <xf numFmtId="180" fontId="16" fillId="12" borderId="189" xfId="0" applyNumberFormat="1" applyFont="1" applyFill="1" applyBorder="1" applyAlignment="1" applyProtection="1">
      <alignment horizontal="center" vertical="center"/>
      <protection locked="0"/>
    </xf>
    <xf numFmtId="180" fontId="16" fillId="11" borderId="189" xfId="0" applyNumberFormat="1" applyFont="1" applyFill="1" applyBorder="1" applyAlignment="1">
      <alignment horizontal="center" vertical="center"/>
    </xf>
    <xf numFmtId="180" fontId="16" fillId="12" borderId="189" xfId="0" applyNumberFormat="1" applyFont="1" applyFill="1" applyBorder="1" applyAlignment="1">
      <alignment horizontal="center" vertical="center"/>
    </xf>
    <xf numFmtId="180" fontId="16" fillId="12" borderId="154" xfId="0" applyNumberFormat="1" applyFont="1" applyFill="1" applyBorder="1" applyAlignment="1">
      <alignment horizontal="center" vertical="center"/>
    </xf>
    <xf numFmtId="0" fontId="120" fillId="0" borderId="0" xfId="0" applyFont="1" applyAlignment="1">
      <alignment horizontal="left" vertical="top"/>
    </xf>
    <xf numFmtId="0" fontId="120" fillId="0" borderId="0" xfId="0" applyFont="1" applyAlignment="1">
      <alignment horizontal="left" vertical="top" wrapText="1"/>
    </xf>
    <xf numFmtId="0" fontId="54" fillId="2" borderId="145" xfId="0" applyFont="1" applyFill="1" applyBorder="1" applyAlignment="1">
      <alignment horizontal="center" vertical="center"/>
    </xf>
    <xf numFmtId="0" fontId="54" fillId="2" borderId="147" xfId="0" applyFont="1" applyFill="1" applyBorder="1" applyAlignment="1">
      <alignment horizontal="center" vertical="center"/>
    </xf>
    <xf numFmtId="0" fontId="97" fillId="54" borderId="97" xfId="0" applyFont="1" applyFill="1" applyBorder="1" applyAlignment="1">
      <alignment horizontal="center" vertical="center"/>
    </xf>
    <xf numFmtId="0" fontId="97" fillId="54" borderId="36" xfId="0" applyFont="1" applyFill="1" applyBorder="1" applyAlignment="1">
      <alignment horizontal="center" vertical="center"/>
    </xf>
    <xf numFmtId="0" fontId="10" fillId="0" borderId="97" xfId="0" applyFont="1" applyBorder="1" applyAlignment="1" applyProtection="1">
      <alignment horizontal="center" vertical="center"/>
      <protection locked="0"/>
    </xf>
    <xf numFmtId="0" fontId="10" fillId="0" borderId="36" xfId="0" applyFont="1" applyBorder="1" applyAlignment="1" applyProtection="1">
      <alignment horizontal="center" vertical="center"/>
      <protection locked="0"/>
    </xf>
    <xf numFmtId="49" fontId="16" fillId="11" borderId="188" xfId="0" applyNumberFormat="1" applyFont="1" applyFill="1" applyBorder="1" applyAlignment="1" applyProtection="1">
      <alignment horizontal="center" vertical="center"/>
      <protection locked="0"/>
    </xf>
    <xf numFmtId="49" fontId="16" fillId="12" borderId="189" xfId="0" applyNumberFormat="1" applyFont="1" applyFill="1" applyBorder="1" applyAlignment="1" applyProtection="1">
      <alignment horizontal="center" vertical="center"/>
      <protection locked="0"/>
    </xf>
    <xf numFmtId="178" fontId="15" fillId="11" borderId="189" xfId="0" applyNumberFormat="1" applyFont="1" applyFill="1" applyBorder="1" applyAlignment="1">
      <alignment horizontal="center" vertical="center"/>
    </xf>
    <xf numFmtId="178" fontId="15" fillId="12" borderId="189" xfId="0" applyNumberFormat="1" applyFont="1" applyFill="1" applyBorder="1" applyAlignment="1">
      <alignment horizontal="center" vertical="center"/>
    </xf>
    <xf numFmtId="0" fontId="16" fillId="11" borderId="189" xfId="0" applyFont="1" applyFill="1" applyBorder="1" applyAlignment="1" applyProtection="1">
      <alignment horizontal="right" vertical="center"/>
      <protection locked="0"/>
    </xf>
    <xf numFmtId="0" fontId="16" fillId="12" borderId="153" xfId="0" applyFont="1" applyFill="1" applyBorder="1" applyAlignment="1" applyProtection="1">
      <alignment horizontal="right" vertical="center"/>
      <protection locked="0"/>
    </xf>
    <xf numFmtId="0" fontId="16" fillId="11" borderId="195" xfId="0" applyFont="1" applyFill="1" applyBorder="1" applyProtection="1">
      <alignment vertical="center"/>
      <protection locked="0"/>
    </xf>
    <xf numFmtId="0" fontId="16" fillId="12" borderId="189" xfId="0" applyFont="1" applyFill="1" applyBorder="1" applyProtection="1">
      <alignment vertical="center"/>
      <protection locked="0"/>
    </xf>
    <xf numFmtId="0" fontId="16" fillId="11" borderId="189" xfId="0" applyFont="1" applyFill="1" applyBorder="1" applyAlignment="1">
      <alignment horizontal="center" vertical="center"/>
    </xf>
    <xf numFmtId="0" fontId="16" fillId="12" borderId="189" xfId="0" applyFont="1" applyFill="1" applyBorder="1" applyAlignment="1">
      <alignment horizontal="center" vertical="center"/>
    </xf>
    <xf numFmtId="0" fontId="16" fillId="11" borderId="189" xfId="0" applyFont="1" applyFill="1" applyBorder="1" applyAlignment="1" applyProtection="1">
      <alignment horizontal="center" vertical="center"/>
      <protection locked="0"/>
    </xf>
    <xf numFmtId="0" fontId="16" fillId="12" borderId="189" xfId="0" applyFont="1" applyFill="1" applyBorder="1" applyAlignment="1" applyProtection="1">
      <alignment horizontal="center" vertical="center"/>
      <protection locked="0"/>
    </xf>
    <xf numFmtId="0" fontId="16" fillId="12" borderId="153" xfId="0" applyFont="1" applyFill="1" applyBorder="1" applyAlignment="1">
      <alignment horizontal="center" vertical="center"/>
    </xf>
    <xf numFmtId="0" fontId="16" fillId="11" borderId="207" xfId="0" applyFont="1" applyFill="1" applyBorder="1" applyAlignment="1" applyProtection="1">
      <alignment horizontal="center" vertical="center"/>
      <protection locked="0"/>
    </xf>
    <xf numFmtId="178" fontId="3" fillId="11" borderId="189" xfId="0" applyNumberFormat="1" applyFont="1" applyFill="1" applyBorder="1" applyAlignment="1" applyProtection="1">
      <alignment horizontal="center" vertical="center"/>
      <protection locked="0"/>
    </xf>
    <xf numFmtId="178" fontId="3" fillId="12" borderId="189" xfId="0" applyNumberFormat="1" applyFont="1" applyFill="1" applyBorder="1" applyAlignment="1" applyProtection="1">
      <alignment horizontal="center" vertical="center"/>
      <protection locked="0"/>
    </xf>
    <xf numFmtId="0" fontId="175" fillId="11" borderId="189" xfId="0" applyFont="1" applyFill="1" applyBorder="1" applyAlignment="1" applyProtection="1">
      <alignment horizontal="center" vertical="center"/>
      <protection locked="0"/>
    </xf>
    <xf numFmtId="0" fontId="175" fillId="12" borderId="189" xfId="0" applyFont="1" applyFill="1" applyBorder="1" applyAlignment="1" applyProtection="1">
      <alignment horizontal="center" vertical="center"/>
      <protection locked="0"/>
    </xf>
    <xf numFmtId="0" fontId="16" fillId="11" borderId="97" xfId="0" applyFont="1" applyFill="1" applyBorder="1" applyAlignment="1" applyProtection="1">
      <alignment horizontal="center" vertical="center"/>
      <protection locked="0"/>
    </xf>
    <xf numFmtId="0" fontId="16" fillId="12" borderId="97" xfId="0" applyFont="1" applyFill="1" applyBorder="1" applyAlignment="1" applyProtection="1">
      <alignment horizontal="center" vertical="center"/>
      <protection locked="0"/>
    </xf>
    <xf numFmtId="180" fontId="16" fillId="11" borderId="97" xfId="0" applyNumberFormat="1" applyFont="1" applyFill="1" applyBorder="1" applyAlignment="1" applyProtection="1">
      <alignment horizontal="center" vertical="center"/>
      <protection locked="0"/>
    </xf>
    <xf numFmtId="180" fontId="16" fillId="12" borderId="97" xfId="0" applyNumberFormat="1" applyFont="1" applyFill="1" applyBorder="1" applyAlignment="1" applyProtection="1">
      <alignment horizontal="center" vertical="center"/>
      <protection locked="0"/>
    </xf>
    <xf numFmtId="180" fontId="16" fillId="11" borderId="97" xfId="0" applyNumberFormat="1" applyFont="1" applyFill="1" applyBorder="1" applyAlignment="1">
      <alignment horizontal="center" vertical="center"/>
    </xf>
    <xf numFmtId="180" fontId="16" fillId="12" borderId="97" xfId="0" applyNumberFormat="1" applyFont="1" applyFill="1" applyBorder="1" applyAlignment="1">
      <alignment horizontal="center" vertical="center"/>
    </xf>
    <xf numFmtId="180" fontId="16" fillId="12" borderId="36" xfId="0" applyNumberFormat="1" applyFont="1" applyFill="1" applyBorder="1" applyAlignment="1">
      <alignment horizontal="center" vertical="center"/>
    </xf>
    <xf numFmtId="49" fontId="16" fillId="0" borderId="146" xfId="0" applyNumberFormat="1" applyFont="1" applyBorder="1" applyAlignment="1" applyProtection="1">
      <alignment horizontal="center" vertical="center"/>
      <protection locked="0"/>
    </xf>
    <xf numFmtId="49" fontId="16" fillId="0" borderId="97" xfId="0" applyNumberFormat="1" applyFont="1" applyBorder="1" applyAlignment="1" applyProtection="1">
      <alignment horizontal="center" vertical="center"/>
      <protection locked="0"/>
    </xf>
    <xf numFmtId="178" fontId="15" fillId="0" borderId="97" xfId="0" applyNumberFormat="1" applyFont="1" applyBorder="1" applyAlignment="1">
      <alignment horizontal="center" vertical="center"/>
    </xf>
    <xf numFmtId="0" fontId="16" fillId="0" borderId="97" xfId="0" applyFont="1" applyBorder="1" applyAlignment="1" applyProtection="1">
      <alignment horizontal="right" vertical="center"/>
      <protection locked="0"/>
    </xf>
    <xf numFmtId="0" fontId="16" fillId="0" borderId="88" xfId="0" applyFont="1" applyBorder="1" applyAlignment="1" applyProtection="1">
      <alignment horizontal="right" vertical="center"/>
      <protection locked="0"/>
    </xf>
    <xf numFmtId="0" fontId="16" fillId="0" borderId="89" xfId="0" applyFont="1" applyBorder="1" applyAlignment="1" applyProtection="1">
      <alignment vertical="center" wrapText="1"/>
      <protection locked="0"/>
    </xf>
    <xf numFmtId="0" fontId="16" fillId="0" borderId="97" xfId="0" applyFont="1" applyBorder="1" applyAlignment="1" applyProtection="1">
      <alignment vertical="center" wrapText="1"/>
      <protection locked="0"/>
    </xf>
    <xf numFmtId="180" fontId="16" fillId="0" borderId="97" xfId="0" applyNumberFormat="1" applyFont="1" applyBorder="1" applyAlignment="1">
      <alignment horizontal="center" vertical="center"/>
    </xf>
    <xf numFmtId="0" fontId="16" fillId="0" borderId="88" xfId="0" applyFont="1" applyBorder="1" applyAlignment="1">
      <alignment horizontal="center" vertical="center"/>
    </xf>
    <xf numFmtId="0" fontId="16" fillId="0" borderId="206" xfId="0" applyFont="1" applyBorder="1" applyAlignment="1" applyProtection="1">
      <alignment horizontal="center" vertical="center"/>
      <protection locked="0"/>
    </xf>
    <xf numFmtId="178" fontId="3" fillId="0" borderId="97" xfId="0" applyNumberFormat="1" applyFont="1" applyBorder="1" applyAlignment="1" applyProtection="1">
      <alignment horizontal="center" vertical="center"/>
      <protection locked="0"/>
    </xf>
    <xf numFmtId="0" fontId="161" fillId="0" borderId="97" xfId="0" applyFont="1" applyBorder="1" applyAlignment="1" applyProtection="1">
      <alignment horizontal="center" vertical="center"/>
      <protection locked="0"/>
    </xf>
    <xf numFmtId="0" fontId="175" fillId="0" borderId="88" xfId="0" applyFont="1" applyBorder="1" applyAlignment="1" applyProtection="1">
      <alignment horizontal="center" vertical="center"/>
      <protection locked="0"/>
    </xf>
    <xf numFmtId="0" fontId="175" fillId="0" borderId="89" xfId="0" applyFont="1" applyBorder="1" applyAlignment="1" applyProtection="1">
      <alignment horizontal="center" vertical="center"/>
      <protection locked="0"/>
    </xf>
    <xf numFmtId="0" fontId="175" fillId="0" borderId="97" xfId="0" applyFont="1" applyBorder="1" applyAlignment="1" applyProtection="1">
      <alignment horizontal="center" vertical="center"/>
      <protection locked="0"/>
    </xf>
    <xf numFmtId="180" fontId="16" fillId="0" borderId="97" xfId="0" applyNumberFormat="1" applyFont="1" applyBorder="1" applyAlignment="1" applyProtection="1">
      <alignment horizontal="center" vertical="center"/>
      <protection locked="0"/>
    </xf>
    <xf numFmtId="180" fontId="16" fillId="0" borderId="36" xfId="0" applyNumberFormat="1" applyFont="1" applyBorder="1" applyAlignment="1">
      <alignment horizontal="center" vertical="center"/>
    </xf>
    <xf numFmtId="49" fontId="16" fillId="11" borderId="146" xfId="0" applyNumberFormat="1" applyFont="1" applyFill="1" applyBorder="1" applyAlignment="1" applyProtection="1">
      <alignment horizontal="center" vertical="center"/>
      <protection locked="0"/>
    </xf>
    <xf numFmtId="49" fontId="16" fillId="12" borderId="97" xfId="0" applyNumberFormat="1" applyFont="1" applyFill="1" applyBorder="1" applyAlignment="1" applyProtection="1">
      <alignment horizontal="center" vertical="center"/>
      <protection locked="0"/>
    </xf>
    <xf numFmtId="178" fontId="15" fillId="11" borderId="97" xfId="0" applyNumberFormat="1" applyFont="1" applyFill="1" applyBorder="1" applyAlignment="1">
      <alignment horizontal="center" vertical="center"/>
    </xf>
    <xf numFmtId="178" fontId="15" fillId="12" borderId="97" xfId="0" applyNumberFormat="1" applyFont="1" applyFill="1" applyBorder="1" applyAlignment="1">
      <alignment horizontal="center" vertical="center"/>
    </xf>
    <xf numFmtId="0" fontId="16" fillId="11" borderId="97" xfId="0" applyFont="1" applyFill="1" applyBorder="1" applyAlignment="1" applyProtection="1">
      <alignment horizontal="right" vertical="center"/>
      <protection locked="0"/>
    </xf>
    <xf numFmtId="0" fontId="16" fillId="12" borderId="88" xfId="0" applyFont="1" applyFill="1" applyBorder="1" applyAlignment="1" applyProtection="1">
      <alignment horizontal="right" vertical="center"/>
      <protection locked="0"/>
    </xf>
    <xf numFmtId="0" fontId="16" fillId="11" borderId="89" xfId="0" applyFont="1" applyFill="1" applyBorder="1" applyProtection="1">
      <alignment vertical="center"/>
      <protection locked="0"/>
    </xf>
    <xf numFmtId="0" fontId="16" fillId="12" borderId="97" xfId="0" applyFont="1" applyFill="1" applyBorder="1" applyProtection="1">
      <alignment vertical="center"/>
      <protection locked="0"/>
    </xf>
    <xf numFmtId="0" fontId="16" fillId="12" borderId="88" xfId="0" applyFont="1" applyFill="1" applyBorder="1" applyAlignment="1">
      <alignment horizontal="center" vertical="center"/>
    </xf>
    <xf numFmtId="0" fontId="16" fillId="11" borderId="206" xfId="0" applyFont="1" applyFill="1" applyBorder="1" applyAlignment="1" applyProtection="1">
      <alignment horizontal="center" vertical="center"/>
      <protection locked="0"/>
    </xf>
    <xf numFmtId="178" fontId="3" fillId="11" borderId="97" xfId="0" applyNumberFormat="1" applyFont="1" applyFill="1" applyBorder="1" applyAlignment="1" applyProtection="1">
      <alignment horizontal="center" vertical="center"/>
      <protection locked="0"/>
    </xf>
    <xf numFmtId="178" fontId="3" fillId="12" borderId="97" xfId="0" applyNumberFormat="1" applyFont="1" applyFill="1" applyBorder="1" applyAlignment="1" applyProtection="1">
      <alignment horizontal="center" vertical="center"/>
      <protection locked="0"/>
    </xf>
    <xf numFmtId="0" fontId="32" fillId="11" borderId="97" xfId="0" applyFont="1" applyFill="1" applyBorder="1" applyAlignment="1" applyProtection="1">
      <alignment horizontal="right" vertical="center"/>
      <protection locked="0"/>
    </xf>
    <xf numFmtId="0" fontId="32" fillId="12" borderId="88" xfId="0" applyFont="1" applyFill="1" applyBorder="1" applyAlignment="1" applyProtection="1">
      <alignment horizontal="right" vertical="center"/>
      <protection locked="0"/>
    </xf>
    <xf numFmtId="0" fontId="32" fillId="11" borderId="89" xfId="0" applyFont="1" applyFill="1" applyBorder="1" applyAlignment="1" applyProtection="1">
      <alignment horizontal="left" vertical="center"/>
      <protection locked="0"/>
    </xf>
    <xf numFmtId="0" fontId="32" fillId="12" borderId="97" xfId="0" applyFont="1" applyFill="1" applyBorder="1" applyAlignment="1" applyProtection="1">
      <alignment horizontal="left" vertical="center"/>
      <protection locked="0"/>
    </xf>
    <xf numFmtId="0" fontId="32" fillId="11" borderId="97" xfId="0" applyFont="1" applyFill="1" applyBorder="1" applyAlignment="1" applyProtection="1">
      <alignment horizontal="center" vertical="center"/>
      <protection locked="0"/>
    </xf>
    <xf numFmtId="0" fontId="32" fillId="12" borderId="88" xfId="0" applyFont="1" applyFill="1" applyBorder="1" applyAlignment="1" applyProtection="1">
      <alignment horizontal="center" vertical="center"/>
      <protection locked="0"/>
    </xf>
    <xf numFmtId="0" fontId="32" fillId="12" borderId="89" xfId="0" applyFont="1" applyFill="1" applyBorder="1" applyAlignment="1" applyProtection="1">
      <alignment horizontal="center" vertical="center"/>
      <protection locked="0"/>
    </xf>
    <xf numFmtId="0" fontId="32" fillId="12" borderId="97" xfId="0" applyFont="1" applyFill="1" applyBorder="1" applyAlignment="1" applyProtection="1">
      <alignment horizontal="center" vertical="center"/>
      <protection locked="0"/>
    </xf>
    <xf numFmtId="0" fontId="32" fillId="0" borderId="97" xfId="0" applyFont="1" applyBorder="1" applyAlignment="1" applyProtection="1">
      <alignment horizontal="center" vertical="center"/>
      <protection locked="0"/>
    </xf>
    <xf numFmtId="0" fontId="32" fillId="0" borderId="88" xfId="0" applyFont="1" applyBorder="1" applyAlignment="1" applyProtection="1">
      <alignment horizontal="center" vertical="center"/>
      <protection locked="0"/>
    </xf>
    <xf numFmtId="0" fontId="32" fillId="0" borderId="89" xfId="0" applyFont="1" applyBorder="1" applyAlignment="1" applyProtection="1">
      <alignment horizontal="center" vertical="center"/>
      <protection locked="0"/>
    </xf>
    <xf numFmtId="0" fontId="16" fillId="12" borderId="88" xfId="0" applyFont="1" applyFill="1" applyBorder="1" applyAlignment="1" applyProtection="1">
      <alignment horizontal="center" vertical="center"/>
      <protection locked="0"/>
    </xf>
    <xf numFmtId="0" fontId="16" fillId="12" borderId="89" xfId="0" applyFont="1" applyFill="1" applyBorder="1" applyAlignment="1" applyProtection="1">
      <alignment horizontal="center" vertical="center"/>
      <protection locked="0"/>
    </xf>
    <xf numFmtId="0" fontId="16" fillId="0" borderId="88" xfId="0" applyFont="1" applyBorder="1" applyAlignment="1" applyProtection="1">
      <alignment horizontal="center" vertical="center"/>
      <protection locked="0"/>
    </xf>
    <xf numFmtId="0" fontId="16" fillId="0" borderId="89" xfId="0" applyFont="1" applyBorder="1" applyAlignment="1" applyProtection="1">
      <alignment horizontal="center" vertical="center"/>
      <protection locked="0"/>
    </xf>
    <xf numFmtId="0" fontId="13" fillId="0" borderId="97" xfId="0" applyFont="1" applyBorder="1" applyAlignment="1">
      <alignment horizontal="center" vertical="center"/>
    </xf>
    <xf numFmtId="0" fontId="16" fillId="11" borderId="89" xfId="0" applyFont="1" applyFill="1" applyBorder="1" applyAlignment="1" applyProtection="1">
      <alignment vertical="center" wrapText="1"/>
      <protection locked="0"/>
    </xf>
    <xf numFmtId="0" fontId="16" fillId="12" borderId="97" xfId="0" applyFont="1" applyFill="1" applyBorder="1" applyAlignment="1" applyProtection="1">
      <alignment vertical="center" wrapText="1"/>
      <protection locked="0"/>
    </xf>
    <xf numFmtId="0" fontId="16" fillId="0" borderId="89" xfId="0" applyFont="1" applyBorder="1" applyProtection="1">
      <alignment vertical="center"/>
      <protection locked="0"/>
    </xf>
    <xf numFmtId="0" fontId="16" fillId="0" borderId="97" xfId="0" applyFont="1" applyBorder="1" applyProtection="1">
      <alignment vertical="center"/>
      <protection locked="0"/>
    </xf>
    <xf numFmtId="49" fontId="1" fillId="0" borderId="215" xfId="0" applyNumberFormat="1" applyFont="1" applyBorder="1" applyAlignment="1" applyProtection="1">
      <alignment horizontal="center" vertical="center"/>
      <protection locked="0"/>
    </xf>
    <xf numFmtId="49" fontId="1" fillId="0" borderId="216" xfId="0" applyNumberFormat="1" applyFont="1" applyBorder="1" applyAlignment="1" applyProtection="1">
      <alignment horizontal="center" vertical="center"/>
      <protection locked="0"/>
    </xf>
    <xf numFmtId="49" fontId="1" fillId="0" borderId="217" xfId="0" applyNumberFormat="1" applyFont="1" applyBorder="1" applyAlignment="1" applyProtection="1">
      <alignment horizontal="center" vertical="center"/>
      <protection locked="0"/>
    </xf>
    <xf numFmtId="0" fontId="16" fillId="11" borderId="89" xfId="0" applyFont="1" applyFill="1" applyBorder="1" applyAlignment="1" applyProtection="1">
      <alignment horizontal="left" vertical="center"/>
      <protection locked="0"/>
    </xf>
    <xf numFmtId="0" fontId="16" fillId="12" borderId="97" xfId="0" applyFont="1" applyFill="1" applyBorder="1" applyAlignment="1" applyProtection="1">
      <alignment horizontal="left" vertical="center"/>
      <protection locked="0"/>
    </xf>
    <xf numFmtId="49" fontId="1" fillId="0" borderId="153" xfId="0" applyNumberFormat="1" applyFont="1" applyBorder="1" applyAlignment="1" applyProtection="1">
      <alignment horizontal="center" vertical="center"/>
      <protection locked="0"/>
    </xf>
    <xf numFmtId="0" fontId="7" fillId="106" borderId="158" xfId="0" applyFont="1" applyFill="1" applyBorder="1" applyAlignment="1">
      <alignment horizontal="center" vertical="center" wrapText="1"/>
    </xf>
    <xf numFmtId="0" fontId="7" fillId="107" borderId="159" xfId="0" applyFont="1" applyFill="1" applyBorder="1" applyAlignment="1">
      <alignment horizontal="center" vertical="center"/>
    </xf>
    <xf numFmtId="0" fontId="7" fillId="107" borderId="164" xfId="0" applyFont="1" applyFill="1" applyBorder="1" applyAlignment="1">
      <alignment horizontal="center" vertical="center"/>
    </xf>
    <xf numFmtId="0" fontId="10" fillId="11" borderId="214" xfId="0" applyFont="1" applyFill="1" applyBorder="1" applyAlignment="1" applyProtection="1">
      <alignment horizontal="center" vertical="center"/>
      <protection locked="0"/>
    </xf>
    <xf numFmtId="0" fontId="10" fillId="12" borderId="81" xfId="0" applyFont="1" applyFill="1" applyBorder="1" applyAlignment="1" applyProtection="1">
      <alignment horizontal="center" vertical="center"/>
      <protection locked="0"/>
    </xf>
    <xf numFmtId="0" fontId="1" fillId="108" borderId="86" xfId="0" applyFont="1" applyFill="1" applyBorder="1" applyAlignment="1">
      <alignment horizontal="center" vertical="center"/>
    </xf>
    <xf numFmtId="0" fontId="1" fillId="109" borderId="87" xfId="0" applyFont="1" applyFill="1" applyBorder="1" applyAlignment="1">
      <alignment horizontal="center" vertical="center"/>
    </xf>
    <xf numFmtId="0" fontId="1" fillId="108" borderId="88" xfId="0" applyFont="1" applyFill="1" applyBorder="1" applyAlignment="1">
      <alignment horizontal="center" vertical="center"/>
    </xf>
    <xf numFmtId="0" fontId="1" fillId="109" borderId="95" xfId="0" applyFont="1" applyFill="1" applyBorder="1" applyAlignment="1">
      <alignment horizontal="center" vertical="center"/>
    </xf>
    <xf numFmtId="49" fontId="13" fillId="0" borderId="146" xfId="0" applyNumberFormat="1" applyFont="1" applyBorder="1" applyAlignment="1" applyProtection="1">
      <alignment horizontal="center" vertical="center"/>
      <protection locked="0"/>
    </xf>
    <xf numFmtId="49" fontId="13" fillId="0" borderId="97" xfId="0" applyNumberFormat="1" applyFont="1" applyBorder="1" applyAlignment="1" applyProtection="1">
      <alignment horizontal="center" vertical="center"/>
      <protection locked="0"/>
    </xf>
    <xf numFmtId="49" fontId="1" fillId="0" borderId="97" xfId="0" applyNumberFormat="1" applyFont="1" applyBorder="1" applyAlignment="1" applyProtection="1">
      <alignment horizontal="center" vertical="center"/>
      <protection locked="0" hidden="1"/>
    </xf>
    <xf numFmtId="49" fontId="1" fillId="0" borderId="36" xfId="0" applyNumberFormat="1" applyFont="1" applyBorder="1" applyAlignment="1" applyProtection="1">
      <alignment horizontal="center" vertical="center"/>
      <protection locked="0" hidden="1"/>
    </xf>
    <xf numFmtId="0" fontId="7" fillId="96" borderId="144" xfId="0" applyFont="1" applyFill="1" applyBorder="1" applyAlignment="1" applyProtection="1">
      <alignment horizontal="center" vertical="center"/>
      <protection locked="0"/>
    </xf>
    <xf numFmtId="0" fontId="7" fillId="96" borderId="145" xfId="0" applyFont="1" applyFill="1" applyBorder="1" applyAlignment="1" applyProtection="1">
      <alignment horizontal="center" vertical="center"/>
      <protection locked="0"/>
    </xf>
    <xf numFmtId="0" fontId="7" fillId="96" borderId="147" xfId="0" applyFont="1" applyFill="1" applyBorder="1" applyAlignment="1" applyProtection="1">
      <alignment horizontal="center" vertical="center"/>
      <protection locked="0"/>
    </xf>
    <xf numFmtId="0" fontId="16" fillId="0" borderId="89" xfId="0" applyFont="1" applyBorder="1" applyAlignment="1" applyProtection="1">
      <alignment horizontal="left" vertical="center"/>
      <protection locked="0"/>
    </xf>
    <xf numFmtId="0" fontId="16" fillId="0" borderId="97" xfId="0" applyFont="1" applyBorder="1" applyAlignment="1" applyProtection="1">
      <alignment horizontal="left" vertical="center"/>
      <protection locked="0"/>
    </xf>
    <xf numFmtId="0" fontId="1" fillId="10" borderId="146" xfId="0" applyFont="1" applyFill="1" applyBorder="1" applyAlignment="1" applyProtection="1">
      <alignment horizontal="center" vertical="center"/>
      <protection hidden="1"/>
    </xf>
    <xf numFmtId="0" fontId="1" fillId="6" borderId="97" xfId="0" applyFont="1" applyFill="1" applyBorder="1" applyAlignment="1" applyProtection="1">
      <alignment horizontal="center" vertical="center"/>
      <protection hidden="1"/>
    </xf>
    <xf numFmtId="0" fontId="1" fillId="10" borderId="97" xfId="0" applyFont="1" applyFill="1" applyBorder="1" applyProtection="1">
      <alignment vertical="center"/>
      <protection hidden="1"/>
    </xf>
    <xf numFmtId="0" fontId="1" fillId="6" borderId="36" xfId="0" applyFont="1" applyFill="1" applyBorder="1" applyProtection="1">
      <alignment vertical="center"/>
      <protection hidden="1"/>
    </xf>
    <xf numFmtId="0" fontId="16" fillId="11" borderId="97" xfId="0" applyFont="1" applyFill="1" applyBorder="1" applyAlignment="1" applyProtection="1">
      <alignment horizontal="center" vertical="center" wrapText="1"/>
      <protection locked="0"/>
    </xf>
    <xf numFmtId="0" fontId="16" fillId="12" borderId="97" xfId="0" applyFont="1" applyFill="1" applyBorder="1" applyAlignment="1" applyProtection="1">
      <alignment horizontal="center" vertical="center" wrapText="1"/>
      <protection locked="0"/>
    </xf>
    <xf numFmtId="193" fontId="13" fillId="0" borderId="86" xfId="0" applyNumberFormat="1" applyFont="1" applyBorder="1" applyAlignment="1" applyProtection="1">
      <alignment horizontal="center" vertical="center"/>
      <protection locked="0"/>
    </xf>
    <xf numFmtId="193" fontId="13" fillId="0" borderId="87" xfId="0" applyNumberFormat="1" applyFont="1" applyBorder="1" applyAlignment="1" applyProtection="1">
      <alignment horizontal="center" vertical="center"/>
      <protection locked="0"/>
    </xf>
    <xf numFmtId="193" fontId="13" fillId="0" borderId="89" xfId="0" applyNumberFormat="1" applyFont="1" applyBorder="1" applyAlignment="1" applyProtection="1">
      <alignment horizontal="center" vertical="center"/>
      <protection locked="0"/>
    </xf>
    <xf numFmtId="189" fontId="1" fillId="0" borderId="88" xfId="0" applyNumberFormat="1" applyFont="1" applyBorder="1" applyAlignment="1" applyProtection="1">
      <alignment horizontal="center" vertical="center"/>
      <protection locked="0" hidden="1"/>
    </xf>
    <xf numFmtId="189" fontId="1" fillId="0" borderId="87" xfId="0" applyNumberFormat="1" applyFont="1" applyBorder="1" applyAlignment="1" applyProtection="1">
      <alignment horizontal="center" vertical="center"/>
      <protection locked="0" hidden="1"/>
    </xf>
    <xf numFmtId="189" fontId="1" fillId="0" borderId="95" xfId="0" applyNumberFormat="1" applyFont="1" applyBorder="1" applyAlignment="1" applyProtection="1">
      <alignment horizontal="center" vertical="center"/>
      <protection locked="0" hidden="1"/>
    </xf>
    <xf numFmtId="0" fontId="1" fillId="101" borderId="146" xfId="0" applyFont="1" applyFill="1" applyBorder="1" applyAlignment="1">
      <alignment horizontal="center" vertical="center"/>
    </xf>
    <xf numFmtId="0" fontId="1" fillId="58" borderId="97" xfId="0" applyFont="1" applyFill="1" applyBorder="1" applyAlignment="1">
      <alignment horizontal="center" vertical="center"/>
    </xf>
    <xf numFmtId="0" fontId="1" fillId="58" borderId="36" xfId="0" applyFont="1" applyFill="1" applyBorder="1" applyAlignment="1">
      <alignment horizontal="center" vertical="center"/>
    </xf>
    <xf numFmtId="0" fontId="1" fillId="101" borderId="86" xfId="0" applyFont="1" applyFill="1" applyBorder="1" applyAlignment="1" applyProtection="1">
      <alignment horizontal="center" vertical="center"/>
      <protection hidden="1"/>
    </xf>
    <xf numFmtId="0" fontId="1" fillId="58" borderId="87" xfId="0" applyFont="1" applyFill="1" applyBorder="1" applyAlignment="1" applyProtection="1">
      <alignment horizontal="center" vertical="center"/>
      <protection hidden="1"/>
    </xf>
    <xf numFmtId="0" fontId="1" fillId="58" borderId="89" xfId="0" applyFont="1" applyFill="1" applyBorder="1" applyAlignment="1" applyProtection="1">
      <alignment horizontal="center" vertical="center"/>
      <protection hidden="1"/>
    </xf>
    <xf numFmtId="0" fontId="1" fillId="101" borderId="88" xfId="0" applyFont="1" applyFill="1" applyBorder="1" applyAlignment="1" applyProtection="1">
      <alignment horizontal="center" vertical="center"/>
      <protection hidden="1"/>
    </xf>
    <xf numFmtId="0" fontId="1" fillId="58" borderId="95" xfId="0" applyFont="1" applyFill="1" applyBorder="1" applyAlignment="1" applyProtection="1">
      <alignment horizontal="center" vertical="center"/>
      <protection hidden="1"/>
    </xf>
    <xf numFmtId="0" fontId="1" fillId="104" borderId="86" xfId="0" applyFont="1" applyFill="1" applyBorder="1" applyAlignment="1">
      <alignment horizontal="center" vertical="center"/>
    </xf>
    <xf numFmtId="0" fontId="1" fillId="105" borderId="87" xfId="0" applyFont="1" applyFill="1" applyBorder="1" applyAlignment="1">
      <alignment horizontal="center" vertical="center"/>
    </xf>
    <xf numFmtId="0" fontId="1" fillId="104" borderId="88" xfId="0" applyFont="1" applyFill="1" applyBorder="1" applyAlignment="1">
      <alignment horizontal="center" vertical="center"/>
    </xf>
    <xf numFmtId="0" fontId="1" fillId="105" borderId="95" xfId="0" applyFont="1" applyFill="1" applyBorder="1" applyAlignment="1">
      <alignment horizontal="center" vertical="center"/>
    </xf>
    <xf numFmtId="0" fontId="1" fillId="101" borderId="86" xfId="0" applyFont="1" applyFill="1" applyBorder="1" applyAlignment="1" applyProtection="1">
      <alignment horizontal="center" vertical="center" wrapText="1"/>
      <protection hidden="1"/>
    </xf>
    <xf numFmtId="0" fontId="16" fillId="104" borderId="86" xfId="0" applyFont="1" applyFill="1" applyBorder="1" applyAlignment="1" applyProtection="1">
      <alignment horizontal="center" vertical="center" wrapText="1"/>
      <protection hidden="1"/>
    </xf>
    <xf numFmtId="0" fontId="16" fillId="105" borderId="87" xfId="0" applyFont="1" applyFill="1" applyBorder="1" applyAlignment="1" applyProtection="1">
      <alignment horizontal="center" vertical="center"/>
      <protection hidden="1"/>
    </xf>
    <xf numFmtId="0" fontId="16" fillId="105" borderId="95" xfId="0" applyFont="1" applyFill="1" applyBorder="1" applyAlignment="1" applyProtection="1">
      <alignment horizontal="center" vertical="center"/>
      <protection hidden="1"/>
    </xf>
    <xf numFmtId="49" fontId="16" fillId="0" borderId="88" xfId="0" applyNumberFormat="1" applyFont="1" applyBorder="1" applyAlignment="1" applyProtection="1">
      <alignment horizontal="center" vertical="center"/>
      <protection locked="0"/>
    </xf>
    <xf numFmtId="49" fontId="54" fillId="2" borderId="196" xfId="0" applyNumberFormat="1" applyFont="1" applyFill="1" applyBorder="1" applyAlignment="1">
      <alignment horizontal="center" vertical="center"/>
    </xf>
    <xf numFmtId="49" fontId="54" fillId="80" borderId="197" xfId="0" applyNumberFormat="1" applyFont="1" applyFill="1" applyBorder="1" applyAlignment="1">
      <alignment horizontal="center" vertical="center"/>
    </xf>
    <xf numFmtId="49" fontId="13" fillId="0" borderId="86" xfId="0" applyNumberFormat="1" applyFont="1" applyBorder="1" applyAlignment="1" applyProtection="1">
      <alignment horizontal="center" vertical="center"/>
      <protection locked="0"/>
    </xf>
    <xf numFmtId="49" fontId="13" fillId="0" borderId="87" xfId="0" applyNumberFormat="1" applyFont="1" applyBorder="1" applyAlignment="1" applyProtection="1">
      <alignment horizontal="center" vertical="center"/>
      <protection locked="0"/>
    </xf>
    <xf numFmtId="49" fontId="13" fillId="0" borderId="95" xfId="0" applyNumberFormat="1" applyFont="1" applyBorder="1" applyAlignment="1" applyProtection="1">
      <alignment horizontal="center" vertical="center"/>
      <protection locked="0"/>
    </xf>
    <xf numFmtId="49" fontId="1" fillId="0" borderId="86" xfId="0" applyNumberFormat="1" applyFont="1" applyBorder="1" applyAlignment="1" applyProtection="1">
      <alignment horizontal="center" vertical="center"/>
      <protection locked="0" hidden="1"/>
    </xf>
    <xf numFmtId="49" fontId="1" fillId="0" borderId="87" xfId="0" applyNumberFormat="1" applyFont="1" applyBorder="1" applyAlignment="1" applyProtection="1">
      <alignment horizontal="center" vertical="center"/>
      <protection locked="0" hidden="1"/>
    </xf>
    <xf numFmtId="49" fontId="1" fillId="0" borderId="88" xfId="0" applyNumberFormat="1" applyFont="1" applyBorder="1" applyAlignment="1" applyProtection="1">
      <alignment horizontal="center" vertical="center"/>
      <protection locked="0" hidden="1"/>
    </xf>
    <xf numFmtId="49" fontId="1" fillId="0" borderId="95" xfId="0" applyNumberFormat="1" applyFont="1" applyBorder="1" applyAlignment="1" applyProtection="1">
      <alignment horizontal="center" vertical="center"/>
      <protection locked="0" hidden="1"/>
    </xf>
    <xf numFmtId="0" fontId="7" fillId="2" borderId="144" xfId="0" applyFont="1" applyFill="1" applyBorder="1" applyAlignment="1" applyProtection="1">
      <alignment horizontal="center" vertical="center"/>
      <protection locked="0"/>
    </xf>
    <xf numFmtId="0" fontId="7" fillId="80" borderId="145" xfId="0" applyFont="1" applyFill="1" applyBorder="1" applyAlignment="1" applyProtection="1">
      <alignment horizontal="center" vertical="center"/>
      <protection locked="0"/>
    </xf>
    <xf numFmtId="0" fontId="7" fillId="80" borderId="147" xfId="0" applyFont="1" applyFill="1" applyBorder="1" applyAlignment="1" applyProtection="1">
      <alignment horizontal="center" vertical="center"/>
      <protection locked="0"/>
    </xf>
    <xf numFmtId="0" fontId="7" fillId="99" borderId="144" xfId="0" applyFont="1" applyFill="1" applyBorder="1" applyAlignment="1" applyProtection="1">
      <alignment horizontal="center" vertical="center"/>
      <protection hidden="1"/>
    </xf>
    <xf numFmtId="0" fontId="7" fillId="100" borderId="145" xfId="0" applyFont="1" applyFill="1" applyBorder="1" applyAlignment="1" applyProtection="1">
      <alignment horizontal="center" vertical="center"/>
      <protection hidden="1"/>
    </xf>
    <xf numFmtId="0" fontId="7" fillId="100" borderId="147" xfId="0" applyFont="1" applyFill="1" applyBorder="1" applyAlignment="1" applyProtection="1">
      <alignment horizontal="center" vertical="center"/>
      <protection hidden="1"/>
    </xf>
    <xf numFmtId="0" fontId="7" fillId="102" borderId="144" xfId="0" applyFont="1" applyFill="1" applyBorder="1" applyAlignment="1" applyProtection="1">
      <alignment horizontal="center" vertical="center"/>
      <protection hidden="1"/>
    </xf>
    <xf numFmtId="0" fontId="7" fillId="103" borderId="145" xfId="0" applyFont="1" applyFill="1" applyBorder="1" applyAlignment="1" applyProtection="1">
      <alignment horizontal="center" vertical="center"/>
      <protection hidden="1"/>
    </xf>
    <xf numFmtId="0" fontId="7" fillId="103" borderId="147" xfId="0" applyFont="1" applyFill="1" applyBorder="1" applyAlignment="1" applyProtection="1">
      <alignment horizontal="center" vertical="center"/>
      <protection hidden="1"/>
    </xf>
    <xf numFmtId="178" fontId="15" fillId="11" borderId="91" xfId="0" applyNumberFormat="1" applyFont="1" applyFill="1" applyBorder="1" applyAlignment="1">
      <alignment horizontal="center" vertical="center"/>
    </xf>
    <xf numFmtId="178" fontId="15" fillId="12" borderId="91" xfId="0" applyNumberFormat="1" applyFont="1" applyFill="1" applyBorder="1" applyAlignment="1">
      <alignment horizontal="center" vertical="center"/>
    </xf>
    <xf numFmtId="0" fontId="10" fillId="0" borderId="78" xfId="0"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77" fillId="10" borderId="22" xfId="0" applyFont="1" applyFill="1" applyBorder="1" applyAlignment="1">
      <alignment horizontal="center" vertical="center"/>
    </xf>
    <xf numFmtId="0" fontId="177" fillId="6" borderId="25" xfId="0" applyFont="1" applyFill="1" applyBorder="1" applyAlignment="1">
      <alignment horizontal="center" vertical="center"/>
    </xf>
    <xf numFmtId="0" fontId="177" fillId="6" borderId="23" xfId="0" applyFont="1" applyFill="1" applyBorder="1" applyAlignment="1">
      <alignment horizontal="center" vertical="center"/>
    </xf>
    <xf numFmtId="0" fontId="10" fillId="0" borderId="21" xfId="0" applyFont="1" applyBorder="1" applyAlignment="1" applyProtection="1">
      <alignment horizontal="center" vertical="center"/>
      <protection locked="0"/>
    </xf>
    <xf numFmtId="49" fontId="16" fillId="0" borderId="89" xfId="0" applyNumberFormat="1" applyFont="1" applyBorder="1" applyAlignment="1" applyProtection="1">
      <alignment vertical="center" wrapText="1"/>
      <protection locked="0"/>
    </xf>
    <xf numFmtId="49" fontId="16" fillId="0" borderId="97" xfId="0" applyNumberFormat="1" applyFont="1" applyBorder="1" applyAlignment="1" applyProtection="1">
      <alignment vertical="center" wrapText="1"/>
      <protection locked="0"/>
    </xf>
    <xf numFmtId="0" fontId="17" fillId="11" borderId="214" xfId="0" applyFont="1" applyFill="1" applyBorder="1" applyAlignment="1" applyProtection="1">
      <alignment horizontal="center" vertical="center"/>
      <protection locked="0"/>
    </xf>
    <xf numFmtId="0" fontId="10" fillId="11" borderId="84" xfId="0" applyFont="1" applyFill="1" applyBorder="1" applyAlignment="1" applyProtection="1">
      <alignment horizontal="center" vertical="center"/>
      <protection locked="0"/>
    </xf>
    <xf numFmtId="0" fontId="10" fillId="12" borderId="92" xfId="0" applyFont="1" applyFill="1" applyBorder="1" applyAlignment="1" applyProtection="1">
      <alignment horizontal="center" vertical="center"/>
      <protection locked="0"/>
    </xf>
    <xf numFmtId="178" fontId="176" fillId="94" borderId="20" xfId="0" applyNumberFormat="1" applyFont="1" applyFill="1" applyBorder="1" applyAlignment="1">
      <alignment horizontal="center" vertical="center"/>
    </xf>
    <xf numFmtId="178" fontId="176" fillId="95" borderId="0" xfId="0" applyNumberFormat="1" applyFont="1" applyFill="1" applyAlignment="1">
      <alignment horizontal="center" vertical="center"/>
    </xf>
    <xf numFmtId="178" fontId="176" fillId="95" borderId="90" xfId="0" applyNumberFormat="1" applyFont="1" applyFill="1" applyBorder="1" applyAlignment="1">
      <alignment horizontal="center" vertical="center"/>
    </xf>
    <xf numFmtId="178" fontId="176" fillId="95" borderId="20" xfId="0" applyNumberFormat="1" applyFont="1" applyFill="1" applyBorder="1" applyAlignment="1">
      <alignment horizontal="center" vertical="center"/>
    </xf>
    <xf numFmtId="180" fontId="16" fillId="11" borderId="89" xfId="0" applyNumberFormat="1" applyFont="1" applyFill="1" applyBorder="1" applyProtection="1">
      <alignment vertical="center"/>
      <protection locked="0"/>
    </xf>
    <xf numFmtId="180" fontId="16" fillId="12" borderId="97" xfId="0" applyNumberFormat="1" applyFont="1" applyFill="1" applyBorder="1" applyProtection="1">
      <alignment vertical="center"/>
      <protection locked="0"/>
    </xf>
    <xf numFmtId="0" fontId="7" fillId="2" borderId="16" xfId="0" applyFont="1" applyFill="1" applyBorder="1" applyAlignment="1">
      <alignment horizontal="center" vertical="center"/>
    </xf>
    <xf numFmtId="0" fontId="7" fillId="80" borderId="24" xfId="0" applyFont="1" applyFill="1" applyBorder="1" applyAlignment="1">
      <alignment horizontal="center" vertical="center"/>
    </xf>
    <xf numFmtId="0" fontId="7" fillId="2" borderId="24" xfId="0" applyFont="1" applyFill="1" applyBorder="1" applyAlignment="1">
      <alignment horizontal="center" vertical="center"/>
    </xf>
    <xf numFmtId="0" fontId="7" fillId="80" borderId="17" xfId="0" applyFont="1" applyFill="1" applyBorder="1" applyAlignment="1">
      <alignment horizontal="center" vertical="center"/>
    </xf>
    <xf numFmtId="0" fontId="10" fillId="10" borderId="20" xfId="0" applyFont="1" applyFill="1" applyBorder="1" applyAlignment="1">
      <alignment horizontal="center" vertical="center"/>
    </xf>
    <xf numFmtId="0" fontId="10" fillId="6" borderId="0" xfId="0" applyFont="1" applyFill="1" applyAlignment="1">
      <alignment horizontal="center" vertical="center"/>
    </xf>
    <xf numFmtId="0" fontId="16" fillId="44" borderId="97" xfId="0" applyFont="1" applyFill="1" applyBorder="1" applyAlignment="1" applyProtection="1">
      <alignment horizontal="center" vertical="center"/>
      <protection locked="0"/>
    </xf>
    <xf numFmtId="0" fontId="164" fillId="0" borderId="0" xfId="0" applyFont="1" applyAlignment="1">
      <alignment horizontal="center" vertical="center"/>
    </xf>
    <xf numFmtId="0" fontId="54" fillId="80" borderId="160" xfId="0" applyFont="1" applyFill="1" applyBorder="1" applyAlignment="1">
      <alignment horizontal="center" vertical="center"/>
    </xf>
    <xf numFmtId="0" fontId="97" fillId="10" borderId="146" xfId="0" applyFont="1" applyFill="1" applyBorder="1" applyAlignment="1">
      <alignment horizontal="center" vertical="center"/>
    </xf>
    <xf numFmtId="0" fontId="97" fillId="6" borderId="97" xfId="0" applyFont="1" applyFill="1" applyBorder="1" applyAlignment="1">
      <alignment horizontal="center" vertical="center"/>
    </xf>
    <xf numFmtId="0" fontId="16" fillId="6" borderId="88" xfId="0" applyFont="1" applyFill="1" applyBorder="1" applyAlignment="1">
      <alignment horizontal="center" vertical="center"/>
    </xf>
    <xf numFmtId="0" fontId="97" fillId="10" borderId="206" xfId="0" applyFont="1" applyFill="1" applyBorder="1" applyAlignment="1">
      <alignment horizontal="center" vertical="center"/>
    </xf>
    <xf numFmtId="0" fontId="97" fillId="6" borderId="88" xfId="0" applyFont="1" applyFill="1" applyBorder="1" applyAlignment="1">
      <alignment horizontal="center" vertical="center"/>
    </xf>
    <xf numFmtId="0" fontId="17" fillId="11" borderId="98" xfId="0" applyFont="1" applyFill="1" applyBorder="1" applyAlignment="1" applyProtection="1">
      <alignment horizontal="center" vertical="center"/>
      <protection locked="0"/>
    </xf>
    <xf numFmtId="0" fontId="17" fillId="12" borderId="25" xfId="0" applyFont="1" applyFill="1" applyBorder="1" applyAlignment="1" applyProtection="1">
      <alignment horizontal="center" vertical="center"/>
      <protection locked="0"/>
    </xf>
    <xf numFmtId="0" fontId="17" fillId="10" borderId="98" xfId="0" applyFont="1" applyFill="1" applyBorder="1" applyAlignment="1" applyProtection="1">
      <alignment horizontal="center" vertical="center"/>
      <protection locked="0"/>
    </xf>
    <xf numFmtId="0" fontId="17" fillId="6" borderId="205" xfId="0" applyFont="1" applyFill="1" applyBorder="1" applyAlignment="1" applyProtection="1">
      <alignment horizontal="center" vertical="center"/>
      <protection locked="0"/>
    </xf>
    <xf numFmtId="0" fontId="173" fillId="11" borderId="25" xfId="0" applyFont="1" applyFill="1" applyBorder="1" applyAlignment="1">
      <alignment horizontal="center" vertical="center" wrapText="1"/>
    </xf>
    <xf numFmtId="0" fontId="173" fillId="44" borderId="210" xfId="0" applyFont="1" applyFill="1" applyBorder="1" applyAlignment="1">
      <alignment horizontal="center" vertical="center" wrapText="1"/>
    </xf>
    <xf numFmtId="192" fontId="13" fillId="10" borderId="98" xfId="0" applyNumberFormat="1" applyFont="1" applyFill="1" applyBorder="1" applyAlignment="1">
      <alignment horizontal="center" vertical="center"/>
    </xf>
    <xf numFmtId="192" fontId="13" fillId="57" borderId="25" xfId="0" applyNumberFormat="1" applyFont="1" applyFill="1" applyBorder="1" applyAlignment="1">
      <alignment horizontal="center" vertical="center"/>
    </xf>
    <xf numFmtId="0" fontId="16" fillId="11" borderId="0" xfId="0" applyFont="1" applyFill="1" applyAlignment="1">
      <alignment horizontal="center" vertical="center" wrapText="1"/>
    </xf>
    <xf numFmtId="0" fontId="16" fillId="34" borderId="21" xfId="0" applyFont="1" applyFill="1" applyBorder="1" applyAlignment="1">
      <alignment horizontal="center" vertical="center" wrapText="1"/>
    </xf>
    <xf numFmtId="0" fontId="163" fillId="11" borderId="22" xfId="0" applyFont="1" applyFill="1" applyBorder="1" applyAlignment="1">
      <alignment horizontal="center" vertical="center"/>
    </xf>
    <xf numFmtId="0" fontId="163" fillId="12" borderId="25" xfId="0" applyFont="1" applyFill="1" applyBorder="1" applyAlignment="1">
      <alignment horizontal="center" vertical="center"/>
    </xf>
    <xf numFmtId="0" fontId="163" fillId="11" borderId="25" xfId="0" applyFont="1" applyFill="1" applyBorder="1" applyAlignment="1" applyProtection="1">
      <alignment horizontal="center" vertical="center"/>
      <protection locked="0"/>
    </xf>
    <xf numFmtId="0" fontId="163" fillId="12" borderId="96" xfId="0" applyFont="1" applyFill="1" applyBorder="1" applyAlignment="1" applyProtection="1">
      <alignment horizontal="center" vertical="center"/>
      <protection locked="0"/>
    </xf>
    <xf numFmtId="0" fontId="163" fillId="11" borderId="25" xfId="0" applyFont="1" applyFill="1" applyBorder="1" applyAlignment="1">
      <alignment horizontal="center" vertical="center"/>
    </xf>
    <xf numFmtId="0" fontId="13" fillId="11" borderId="25" xfId="0" applyFont="1" applyFill="1" applyBorder="1" applyAlignment="1" applyProtection="1">
      <alignment horizontal="center" vertical="center"/>
      <protection locked="0"/>
    </xf>
    <xf numFmtId="0" fontId="13" fillId="12" borderId="25" xfId="0" applyFont="1" applyFill="1" applyBorder="1" applyAlignment="1" applyProtection="1">
      <alignment horizontal="center" vertical="center"/>
      <protection locked="0"/>
    </xf>
    <xf numFmtId="186" fontId="163" fillId="10" borderId="200" xfId="0" applyNumberFormat="1" applyFont="1" applyFill="1" applyBorder="1" applyAlignment="1">
      <alignment horizontal="center" vertical="center"/>
    </xf>
    <xf numFmtId="186" fontId="163" fillId="6" borderId="25" xfId="0" applyNumberFormat="1" applyFont="1" applyFill="1" applyBorder="1" applyAlignment="1">
      <alignment horizontal="center" vertical="center"/>
    </xf>
    <xf numFmtId="0" fontId="13" fillId="10" borderId="25" xfId="0" applyFont="1" applyFill="1" applyBorder="1" applyAlignment="1" applyProtection="1">
      <alignment horizontal="center" vertical="center"/>
      <protection locked="0"/>
    </xf>
    <xf numFmtId="0" fontId="13" fillId="6" borderId="25" xfId="0" applyFont="1" applyFill="1" applyBorder="1" applyAlignment="1" applyProtection="1">
      <alignment horizontal="center" vertical="center"/>
      <protection locked="0"/>
    </xf>
    <xf numFmtId="12" fontId="163" fillId="10" borderId="98" xfId="0" applyNumberFormat="1" applyFont="1" applyFill="1" applyBorder="1" applyAlignment="1">
      <alignment horizontal="center" vertical="center"/>
    </xf>
    <xf numFmtId="12" fontId="163" fillId="6" borderId="25" xfId="0" applyNumberFormat="1" applyFont="1" applyFill="1" applyBorder="1" applyAlignment="1">
      <alignment horizontal="center" vertical="center"/>
    </xf>
    <xf numFmtId="189" fontId="13" fillId="10" borderId="25" xfId="0" applyNumberFormat="1" applyFont="1" applyFill="1" applyBorder="1" applyAlignment="1" applyProtection="1">
      <alignment horizontal="center" vertical="center"/>
      <protection locked="0"/>
    </xf>
    <xf numFmtId="189" fontId="13" fillId="6" borderId="205" xfId="0" applyNumberFormat="1" applyFont="1" applyFill="1" applyBorder="1" applyAlignment="1" applyProtection="1">
      <alignment horizontal="center" vertical="center"/>
      <protection locked="0"/>
    </xf>
    <xf numFmtId="0" fontId="163" fillId="11" borderId="200" xfId="0" applyFont="1" applyFill="1" applyBorder="1" applyAlignment="1">
      <alignment horizontal="center" vertical="center" wrapText="1"/>
    </xf>
    <xf numFmtId="0" fontId="163" fillId="44" borderId="25" xfId="0" applyFont="1" applyFill="1" applyBorder="1" applyAlignment="1">
      <alignment horizontal="center" vertical="center" wrapText="1"/>
    </xf>
    <xf numFmtId="0" fontId="13" fillId="11" borderId="25" xfId="0" applyFont="1" applyFill="1" applyBorder="1" applyAlignment="1" applyProtection="1">
      <alignment horizontal="center" vertical="center" wrapText="1"/>
      <protection locked="0"/>
    </xf>
    <xf numFmtId="0" fontId="13" fillId="44" borderId="25" xfId="0" applyFont="1" applyFill="1" applyBorder="1" applyAlignment="1" applyProtection="1">
      <alignment horizontal="center" vertical="center" wrapText="1"/>
      <protection locked="0"/>
    </xf>
    <xf numFmtId="0" fontId="13" fillId="44" borderId="210" xfId="0" applyFont="1" applyFill="1" applyBorder="1" applyAlignment="1" applyProtection="1">
      <alignment horizontal="center" vertical="center" wrapText="1"/>
      <protection locked="0"/>
    </xf>
    <xf numFmtId="0" fontId="174" fillId="10" borderId="25" xfId="0" applyFont="1" applyFill="1" applyBorder="1" applyAlignment="1">
      <alignment horizontal="center" vertical="center"/>
    </xf>
    <xf numFmtId="0" fontId="174" fillId="57" borderId="25" xfId="0" applyFont="1" applyFill="1" applyBorder="1" applyAlignment="1">
      <alignment horizontal="center" vertical="center"/>
    </xf>
    <xf numFmtId="0" fontId="174" fillId="10" borderId="25" xfId="0" applyFont="1" applyFill="1" applyBorder="1" applyAlignment="1" applyProtection="1">
      <alignment horizontal="center" vertical="center"/>
      <protection locked="0"/>
    </xf>
    <xf numFmtId="0" fontId="174" fillId="57" borderId="96" xfId="0" applyFont="1" applyFill="1" applyBorder="1" applyAlignment="1" applyProtection="1">
      <alignment horizontal="center" vertical="center"/>
      <protection locked="0"/>
    </xf>
    <xf numFmtId="0" fontId="174" fillId="57" borderId="25" xfId="0" applyFont="1" applyFill="1" applyBorder="1" applyAlignment="1" applyProtection="1">
      <alignment horizontal="center" vertical="center"/>
      <protection locked="0"/>
    </xf>
    <xf numFmtId="0" fontId="163" fillId="11" borderId="200" xfId="0" applyFont="1" applyFill="1" applyBorder="1" applyAlignment="1">
      <alignment horizontal="center" vertical="center"/>
    </xf>
    <xf numFmtId="0" fontId="163" fillId="34" borderId="25" xfId="0" applyFont="1" applyFill="1" applyBorder="1" applyAlignment="1">
      <alignment horizontal="center" vertical="center"/>
    </xf>
    <xf numFmtId="0" fontId="13" fillId="11" borderId="151" xfId="0" applyFont="1" applyFill="1" applyBorder="1" applyAlignment="1" applyProtection="1">
      <alignment horizontal="center" vertical="center"/>
      <protection locked="0"/>
    </xf>
    <xf numFmtId="0" fontId="13" fillId="34" borderId="151" xfId="0" applyFont="1" applyFill="1" applyBorder="1" applyAlignment="1" applyProtection="1">
      <alignment horizontal="center" vertical="center"/>
      <protection locked="0"/>
    </xf>
    <xf numFmtId="0" fontId="13" fillId="34" borderId="152" xfId="0" applyFont="1" applyFill="1" applyBorder="1" applyAlignment="1" applyProtection="1">
      <alignment horizontal="center" vertical="center"/>
      <protection locked="0"/>
    </xf>
    <xf numFmtId="0" fontId="16" fillId="11" borderId="133" xfId="0" applyFont="1" applyFill="1" applyBorder="1" applyAlignment="1">
      <alignment horizontal="center" vertical="center" wrapText="1"/>
    </xf>
    <xf numFmtId="0" fontId="16" fillId="34" borderId="200" xfId="0" applyFont="1" applyFill="1" applyBorder="1" applyAlignment="1">
      <alignment horizontal="center" vertical="center" wrapText="1"/>
    </xf>
    <xf numFmtId="0" fontId="16" fillId="34" borderId="25" xfId="0" applyFont="1" applyFill="1" applyBorder="1" applyAlignment="1">
      <alignment horizontal="center" vertical="center" wrapText="1"/>
    </xf>
    <xf numFmtId="186" fontId="16" fillId="11" borderId="24" xfId="0" applyNumberFormat="1" applyFont="1" applyFill="1" applyBorder="1" applyAlignment="1">
      <alignment horizontal="left" vertical="center" wrapText="1"/>
    </xf>
    <xf numFmtId="186" fontId="16" fillId="12" borderId="24" xfId="0" applyNumberFormat="1" applyFont="1" applyFill="1" applyBorder="1" applyAlignment="1">
      <alignment horizontal="left" vertical="center" wrapText="1"/>
    </xf>
    <xf numFmtId="186" fontId="16" fillId="12" borderId="25" xfId="0" applyNumberFormat="1" applyFont="1" applyFill="1" applyBorder="1" applyAlignment="1">
      <alignment horizontal="left" vertical="center" wrapText="1"/>
    </xf>
    <xf numFmtId="0" fontId="16" fillId="11" borderId="0" xfId="0" applyFont="1" applyFill="1" applyAlignment="1" applyProtection="1">
      <alignment horizontal="right" vertical="center" wrapText="1"/>
      <protection locked="0"/>
    </xf>
    <xf numFmtId="0" fontId="16" fillId="44" borderId="0" xfId="0" applyFont="1" applyFill="1" applyAlignment="1" applyProtection="1">
      <alignment horizontal="right" vertical="center" wrapText="1"/>
      <protection locked="0"/>
    </xf>
    <xf numFmtId="0" fontId="16" fillId="44" borderId="25" xfId="0" applyFont="1" applyFill="1" applyBorder="1" applyAlignment="1" applyProtection="1">
      <alignment horizontal="right" vertical="center" wrapText="1"/>
      <protection locked="0"/>
    </xf>
    <xf numFmtId="182" fontId="16" fillId="11" borderId="24" xfId="0" applyNumberFormat="1" applyFont="1" applyFill="1" applyBorder="1" applyAlignment="1">
      <alignment horizontal="left" vertical="center" wrapText="1"/>
    </xf>
    <xf numFmtId="182" fontId="16" fillId="44" borderId="208" xfId="0" applyNumberFormat="1" applyFont="1" applyFill="1" applyBorder="1" applyAlignment="1">
      <alignment horizontal="left" vertical="center" wrapText="1"/>
    </xf>
    <xf numFmtId="182" fontId="16" fillId="44" borderId="25" xfId="0" applyNumberFormat="1" applyFont="1" applyFill="1" applyBorder="1" applyAlignment="1">
      <alignment horizontal="left" vertical="center" wrapText="1"/>
    </xf>
    <xf numFmtId="182" fontId="16" fillId="44" borderId="96" xfId="0" applyNumberFormat="1" applyFont="1" applyFill="1" applyBorder="1" applyAlignment="1">
      <alignment horizontal="left" vertical="center" wrapText="1"/>
    </xf>
    <xf numFmtId="0" fontId="16" fillId="11" borderId="16" xfId="0" applyFont="1" applyFill="1" applyBorder="1" applyAlignment="1">
      <alignment horizontal="center" vertical="center" wrapText="1"/>
    </xf>
    <xf numFmtId="0" fontId="16" fillId="12" borderId="24" xfId="0" applyFont="1" applyFill="1" applyBorder="1" applyAlignment="1">
      <alignment horizontal="center" vertical="center" wrapText="1"/>
    </xf>
    <xf numFmtId="0" fontId="16" fillId="12" borderId="22" xfId="0" applyFont="1" applyFill="1" applyBorder="1" applyAlignment="1">
      <alignment horizontal="center" vertical="center" wrapText="1"/>
    </xf>
    <xf numFmtId="0" fontId="16" fillId="12" borderId="25" xfId="0" applyFont="1" applyFill="1" applyBorder="1" applyAlignment="1">
      <alignment horizontal="center" vertical="center" wrapText="1"/>
    </xf>
    <xf numFmtId="0" fontId="16" fillId="10" borderId="199" xfId="0" applyFont="1" applyFill="1" applyBorder="1" applyAlignment="1">
      <alignment horizontal="center" vertical="center" wrapText="1"/>
    </xf>
    <xf numFmtId="0" fontId="16" fillId="6" borderId="24" xfId="0" applyFont="1" applyFill="1" applyBorder="1" applyAlignment="1">
      <alignment horizontal="center" vertical="center" wrapText="1"/>
    </xf>
    <xf numFmtId="0" fontId="16" fillId="6" borderId="200" xfId="0" applyFont="1" applyFill="1" applyBorder="1" applyAlignment="1">
      <alignment horizontal="center" vertical="center" wrapText="1"/>
    </xf>
    <xf numFmtId="0" fontId="16" fillId="6" borderId="25" xfId="0" applyFont="1" applyFill="1" applyBorder="1" applyAlignment="1">
      <alignment horizontal="center" vertical="center" wrapText="1"/>
    </xf>
    <xf numFmtId="0" fontId="16" fillId="44" borderId="0" xfId="0" applyFont="1" applyFill="1" applyAlignment="1">
      <alignment horizontal="center" vertical="center" wrapText="1"/>
    </xf>
    <xf numFmtId="0" fontId="16" fillId="44" borderId="200" xfId="0" applyFont="1" applyFill="1" applyBorder="1" applyAlignment="1">
      <alignment horizontal="center" vertical="center" wrapText="1"/>
    </xf>
    <xf numFmtId="0" fontId="16" fillId="44" borderId="25" xfId="0" applyFont="1" applyFill="1" applyBorder="1" applyAlignment="1">
      <alignment horizontal="center" vertical="center" wrapText="1"/>
    </xf>
    <xf numFmtId="0" fontId="16" fillId="10" borderId="24" xfId="0" applyFont="1" applyFill="1" applyBorder="1" applyAlignment="1">
      <alignment horizontal="center" vertical="center" wrapText="1"/>
    </xf>
    <xf numFmtId="0" fontId="16" fillId="57" borderId="24" xfId="0" applyFont="1" applyFill="1" applyBorder="1" applyAlignment="1">
      <alignment horizontal="center" vertical="center" wrapText="1"/>
    </xf>
    <xf numFmtId="0" fontId="16" fillId="57" borderId="0" xfId="0" applyFont="1" applyFill="1" applyAlignment="1">
      <alignment horizontal="center" vertical="center" wrapText="1"/>
    </xf>
    <xf numFmtId="0" fontId="16" fillId="57" borderId="25" xfId="0" applyFont="1" applyFill="1" applyBorder="1" applyAlignment="1">
      <alignment horizontal="center" vertical="center" wrapText="1"/>
    </xf>
    <xf numFmtId="0" fontId="13" fillId="10" borderId="0" xfId="0" applyFont="1" applyFill="1" applyAlignment="1">
      <alignment horizontal="center" vertical="center" wrapText="1"/>
    </xf>
    <xf numFmtId="0" fontId="13" fillId="57" borderId="0" xfId="0" applyFont="1" applyFill="1" applyAlignment="1">
      <alignment horizontal="center" vertical="center" wrapText="1"/>
    </xf>
    <xf numFmtId="0" fontId="13" fillId="57" borderId="25" xfId="0" applyFont="1" applyFill="1" applyBorder="1" applyAlignment="1">
      <alignment horizontal="center" vertical="center" wrapText="1"/>
    </xf>
    <xf numFmtId="0" fontId="16" fillId="11" borderId="188" xfId="0" applyFont="1" applyFill="1" applyBorder="1" applyAlignment="1">
      <alignment horizontal="center" vertical="center"/>
    </xf>
    <xf numFmtId="0" fontId="16" fillId="34" borderId="189" xfId="0" applyFont="1" applyFill="1" applyBorder="1" applyAlignment="1">
      <alignment horizontal="center" vertical="center"/>
    </xf>
    <xf numFmtId="0" fontId="16" fillId="34" borderId="153" xfId="0" applyFont="1" applyFill="1" applyBorder="1" applyAlignment="1" applyProtection="1">
      <alignment horizontal="right" vertical="center"/>
      <protection locked="0"/>
    </xf>
    <xf numFmtId="185" fontId="16" fillId="11" borderId="195" xfId="0" applyNumberFormat="1" applyFont="1" applyFill="1" applyBorder="1" applyAlignment="1" applyProtection="1">
      <alignment horizontal="left" vertical="center"/>
      <protection locked="0"/>
    </xf>
    <xf numFmtId="185" fontId="16" fillId="34" borderId="189" xfId="0" applyNumberFormat="1" applyFont="1" applyFill="1" applyBorder="1" applyAlignment="1" applyProtection="1">
      <alignment horizontal="left" vertical="center"/>
      <protection locked="0"/>
    </xf>
    <xf numFmtId="0" fontId="16" fillId="11" borderId="195" xfId="0" applyFont="1" applyFill="1" applyBorder="1" applyAlignment="1" applyProtection="1">
      <alignment horizontal="left" vertical="center"/>
      <protection locked="0"/>
    </xf>
    <xf numFmtId="0" fontId="16" fillId="34" borderId="189" xfId="0" applyFont="1" applyFill="1" applyBorder="1" applyAlignment="1" applyProtection="1">
      <alignment horizontal="left" vertical="center"/>
      <protection locked="0"/>
    </xf>
    <xf numFmtId="49" fontId="16" fillId="11" borderId="189" xfId="0" applyNumberFormat="1" applyFont="1" applyFill="1" applyBorder="1" applyAlignment="1" applyProtection="1">
      <alignment horizontal="center" vertical="center"/>
      <protection locked="0"/>
    </xf>
    <xf numFmtId="49" fontId="16" fillId="34" borderId="189" xfId="0" applyNumberFormat="1" applyFont="1" applyFill="1" applyBorder="1" applyAlignment="1" applyProtection="1">
      <alignment horizontal="center" vertical="center"/>
      <protection locked="0"/>
    </xf>
    <xf numFmtId="49" fontId="16" fillId="34" borderId="154" xfId="0" applyNumberFormat="1" applyFont="1" applyFill="1" applyBorder="1" applyAlignment="1" applyProtection="1">
      <alignment horizontal="center" vertical="center"/>
      <protection locked="0"/>
    </xf>
    <xf numFmtId="0" fontId="16" fillId="0" borderId="153" xfId="0" applyFont="1" applyBorder="1" applyAlignment="1">
      <alignment horizontal="center" vertical="center"/>
    </xf>
    <xf numFmtId="0" fontId="161" fillId="11" borderId="189" xfId="0" applyFont="1" applyFill="1" applyBorder="1" applyAlignment="1">
      <alignment horizontal="center" vertical="center"/>
    </xf>
    <xf numFmtId="0" fontId="171" fillId="34" borderId="154" xfId="0" applyFont="1" applyFill="1" applyBorder="1" applyAlignment="1">
      <alignment horizontal="center" vertical="center"/>
    </xf>
    <xf numFmtId="0" fontId="120" fillId="0" borderId="0" xfId="0" applyFont="1" applyAlignment="1">
      <alignment horizontal="right"/>
    </xf>
    <xf numFmtId="178" fontId="120" fillId="0" borderId="0" xfId="0" applyNumberFormat="1" applyFont="1" applyAlignment="1">
      <alignment horizontal="left"/>
    </xf>
    <xf numFmtId="187" fontId="165" fillId="0" borderId="0" xfId="0" applyNumberFormat="1" applyFont="1" applyAlignment="1">
      <alignment horizontal="center" vertical="center"/>
    </xf>
    <xf numFmtId="188" fontId="165" fillId="0" borderId="25" xfId="0" applyNumberFormat="1" applyFont="1" applyBorder="1" applyAlignment="1">
      <alignment horizontal="center" vertical="center"/>
    </xf>
    <xf numFmtId="188" fontId="165" fillId="0" borderId="0" xfId="0" applyNumberFormat="1" applyFont="1" applyAlignment="1">
      <alignment horizontal="center" vertical="center"/>
    </xf>
    <xf numFmtId="190" fontId="165" fillId="0" borderId="0" xfId="0" applyNumberFormat="1" applyFont="1" applyAlignment="1">
      <alignment horizontal="center" vertical="center"/>
    </xf>
    <xf numFmtId="190" fontId="165" fillId="0" borderId="25" xfId="0" applyNumberFormat="1" applyFont="1" applyBorder="1" applyAlignment="1">
      <alignment horizontal="center" vertical="center"/>
    </xf>
    <xf numFmtId="191" fontId="165" fillId="0" borderId="25" xfId="0" applyNumberFormat="1" applyFont="1" applyBorder="1" applyAlignment="1">
      <alignment horizontal="center" vertical="center"/>
    </xf>
    <xf numFmtId="191" fontId="165" fillId="0" borderId="0" xfId="0" applyNumberFormat="1" applyFont="1" applyAlignment="1">
      <alignment horizontal="center" vertical="center"/>
    </xf>
    <xf numFmtId="186" fontId="13" fillId="11" borderId="198" xfId="0" applyNumberFormat="1" applyFont="1" applyFill="1" applyBorder="1" applyAlignment="1">
      <alignment horizontal="center" vertical="center" wrapText="1"/>
    </xf>
    <xf numFmtId="186" fontId="13" fillId="12" borderId="24" xfId="0" applyNumberFormat="1" applyFont="1" applyFill="1" applyBorder="1" applyAlignment="1">
      <alignment horizontal="center" vertical="center" wrapText="1"/>
    </xf>
    <xf numFmtId="186" fontId="13" fillId="10" borderId="198" xfId="0" applyNumberFormat="1" applyFont="1" applyFill="1" applyBorder="1" applyAlignment="1">
      <alignment horizontal="center" vertical="center"/>
    </xf>
    <xf numFmtId="186" fontId="13" fillId="6" borderId="138" xfId="0" applyNumberFormat="1" applyFont="1" applyFill="1" applyBorder="1" applyAlignment="1">
      <alignment horizontal="center" vertical="center"/>
    </xf>
    <xf numFmtId="0" fontId="172" fillId="11" borderId="24" xfId="0" applyFont="1" applyFill="1" applyBorder="1" applyAlignment="1">
      <alignment vertical="center" wrapText="1"/>
    </xf>
    <xf numFmtId="0" fontId="172" fillId="44" borderId="209" xfId="0" applyFont="1" applyFill="1" applyBorder="1" applyAlignment="1">
      <alignment vertical="center" wrapText="1"/>
    </xf>
    <xf numFmtId="192" fontId="13" fillId="10" borderId="78" xfId="0" applyNumberFormat="1" applyFont="1" applyFill="1" applyBorder="1" applyAlignment="1">
      <alignment horizontal="center" vertical="center"/>
    </xf>
    <xf numFmtId="192" fontId="13" fillId="57" borderId="0" xfId="0" applyNumberFormat="1" applyFont="1" applyFill="1" applyAlignment="1">
      <alignment horizontal="center" vertical="center"/>
    </xf>
    <xf numFmtId="0" fontId="16" fillId="11" borderId="24" xfId="0" applyFont="1" applyFill="1" applyBorder="1" applyAlignment="1" applyProtection="1">
      <alignment horizontal="center" vertical="center" wrapText="1"/>
      <protection locked="0"/>
    </xf>
    <xf numFmtId="0" fontId="16" fillId="34" borderId="24" xfId="0" applyFont="1" applyFill="1" applyBorder="1" applyAlignment="1" applyProtection="1">
      <alignment horizontal="center" vertical="center" wrapText="1"/>
      <protection locked="0"/>
    </xf>
    <xf numFmtId="0" fontId="16" fillId="34" borderId="17" xfId="0" applyFont="1" applyFill="1" applyBorder="1" applyAlignment="1" applyProtection="1">
      <alignment horizontal="center" vertical="center" wrapText="1"/>
      <protection locked="0"/>
    </xf>
    <xf numFmtId="0" fontId="16" fillId="34" borderId="188" xfId="0" applyFont="1" applyFill="1" applyBorder="1" applyAlignment="1">
      <alignment horizontal="center" vertical="center" wrapText="1"/>
    </xf>
    <xf numFmtId="0" fontId="16" fillId="34" borderId="189" xfId="0" applyFont="1" applyFill="1" applyBorder="1" applyAlignment="1">
      <alignment horizontal="center" vertical="center" wrapText="1"/>
    </xf>
    <xf numFmtId="0" fontId="16" fillId="34" borderId="189" xfId="0" applyFont="1" applyFill="1" applyBorder="1" applyAlignment="1" applyProtection="1">
      <alignment horizontal="center" vertical="center" wrapText="1"/>
      <protection locked="0"/>
    </xf>
    <xf numFmtId="0" fontId="16" fillId="0" borderId="189" xfId="0" applyFont="1" applyBorder="1" applyAlignment="1">
      <alignment horizontal="center" vertical="center" wrapText="1"/>
    </xf>
    <xf numFmtId="0" fontId="16" fillId="0" borderId="189" xfId="0" applyFont="1" applyBorder="1" applyAlignment="1" applyProtection="1">
      <alignment horizontal="center" vertical="center" wrapText="1"/>
      <protection locked="0"/>
    </xf>
    <xf numFmtId="0" fontId="161" fillId="11" borderId="84" xfId="0" applyFont="1" applyFill="1" applyBorder="1" applyAlignment="1">
      <alignment horizontal="center" vertical="center" wrapText="1"/>
    </xf>
    <xf numFmtId="0" fontId="171" fillId="34" borderId="81" xfId="0" applyFont="1" applyFill="1" applyBorder="1" applyAlignment="1">
      <alignment horizontal="center" vertical="center" wrapText="1"/>
    </xf>
    <xf numFmtId="0" fontId="171" fillId="34" borderId="98" xfId="0" applyFont="1" applyFill="1" applyBorder="1" applyAlignment="1">
      <alignment horizontal="center" vertical="center" wrapText="1"/>
    </xf>
    <xf numFmtId="0" fontId="171" fillId="34" borderId="25" xfId="0" applyFont="1" applyFill="1" applyBorder="1" applyAlignment="1">
      <alignment horizontal="center" vertical="center" wrapText="1"/>
    </xf>
    <xf numFmtId="0" fontId="161" fillId="11" borderId="84" xfId="0" applyFont="1" applyFill="1" applyBorder="1" applyAlignment="1" applyProtection="1">
      <alignment horizontal="center" vertical="center"/>
      <protection locked="0"/>
    </xf>
    <xf numFmtId="0" fontId="171" fillId="34" borderId="81" xfId="0" applyFont="1" applyFill="1" applyBorder="1" applyAlignment="1" applyProtection="1">
      <alignment horizontal="center" vertical="center"/>
      <protection locked="0"/>
    </xf>
    <xf numFmtId="0" fontId="171" fillId="34" borderId="98" xfId="0" applyFont="1" applyFill="1" applyBorder="1" applyAlignment="1" applyProtection="1">
      <alignment horizontal="center" vertical="center"/>
      <protection locked="0"/>
    </xf>
    <xf numFmtId="0" fontId="171" fillId="34" borderId="25" xfId="0" applyFont="1" applyFill="1" applyBorder="1" applyAlignment="1" applyProtection="1">
      <alignment horizontal="center" vertical="center"/>
      <protection locked="0"/>
    </xf>
    <xf numFmtId="0" fontId="16" fillId="11" borderId="16" xfId="0" applyFont="1" applyFill="1" applyBorder="1" applyAlignment="1" applyProtection="1">
      <alignment horizontal="center" vertical="center"/>
      <protection locked="0"/>
    </xf>
    <xf numFmtId="0" fontId="16" fillId="34" borderId="24" xfId="0" applyFont="1" applyFill="1" applyBorder="1" applyAlignment="1" applyProtection="1">
      <alignment horizontal="center" vertical="center"/>
      <protection locked="0"/>
    </xf>
    <xf numFmtId="0" fontId="16" fillId="34" borderId="17" xfId="0" applyFont="1" applyFill="1" applyBorder="1" applyAlignment="1" applyProtection="1">
      <alignment horizontal="center" vertical="center"/>
      <protection locked="0"/>
    </xf>
    <xf numFmtId="0" fontId="16" fillId="34" borderId="20" xfId="0" applyFont="1" applyFill="1" applyBorder="1" applyAlignment="1" applyProtection="1">
      <alignment horizontal="center" vertical="center"/>
      <protection locked="0"/>
    </xf>
    <xf numFmtId="0" fontId="16" fillId="34" borderId="0" xfId="0" applyFont="1" applyFill="1" applyAlignment="1" applyProtection="1">
      <alignment horizontal="center" vertical="center"/>
      <protection locked="0"/>
    </xf>
    <xf numFmtId="0" fontId="16" fillId="34" borderId="21" xfId="0" applyFont="1" applyFill="1" applyBorder="1" applyAlignment="1" applyProtection="1">
      <alignment horizontal="center" vertical="center"/>
      <protection locked="0"/>
    </xf>
    <xf numFmtId="0" fontId="16" fillId="34" borderId="22" xfId="0" applyFont="1" applyFill="1" applyBorder="1" applyAlignment="1" applyProtection="1">
      <alignment horizontal="center" vertical="center"/>
      <protection locked="0"/>
    </xf>
    <xf numFmtId="0" fontId="16" fillId="34" borderId="25" xfId="0" applyFont="1" applyFill="1" applyBorder="1" applyAlignment="1" applyProtection="1">
      <alignment horizontal="center" vertical="center"/>
      <protection locked="0"/>
    </xf>
    <xf numFmtId="0" fontId="16" fillId="34" borderId="23" xfId="0" applyFont="1" applyFill="1" applyBorder="1" applyAlignment="1" applyProtection="1">
      <alignment horizontal="center" vertical="center"/>
      <protection locked="0"/>
    </xf>
    <xf numFmtId="0" fontId="16" fillId="0" borderId="191" xfId="0" applyFont="1" applyBorder="1" applyAlignment="1">
      <alignment horizontal="center" vertical="center"/>
    </xf>
    <xf numFmtId="0" fontId="1" fillId="11" borderId="97" xfId="0" applyFont="1" applyFill="1" applyBorder="1" applyAlignment="1" applyProtection="1">
      <alignment horizontal="center" vertical="center"/>
      <protection locked="0"/>
    </xf>
    <xf numFmtId="0" fontId="1" fillId="34" borderId="97" xfId="0" applyFont="1" applyFill="1" applyBorder="1" applyAlignment="1" applyProtection="1">
      <alignment horizontal="center" vertical="center"/>
      <protection locked="0"/>
    </xf>
    <xf numFmtId="0" fontId="16" fillId="34" borderId="97" xfId="0" applyFont="1" applyFill="1" applyBorder="1" applyAlignment="1" applyProtection="1">
      <alignment horizontal="center" vertical="center"/>
      <protection locked="0"/>
    </xf>
    <xf numFmtId="0" fontId="16" fillId="34" borderId="36" xfId="0" applyFont="1" applyFill="1" applyBorder="1" applyAlignment="1" applyProtection="1">
      <alignment horizontal="center" vertical="center"/>
      <protection locked="0"/>
    </xf>
    <xf numFmtId="0" fontId="16" fillId="0" borderId="35" xfId="0" applyFont="1" applyBorder="1" applyAlignment="1">
      <alignment horizontal="center" vertical="center"/>
    </xf>
    <xf numFmtId="0" fontId="16" fillId="11" borderId="191" xfId="0" applyFont="1" applyFill="1" applyBorder="1" applyAlignment="1">
      <alignment horizontal="center" vertical="center"/>
    </xf>
    <xf numFmtId="0" fontId="16" fillId="34" borderId="191" xfId="0" applyFont="1" applyFill="1" applyBorder="1" applyAlignment="1">
      <alignment horizontal="center" vertical="center"/>
    </xf>
    <xf numFmtId="0" fontId="161" fillId="11" borderId="97" xfId="0" applyFont="1" applyFill="1" applyBorder="1" applyAlignment="1">
      <alignment horizontal="center" vertical="center"/>
    </xf>
    <xf numFmtId="0" fontId="171" fillId="34" borderId="36" xfId="0" applyFont="1" applyFill="1" applyBorder="1" applyAlignment="1">
      <alignment horizontal="center" vertical="center"/>
    </xf>
    <xf numFmtId="0" fontId="16" fillId="11" borderId="97" xfId="0" applyFont="1" applyFill="1" applyBorder="1" applyAlignment="1">
      <alignment horizontal="center" vertical="center" wrapText="1"/>
    </xf>
    <xf numFmtId="0" fontId="16" fillId="0" borderId="91" xfId="0" applyFont="1" applyBorder="1" applyAlignment="1">
      <alignment horizontal="center" vertical="center" wrapText="1"/>
    </xf>
    <xf numFmtId="0" fontId="16" fillId="0" borderId="84" xfId="0" applyFont="1" applyBorder="1" applyAlignment="1">
      <alignment horizontal="center" vertical="center" wrapText="1"/>
    </xf>
    <xf numFmtId="0" fontId="16" fillId="0" borderId="91" xfId="0" applyFont="1" applyBorder="1" applyAlignment="1" applyProtection="1">
      <alignment horizontal="center" vertical="center" wrapText="1"/>
      <protection locked="0"/>
    </xf>
    <xf numFmtId="0" fontId="161" fillId="0" borderId="0" xfId="0" applyFont="1" applyAlignment="1">
      <alignment horizontal="center" vertical="center"/>
    </xf>
    <xf numFmtId="0" fontId="162" fillId="0" borderId="0" xfId="0" applyFont="1" applyAlignment="1">
      <alignment horizontal="center" vertical="center"/>
    </xf>
    <xf numFmtId="0" fontId="168" fillId="2" borderId="202" xfId="0" applyFont="1" applyFill="1" applyBorder="1" applyAlignment="1">
      <alignment horizontal="center" vertical="center"/>
    </xf>
    <xf numFmtId="0" fontId="168" fillId="80" borderId="203" xfId="0" applyFont="1" applyFill="1" applyBorder="1" applyAlignment="1">
      <alignment horizontal="center" vertical="center"/>
    </xf>
    <xf numFmtId="178" fontId="169" fillId="2" borderId="203" xfId="0" applyNumberFormat="1" applyFont="1" applyFill="1" applyBorder="1" applyAlignment="1">
      <alignment horizontal="center" vertical="center"/>
    </xf>
    <xf numFmtId="178" fontId="169" fillId="80" borderId="203" xfId="0" applyNumberFormat="1" applyFont="1" applyFill="1" applyBorder="1" applyAlignment="1">
      <alignment horizontal="center" vertical="center"/>
    </xf>
    <xf numFmtId="0" fontId="170" fillId="2" borderId="203" xfId="0" applyFont="1" applyFill="1" applyBorder="1" applyAlignment="1">
      <alignment horizontal="center" vertical="center"/>
    </xf>
    <xf numFmtId="0" fontId="170" fillId="80" borderId="203" xfId="0" applyFont="1" applyFill="1" applyBorder="1" applyAlignment="1">
      <alignment horizontal="center" vertical="center"/>
    </xf>
    <xf numFmtId="0" fontId="168" fillId="2" borderId="203" xfId="0" applyFont="1" applyFill="1" applyBorder="1" applyAlignment="1">
      <alignment horizontal="right" vertical="center"/>
    </xf>
    <xf numFmtId="0" fontId="168" fillId="80" borderId="203" xfId="0" applyFont="1" applyFill="1" applyBorder="1" applyAlignment="1">
      <alignment horizontal="right" vertical="center"/>
    </xf>
    <xf numFmtId="178" fontId="168" fillId="2" borderId="203" xfId="0" applyNumberFormat="1" applyFont="1" applyFill="1" applyBorder="1" applyAlignment="1">
      <alignment horizontal="center" vertical="center"/>
    </xf>
    <xf numFmtId="178" fontId="168" fillId="80" borderId="203" xfId="0" applyNumberFormat="1" applyFont="1" applyFill="1" applyBorder="1" applyAlignment="1">
      <alignment horizontal="center" vertical="center"/>
    </xf>
    <xf numFmtId="178" fontId="168" fillId="80" borderId="211" xfId="0" applyNumberFormat="1" applyFont="1" applyFill="1" applyBorder="1" applyAlignment="1">
      <alignment horizontal="center" vertical="center"/>
    </xf>
    <xf numFmtId="0" fontId="16" fillId="34" borderId="34" xfId="0" applyFont="1" applyFill="1" applyBorder="1" applyAlignment="1">
      <alignment horizontal="center" vertical="center"/>
    </xf>
    <xf numFmtId="0" fontId="16" fillId="34" borderId="36" xfId="0" applyFont="1" applyFill="1" applyBorder="1" applyAlignment="1">
      <alignment horizontal="center" vertical="center"/>
    </xf>
    <xf numFmtId="0" fontId="1" fillId="34" borderId="146" xfId="0" applyFont="1" applyFill="1" applyBorder="1" applyAlignment="1">
      <alignment horizontal="center" vertical="center" wrapText="1"/>
    </xf>
    <xf numFmtId="0" fontId="104" fillId="0" borderId="20" xfId="0" applyFont="1" applyBorder="1" applyAlignment="1">
      <alignment horizontal="center" vertical="center" wrapText="1"/>
    </xf>
    <xf numFmtId="0" fontId="104" fillId="0" borderId="0" xfId="0" applyFont="1" applyAlignment="1">
      <alignment horizontal="center" vertical="center" wrapText="1"/>
    </xf>
    <xf numFmtId="0" fontId="104" fillId="0" borderId="22" xfId="0" applyFont="1" applyBorder="1" applyAlignment="1">
      <alignment horizontal="center" vertical="center" wrapText="1"/>
    </xf>
    <xf numFmtId="0" fontId="104" fillId="0" borderId="25" xfId="0" applyFont="1" applyBorder="1" applyAlignment="1">
      <alignment horizontal="center" vertical="center" wrapText="1"/>
    </xf>
    <xf numFmtId="0" fontId="3" fillId="11" borderId="0" xfId="0" applyFont="1" applyFill="1" applyAlignment="1">
      <alignment horizontal="center" vertical="center"/>
    </xf>
    <xf numFmtId="0" fontId="3" fillId="12" borderId="0" xfId="0" applyFont="1" applyFill="1" applyAlignment="1">
      <alignment horizontal="center" vertical="center"/>
    </xf>
    <xf numFmtId="0" fontId="3" fillId="12" borderId="25" xfId="0" applyFont="1" applyFill="1" applyBorder="1" applyAlignment="1">
      <alignment horizontal="center" vertical="center"/>
    </xf>
    <xf numFmtId="0" fontId="3" fillId="12" borderId="21" xfId="0" applyFont="1" applyFill="1" applyBorder="1" applyAlignment="1">
      <alignment horizontal="center" vertical="center"/>
    </xf>
    <xf numFmtId="0" fontId="3" fillId="12" borderId="23" xfId="0" applyFont="1" applyFill="1" applyBorder="1" applyAlignment="1">
      <alignment horizontal="center" vertical="center"/>
    </xf>
    <xf numFmtId="0" fontId="13" fillId="0" borderId="1" xfId="0" applyFont="1" applyBorder="1" applyAlignment="1" applyProtection="1">
      <alignment horizontal="left" vertical="center" wrapText="1"/>
      <protection locked="0"/>
    </xf>
    <xf numFmtId="0" fontId="3" fillId="0" borderId="0" xfId="0" applyFont="1" applyAlignment="1">
      <alignment horizontal="center" vertical="center"/>
    </xf>
    <xf numFmtId="0" fontId="3" fillId="0" borderId="25" xfId="0" applyFont="1" applyBorder="1" applyAlignment="1">
      <alignment horizontal="center" vertical="center"/>
    </xf>
    <xf numFmtId="0" fontId="104" fillId="11" borderId="0" xfId="0" applyFont="1" applyFill="1" applyAlignment="1">
      <alignment horizontal="center" vertical="center" wrapText="1"/>
    </xf>
    <xf numFmtId="0" fontId="104" fillId="34" borderId="0" xfId="0" applyFont="1" applyFill="1" applyAlignment="1">
      <alignment horizontal="center" vertical="center" wrapText="1"/>
    </xf>
    <xf numFmtId="0" fontId="104" fillId="11" borderId="20" xfId="0" applyFont="1" applyFill="1" applyBorder="1" applyAlignment="1">
      <alignment horizontal="center" vertical="center" wrapText="1"/>
    </xf>
    <xf numFmtId="0" fontId="104" fillId="12" borderId="0" xfId="0" applyFont="1" applyFill="1" applyAlignment="1">
      <alignment horizontal="center" vertical="center" wrapText="1"/>
    </xf>
    <xf numFmtId="0" fontId="104" fillId="12" borderId="20" xfId="0" applyFont="1" applyFill="1" applyBorder="1" applyAlignment="1">
      <alignment horizontal="center" vertical="center" wrapText="1"/>
    </xf>
    <xf numFmtId="0" fontId="109" fillId="11" borderId="0" xfId="0" applyFont="1" applyFill="1" applyAlignment="1">
      <alignment horizontal="center" vertical="center" wrapText="1"/>
    </xf>
    <xf numFmtId="0" fontId="109" fillId="12" borderId="0" xfId="0" applyFont="1" applyFill="1" applyAlignment="1">
      <alignment horizontal="center" vertical="center" wrapText="1"/>
    </xf>
    <xf numFmtId="0" fontId="104" fillId="11" borderId="0" xfId="0" applyFont="1" applyFill="1" applyAlignment="1">
      <alignment horizontal="left" vertical="center" wrapText="1"/>
    </xf>
    <xf numFmtId="0" fontId="104" fillId="12" borderId="0" xfId="0" applyFont="1" applyFill="1" applyAlignment="1">
      <alignment horizontal="left" vertical="center" wrapText="1"/>
    </xf>
    <xf numFmtId="0" fontId="104" fillId="12" borderId="21" xfId="0" applyFont="1" applyFill="1" applyBorder="1" applyAlignment="1">
      <alignment horizontal="left" vertical="center" wrapText="1"/>
    </xf>
    <xf numFmtId="0" fontId="104" fillId="0" borderId="0" xfId="0" applyFont="1" applyAlignment="1">
      <alignment horizontal="left" vertical="center" wrapText="1"/>
    </xf>
    <xf numFmtId="0" fontId="104" fillId="0" borderId="21" xfId="0" applyFont="1" applyBorder="1" applyAlignment="1">
      <alignment horizontal="left" vertical="center" wrapText="1"/>
    </xf>
    <xf numFmtId="0" fontId="104" fillId="34" borderId="0" xfId="0" applyFont="1" applyFill="1" applyAlignment="1">
      <alignment horizontal="left" vertical="center" wrapText="1"/>
    </xf>
    <xf numFmtId="0" fontId="104" fillId="34" borderId="21" xfId="0" applyFont="1" applyFill="1" applyBorder="1" applyAlignment="1">
      <alignment horizontal="left" vertical="center" wrapText="1"/>
    </xf>
    <xf numFmtId="0" fontId="104" fillId="0" borderId="25" xfId="0" applyFont="1" applyBorder="1" applyAlignment="1">
      <alignment horizontal="left" vertical="center" wrapText="1"/>
    </xf>
    <xf numFmtId="0" fontId="104" fillId="0" borderId="23" xfId="0" applyFont="1" applyBorder="1" applyAlignment="1">
      <alignment horizontal="left" vertical="center" wrapText="1"/>
    </xf>
    <xf numFmtId="0" fontId="13" fillId="0" borderId="7" xfId="0" applyFont="1" applyBorder="1" applyAlignment="1" applyProtection="1">
      <alignment horizontal="left" vertical="center" wrapText="1"/>
      <protection locked="0"/>
    </xf>
    <xf numFmtId="0" fontId="13" fillId="0" borderId="8"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3" fillId="0" borderId="9"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0"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29" fillId="0" borderId="16" xfId="0" applyFont="1" applyBorder="1" applyAlignment="1">
      <alignment vertical="center" wrapText="1"/>
    </xf>
    <xf numFmtId="0" fontId="29" fillId="0" borderId="24" xfId="0" applyFont="1" applyBorder="1">
      <alignment vertical="center"/>
    </xf>
    <xf numFmtId="0" fontId="29" fillId="0" borderId="17" xfId="0" applyFont="1" applyBorder="1">
      <alignment vertical="center"/>
    </xf>
    <xf numFmtId="0" fontId="29" fillId="0" borderId="20" xfId="0" applyFont="1" applyBorder="1">
      <alignment vertical="center"/>
    </xf>
    <xf numFmtId="0" fontId="29" fillId="0" borderId="0" xfId="0" applyFont="1">
      <alignment vertical="center"/>
    </xf>
    <xf numFmtId="0" fontId="29" fillId="0" borderId="21" xfId="0" applyFont="1" applyBorder="1">
      <alignment vertical="center"/>
    </xf>
    <xf numFmtId="0" fontId="29" fillId="0" borderId="22" xfId="0" applyFont="1" applyBorder="1">
      <alignment vertical="center"/>
    </xf>
    <xf numFmtId="0" fontId="29" fillId="0" borderId="25" xfId="0" applyFont="1" applyBorder="1">
      <alignment vertical="center"/>
    </xf>
    <xf numFmtId="0" fontId="29" fillId="0" borderId="23" xfId="0" applyFont="1" applyBorder="1">
      <alignment vertical="center"/>
    </xf>
    <xf numFmtId="0" fontId="159" fillId="0" borderId="0" xfId="0" applyFont="1" applyAlignment="1">
      <alignment horizontal="center" vertical="center" wrapText="1"/>
    </xf>
    <xf numFmtId="0" fontId="29" fillId="0" borderId="16" xfId="0" applyFont="1" applyBorder="1" applyAlignment="1">
      <alignment horizontal="left" vertical="center" wrapText="1"/>
    </xf>
    <xf numFmtId="0" fontId="29" fillId="0" borderId="24" xfId="0" applyFont="1" applyBorder="1" applyAlignment="1">
      <alignment horizontal="left" vertical="center" wrapText="1"/>
    </xf>
    <xf numFmtId="0" fontId="29" fillId="0" borderId="17" xfId="0" applyFont="1" applyBorder="1" applyAlignment="1">
      <alignment horizontal="left" vertical="center" wrapText="1"/>
    </xf>
    <xf numFmtId="0" fontId="29" fillId="0" borderId="20" xfId="0" applyFont="1" applyBorder="1" applyAlignment="1">
      <alignment horizontal="left" vertical="center" wrapText="1"/>
    </xf>
    <xf numFmtId="0" fontId="29" fillId="0" borderId="0" xfId="0" applyFont="1" applyAlignment="1">
      <alignment horizontal="left" vertical="center" wrapText="1"/>
    </xf>
    <xf numFmtId="0" fontId="29" fillId="0" borderId="21" xfId="0" applyFont="1" applyBorder="1" applyAlignment="1">
      <alignment horizontal="left" vertical="center" wrapText="1"/>
    </xf>
    <xf numFmtId="0" fontId="29" fillId="0" borderId="22" xfId="0" applyFont="1" applyBorder="1" applyAlignment="1">
      <alignment horizontal="left" vertical="center" wrapText="1"/>
    </xf>
    <xf numFmtId="0" fontId="29" fillId="0" borderId="25" xfId="0" applyFont="1" applyBorder="1" applyAlignment="1">
      <alignment horizontal="left" vertical="center" wrapText="1"/>
    </xf>
    <xf numFmtId="0" fontId="29" fillId="0" borderId="23" xfId="0" applyFont="1" applyBorder="1" applyAlignment="1">
      <alignment horizontal="left" vertical="center" wrapText="1"/>
    </xf>
    <xf numFmtId="0" fontId="121" fillId="11" borderId="16" xfId="0" applyFont="1" applyFill="1" applyBorder="1" applyAlignment="1">
      <alignment horizontal="center" vertical="center"/>
    </xf>
    <xf numFmtId="0" fontId="121" fillId="34" borderId="24" xfId="0" applyFont="1" applyFill="1" applyBorder="1" applyAlignment="1">
      <alignment horizontal="center" vertical="center"/>
    </xf>
    <xf numFmtId="0" fontId="121" fillId="34" borderId="17" xfId="0" applyFont="1" applyFill="1" applyBorder="1" applyAlignment="1">
      <alignment horizontal="center" vertical="center"/>
    </xf>
    <xf numFmtId="0" fontId="121" fillId="34" borderId="22" xfId="0" applyFont="1" applyFill="1" applyBorder="1" applyAlignment="1">
      <alignment horizontal="center" vertical="center"/>
    </xf>
    <xf numFmtId="0" fontId="121" fillId="34" borderId="25" xfId="0" applyFont="1" applyFill="1" applyBorder="1" applyAlignment="1">
      <alignment horizontal="center" vertical="center"/>
    </xf>
    <xf numFmtId="0" fontId="121" fillId="34" borderId="23" xfId="0" applyFont="1" applyFill="1" applyBorder="1" applyAlignment="1">
      <alignment horizontal="center" vertical="center"/>
    </xf>
    <xf numFmtId="0" fontId="29" fillId="0" borderId="24"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29" fillId="0" borderId="21" xfId="0" applyFont="1" applyBorder="1" applyAlignment="1">
      <alignment vertical="center" wrapText="1"/>
    </xf>
    <xf numFmtId="0" fontId="29" fillId="0" borderId="22" xfId="0" applyFont="1" applyBorder="1" applyAlignment="1">
      <alignment vertical="center" wrapText="1"/>
    </xf>
    <xf numFmtId="0" fontId="29" fillId="0" borderId="25" xfId="0" applyFont="1" applyBorder="1" applyAlignment="1">
      <alignment vertical="center" wrapText="1"/>
    </xf>
    <xf numFmtId="0" fontId="29" fillId="0" borderId="23" xfId="0" applyFont="1" applyBorder="1" applyAlignment="1">
      <alignment vertical="center" wrapText="1"/>
    </xf>
    <xf numFmtId="0" fontId="160" fillId="2" borderId="20" xfId="0" applyFont="1" applyFill="1" applyBorder="1" applyAlignment="1">
      <alignment vertical="center" wrapText="1"/>
    </xf>
    <xf numFmtId="0" fontId="160" fillId="54" borderId="0" xfId="0" applyFont="1" applyFill="1" applyAlignment="1">
      <alignment vertical="center" wrapText="1"/>
    </xf>
    <xf numFmtId="0" fontId="160" fillId="2" borderId="0" xfId="0" applyFont="1" applyFill="1" applyAlignment="1">
      <alignment horizontal="center" vertical="center" wrapText="1"/>
    </xf>
    <xf numFmtId="0" fontId="160" fillId="54" borderId="0" xfId="0" applyFont="1" applyFill="1" applyAlignment="1">
      <alignment horizontal="center" vertical="center" wrapText="1"/>
    </xf>
    <xf numFmtId="0" fontId="160" fillId="2" borderId="0" xfId="0" applyFont="1" applyFill="1" applyAlignment="1">
      <alignment horizontal="left" vertical="center" wrapText="1"/>
    </xf>
    <xf numFmtId="0" fontId="160" fillId="54" borderId="0" xfId="0" applyFont="1" applyFill="1" applyAlignment="1">
      <alignment horizontal="left" vertical="center" wrapText="1"/>
    </xf>
    <xf numFmtId="0" fontId="160" fillId="54" borderId="21" xfId="0" applyFont="1" applyFill="1" applyBorder="1" applyAlignment="1">
      <alignment horizontal="left" vertical="center" wrapText="1"/>
    </xf>
    <xf numFmtId="0" fontId="13" fillId="0" borderId="166" xfId="0" applyFont="1" applyBorder="1" applyAlignment="1">
      <alignment horizontal="center" vertical="center"/>
    </xf>
    <xf numFmtId="0" fontId="13" fillId="0" borderId="166" xfId="0" applyFont="1" applyBorder="1" applyAlignment="1">
      <alignment horizontal="left" vertical="center"/>
    </xf>
    <xf numFmtId="0" fontId="13" fillId="0" borderId="194" xfId="0" applyFont="1" applyBorder="1" applyAlignment="1">
      <alignment horizontal="left" vertical="center"/>
    </xf>
    <xf numFmtId="0" fontId="159" fillId="0" borderId="166" xfId="0" applyFont="1" applyBorder="1" applyAlignment="1">
      <alignment horizontal="center" vertical="center"/>
    </xf>
    <xf numFmtId="0" fontId="13" fillId="0" borderId="166" xfId="0" applyFont="1" applyBorder="1">
      <alignment vertical="center"/>
    </xf>
    <xf numFmtId="0" fontId="13" fillId="0" borderId="172" xfId="0" applyFont="1" applyBorder="1">
      <alignment vertical="center"/>
    </xf>
    <xf numFmtId="0" fontId="13" fillId="11" borderId="0" xfId="0" applyFont="1" applyFill="1" applyAlignment="1">
      <alignment horizontal="center" vertical="center"/>
    </xf>
    <xf numFmtId="0" fontId="13" fillId="12" borderId="0" xfId="0" applyFont="1" applyFill="1" applyAlignment="1">
      <alignment horizontal="center" vertical="center"/>
    </xf>
    <xf numFmtId="0" fontId="3" fillId="0" borderId="24" xfId="0" applyFont="1" applyBorder="1" applyAlignment="1">
      <alignment horizontal="right" vertical="center"/>
    </xf>
    <xf numFmtId="0" fontId="3" fillId="0" borderId="0" xfId="0" applyFont="1" applyAlignment="1">
      <alignment horizontal="right" vertical="center"/>
    </xf>
    <xf numFmtId="182" fontId="3" fillId="0" borderId="24" xfId="0" applyNumberFormat="1" applyFont="1" applyBorder="1" applyAlignment="1">
      <alignment horizontal="left" vertical="center"/>
    </xf>
    <xf numFmtId="182" fontId="3" fillId="0" borderId="0" xfId="0" applyNumberFormat="1" applyFont="1" applyAlignment="1">
      <alignment horizontal="left" vertical="center"/>
    </xf>
    <xf numFmtId="0" fontId="3" fillId="5" borderId="0" xfId="0" applyFont="1" applyFill="1" applyAlignment="1">
      <alignment horizontal="center" vertical="center"/>
    </xf>
    <xf numFmtId="0" fontId="3" fillId="6" borderId="0" xfId="0" applyFont="1" applyFill="1" applyAlignment="1">
      <alignment horizontal="center" vertical="center"/>
    </xf>
    <xf numFmtId="0" fontId="16" fillId="11" borderId="24" xfId="0" applyFont="1" applyFill="1" applyBorder="1" applyAlignment="1">
      <alignment horizontal="center" vertical="center"/>
    </xf>
    <xf numFmtId="0" fontId="16" fillId="12" borderId="0" xfId="0" applyFont="1" applyFill="1" applyAlignment="1">
      <alignment horizontal="center" vertical="center"/>
    </xf>
    <xf numFmtId="178" fontId="3" fillId="5" borderId="0" xfId="0" applyNumberFormat="1" applyFont="1" applyFill="1" applyAlignment="1">
      <alignment horizontal="center" vertical="center"/>
    </xf>
    <xf numFmtId="178" fontId="3" fillId="6" borderId="0" xfId="0" applyNumberFormat="1" applyFont="1" applyFill="1" applyAlignment="1">
      <alignment horizontal="center" vertical="center"/>
    </xf>
    <xf numFmtId="178" fontId="3" fillId="11" borderId="0" xfId="0" applyNumberFormat="1" applyFont="1" applyFill="1" applyAlignment="1">
      <alignment horizontal="center" vertical="center"/>
    </xf>
    <xf numFmtId="178" fontId="3" fillId="12" borderId="25" xfId="0" applyNumberFormat="1" applyFont="1" applyFill="1" applyBorder="1" applyAlignment="1">
      <alignment horizontal="center" vertical="center"/>
    </xf>
    <xf numFmtId="0" fontId="16" fillId="0" borderId="20" xfId="0" applyFont="1" applyBorder="1" applyAlignment="1">
      <alignment horizontal="center" vertical="center"/>
    </xf>
    <xf numFmtId="0" fontId="16" fillId="0" borderId="22" xfId="0" applyFont="1" applyBorder="1" applyAlignment="1">
      <alignment horizontal="center" vertical="center"/>
    </xf>
    <xf numFmtId="0" fontId="3" fillId="11" borderId="24" xfId="0" applyFont="1" applyFill="1" applyBorder="1" applyAlignment="1">
      <alignment horizontal="center" vertical="center"/>
    </xf>
    <xf numFmtId="0" fontId="3" fillId="12" borderId="17" xfId="0" applyFont="1" applyFill="1" applyBorder="1" applyAlignment="1">
      <alignment horizontal="center" vertical="center"/>
    </xf>
    <xf numFmtId="178" fontId="3" fillId="12" borderId="0" xfId="0" applyNumberFormat="1" applyFont="1" applyFill="1" applyAlignment="1">
      <alignment horizontal="center" vertical="center"/>
    </xf>
    <xf numFmtId="178" fontId="97" fillId="11" borderId="20" xfId="0" applyNumberFormat="1" applyFont="1" applyFill="1" applyBorder="1" applyAlignment="1">
      <alignment horizontal="center" vertical="center"/>
    </xf>
    <xf numFmtId="178" fontId="97" fillId="12" borderId="0" xfId="0" applyNumberFormat="1" applyFont="1" applyFill="1" applyAlignment="1">
      <alignment horizontal="center" vertical="center"/>
    </xf>
    <xf numFmtId="178" fontId="3" fillId="11" borderId="20" xfId="0" applyNumberFormat="1" applyFont="1" applyFill="1" applyBorder="1" applyAlignment="1">
      <alignment horizontal="center" vertical="center"/>
    </xf>
    <xf numFmtId="49" fontId="16" fillId="5" borderId="20" xfId="0" applyNumberFormat="1" applyFont="1" applyFill="1" applyBorder="1" applyAlignment="1">
      <alignment horizontal="center" vertical="top" wrapText="1"/>
    </xf>
    <xf numFmtId="49" fontId="16" fillId="6" borderId="0" xfId="0" applyNumberFormat="1" applyFont="1" applyFill="1" applyAlignment="1">
      <alignment horizontal="center" vertical="top" wrapText="1"/>
    </xf>
    <xf numFmtId="0" fontId="3" fillId="0" borderId="16" xfId="0" applyFont="1" applyBorder="1" applyAlignment="1">
      <alignment horizontal="center" vertical="center"/>
    </xf>
    <xf numFmtId="0" fontId="3" fillId="0" borderId="20" xfId="0" applyFont="1" applyBorder="1" applyAlignment="1">
      <alignment horizontal="center" vertical="center"/>
    </xf>
    <xf numFmtId="0" fontId="3" fillId="0" borderId="22" xfId="0" applyFont="1" applyBorder="1" applyAlignment="1">
      <alignment horizontal="center" vertical="center"/>
    </xf>
    <xf numFmtId="178" fontId="3" fillId="6" borderId="25" xfId="0" applyNumberFormat="1" applyFont="1" applyFill="1" applyBorder="1" applyAlignment="1">
      <alignment horizontal="center" vertical="center"/>
    </xf>
    <xf numFmtId="0" fontId="3" fillId="11" borderId="24" xfId="0" applyFont="1" applyFill="1" applyBorder="1" applyAlignment="1">
      <alignment horizontal="right" vertical="center"/>
    </xf>
    <xf numFmtId="0" fontId="3" fillId="12" borderId="0" xfId="0" applyFont="1" applyFill="1" applyAlignment="1">
      <alignment horizontal="right" vertical="center"/>
    </xf>
    <xf numFmtId="182" fontId="3" fillId="11" borderId="24" xfId="0" applyNumberFormat="1" applyFont="1" applyFill="1" applyBorder="1" applyAlignment="1">
      <alignment horizontal="left" vertical="center"/>
    </xf>
    <xf numFmtId="182" fontId="3" fillId="12" borderId="0" xfId="0" applyNumberFormat="1" applyFont="1" applyFill="1" applyAlignment="1">
      <alignment horizontal="left" vertical="center"/>
    </xf>
    <xf numFmtId="0" fontId="3" fillId="6" borderId="25" xfId="0" applyFont="1" applyFill="1" applyBorder="1" applyAlignment="1">
      <alignment horizontal="center" vertical="center"/>
    </xf>
    <xf numFmtId="0" fontId="3" fillId="0" borderId="24" xfId="0" applyFont="1" applyBorder="1" applyAlignment="1">
      <alignment horizontal="center" vertical="center"/>
    </xf>
    <xf numFmtId="0" fontId="16" fillId="0" borderId="193" xfId="0" applyFont="1" applyBorder="1" applyAlignment="1">
      <alignment horizontal="center"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4" xfId="0" applyFont="1" applyBorder="1">
      <alignment vertical="center"/>
    </xf>
    <xf numFmtId="0" fontId="13" fillId="11" borderId="173" xfId="0" applyFont="1" applyFill="1" applyBorder="1" applyAlignment="1">
      <alignment horizontal="center" vertical="center"/>
    </xf>
    <xf numFmtId="0" fontId="13" fillId="11" borderId="0" xfId="0" applyFont="1" applyFill="1">
      <alignment vertical="center"/>
    </xf>
    <xf numFmtId="0" fontId="13" fillId="12" borderId="0" xfId="0" applyFont="1" applyFill="1">
      <alignment vertical="center"/>
    </xf>
    <xf numFmtId="0" fontId="13" fillId="12" borderId="14" xfId="0" applyFont="1" applyFill="1" applyBorder="1">
      <alignment vertical="center"/>
    </xf>
    <xf numFmtId="0" fontId="16" fillId="11" borderId="173" xfId="0" applyFont="1" applyFill="1" applyBorder="1" applyAlignment="1">
      <alignment horizontal="center" vertical="center"/>
    </xf>
    <xf numFmtId="0" fontId="16" fillId="11" borderId="0" xfId="0" applyFont="1" applyFill="1" applyAlignment="1">
      <alignment horizontal="center" vertical="center"/>
    </xf>
    <xf numFmtId="0" fontId="16" fillId="11" borderId="14" xfId="0" applyFont="1" applyFill="1" applyBorder="1">
      <alignment vertical="center"/>
    </xf>
    <xf numFmtId="0" fontId="16" fillId="12" borderId="14" xfId="0" applyFont="1" applyFill="1" applyBorder="1">
      <alignment vertical="center"/>
    </xf>
    <xf numFmtId="0" fontId="16" fillId="0" borderId="173" xfId="0" applyFont="1" applyBorder="1" applyAlignment="1">
      <alignment horizontal="center" vertical="center"/>
    </xf>
    <xf numFmtId="0" fontId="16" fillId="0" borderId="0" xfId="0" applyFont="1">
      <alignment vertical="center"/>
    </xf>
    <xf numFmtId="0" fontId="16" fillId="0" borderId="14" xfId="0" applyFont="1" applyBorder="1">
      <alignment vertical="center"/>
    </xf>
    <xf numFmtId="178" fontId="16" fillId="11" borderId="98" xfId="0" applyNumberFormat="1" applyFont="1" applyFill="1" applyBorder="1" applyAlignment="1">
      <alignment horizontal="center" vertical="center"/>
    </xf>
    <xf numFmtId="178" fontId="16" fillId="12" borderId="25" xfId="0" applyNumberFormat="1" applyFont="1" applyFill="1" applyBorder="1" applyAlignment="1">
      <alignment horizontal="center" vertical="center"/>
    </xf>
    <xf numFmtId="178" fontId="16" fillId="12" borderId="96" xfId="0" applyNumberFormat="1" applyFont="1" applyFill="1" applyBorder="1" applyAlignment="1">
      <alignment horizontal="center" vertical="center"/>
    </xf>
    <xf numFmtId="0" fontId="3" fillId="11" borderId="20" xfId="0" applyFont="1" applyFill="1" applyBorder="1" applyAlignment="1">
      <alignment horizontal="center" vertical="center"/>
    </xf>
    <xf numFmtId="0" fontId="3" fillId="12" borderId="20" xfId="0" applyFont="1" applyFill="1" applyBorder="1" applyAlignment="1">
      <alignment horizontal="center" vertical="center"/>
    </xf>
    <xf numFmtId="0" fontId="3" fillId="5" borderId="20" xfId="0" applyFont="1" applyFill="1" applyBorder="1" applyAlignment="1">
      <alignment horizontal="center" vertical="center"/>
    </xf>
    <xf numFmtId="0" fontId="3" fillId="6" borderId="22" xfId="0" applyFont="1" applyFill="1" applyBorder="1" applyAlignment="1">
      <alignment horizontal="center" vertical="center"/>
    </xf>
    <xf numFmtId="0" fontId="13" fillId="11" borderId="0" xfId="0" applyFont="1" applyFill="1" applyAlignment="1">
      <alignment horizontal="left" vertical="center"/>
    </xf>
    <xf numFmtId="0" fontId="13" fillId="12" borderId="0" xfId="0" applyFont="1" applyFill="1" applyAlignment="1">
      <alignment horizontal="left" vertical="center"/>
    </xf>
    <xf numFmtId="0" fontId="13" fillId="12" borderId="14" xfId="0" applyFont="1" applyFill="1" applyBorder="1" applyAlignment="1">
      <alignment horizontal="left" vertical="center"/>
    </xf>
    <xf numFmtId="0" fontId="13" fillId="12" borderId="171" xfId="0" applyFont="1" applyFill="1" applyBorder="1">
      <alignment vertical="center"/>
    </xf>
    <xf numFmtId="0" fontId="13" fillId="0" borderId="173" xfId="0" applyFont="1" applyBorder="1" applyAlignment="1">
      <alignment horizontal="center" vertical="center"/>
    </xf>
    <xf numFmtId="0" fontId="13" fillId="0" borderId="0" xfId="0" applyFont="1" applyAlignment="1">
      <alignment horizontal="center" vertical="center"/>
    </xf>
    <xf numFmtId="0" fontId="13" fillId="0" borderId="0" xfId="0" applyFont="1">
      <alignment vertical="center"/>
    </xf>
    <xf numFmtId="0" fontId="13" fillId="0" borderId="14" xfId="0" applyFont="1" applyBorder="1">
      <alignment vertical="center"/>
    </xf>
    <xf numFmtId="0" fontId="13" fillId="0" borderId="0" xfId="0" applyFont="1" applyAlignment="1">
      <alignment horizontal="left" vertical="center"/>
    </xf>
    <xf numFmtId="0" fontId="13" fillId="0" borderId="14" xfId="0" applyFont="1" applyBorder="1" applyAlignment="1">
      <alignment horizontal="left" vertical="center"/>
    </xf>
    <xf numFmtId="0" fontId="16" fillId="0" borderId="171" xfId="0" applyFont="1" applyBorder="1">
      <alignment vertical="center"/>
    </xf>
    <xf numFmtId="0" fontId="17" fillId="11" borderId="0" xfId="0" applyFont="1" applyFill="1">
      <alignment vertical="center"/>
    </xf>
    <xf numFmtId="0" fontId="17" fillId="12" borderId="0" xfId="0" applyFont="1" applyFill="1">
      <alignment vertical="center"/>
    </xf>
    <xf numFmtId="0" fontId="17" fillId="12" borderId="171" xfId="0" applyFont="1" applyFill="1" applyBorder="1">
      <alignment vertical="center"/>
    </xf>
    <xf numFmtId="0" fontId="16" fillId="0" borderId="171" xfId="0" applyFont="1" applyBorder="1" applyAlignment="1">
      <alignment horizontal="left" vertical="center"/>
    </xf>
    <xf numFmtId="0" fontId="16" fillId="0" borderId="14" xfId="0" applyFont="1" applyBorder="1" applyAlignment="1">
      <alignment horizontal="left" vertical="center"/>
    </xf>
    <xf numFmtId="0" fontId="16" fillId="0" borderId="171" xfId="0" applyFont="1" applyBorder="1" applyAlignment="1">
      <alignment horizontal="center" vertical="center"/>
    </xf>
    <xf numFmtId="0" fontId="16" fillId="11" borderId="0" xfId="0" applyFont="1" applyFill="1">
      <alignment vertical="center"/>
    </xf>
    <xf numFmtId="0" fontId="16" fillId="12" borderId="0" xfId="0" applyFont="1" applyFill="1">
      <alignment vertical="center"/>
    </xf>
    <xf numFmtId="0" fontId="16" fillId="11" borderId="0" xfId="0" applyFont="1" applyFill="1" applyAlignment="1">
      <alignment horizontal="left" vertical="center"/>
    </xf>
    <xf numFmtId="0" fontId="16" fillId="12" borderId="0" xfId="0" applyFont="1" applyFill="1" applyAlignment="1">
      <alignment horizontal="left" vertical="center"/>
    </xf>
    <xf numFmtId="0" fontId="16" fillId="12" borderId="14" xfId="0" applyFont="1" applyFill="1" applyBorder="1" applyAlignment="1">
      <alignment horizontal="left" vertical="center"/>
    </xf>
    <xf numFmtId="0" fontId="159" fillId="11" borderId="0" xfId="0" applyFont="1" applyFill="1" applyAlignment="1">
      <alignment horizontal="center" vertical="center"/>
    </xf>
    <xf numFmtId="0" fontId="159" fillId="12" borderId="0" xfId="0" applyFont="1" applyFill="1" applyAlignment="1">
      <alignment horizontal="center" vertical="center"/>
    </xf>
    <xf numFmtId="0" fontId="16" fillId="12" borderId="171" xfId="0" applyFont="1" applyFill="1" applyBorder="1" applyAlignment="1">
      <alignment horizontal="center" vertical="center"/>
    </xf>
    <xf numFmtId="0" fontId="13" fillId="0" borderId="171" xfId="0" applyFont="1" applyBorder="1" applyAlignment="1">
      <alignment horizontal="left" vertical="center"/>
    </xf>
    <xf numFmtId="0" fontId="54" fillId="2" borderId="1" xfId="0" applyFont="1" applyFill="1" applyBorder="1" applyAlignment="1">
      <alignment horizontal="center" vertical="center"/>
    </xf>
    <xf numFmtId="0" fontId="54" fillId="81"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6" borderId="1" xfId="0" applyFont="1" applyFill="1" applyBorder="1" applyAlignment="1">
      <alignment horizontal="center" vertical="center"/>
    </xf>
    <xf numFmtId="0" fontId="155" fillId="2" borderId="1" xfId="0" applyFont="1" applyFill="1" applyBorder="1" applyAlignment="1">
      <alignment horizontal="center" vertical="center"/>
    </xf>
    <xf numFmtId="0" fontId="156" fillId="81" borderId="1" xfId="0" applyFont="1" applyFill="1" applyBorder="1" applyAlignment="1">
      <alignment horizontal="center" vertical="center"/>
    </xf>
    <xf numFmtId="0" fontId="29" fillId="7" borderId="9" xfId="0" applyFont="1" applyFill="1" applyBorder="1" applyAlignment="1">
      <alignment horizontal="right" vertical="center" wrapText="1"/>
    </xf>
    <xf numFmtId="0" fontId="29" fillId="7" borderId="0" xfId="0" applyFont="1" applyFill="1" applyAlignment="1">
      <alignment horizontal="right" vertical="center" wrapText="1"/>
    </xf>
    <xf numFmtId="0" fontId="154" fillId="0" borderId="0" xfId="0" applyFont="1">
      <alignment vertical="center"/>
    </xf>
    <xf numFmtId="0" fontId="16" fillId="7" borderId="0" xfId="0" applyFont="1" applyFill="1" applyAlignment="1">
      <alignment horizontal="left" vertical="center"/>
    </xf>
    <xf numFmtId="0" fontId="54" fillId="2" borderId="190" xfId="0" applyFont="1" applyFill="1" applyBorder="1" applyAlignment="1">
      <alignment horizontal="center" vertical="center"/>
    </xf>
    <xf numFmtId="0" fontId="54" fillId="81" borderId="177" xfId="0" applyFont="1" applyFill="1" applyBorder="1" applyAlignment="1">
      <alignment horizontal="center" vertical="center"/>
    </xf>
    <xf numFmtId="0" fontId="54" fillId="81" borderId="192" xfId="0" applyFont="1" applyFill="1" applyBorder="1" applyAlignment="1">
      <alignment horizontal="center" vertical="center"/>
    </xf>
    <xf numFmtId="0" fontId="16" fillId="2" borderId="173" xfId="0" applyFont="1" applyFill="1" applyBorder="1" applyAlignment="1">
      <alignment horizontal="left" vertical="center"/>
    </xf>
    <xf numFmtId="0" fontId="16" fillId="54" borderId="0" xfId="0" applyFont="1" applyFill="1" applyAlignment="1">
      <alignment horizontal="left" vertical="center"/>
    </xf>
    <xf numFmtId="0" fontId="16" fillId="2" borderId="0" xfId="0" applyFont="1" applyFill="1" applyAlignment="1">
      <alignment horizontal="center" vertical="center"/>
    </xf>
    <xf numFmtId="0" fontId="16" fillId="54" borderId="0" xfId="0" applyFont="1" applyFill="1" applyAlignment="1">
      <alignment horizontal="center" vertical="center"/>
    </xf>
    <xf numFmtId="0" fontId="16" fillId="2" borderId="0" xfId="0" applyFont="1" applyFill="1" applyAlignment="1">
      <alignment horizontal="left" vertical="center"/>
    </xf>
    <xf numFmtId="0" fontId="16" fillId="54" borderId="171" xfId="0" applyFont="1" applyFill="1" applyBorder="1" applyAlignment="1">
      <alignment horizontal="center" vertical="center"/>
    </xf>
    <xf numFmtId="178" fontId="3" fillId="11" borderId="25" xfId="0" applyNumberFormat="1" applyFont="1" applyFill="1" applyBorder="1" applyAlignment="1">
      <alignment horizontal="center" vertical="center"/>
    </xf>
    <xf numFmtId="178" fontId="3" fillId="5" borderId="25" xfId="0" applyNumberFormat="1" applyFont="1" applyFill="1" applyBorder="1" applyAlignment="1">
      <alignment horizontal="center" vertical="center"/>
    </xf>
    <xf numFmtId="0" fontId="120" fillId="0" borderId="0" xfId="0" applyFont="1">
      <alignment vertical="center"/>
    </xf>
    <xf numFmtId="0" fontId="158" fillId="0" borderId="0" xfId="0" applyFont="1">
      <alignment vertical="center"/>
    </xf>
    <xf numFmtId="0" fontId="19" fillId="0" borderId="84" xfId="0" applyFont="1" applyBorder="1" applyAlignment="1">
      <alignment horizontal="left" vertical="top" wrapText="1"/>
    </xf>
    <xf numFmtId="0" fontId="19" fillId="0" borderId="81" xfId="0" applyFont="1" applyBorder="1" applyAlignment="1">
      <alignment horizontal="left" vertical="top" wrapText="1"/>
    </xf>
    <xf numFmtId="0" fontId="19" fillId="0" borderId="92" xfId="0" applyFont="1" applyBorder="1" applyAlignment="1">
      <alignment horizontal="left" vertical="top" wrapText="1"/>
    </xf>
    <xf numFmtId="0" fontId="19" fillId="0" borderId="78" xfId="0" applyFont="1" applyBorder="1" applyAlignment="1">
      <alignment horizontal="left" vertical="top" wrapText="1"/>
    </xf>
    <xf numFmtId="0" fontId="19" fillId="0" borderId="0" xfId="0" applyFont="1" applyAlignment="1">
      <alignment horizontal="left" vertical="top" wrapText="1"/>
    </xf>
    <xf numFmtId="0" fontId="19" fillId="0" borderId="21" xfId="0" applyFont="1" applyBorder="1" applyAlignment="1">
      <alignment horizontal="left" vertical="top" wrapText="1"/>
    </xf>
    <xf numFmtId="0" fontId="19" fillId="0" borderId="98" xfId="0" applyFont="1" applyBorder="1" applyAlignment="1">
      <alignment horizontal="left" vertical="top" wrapText="1"/>
    </xf>
    <xf numFmtId="0" fontId="19" fillId="0" borderId="25" xfId="0" applyFont="1" applyBorder="1" applyAlignment="1">
      <alignment horizontal="left" vertical="top" wrapText="1"/>
    </xf>
    <xf numFmtId="0" fontId="19" fillId="0" borderId="23" xfId="0" applyFont="1" applyBorder="1" applyAlignment="1">
      <alignment horizontal="left" vertical="top" wrapText="1"/>
    </xf>
    <xf numFmtId="0" fontId="24" fillId="0" borderId="0" xfId="0" applyFont="1">
      <alignment vertical="center"/>
    </xf>
    <xf numFmtId="0" fontId="16" fillId="0" borderId="21" xfId="0" applyFont="1" applyBorder="1" applyAlignment="1">
      <alignment horizontal="center" vertical="center"/>
    </xf>
    <xf numFmtId="0" fontId="16" fillId="0" borderId="25" xfId="0" applyFont="1" applyBorder="1" applyAlignment="1">
      <alignment horizontal="center" vertical="center"/>
    </xf>
    <xf numFmtId="0" fontId="16" fillId="0" borderId="23" xfId="0" applyFont="1" applyBorder="1" applyAlignment="1">
      <alignment horizontal="center" vertical="center"/>
    </xf>
    <xf numFmtId="178" fontId="16" fillId="0" borderId="78" xfId="0" applyNumberFormat="1" applyFont="1" applyBorder="1" applyAlignment="1">
      <alignment horizontal="center" vertical="center"/>
    </xf>
    <xf numFmtId="178" fontId="16" fillId="0" borderId="0" xfId="0" applyNumberFormat="1" applyFont="1" applyAlignment="1">
      <alignment horizontal="center" vertical="center"/>
    </xf>
    <xf numFmtId="178" fontId="16" fillId="11" borderId="82" xfId="0" applyNumberFormat="1" applyFont="1" applyFill="1" applyBorder="1" applyAlignment="1">
      <alignment horizontal="center" vertical="center"/>
    </xf>
    <xf numFmtId="178" fontId="16" fillId="12" borderId="83" xfId="0" applyNumberFormat="1" applyFont="1" applyFill="1" applyBorder="1" applyAlignment="1">
      <alignment horizontal="center" vertical="center"/>
    </xf>
    <xf numFmtId="178" fontId="16" fillId="11" borderId="83" xfId="0" applyNumberFormat="1" applyFont="1" applyFill="1" applyBorder="1" applyAlignment="1">
      <alignment horizontal="center" vertical="center"/>
    </xf>
    <xf numFmtId="178" fontId="16" fillId="12" borderId="94" xfId="0" applyNumberFormat="1" applyFont="1" applyFill="1" applyBorder="1" applyAlignment="1">
      <alignment horizontal="center" vertical="center"/>
    </xf>
    <xf numFmtId="178" fontId="16" fillId="11" borderId="78" xfId="0" applyNumberFormat="1" applyFont="1" applyFill="1" applyBorder="1" applyAlignment="1">
      <alignment horizontal="center" vertical="center"/>
    </xf>
    <xf numFmtId="178" fontId="16" fillId="12" borderId="0" xfId="0" applyNumberFormat="1" applyFont="1" applyFill="1" applyAlignment="1">
      <alignment horizontal="center" vertical="center"/>
    </xf>
    <xf numFmtId="178" fontId="16" fillId="11" borderId="20" xfId="0" applyNumberFormat="1" applyFont="1" applyFill="1" applyBorder="1" applyAlignment="1">
      <alignment horizontal="center" vertical="center"/>
    </xf>
    <xf numFmtId="178" fontId="16" fillId="11" borderId="0" xfId="0" applyNumberFormat="1" applyFont="1" applyFill="1" applyAlignment="1">
      <alignment horizontal="center" vertical="center"/>
    </xf>
    <xf numFmtId="178" fontId="16" fillId="12" borderId="21" xfId="0" applyNumberFormat="1" applyFont="1" applyFill="1" applyBorder="1" applyAlignment="1">
      <alignment horizontal="center" vertical="center"/>
    </xf>
    <xf numFmtId="0" fontId="3" fillId="2" borderId="158" xfId="0" applyFont="1" applyFill="1" applyBorder="1" applyAlignment="1">
      <alignment horizontal="center" vertical="center"/>
    </xf>
    <xf numFmtId="0" fontId="3" fillId="54" borderId="159" xfId="0" applyFont="1" applyFill="1" applyBorder="1" applyAlignment="1">
      <alignment horizontal="center" vertical="center"/>
    </xf>
    <xf numFmtId="0" fontId="3" fillId="54" borderId="164" xfId="0" applyFont="1" applyFill="1" applyBorder="1" applyAlignment="1">
      <alignment horizontal="center" vertical="center"/>
    </xf>
    <xf numFmtId="178" fontId="16" fillId="11" borderId="84" xfId="0" applyNumberFormat="1" applyFont="1" applyFill="1" applyBorder="1" applyAlignment="1">
      <alignment horizontal="center" vertical="center"/>
    </xf>
    <xf numFmtId="178" fontId="16" fillId="12" borderId="81" xfId="0" applyNumberFormat="1" applyFont="1" applyFill="1" applyBorder="1" applyAlignment="1">
      <alignment horizontal="center" vertical="center"/>
    </xf>
    <xf numFmtId="178" fontId="16" fillId="0" borderId="22" xfId="0" applyNumberFormat="1" applyFont="1" applyBorder="1" applyAlignment="1">
      <alignment horizontal="center" vertical="center"/>
    </xf>
    <xf numFmtId="178" fontId="16" fillId="0" borderId="25" xfId="0" applyNumberFormat="1" applyFont="1" applyBorder="1" applyAlignment="1">
      <alignment horizontal="center" vertical="center"/>
    </xf>
    <xf numFmtId="178" fontId="16" fillId="0" borderId="23" xfId="0" applyNumberFormat="1" applyFont="1" applyBorder="1" applyAlignment="1">
      <alignment horizontal="center" vertical="center"/>
    </xf>
    <xf numFmtId="178" fontId="16" fillId="0" borderId="20" xfId="0" applyNumberFormat="1" applyFont="1" applyBorder="1" applyAlignment="1">
      <alignment horizontal="center" vertical="center"/>
    </xf>
    <xf numFmtId="178" fontId="16" fillId="0" borderId="21" xfId="0" applyNumberFormat="1" applyFont="1" applyBorder="1" applyAlignment="1">
      <alignment horizontal="center" vertical="center"/>
    </xf>
    <xf numFmtId="0" fontId="19" fillId="0" borderId="22" xfId="0" applyFont="1" applyBorder="1" applyAlignment="1">
      <alignment horizontal="left" vertical="center"/>
    </xf>
    <xf numFmtId="0" fontId="19" fillId="0" borderId="25" xfId="0" applyFont="1" applyBorder="1" applyAlignment="1">
      <alignment horizontal="left" vertical="center"/>
    </xf>
    <xf numFmtId="0" fontId="19" fillId="0" borderId="23" xfId="0" applyFont="1" applyBorder="1" applyAlignment="1">
      <alignment horizontal="left" vertical="center"/>
    </xf>
    <xf numFmtId="0" fontId="3" fillId="2" borderId="16" xfId="0" applyFont="1" applyFill="1" applyBorder="1" applyAlignment="1">
      <alignment horizontal="center" vertical="center"/>
    </xf>
    <xf numFmtId="0" fontId="3" fillId="54" borderId="24" xfId="0" applyFont="1" applyFill="1" applyBorder="1" applyAlignment="1">
      <alignment horizontal="center" vertical="center"/>
    </xf>
    <xf numFmtId="0" fontId="3" fillId="54" borderId="17" xfId="0" applyFont="1" applyFill="1" applyBorder="1" applyAlignment="1">
      <alignment horizontal="center" vertical="center"/>
    </xf>
    <xf numFmtId="0" fontId="16" fillId="2" borderId="16" xfId="0" applyFont="1" applyFill="1" applyBorder="1" applyAlignment="1">
      <alignment horizontal="center" vertical="center"/>
    </xf>
    <xf numFmtId="0" fontId="16" fillId="54" borderId="24" xfId="0" applyFont="1" applyFill="1" applyBorder="1" applyAlignment="1">
      <alignment horizontal="center" vertical="center"/>
    </xf>
    <xf numFmtId="0" fontId="16" fillId="54" borderId="17" xfId="0" applyFont="1" applyFill="1" applyBorder="1" applyAlignment="1">
      <alignment horizontal="center" vertical="center"/>
    </xf>
    <xf numFmtId="0" fontId="16" fillId="5" borderId="20" xfId="0" applyFont="1" applyFill="1" applyBorder="1" applyAlignment="1">
      <alignment horizontal="center" vertical="center"/>
    </xf>
    <xf numFmtId="0" fontId="16" fillId="6" borderId="0" xfId="0" applyFont="1" applyFill="1" applyAlignment="1">
      <alignment horizontal="center" vertical="center"/>
    </xf>
    <xf numFmtId="0" fontId="16" fillId="5" borderId="0" xfId="0" applyFont="1" applyFill="1" applyAlignment="1">
      <alignment horizontal="center" vertical="center"/>
    </xf>
    <xf numFmtId="0" fontId="16" fillId="6" borderId="21" xfId="0" applyFont="1" applyFill="1" applyBorder="1" applyAlignment="1">
      <alignment horizontal="center" vertical="center"/>
    </xf>
    <xf numFmtId="0" fontId="97" fillId="5" borderId="20" xfId="0" applyFont="1" applyFill="1" applyBorder="1" applyAlignment="1">
      <alignment horizontal="center" vertical="center"/>
    </xf>
    <xf numFmtId="0" fontId="97" fillId="6" borderId="0" xfId="0" applyFont="1" applyFill="1" applyAlignment="1">
      <alignment horizontal="center" vertical="center"/>
    </xf>
    <xf numFmtId="0" fontId="97" fillId="5" borderId="0" xfId="0" applyFont="1" applyFill="1" applyAlignment="1">
      <alignment horizontal="center" vertical="center"/>
    </xf>
    <xf numFmtId="0" fontId="16" fillId="11" borderId="20" xfId="0" applyFont="1" applyFill="1" applyBorder="1" applyAlignment="1">
      <alignment horizontal="center" vertical="center"/>
    </xf>
    <xf numFmtId="178" fontId="97" fillId="11" borderId="0" xfId="0" applyNumberFormat="1" applyFont="1" applyFill="1" applyAlignment="1">
      <alignment horizontal="center" vertical="center"/>
    </xf>
    <xf numFmtId="178" fontId="97" fillId="12" borderId="21" xfId="0" applyNumberFormat="1" applyFont="1" applyFill="1" applyBorder="1" applyAlignment="1">
      <alignment horizontal="center" vertical="center"/>
    </xf>
    <xf numFmtId="178" fontId="97" fillId="11" borderId="82" xfId="0" applyNumberFormat="1" applyFont="1" applyFill="1" applyBorder="1" applyAlignment="1">
      <alignment horizontal="center" vertical="center"/>
    </xf>
    <xf numFmtId="178" fontId="97" fillId="12" borderId="83" xfId="0" applyNumberFormat="1" applyFont="1" applyFill="1" applyBorder="1" applyAlignment="1">
      <alignment horizontal="center" vertical="center"/>
    </xf>
    <xf numFmtId="178" fontId="97" fillId="11" borderId="83" xfId="0" applyNumberFormat="1" applyFont="1" applyFill="1" applyBorder="1" applyAlignment="1">
      <alignment horizontal="center" vertical="center"/>
    </xf>
    <xf numFmtId="178" fontId="97" fillId="12" borderId="94" xfId="0" applyNumberFormat="1" applyFont="1" applyFill="1" applyBorder="1" applyAlignment="1">
      <alignment horizontal="center" vertical="center"/>
    </xf>
    <xf numFmtId="0" fontId="16" fillId="2" borderId="158" xfId="0" applyFont="1" applyFill="1" applyBorder="1" applyAlignment="1">
      <alignment horizontal="center" vertical="center"/>
    </xf>
    <xf numFmtId="0" fontId="16" fillId="54" borderId="159" xfId="0" applyFont="1" applyFill="1" applyBorder="1" applyAlignment="1">
      <alignment horizontal="center" vertical="center"/>
    </xf>
    <xf numFmtId="0" fontId="16" fillId="54" borderId="164" xfId="0" applyFont="1" applyFill="1" applyBorder="1" applyAlignment="1">
      <alignment horizontal="center" vertical="center"/>
    </xf>
    <xf numFmtId="20" fontId="16" fillId="0" borderId="191" xfId="0" applyNumberFormat="1" applyFont="1" applyBorder="1" applyAlignment="1">
      <alignment horizontal="center" vertical="center"/>
    </xf>
    <xf numFmtId="20" fontId="16" fillId="0" borderId="21" xfId="0" applyNumberFormat="1" applyFont="1" applyBorder="1" applyAlignment="1">
      <alignment horizontal="center" vertical="center"/>
    </xf>
    <xf numFmtId="20" fontId="16" fillId="0" borderId="98" xfId="0" applyNumberFormat="1" applyFont="1" applyBorder="1" applyAlignment="1">
      <alignment horizontal="center" vertical="center"/>
    </xf>
    <xf numFmtId="20" fontId="16" fillId="0" borderId="23" xfId="0" applyNumberFormat="1" applyFont="1" applyBorder="1" applyAlignment="1">
      <alignment horizontal="center" vertical="center"/>
    </xf>
    <xf numFmtId="49" fontId="16" fillId="5" borderId="0" xfId="0" applyNumberFormat="1" applyFont="1" applyFill="1" applyAlignment="1">
      <alignment horizontal="center" vertical="top" wrapText="1"/>
    </xf>
    <xf numFmtId="49" fontId="16" fillId="6" borderId="21" xfId="0" applyNumberFormat="1" applyFont="1" applyFill="1" applyBorder="1" applyAlignment="1">
      <alignment horizontal="center" vertical="top" wrapText="1"/>
    </xf>
    <xf numFmtId="49" fontId="127" fillId="0" borderId="0" xfId="0" applyNumberFormat="1" applyFont="1" applyAlignment="1">
      <alignment horizontal="left" vertical="center"/>
    </xf>
    <xf numFmtId="0" fontId="127" fillId="0" borderId="0" xfId="0" applyFont="1" applyAlignment="1">
      <alignment horizontal="left" vertical="center"/>
    </xf>
    <xf numFmtId="0" fontId="151" fillId="0" borderId="20" xfId="0" applyFont="1" applyBorder="1" applyAlignment="1">
      <alignment horizontal="center" vertical="center" wrapText="1" readingOrder="1"/>
    </xf>
    <xf numFmtId="0" fontId="74" fillId="0" borderId="0" xfId="0" applyFont="1" applyAlignment="1">
      <alignment horizontal="left" vertical="center" wrapText="1"/>
    </xf>
    <xf numFmtId="0" fontId="28" fillId="0" borderId="0" xfId="0" applyFont="1" applyAlignment="1">
      <alignment horizontal="left" vertical="center" wrapText="1" indent="1"/>
    </xf>
    <xf numFmtId="0" fontId="152" fillId="0" borderId="0" xfId="0" applyFont="1" applyAlignment="1">
      <alignment horizontal="center" vertical="center" wrapText="1"/>
    </xf>
    <xf numFmtId="0" fontId="153" fillId="0" borderId="0" xfId="0" applyFont="1" applyAlignment="1">
      <alignment horizontal="center" vertical="center" wrapText="1"/>
    </xf>
    <xf numFmtId="0" fontId="127" fillId="0" borderId="0" xfId="0" applyFont="1" applyAlignment="1">
      <alignment horizontal="left" vertical="center" wrapText="1"/>
    </xf>
    <xf numFmtId="0" fontId="28" fillId="0" borderId="0" xfId="0" applyFont="1" applyAlignment="1">
      <alignment horizontal="center" vertical="center" wrapText="1"/>
    </xf>
    <xf numFmtId="49" fontId="103" fillId="93" borderId="0" xfId="0" applyNumberFormat="1" applyFont="1" applyFill="1" applyAlignment="1">
      <alignment horizontal="left" vertical="center"/>
    </xf>
    <xf numFmtId="49" fontId="103" fillId="0" borderId="0" xfId="0" applyNumberFormat="1" applyFont="1" applyAlignment="1">
      <alignment horizontal="left" vertical="center"/>
    </xf>
    <xf numFmtId="49" fontId="103" fillId="93" borderId="25" xfId="0" applyNumberFormat="1" applyFont="1" applyFill="1" applyBorder="1" applyAlignment="1">
      <alignment horizontal="left" vertical="center"/>
    </xf>
    <xf numFmtId="49" fontId="103" fillId="0" borderId="24" xfId="0" applyNumberFormat="1" applyFont="1" applyBorder="1" applyAlignment="1">
      <alignment horizontal="left" vertical="center"/>
    </xf>
    <xf numFmtId="0" fontId="103" fillId="0" borderId="0" xfId="0" applyFont="1" applyAlignment="1">
      <alignment horizontal="left" vertical="center"/>
    </xf>
    <xf numFmtId="0" fontId="103" fillId="93" borderId="0" xfId="0" applyFont="1" applyFill="1" applyAlignment="1">
      <alignment horizontal="left" vertical="center"/>
    </xf>
    <xf numFmtId="0" fontId="103" fillId="0" borderId="25" xfId="0" applyFont="1" applyBorder="1" applyAlignment="1">
      <alignment horizontal="left" vertical="center"/>
    </xf>
    <xf numFmtId="0" fontId="95" fillId="11" borderId="188" xfId="0" applyFont="1" applyFill="1" applyBorder="1" applyAlignment="1">
      <alignment horizontal="center" vertical="center" wrapText="1"/>
    </xf>
    <xf numFmtId="0" fontId="95" fillId="12" borderId="189" xfId="0" applyFont="1" applyFill="1" applyBorder="1" applyAlignment="1">
      <alignment horizontal="center" vertical="center" wrapText="1"/>
    </xf>
    <xf numFmtId="0" fontId="103" fillId="93" borderId="25" xfId="0" applyFont="1" applyFill="1" applyBorder="1" applyAlignment="1">
      <alignment horizontal="left" vertical="center"/>
    </xf>
    <xf numFmtId="0" fontId="95" fillId="0" borderId="146" xfId="0" applyFont="1" applyBorder="1" applyAlignment="1">
      <alignment horizontal="center" vertical="center" wrapText="1"/>
    </xf>
    <xf numFmtId="0" fontId="95" fillId="0" borderId="97" xfId="0" applyFont="1" applyBorder="1" applyAlignment="1">
      <alignment horizontal="center" vertical="center" wrapText="1"/>
    </xf>
    <xf numFmtId="0" fontId="95" fillId="11" borderId="146" xfId="0" applyFont="1" applyFill="1" applyBorder="1" applyAlignment="1">
      <alignment horizontal="center" vertical="center" wrapText="1"/>
    </xf>
    <xf numFmtId="0" fontId="95" fillId="12" borderId="97" xfId="0" applyFont="1" applyFill="1" applyBorder="1" applyAlignment="1">
      <alignment horizontal="center" vertical="center" wrapText="1"/>
    </xf>
    <xf numFmtId="0" fontId="74" fillId="2" borderId="144" xfId="0" applyFont="1" applyFill="1" applyBorder="1" applyAlignment="1">
      <alignment horizontal="center" vertical="center" wrapText="1"/>
    </xf>
    <xf numFmtId="0" fontId="74" fillId="54" borderId="145" xfId="0" applyFont="1" applyFill="1" applyBorder="1" applyAlignment="1">
      <alignment horizontal="center" vertical="center" wrapText="1"/>
    </xf>
    <xf numFmtId="0" fontId="103" fillId="93" borderId="24" xfId="0" applyFont="1" applyFill="1" applyBorder="1" applyAlignment="1">
      <alignment horizontal="left" vertical="center"/>
    </xf>
    <xf numFmtId="0" fontId="103" fillId="0" borderId="0" xfId="0" applyFont="1" applyAlignment="1">
      <alignment horizontal="left" vertical="center" wrapText="1"/>
    </xf>
    <xf numFmtId="0" fontId="127" fillId="88" borderId="0" xfId="0" applyFont="1" applyFill="1" applyAlignment="1">
      <alignment horizontal="left" vertical="center"/>
    </xf>
    <xf numFmtId="0" fontId="103" fillId="11" borderId="0" xfId="0" applyFont="1" applyFill="1" applyAlignment="1">
      <alignment horizontal="left" vertical="center" wrapText="1"/>
    </xf>
    <xf numFmtId="0" fontId="103" fillId="34" borderId="0" xfId="0" applyFont="1" applyFill="1" applyAlignment="1">
      <alignment horizontal="left" vertical="center" wrapText="1"/>
    </xf>
    <xf numFmtId="0" fontId="103" fillId="11" borderId="25" xfId="0" applyFont="1" applyFill="1" applyBorder="1" applyAlignment="1">
      <alignment horizontal="left" vertical="center" wrapText="1"/>
    </xf>
    <xf numFmtId="0" fontId="103" fillId="34" borderId="25" xfId="0" applyFont="1" applyFill="1" applyBorder="1" applyAlignment="1">
      <alignment horizontal="left" vertical="center" wrapText="1"/>
    </xf>
    <xf numFmtId="0" fontId="103" fillId="0" borderId="24" xfId="0" applyFont="1" applyBorder="1" applyAlignment="1">
      <alignment horizontal="left" vertical="center"/>
    </xf>
    <xf numFmtId="0" fontId="33" fillId="0" borderId="22" xfId="0" applyFont="1" applyBorder="1" applyAlignment="1" applyProtection="1">
      <alignment horizontal="center" vertical="center" wrapText="1"/>
      <protection locked="0"/>
    </xf>
    <xf numFmtId="0" fontId="33" fillId="0" borderId="25" xfId="0" applyFont="1" applyBorder="1" applyAlignment="1" applyProtection="1">
      <alignment horizontal="center" vertical="center" wrapText="1"/>
      <protection locked="0"/>
    </xf>
    <xf numFmtId="0" fontId="33" fillId="0" borderId="23" xfId="0" applyFont="1" applyBorder="1" applyAlignment="1" applyProtection="1">
      <alignment horizontal="center" vertical="center" wrapText="1"/>
      <protection locked="0"/>
    </xf>
    <xf numFmtId="0" fontId="96" fillId="89" borderId="16" xfId="0" applyFont="1" applyFill="1" applyBorder="1" applyAlignment="1">
      <alignment horizontal="center" vertical="center" wrapText="1"/>
    </xf>
    <xf numFmtId="0" fontId="96" fillId="58" borderId="24" xfId="0" applyFont="1" applyFill="1" applyBorder="1" applyAlignment="1">
      <alignment horizontal="center" vertical="center" wrapText="1"/>
    </xf>
    <xf numFmtId="0" fontId="96" fillId="58" borderId="17" xfId="0" applyFont="1" applyFill="1" applyBorder="1" applyAlignment="1">
      <alignment horizontal="center" vertical="center" wrapText="1"/>
    </xf>
    <xf numFmtId="0" fontId="52" fillId="92" borderId="16" xfId="2" applyFont="1" applyFill="1" applyBorder="1" applyAlignment="1" applyProtection="1">
      <alignment horizontal="center" vertical="center" wrapText="1"/>
    </xf>
    <xf numFmtId="0" fontId="52" fillId="92" borderId="24" xfId="2" applyFont="1" applyFill="1" applyBorder="1" applyAlignment="1" applyProtection="1">
      <alignment horizontal="center" vertical="center" wrapText="1"/>
    </xf>
    <xf numFmtId="0" fontId="52" fillId="92" borderId="17" xfId="2" applyFont="1" applyFill="1" applyBorder="1" applyAlignment="1" applyProtection="1">
      <alignment horizontal="center" vertical="center" wrapText="1"/>
    </xf>
    <xf numFmtId="0" fontId="103" fillId="59" borderId="148" xfId="0" applyFont="1" applyFill="1" applyBorder="1" applyAlignment="1" applyProtection="1">
      <alignment horizontal="center" vertical="center" wrapText="1"/>
      <protection locked="0"/>
    </xf>
    <xf numFmtId="0" fontId="103" fillId="59" borderId="70" xfId="0" applyFont="1" applyFill="1" applyBorder="1" applyAlignment="1" applyProtection="1">
      <alignment horizontal="center" vertical="center" wrapText="1"/>
      <protection locked="0"/>
    </xf>
    <xf numFmtId="0" fontId="150" fillId="2" borderId="24" xfId="0" applyFont="1" applyFill="1" applyBorder="1" applyAlignment="1">
      <alignment horizontal="center" vertical="center" wrapText="1"/>
    </xf>
    <xf numFmtId="0" fontId="150" fillId="3" borderId="24" xfId="0" applyFont="1" applyFill="1" applyBorder="1" applyAlignment="1">
      <alignment horizontal="center" vertical="center" wrapText="1"/>
    </xf>
    <xf numFmtId="0" fontId="150" fillId="2" borderId="0" xfId="0" applyFont="1" applyFill="1" applyAlignment="1">
      <alignment horizontal="center" vertical="center"/>
    </xf>
    <xf numFmtId="0" fontId="150" fillId="3" borderId="0" xfId="0" applyFont="1" applyFill="1" applyAlignment="1">
      <alignment horizontal="center" vertical="center"/>
    </xf>
    <xf numFmtId="0" fontId="151" fillId="0" borderId="0" xfId="0" applyFont="1" applyAlignment="1">
      <alignment horizontal="center" vertical="center" wrapText="1"/>
    </xf>
    <xf numFmtId="0" fontId="151" fillId="0" borderId="21" xfId="0" applyFont="1" applyBorder="1" applyAlignment="1">
      <alignment horizontal="center" vertical="center" wrapText="1"/>
    </xf>
    <xf numFmtId="0" fontId="130" fillId="92" borderId="155" xfId="2" applyFill="1" applyBorder="1" applyAlignment="1" applyProtection="1">
      <alignment horizontal="center" vertical="center" wrapText="1"/>
    </xf>
    <xf numFmtId="0" fontId="130" fillId="92" borderId="161" xfId="2" applyFill="1" applyBorder="1" applyAlignment="1" applyProtection="1">
      <alignment horizontal="center" vertical="center" wrapText="1"/>
    </xf>
    <xf numFmtId="0" fontId="147" fillId="0" borderId="0" xfId="0" applyFont="1" applyAlignment="1" applyProtection="1">
      <alignment horizontal="center" vertical="center"/>
      <protection locked="0"/>
    </xf>
    <xf numFmtId="0" fontId="148" fillId="0" borderId="0" xfId="0" applyFont="1" applyAlignment="1" applyProtection="1">
      <alignment horizontal="center" vertical="center"/>
      <protection locked="0"/>
    </xf>
    <xf numFmtId="0" fontId="10" fillId="11" borderId="16" xfId="0" applyFont="1" applyFill="1" applyBorder="1" applyAlignment="1" applyProtection="1">
      <alignment horizontal="center" vertical="center"/>
      <protection locked="0"/>
    </xf>
    <xf numFmtId="0" fontId="10" fillId="53" borderId="20" xfId="0" applyFont="1" applyFill="1" applyBorder="1" applyAlignment="1" applyProtection="1">
      <alignment horizontal="center" vertical="center"/>
      <protection locked="0"/>
    </xf>
    <xf numFmtId="0" fontId="10" fillId="53" borderId="22" xfId="0" applyFont="1" applyFill="1" applyBorder="1" applyAlignment="1" applyProtection="1">
      <alignment horizontal="center" vertical="center"/>
      <protection locked="0"/>
    </xf>
    <xf numFmtId="0" fontId="10" fillId="11" borderId="149" xfId="0" applyFont="1" applyFill="1" applyBorder="1" applyAlignment="1" applyProtection="1">
      <alignment horizontal="center" vertical="center" wrapText="1"/>
      <protection locked="0"/>
    </xf>
    <xf numFmtId="0" fontId="10" fillId="53" borderId="24" xfId="0" applyFont="1" applyFill="1" applyBorder="1" applyAlignment="1" applyProtection="1">
      <alignment horizontal="center" vertical="center" wrapText="1"/>
      <protection locked="0"/>
    </xf>
    <xf numFmtId="0" fontId="10" fillId="53" borderId="174" xfId="0" applyFont="1" applyFill="1" applyBorder="1" applyAlignment="1" applyProtection="1">
      <alignment horizontal="center" vertical="center" wrapText="1"/>
      <protection locked="0"/>
    </xf>
    <xf numFmtId="0" fontId="10" fillId="53" borderId="9" xfId="0" applyFont="1" applyFill="1" applyBorder="1" applyAlignment="1" applyProtection="1">
      <alignment horizontal="center" vertical="center" wrapText="1"/>
      <protection locked="0"/>
    </xf>
    <xf numFmtId="0" fontId="10" fillId="53" borderId="0" xfId="0" applyFont="1" applyFill="1" applyAlignment="1" applyProtection="1">
      <alignment horizontal="center" vertical="center" wrapText="1"/>
      <protection locked="0"/>
    </xf>
    <xf numFmtId="0" fontId="10" fillId="53" borderId="14" xfId="0" applyFont="1" applyFill="1" applyBorder="1" applyAlignment="1" applyProtection="1">
      <alignment horizontal="center" vertical="center" wrapText="1"/>
      <protection locked="0"/>
    </xf>
    <xf numFmtId="0" fontId="10" fillId="53" borderId="179" xfId="0" applyFont="1" applyFill="1" applyBorder="1" applyAlignment="1" applyProtection="1">
      <alignment horizontal="center" vertical="center" wrapText="1"/>
      <protection locked="0"/>
    </xf>
    <xf numFmtId="0" fontId="10" fillId="53" borderId="25" xfId="0" applyFont="1" applyFill="1" applyBorder="1" applyAlignment="1" applyProtection="1">
      <alignment horizontal="center" vertical="center" wrapText="1"/>
      <protection locked="0"/>
    </xf>
    <xf numFmtId="0" fontId="10" fillId="53" borderId="175" xfId="0" applyFont="1" applyFill="1" applyBorder="1" applyAlignment="1" applyProtection="1">
      <alignment horizontal="center" vertical="center" wrapText="1"/>
      <protection locked="0"/>
    </xf>
    <xf numFmtId="0" fontId="16" fillId="0" borderId="0" xfId="0" applyFont="1" applyAlignment="1">
      <alignment horizontal="left" vertical="center" wrapText="1"/>
    </xf>
    <xf numFmtId="0" fontId="16" fillId="0" borderId="24" xfId="0" applyFont="1" applyBorder="1" applyAlignment="1">
      <alignment horizontal="left" vertical="center" wrapText="1"/>
    </xf>
    <xf numFmtId="0" fontId="16" fillId="0" borderId="17" xfId="0" applyFont="1" applyBorder="1" applyAlignment="1">
      <alignment horizontal="left" vertical="center" wrapText="1"/>
    </xf>
    <xf numFmtId="0" fontId="16" fillId="0" borderId="21" xfId="0" applyFont="1" applyBorder="1" applyAlignment="1">
      <alignment horizontal="left" vertical="center" wrapText="1"/>
    </xf>
    <xf numFmtId="0" fontId="16" fillId="0" borderId="25" xfId="0" applyFont="1" applyBorder="1" applyAlignment="1">
      <alignment horizontal="left" vertical="center" wrapText="1"/>
    </xf>
    <xf numFmtId="0" fontId="16" fillId="0" borderId="23" xfId="0" applyFont="1" applyBorder="1" applyAlignment="1">
      <alignment horizontal="left" vertical="center" wrapText="1"/>
    </xf>
    <xf numFmtId="0" fontId="126" fillId="0" borderId="80" xfId="0" applyFont="1" applyBorder="1" applyAlignment="1">
      <alignment horizontal="left" vertical="center" wrapText="1"/>
    </xf>
    <xf numFmtId="0" fontId="126" fillId="0" borderId="81" xfId="0" applyFont="1" applyBorder="1" applyAlignment="1">
      <alignment horizontal="left" vertical="center" wrapText="1"/>
    </xf>
    <xf numFmtId="0" fontId="126" fillId="0" borderId="165" xfId="0" applyFont="1" applyBorder="1" applyAlignment="1">
      <alignment horizontal="left" vertical="center" wrapText="1"/>
    </xf>
    <xf numFmtId="0" fontId="126" fillId="0" borderId="20" xfId="0" applyFont="1" applyBorder="1" applyAlignment="1">
      <alignment horizontal="left" vertical="center" wrapText="1"/>
    </xf>
    <xf numFmtId="0" fontId="126" fillId="0" borderId="0" xfId="0" applyFont="1" applyAlignment="1">
      <alignment horizontal="left" vertical="center" wrapText="1"/>
    </xf>
    <xf numFmtId="0" fontId="126" fillId="0" borderId="90" xfId="0" applyFont="1" applyBorder="1" applyAlignment="1">
      <alignment horizontal="left" vertical="center" wrapText="1"/>
    </xf>
    <xf numFmtId="0" fontId="126" fillId="0" borderId="22" xfId="0" applyFont="1" applyBorder="1" applyAlignment="1">
      <alignment horizontal="left" vertical="center" wrapText="1"/>
    </xf>
    <xf numFmtId="0" fontId="126" fillId="0" borderId="25" xfId="0" applyFont="1" applyBorder="1" applyAlignment="1">
      <alignment horizontal="left" vertical="center" wrapText="1"/>
    </xf>
    <xf numFmtId="0" fontId="126" fillId="0" borderId="96" xfId="0" applyFont="1" applyBorder="1" applyAlignment="1">
      <alignment horizontal="left" vertical="center" wrapText="1"/>
    </xf>
    <xf numFmtId="0" fontId="16" fillId="0" borderId="0" xfId="0" applyFont="1" applyAlignment="1" applyProtection="1">
      <alignment horizontal="left" vertical="center" wrapText="1"/>
      <protection locked="0"/>
    </xf>
    <xf numFmtId="179" fontId="24" fillId="0" borderId="84" xfId="0" applyNumberFormat="1" applyFont="1" applyBorder="1" applyAlignment="1" applyProtection="1">
      <alignment horizontal="left" vertical="center"/>
      <protection locked="0"/>
    </xf>
    <xf numFmtId="179" fontId="24" fillId="0" borderId="92" xfId="0" applyNumberFormat="1" applyFont="1" applyBorder="1" applyAlignment="1" applyProtection="1">
      <alignment horizontal="left" vertical="center"/>
      <protection locked="0"/>
    </xf>
    <xf numFmtId="179" fontId="24" fillId="0" borderId="78" xfId="0" applyNumberFormat="1" applyFont="1" applyBorder="1" applyAlignment="1" applyProtection="1">
      <alignment horizontal="left" vertical="center"/>
      <protection locked="0"/>
    </xf>
    <xf numFmtId="179" fontId="24" fillId="0" borderId="21" xfId="0" applyNumberFormat="1" applyFont="1" applyBorder="1" applyAlignment="1" applyProtection="1">
      <alignment horizontal="left" vertical="center"/>
      <protection locked="0"/>
    </xf>
    <xf numFmtId="179" fontId="24" fillId="0" borderId="98" xfId="0" applyNumberFormat="1" applyFont="1" applyBorder="1" applyAlignment="1" applyProtection="1">
      <alignment horizontal="left" vertical="center"/>
      <protection locked="0"/>
    </xf>
    <xf numFmtId="179" fontId="24" fillId="0" borderId="23" xfId="0" applyNumberFormat="1" applyFont="1" applyBorder="1" applyAlignment="1" applyProtection="1">
      <alignment horizontal="left" vertical="center"/>
      <protection locked="0"/>
    </xf>
    <xf numFmtId="0" fontId="16" fillId="62" borderId="180" xfId="0" applyFont="1" applyFill="1" applyBorder="1" applyAlignment="1">
      <alignment horizontal="left" vertical="center"/>
    </xf>
    <xf numFmtId="0" fontId="16" fillId="62" borderId="182" xfId="0" applyFont="1" applyFill="1" applyBorder="1" applyAlignment="1">
      <alignment horizontal="left" vertical="center"/>
    </xf>
    <xf numFmtId="0" fontId="16" fillId="34" borderId="184" xfId="0" applyFont="1" applyFill="1" applyBorder="1" applyAlignment="1" applyProtection="1">
      <alignment horizontal="left" vertical="center"/>
      <protection locked="0"/>
    </xf>
    <xf numFmtId="0" fontId="16" fillId="34" borderId="185" xfId="0" applyFont="1" applyFill="1" applyBorder="1" applyAlignment="1" applyProtection="1">
      <alignment horizontal="left" vertical="center"/>
      <protection locked="0"/>
    </xf>
    <xf numFmtId="0" fontId="7" fillId="9" borderId="149" xfId="0" applyFont="1" applyFill="1" applyBorder="1" applyAlignment="1" applyProtection="1">
      <alignment horizontal="left" vertical="center"/>
      <protection locked="0"/>
    </xf>
    <xf numFmtId="0" fontId="7" fillId="9" borderId="24" xfId="0" applyFont="1" applyFill="1" applyBorder="1" applyAlignment="1" applyProtection="1">
      <alignment horizontal="left" vertical="center"/>
      <protection locked="0"/>
    </xf>
    <xf numFmtId="0" fontId="7" fillId="81" borderId="149" xfId="0" applyFont="1" applyFill="1" applyBorder="1" applyAlignment="1" applyProtection="1">
      <alignment horizontal="left" vertical="center"/>
      <protection locked="0"/>
    </xf>
    <xf numFmtId="0" fontId="7" fillId="81" borderId="17" xfId="0" applyFont="1" applyFill="1" applyBorder="1" applyAlignment="1" applyProtection="1">
      <alignment horizontal="left" vertical="center"/>
      <protection locked="0"/>
    </xf>
    <xf numFmtId="0" fontId="7" fillId="81" borderId="24" xfId="0" applyFont="1" applyFill="1" applyBorder="1" applyAlignment="1" applyProtection="1">
      <alignment horizontal="left" vertical="center"/>
      <protection locked="0"/>
    </xf>
    <xf numFmtId="0" fontId="7" fillId="9" borderId="16" xfId="0" applyFont="1" applyFill="1" applyBorder="1" applyAlignment="1" applyProtection="1">
      <alignment horizontal="left" vertical="center"/>
      <protection locked="0"/>
    </xf>
    <xf numFmtId="0" fontId="7" fillId="9" borderId="17" xfId="0" applyFont="1" applyFill="1" applyBorder="1" applyAlignment="1" applyProtection="1">
      <alignment horizontal="left" vertical="center"/>
      <protection locked="0"/>
    </xf>
    <xf numFmtId="0" fontId="16" fillId="0" borderId="16" xfId="0" applyFont="1" applyBorder="1" applyAlignment="1">
      <alignment horizontal="left" vertical="center"/>
    </xf>
    <xf numFmtId="0" fontId="16" fillId="0" borderId="24" xfId="0" applyFont="1" applyBorder="1" applyAlignment="1">
      <alignment horizontal="left" vertical="center"/>
    </xf>
    <xf numFmtId="0" fontId="16" fillId="81" borderId="16" xfId="0" applyFont="1" applyFill="1" applyBorder="1" applyAlignment="1">
      <alignment horizontal="left" vertical="center"/>
    </xf>
    <xf numFmtId="0" fontId="16" fillId="81" borderId="24" xfId="0" applyFont="1" applyFill="1" applyBorder="1" applyAlignment="1">
      <alignment horizontal="left" vertical="center"/>
    </xf>
    <xf numFmtId="0" fontId="16" fillId="81" borderId="17" xfId="0" applyFont="1" applyFill="1" applyBorder="1" applyAlignment="1">
      <alignment horizontal="left" vertical="center"/>
    </xf>
    <xf numFmtId="49" fontId="103" fillId="0" borderId="0" xfId="6" applyNumberFormat="1" applyFont="1" applyAlignment="1" applyProtection="1">
      <alignment horizontal="left" vertical="center" wrapText="1"/>
    </xf>
    <xf numFmtId="49" fontId="103" fillId="0" borderId="21" xfId="6" applyNumberFormat="1" applyFont="1" applyBorder="1" applyAlignment="1" applyProtection="1">
      <alignment horizontal="left" vertical="center" wrapText="1"/>
    </xf>
    <xf numFmtId="0" fontId="16" fillId="82" borderId="16" xfId="0" applyFont="1" applyFill="1" applyBorder="1" applyAlignment="1">
      <alignment horizontal="left" vertical="center"/>
    </xf>
    <xf numFmtId="0" fontId="16" fillId="82" borderId="24" xfId="0" applyFont="1" applyFill="1" applyBorder="1" applyAlignment="1">
      <alignment horizontal="left" vertical="center"/>
    </xf>
    <xf numFmtId="0" fontId="16" fillId="82" borderId="17" xfId="0" applyFont="1" applyFill="1" applyBorder="1" applyAlignment="1">
      <alignment horizontal="left" vertical="center"/>
    </xf>
    <xf numFmtId="0" fontId="54" fillId="9" borderId="16" xfId="0" applyFont="1" applyFill="1" applyBorder="1" applyAlignment="1">
      <alignment horizontal="left" vertical="center"/>
    </xf>
    <xf numFmtId="0" fontId="54" fillId="9" borderId="24" xfId="0" applyFont="1" applyFill="1" applyBorder="1" applyAlignment="1">
      <alignment horizontal="left" vertical="center"/>
    </xf>
    <xf numFmtId="0" fontId="54" fillId="9" borderId="17" xfId="0" applyFont="1" applyFill="1" applyBorder="1" applyAlignment="1">
      <alignment horizontal="left" vertical="center"/>
    </xf>
    <xf numFmtId="0" fontId="16" fillId="0" borderId="75" xfId="0" applyFont="1" applyBorder="1" applyAlignment="1">
      <alignment horizontal="left" vertical="center" wrapText="1"/>
    </xf>
    <xf numFmtId="0" fontId="16" fillId="0" borderId="76" xfId="0" applyFont="1" applyBorder="1" applyAlignment="1">
      <alignment horizontal="left" vertical="center" wrapText="1"/>
    </xf>
    <xf numFmtId="0" fontId="16" fillId="0" borderId="16" xfId="0" applyFont="1" applyBorder="1" applyAlignment="1">
      <alignment horizontal="left" vertical="center" wrapText="1"/>
    </xf>
    <xf numFmtId="0" fontId="16" fillId="0" borderId="20" xfId="0" applyFont="1" applyBorder="1" applyAlignment="1">
      <alignment horizontal="left" vertical="center" wrapText="1"/>
    </xf>
    <xf numFmtId="0" fontId="16" fillId="0" borderId="149" xfId="0" applyFont="1" applyBorder="1" applyAlignment="1">
      <alignment horizontal="left" vertical="center" wrapText="1"/>
    </xf>
    <xf numFmtId="0" fontId="16" fillId="0" borderId="9" xfId="0" applyFont="1" applyBorder="1" applyAlignment="1">
      <alignment horizontal="left" vertical="center" wrapText="1"/>
    </xf>
    <xf numFmtId="0" fontId="16" fillId="62" borderId="81" xfId="0" applyFont="1" applyFill="1" applyBorder="1" applyAlignment="1">
      <alignment horizontal="left" vertical="center"/>
    </xf>
    <xf numFmtId="0" fontId="16" fillId="34" borderId="181" xfId="0" applyFont="1" applyFill="1" applyBorder="1" applyAlignment="1">
      <alignment horizontal="left" vertical="center"/>
    </xf>
    <xf numFmtId="0" fontId="16" fillId="34" borderId="84" xfId="0" applyFont="1" applyFill="1" applyBorder="1" applyAlignment="1">
      <alignment horizontal="left" vertical="center"/>
    </xf>
    <xf numFmtId="0" fontId="16" fillId="62" borderId="20" xfId="0" applyFont="1" applyFill="1" applyBorder="1" applyAlignment="1">
      <alignment horizontal="left" vertical="center"/>
    </xf>
    <xf numFmtId="0" fontId="16" fillId="62" borderId="0" xfId="0" applyFont="1" applyFill="1" applyAlignment="1">
      <alignment horizontal="left" vertical="center"/>
    </xf>
    <xf numFmtId="0" fontId="16" fillId="34" borderId="20" xfId="0" applyFont="1" applyFill="1" applyBorder="1" applyAlignment="1">
      <alignment horizontal="left" vertical="center"/>
    </xf>
    <xf numFmtId="0" fontId="16" fillId="34" borderId="0" xfId="0" applyFont="1" applyFill="1" applyAlignment="1">
      <alignment horizontal="left" vertical="center"/>
    </xf>
    <xf numFmtId="0" fontId="16" fillId="62" borderId="82" xfId="0" applyFont="1" applyFill="1" applyBorder="1" applyAlignment="1">
      <alignment horizontal="left" vertical="center"/>
    </xf>
    <xf numFmtId="0" fontId="16" fillId="62" borderId="83" xfId="0" applyFont="1" applyFill="1" applyBorder="1" applyAlignment="1">
      <alignment horizontal="left" vertical="center"/>
    </xf>
    <xf numFmtId="0" fontId="16" fillId="34" borderId="82" xfId="0" applyFont="1" applyFill="1" applyBorder="1" applyAlignment="1" applyProtection="1">
      <alignment horizontal="left" vertical="center"/>
      <protection locked="0"/>
    </xf>
    <xf numFmtId="0" fontId="16" fillId="34" borderId="83" xfId="0" applyFont="1" applyFill="1" applyBorder="1" applyAlignment="1" applyProtection="1">
      <alignment horizontal="left" vertical="center"/>
      <protection locked="0"/>
    </xf>
    <xf numFmtId="0" fontId="16" fillId="62" borderId="146" xfId="0" applyFont="1" applyFill="1" applyBorder="1" applyAlignment="1">
      <alignment horizontal="left" vertical="center"/>
    </xf>
    <xf numFmtId="0" fontId="16" fillId="34" borderId="20" xfId="0" applyFont="1" applyFill="1" applyBorder="1" applyAlignment="1" applyProtection="1">
      <alignment horizontal="left" vertical="center"/>
      <protection locked="0"/>
    </xf>
    <xf numFmtId="0" fontId="16" fillId="34" borderId="183" xfId="0" applyFont="1" applyFill="1" applyBorder="1" applyAlignment="1" applyProtection="1">
      <alignment horizontal="left" vertical="center"/>
      <protection locked="0"/>
    </xf>
    <xf numFmtId="49" fontId="103" fillId="0" borderId="25" xfId="6" applyNumberFormat="1" applyFont="1" applyBorder="1" applyAlignment="1" applyProtection="1">
      <alignment horizontal="left" vertical="center" wrapText="1"/>
    </xf>
    <xf numFmtId="49" fontId="103" fillId="0" borderId="23" xfId="6" applyNumberFormat="1" applyFont="1" applyBorder="1" applyAlignment="1" applyProtection="1">
      <alignment horizontal="left" vertical="center" wrapText="1"/>
    </xf>
    <xf numFmtId="0" fontId="96" fillId="0" borderId="25" xfId="0" applyFont="1" applyBorder="1" applyAlignment="1">
      <alignment horizontal="left" vertical="center" wrapText="1"/>
    </xf>
    <xf numFmtId="0" fontId="96" fillId="0" borderId="23" xfId="0" applyFont="1" applyBorder="1" applyAlignment="1">
      <alignment horizontal="left" vertical="center" wrapText="1"/>
    </xf>
    <xf numFmtId="0" fontId="96" fillId="0" borderId="0" xfId="0" applyFont="1" applyAlignment="1">
      <alignment horizontal="left" vertical="center" wrapText="1"/>
    </xf>
    <xf numFmtId="0" fontId="96" fillId="0" borderId="21" xfId="0" applyFont="1" applyBorder="1" applyAlignment="1">
      <alignment horizontal="left" vertical="center" wrapText="1"/>
    </xf>
    <xf numFmtId="0" fontId="54" fillId="80" borderId="158" xfId="0" applyFont="1" applyFill="1" applyBorder="1" applyAlignment="1">
      <alignment horizontal="left" vertical="center"/>
    </xf>
    <xf numFmtId="0" fontId="54" fillId="80" borderId="159" xfId="0" applyFont="1" applyFill="1" applyBorder="1" applyAlignment="1">
      <alignment horizontal="left" vertical="center"/>
    </xf>
    <xf numFmtId="0" fontId="125" fillId="80" borderId="160" xfId="0" applyFont="1" applyFill="1" applyBorder="1" applyAlignment="1">
      <alignment horizontal="left" vertical="center"/>
    </xf>
    <xf numFmtId="0" fontId="125" fillId="80" borderId="163" xfId="0" applyFont="1" applyFill="1" applyBorder="1" applyAlignment="1">
      <alignment horizontal="left" vertical="center"/>
    </xf>
    <xf numFmtId="0" fontId="54" fillId="80" borderId="160" xfId="0" applyFont="1" applyFill="1" applyBorder="1" applyAlignment="1">
      <alignment horizontal="left" vertical="center"/>
    </xf>
    <xf numFmtId="0" fontId="54" fillId="80" borderId="164" xfId="0" applyFont="1" applyFill="1" applyBorder="1" applyAlignment="1">
      <alignment horizontal="left" vertical="center"/>
    </xf>
    <xf numFmtId="49" fontId="132" fillId="83" borderId="24" xfId="6" applyNumberFormat="1" applyFont="1" applyFill="1" applyBorder="1" applyAlignment="1" applyProtection="1">
      <alignment horizontal="left" vertical="top" wrapText="1"/>
    </xf>
    <xf numFmtId="49" fontId="132" fillId="83" borderId="17" xfId="6" applyNumberFormat="1" applyFont="1" applyFill="1" applyBorder="1" applyAlignment="1" applyProtection="1">
      <alignment horizontal="left" vertical="top" wrapText="1"/>
    </xf>
    <xf numFmtId="0" fontId="16" fillId="0" borderId="25" xfId="0" applyFont="1" applyBorder="1" applyAlignment="1">
      <alignment horizontal="left" vertical="center"/>
    </xf>
    <xf numFmtId="0" fontId="16" fillId="0" borderId="23" xfId="0" applyFont="1" applyBorder="1" applyAlignment="1">
      <alignment horizontal="left" vertical="center"/>
    </xf>
    <xf numFmtId="0" fontId="83" fillId="60" borderId="0" xfId="6" applyFont="1" applyFill="1" applyAlignment="1">
      <alignment horizontal="left" vertical="center"/>
      <protection locked="0"/>
    </xf>
    <xf numFmtId="0" fontId="13" fillId="54" borderId="150" xfId="0" applyFont="1" applyFill="1" applyBorder="1" applyAlignment="1">
      <alignment horizontal="left" vertical="center"/>
    </xf>
    <xf numFmtId="0" fontId="13" fillId="54" borderId="151" xfId="0" applyFont="1" applyFill="1" applyBorder="1" applyAlignment="1">
      <alignment horizontal="left" vertical="center"/>
    </xf>
    <xf numFmtId="0" fontId="13" fillId="54" borderId="152" xfId="0" applyFont="1" applyFill="1" applyBorder="1" applyAlignment="1">
      <alignment horizontal="left" vertical="center"/>
    </xf>
    <xf numFmtId="0" fontId="16" fillId="6" borderId="24" xfId="0" applyFont="1" applyFill="1" applyBorder="1" applyAlignment="1">
      <alignment horizontal="left" vertical="center"/>
    </xf>
    <xf numFmtId="0" fontId="16" fillId="6" borderId="17" xfId="0" applyFont="1" applyFill="1" applyBorder="1" applyAlignment="1">
      <alignment horizontal="left" vertical="center"/>
    </xf>
    <xf numFmtId="0" fontId="16" fillId="0" borderId="17" xfId="0" applyFont="1" applyBorder="1" applyAlignment="1">
      <alignment horizontal="left" vertical="center"/>
    </xf>
    <xf numFmtId="0" fontId="16" fillId="0" borderId="21" xfId="0" applyFont="1" applyBorder="1" applyAlignment="1">
      <alignment horizontal="left" vertical="center"/>
    </xf>
    <xf numFmtId="0" fontId="16" fillId="54" borderId="16" xfId="0" applyFont="1" applyFill="1" applyBorder="1" applyAlignment="1">
      <alignment horizontal="left" vertical="center"/>
    </xf>
    <xf numFmtId="0" fontId="16" fillId="54" borderId="170" xfId="0" applyFont="1" applyFill="1" applyBorder="1" applyAlignment="1">
      <alignment horizontal="left" vertical="center"/>
    </xf>
    <xf numFmtId="0" fontId="130" fillId="0" borderId="0" xfId="2" applyFill="1" applyAlignment="1" applyProtection="1">
      <alignment horizontal="left" vertical="center" wrapText="1"/>
    </xf>
    <xf numFmtId="0" fontId="16" fillId="54" borderId="24" xfId="0" applyFont="1" applyFill="1" applyBorder="1" applyAlignment="1">
      <alignment horizontal="left" vertical="center"/>
    </xf>
    <xf numFmtId="0" fontId="16" fillId="54" borderId="17" xfId="0" applyFont="1" applyFill="1" applyBorder="1" applyAlignment="1">
      <alignment horizontal="left" vertical="center"/>
    </xf>
    <xf numFmtId="0" fontId="16" fillId="0" borderId="151" xfId="0" applyFont="1" applyBorder="1" applyAlignment="1">
      <alignment horizontal="left" vertical="center"/>
    </xf>
    <xf numFmtId="0" fontId="16" fillId="0" borderId="152" xfId="0" applyFont="1" applyBorder="1" applyAlignment="1">
      <alignment horizontal="left" vertical="center"/>
    </xf>
    <xf numFmtId="0" fontId="16" fillId="54" borderId="150" xfId="0" applyFont="1" applyFill="1" applyBorder="1" applyAlignment="1">
      <alignment horizontal="left" vertical="center"/>
    </xf>
    <xf numFmtId="0" fontId="16" fillId="54" borderId="151" xfId="0" applyFont="1" applyFill="1" applyBorder="1" applyAlignment="1">
      <alignment horizontal="left" vertical="center"/>
    </xf>
    <xf numFmtId="0" fontId="16" fillId="54" borderId="152" xfId="0" applyFont="1" applyFill="1" applyBorder="1" applyAlignment="1">
      <alignment horizontal="left" vertical="center"/>
    </xf>
    <xf numFmtId="0" fontId="15" fillId="0" borderId="0" xfId="0" applyFont="1" applyAlignment="1">
      <alignment horizontal="center" vertical="center" wrapText="1"/>
    </xf>
    <xf numFmtId="0" fontId="15" fillId="0" borderId="21" xfId="0" applyFont="1" applyBorder="1" applyAlignment="1">
      <alignment horizontal="center" vertical="center" wrapText="1"/>
    </xf>
    <xf numFmtId="0" fontId="15" fillId="0" borderId="25" xfId="0" applyFont="1" applyBorder="1" applyAlignment="1">
      <alignment horizontal="center" vertical="center" wrapText="1"/>
    </xf>
    <xf numFmtId="0" fontId="15" fillId="0" borderId="23" xfId="0" applyFont="1" applyBorder="1" applyAlignment="1">
      <alignment horizontal="center" vertical="center" wrapText="1"/>
    </xf>
    <xf numFmtId="178" fontId="96" fillId="0" borderId="97" xfId="0" applyNumberFormat="1" applyFont="1" applyBorder="1" applyAlignment="1">
      <alignment horizontal="left" vertical="top" wrapText="1" indent="1"/>
    </xf>
    <xf numFmtId="178" fontId="96" fillId="0" borderId="89" xfId="0" applyNumberFormat="1" applyFont="1" applyBorder="1" applyAlignment="1">
      <alignment horizontal="left" vertical="top" wrapText="1" indent="1"/>
    </xf>
    <xf numFmtId="178" fontId="96" fillId="0" borderId="36" xfId="0" applyNumberFormat="1" applyFont="1" applyBorder="1" applyAlignment="1">
      <alignment horizontal="left" vertical="top" wrapText="1" indent="1"/>
    </xf>
    <xf numFmtId="0" fontId="21" fillId="0" borderId="20" xfId="0" applyFont="1" applyBorder="1" applyAlignment="1">
      <alignment horizontal="center" vertical="center" wrapText="1"/>
    </xf>
    <xf numFmtId="0" fontId="21" fillId="0" borderId="0" xfId="0" applyFont="1" applyAlignment="1">
      <alignment horizontal="center" vertical="center" wrapText="1"/>
    </xf>
    <xf numFmtId="0" fontId="21" fillId="0" borderId="48" xfId="0" applyFont="1" applyBorder="1" applyAlignment="1">
      <alignment horizontal="center" vertical="center" wrapText="1"/>
    </xf>
    <xf numFmtId="0" fontId="21" fillId="0" borderId="2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5" fillId="0" borderId="70" xfId="0" applyFont="1" applyBorder="1" applyAlignment="1">
      <alignment horizontal="center" vertical="center"/>
    </xf>
    <xf numFmtId="0" fontId="121" fillId="34" borderId="20" xfId="0" applyFont="1" applyFill="1" applyBorder="1" applyAlignment="1">
      <alignment horizontal="center" vertical="center"/>
    </xf>
    <xf numFmtId="0" fontId="121" fillId="34" borderId="0" xfId="0" applyFont="1" applyFill="1" applyAlignment="1">
      <alignment horizontal="center" vertical="center"/>
    </xf>
    <xf numFmtId="0" fontId="121" fillId="34" borderId="21" xfId="0" applyFont="1" applyFill="1" applyBorder="1" applyAlignment="1">
      <alignment horizontal="center" vertical="center"/>
    </xf>
    <xf numFmtId="0" fontId="21" fillId="0" borderId="22"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3" xfId="0" applyFont="1" applyBorder="1" applyAlignment="1">
      <alignment horizontal="center" vertical="center" wrapText="1"/>
    </xf>
    <xf numFmtId="178" fontId="95" fillId="0" borderId="97" xfId="0" applyNumberFormat="1" applyFont="1" applyBorder="1" applyAlignment="1">
      <alignment horizontal="left" vertical="center" wrapText="1" indent="1"/>
    </xf>
    <xf numFmtId="178" fontId="95" fillId="0" borderId="89" xfId="0" applyNumberFormat="1" applyFont="1" applyBorder="1" applyAlignment="1">
      <alignment horizontal="left" vertical="center" wrapText="1" indent="1"/>
    </xf>
    <xf numFmtId="178" fontId="95" fillId="0" borderId="36" xfId="0" applyNumberFormat="1" applyFont="1" applyBorder="1" applyAlignment="1">
      <alignment horizontal="left" vertical="center" wrapText="1" indent="1"/>
    </xf>
    <xf numFmtId="0" fontId="122" fillId="11" borderId="20" xfId="0" applyFont="1" applyFill="1" applyBorder="1" applyAlignment="1">
      <alignment horizontal="center" vertical="center" wrapText="1"/>
    </xf>
    <xf numFmtId="0" fontId="122" fillId="34" borderId="0" xfId="0" applyFont="1" applyFill="1" applyAlignment="1">
      <alignment horizontal="center" vertical="center" wrapText="1"/>
    </xf>
    <xf numFmtId="0" fontId="122" fillId="34" borderId="21" xfId="0" applyFont="1" applyFill="1" applyBorder="1" applyAlignment="1">
      <alignment horizontal="center" vertical="center" wrapText="1"/>
    </xf>
    <xf numFmtId="0" fontId="122" fillId="34" borderId="20" xfId="0" applyFont="1" applyFill="1" applyBorder="1" applyAlignment="1">
      <alignment horizontal="center" vertical="center" wrapText="1"/>
    </xf>
    <xf numFmtId="0" fontId="15" fillId="0" borderId="11" xfId="0" applyFont="1" applyBorder="1" applyAlignment="1">
      <alignment horizontal="center" vertical="center" wrapText="1"/>
    </xf>
    <xf numFmtId="0" fontId="15" fillId="0" borderId="42" xfId="0" applyFont="1" applyBorder="1" applyAlignment="1">
      <alignment horizontal="center" vertical="center" wrapText="1"/>
    </xf>
    <xf numFmtId="0" fontId="24" fillId="11" borderId="16" xfId="0" applyFont="1" applyFill="1" applyBorder="1" applyAlignment="1">
      <alignment horizontal="center" vertical="center"/>
    </xf>
    <xf numFmtId="0" fontId="24" fillId="34" borderId="24" xfId="0" applyFont="1" applyFill="1" applyBorder="1" applyAlignment="1">
      <alignment horizontal="center" vertical="center"/>
    </xf>
    <xf numFmtId="0" fontId="24" fillId="34" borderId="17" xfId="0" applyFont="1" applyFill="1" applyBorder="1" applyAlignment="1">
      <alignment horizontal="center" vertical="center"/>
    </xf>
    <xf numFmtId="0" fontId="24" fillId="34" borderId="20" xfId="0" applyFont="1" applyFill="1" applyBorder="1" applyAlignment="1">
      <alignment horizontal="center" vertical="center"/>
    </xf>
    <xf numFmtId="0" fontId="24" fillId="34" borderId="0" xfId="0" applyFont="1" applyFill="1" applyAlignment="1">
      <alignment horizontal="center" vertical="center"/>
    </xf>
    <xf numFmtId="0" fontId="24" fillId="34" borderId="21" xfId="0" applyFont="1" applyFill="1" applyBorder="1" applyAlignment="1">
      <alignment horizontal="center" vertical="center"/>
    </xf>
    <xf numFmtId="0" fontId="24" fillId="34" borderId="22" xfId="0" applyFont="1" applyFill="1" applyBorder="1" applyAlignment="1">
      <alignment horizontal="center" vertical="center"/>
    </xf>
    <xf numFmtId="0" fontId="24" fillId="34" borderId="25" xfId="0" applyFont="1" applyFill="1" applyBorder="1" applyAlignment="1">
      <alignment horizontal="center" vertical="center"/>
    </xf>
    <xf numFmtId="0" fontId="24" fillId="34" borderId="23" xfId="0" applyFont="1" applyFill="1" applyBorder="1" applyAlignment="1">
      <alignment horizontal="center" vertical="center"/>
    </xf>
    <xf numFmtId="0" fontId="15" fillId="0" borderId="20" xfId="0" applyFont="1" applyBorder="1" applyAlignment="1">
      <alignment horizontal="center" vertical="center" wrapText="1"/>
    </xf>
    <xf numFmtId="0" fontId="15" fillId="0" borderId="148" xfId="0" applyFont="1" applyBorder="1" applyAlignment="1">
      <alignment horizontal="center" vertical="center" wrapText="1"/>
    </xf>
    <xf numFmtId="0" fontId="15" fillId="0" borderId="148" xfId="0" applyFont="1" applyBorder="1" applyAlignment="1">
      <alignment horizontal="center" vertical="center"/>
    </xf>
    <xf numFmtId="0" fontId="15" fillId="0" borderId="2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41" xfId="0" applyFont="1" applyBorder="1" applyAlignment="1">
      <alignment horizontal="center" vertical="center" wrapText="1"/>
    </xf>
    <xf numFmtId="0" fontId="3" fillId="0" borderId="23" xfId="0" applyFont="1" applyBorder="1" applyAlignment="1">
      <alignment horizontal="center" vertical="center"/>
    </xf>
    <xf numFmtId="0" fontId="88" fillId="0" borderId="20" xfId="0" applyFont="1" applyBorder="1" applyAlignment="1">
      <alignment horizontal="center" vertical="center" wrapText="1"/>
    </xf>
    <xf numFmtId="0" fontId="88" fillId="0" borderId="0" xfId="0" applyFont="1" applyAlignment="1">
      <alignment horizontal="center" vertical="center" wrapText="1"/>
    </xf>
    <xf numFmtId="0" fontId="88" fillId="0" borderId="21" xfId="0" applyFont="1" applyBorder="1" applyAlignment="1">
      <alignment horizontal="center" vertical="center" wrapText="1"/>
    </xf>
    <xf numFmtId="0" fontId="55" fillId="0" borderId="20" xfId="0" applyFont="1" applyBorder="1" applyAlignment="1">
      <alignment horizontal="center" vertical="center"/>
    </xf>
    <xf numFmtId="0" fontId="55" fillId="0" borderId="0" xfId="0" applyFont="1" applyAlignment="1">
      <alignment horizontal="center" vertical="center"/>
    </xf>
    <xf numFmtId="0" fontId="55" fillId="0" borderId="21" xfId="0" applyFont="1" applyBorder="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left" vertical="center"/>
    </xf>
    <xf numFmtId="0" fontId="12" fillId="0" borderId="76" xfId="0" applyFont="1" applyBorder="1" applyAlignment="1">
      <alignment horizontal="left" vertical="center" wrapText="1"/>
    </xf>
    <xf numFmtId="49" fontId="1" fillId="0" borderId="20" xfId="0" applyNumberFormat="1" applyFont="1" applyBorder="1" applyAlignment="1">
      <alignment horizontal="left" vertical="center" wrapText="1"/>
    </xf>
    <xf numFmtId="0" fontId="3" fillId="0" borderId="2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0" xfId="0" applyFont="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0" xfId="0" applyFont="1" applyBorder="1" applyAlignment="1">
      <alignment horizontal="center" vertical="top" wrapText="1"/>
    </xf>
    <xf numFmtId="0" fontId="3" fillId="0" borderId="0" xfId="0" applyFont="1" applyAlignment="1">
      <alignment horizontal="center" vertical="top"/>
    </xf>
    <xf numFmtId="0" fontId="3" fillId="0" borderId="37" xfId="0" applyFont="1" applyBorder="1" applyAlignment="1">
      <alignment horizontal="center" vertical="top"/>
    </xf>
    <xf numFmtId="0" fontId="3" fillId="0" borderId="38" xfId="0" applyFont="1" applyBorder="1" applyAlignment="1">
      <alignment horizontal="center" vertical="top"/>
    </xf>
    <xf numFmtId="0" fontId="3" fillId="0" borderId="49" xfId="0" applyFont="1" applyBorder="1" applyAlignment="1">
      <alignment horizontal="center" vertical="top" wrapText="1"/>
    </xf>
    <xf numFmtId="0" fontId="3" fillId="0" borderId="21" xfId="0" applyFont="1" applyBorder="1" applyAlignment="1">
      <alignment horizontal="center" vertical="top"/>
    </xf>
    <xf numFmtId="0" fontId="3" fillId="0" borderId="50" xfId="0" applyFont="1" applyBorder="1" applyAlignment="1">
      <alignment horizontal="center" vertical="top"/>
    </xf>
    <xf numFmtId="0" fontId="3" fillId="0" borderId="40" xfId="0" applyFont="1" applyBorder="1" applyAlignment="1">
      <alignment horizontal="center" vertical="top"/>
    </xf>
    <xf numFmtId="0" fontId="25" fillId="11" borderId="20" xfId="0" applyFont="1" applyFill="1" applyBorder="1" applyAlignment="1">
      <alignment horizontal="center" vertical="center"/>
    </xf>
    <xf numFmtId="0" fontId="25" fillId="34" borderId="0" xfId="0" applyFont="1" applyFill="1" applyAlignment="1">
      <alignment horizontal="center" vertical="center"/>
    </xf>
    <xf numFmtId="0" fontId="25" fillId="34" borderId="21" xfId="0" applyFont="1" applyFill="1" applyBorder="1" applyAlignment="1">
      <alignment horizontal="center" vertical="center"/>
    </xf>
    <xf numFmtId="0" fontId="25" fillId="34" borderId="37" xfId="0" applyFont="1" applyFill="1" applyBorder="1" applyAlignment="1">
      <alignment horizontal="center" vertical="center"/>
    </xf>
    <xf numFmtId="0" fontId="25" fillId="34" borderId="38" xfId="0" applyFont="1" applyFill="1" applyBorder="1" applyAlignment="1">
      <alignment horizontal="center" vertical="center"/>
    </xf>
    <xf numFmtId="0" fontId="25" fillId="34" borderId="40" xfId="0" applyFont="1" applyFill="1" applyBorder="1" applyAlignment="1">
      <alignment horizontal="center" vertical="center"/>
    </xf>
    <xf numFmtId="49" fontId="1" fillId="0" borderId="0" xfId="0" applyNumberFormat="1" applyFont="1" applyAlignment="1">
      <alignment horizontal="left" vertical="center" wrapText="1"/>
    </xf>
    <xf numFmtId="49" fontId="1" fillId="0" borderId="0" xfId="0" applyNumberFormat="1" applyFont="1" applyAlignment="1">
      <alignment horizontal="left" vertical="center"/>
    </xf>
    <xf numFmtId="49" fontId="1" fillId="0" borderId="21" xfId="0" applyNumberFormat="1" applyFont="1" applyBorder="1" applyAlignment="1">
      <alignment horizontal="left" vertical="center"/>
    </xf>
    <xf numFmtId="178" fontId="95" fillId="0" borderId="80" xfId="0" applyNumberFormat="1" applyFont="1" applyBorder="1" applyAlignment="1">
      <alignment horizontal="left" vertical="top" wrapText="1"/>
    </xf>
    <xf numFmtId="178" fontId="95" fillId="0" borderId="81" xfId="0" applyNumberFormat="1" applyFont="1" applyBorder="1" applyAlignment="1">
      <alignment horizontal="left" vertical="top" wrapText="1"/>
    </xf>
    <xf numFmtId="178" fontId="95" fillId="0" borderId="92" xfId="0" applyNumberFormat="1" applyFont="1" applyBorder="1" applyAlignment="1">
      <alignment horizontal="left" vertical="top" wrapText="1"/>
    </xf>
    <xf numFmtId="178" fontId="95" fillId="0" borderId="20" xfId="0" applyNumberFormat="1" applyFont="1" applyBorder="1" applyAlignment="1">
      <alignment horizontal="left" vertical="top" wrapText="1"/>
    </xf>
    <xf numFmtId="178" fontId="95" fillId="0" borderId="0" xfId="0" applyNumberFormat="1" applyFont="1" applyAlignment="1">
      <alignment horizontal="left" vertical="top" wrapText="1"/>
    </xf>
    <xf numFmtId="178" fontId="95" fillId="0" borderId="21" xfId="0" applyNumberFormat="1" applyFont="1" applyBorder="1" applyAlignment="1">
      <alignment horizontal="left" vertical="top" wrapText="1"/>
    </xf>
    <xf numFmtId="178" fontId="95" fillId="0" borderId="22" xfId="0" applyNumberFormat="1" applyFont="1" applyBorder="1" applyAlignment="1">
      <alignment horizontal="left" vertical="top" wrapText="1"/>
    </xf>
    <xf numFmtId="178" fontId="95" fillId="0" borderId="25" xfId="0" applyNumberFormat="1" applyFont="1" applyBorder="1" applyAlignment="1">
      <alignment horizontal="left" vertical="top" wrapText="1"/>
    </xf>
    <xf numFmtId="178" fontId="95" fillId="0" borderId="23" xfId="0" applyNumberFormat="1" applyFont="1" applyBorder="1" applyAlignment="1">
      <alignment horizontal="left" vertical="top" wrapText="1"/>
    </xf>
    <xf numFmtId="0" fontId="25" fillId="11" borderId="16" xfId="0" applyFont="1" applyFill="1" applyBorder="1" applyAlignment="1">
      <alignment horizontal="center" vertical="center"/>
    </xf>
    <xf numFmtId="0" fontId="25" fillId="34" borderId="24" xfId="0" applyFont="1" applyFill="1" applyBorder="1" applyAlignment="1">
      <alignment horizontal="center" vertical="center"/>
    </xf>
    <xf numFmtId="0" fontId="25" fillId="34" borderId="17" xfId="0" applyFont="1" applyFill="1" applyBorder="1" applyAlignment="1">
      <alignment horizontal="center" vertical="center"/>
    </xf>
    <xf numFmtId="0" fontId="25" fillId="34" borderId="20" xfId="0" applyFont="1" applyFill="1" applyBorder="1" applyAlignment="1">
      <alignment horizontal="center" vertical="center"/>
    </xf>
    <xf numFmtId="0" fontId="123" fillId="0" borderId="20" xfId="0" applyFont="1" applyBorder="1" applyAlignment="1">
      <alignment horizontal="center" vertical="center"/>
    </xf>
    <xf numFmtId="0" fontId="123" fillId="0" borderId="0" xfId="0" applyFont="1" applyAlignment="1">
      <alignment horizontal="center" vertical="center"/>
    </xf>
    <xf numFmtId="0" fontId="123" fillId="0" borderId="21" xfId="0" applyFont="1" applyBorder="1" applyAlignment="1">
      <alignment horizontal="center" vertical="center"/>
    </xf>
    <xf numFmtId="0" fontId="21" fillId="0" borderId="26" xfId="0" applyFont="1" applyBorder="1" applyAlignment="1">
      <alignment horizontal="center" vertical="center" wrapText="1"/>
    </xf>
    <xf numFmtId="0" fontId="21" fillId="0" borderId="47" xfId="0" applyFont="1" applyBorder="1" applyAlignment="1">
      <alignment horizontal="center" vertical="center" wrapText="1"/>
    </xf>
    <xf numFmtId="0" fontId="21" fillId="0" borderId="58"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49" xfId="0" applyFont="1" applyBorder="1" applyAlignment="1">
      <alignment horizontal="center" vertical="center" wrapText="1"/>
    </xf>
    <xf numFmtId="0" fontId="3" fillId="0" borderId="48" xfId="0" applyFont="1" applyBorder="1" applyAlignment="1">
      <alignment horizontal="center" vertical="top"/>
    </xf>
    <xf numFmtId="0" fontId="3" fillId="0" borderId="51" xfId="0" applyFont="1" applyBorder="1" applyAlignment="1">
      <alignment horizontal="center" vertical="top"/>
    </xf>
    <xf numFmtId="0" fontId="3" fillId="0" borderId="0" xfId="0" applyFont="1" applyAlignment="1">
      <alignment horizontal="center" vertical="top" wrapText="1"/>
    </xf>
    <xf numFmtId="49" fontId="1" fillId="0" borderId="21" xfId="0" applyNumberFormat="1" applyFont="1" applyBorder="1" applyAlignment="1">
      <alignment horizontal="left" vertical="center" wrapText="1"/>
    </xf>
    <xf numFmtId="0" fontId="3" fillId="10" borderId="146" xfId="0" applyFont="1" applyFill="1" applyBorder="1" applyAlignment="1">
      <alignment horizontal="center" vertical="center"/>
    </xf>
    <xf numFmtId="0" fontId="3" fillId="62" borderId="97" xfId="0" applyFont="1" applyFill="1" applyBorder="1" applyAlignment="1">
      <alignment horizontal="center" vertical="center"/>
    </xf>
    <xf numFmtId="0" fontId="3" fillId="62" borderId="36" xfId="0" applyFont="1" applyFill="1" applyBorder="1" applyAlignment="1">
      <alignment horizontal="center" vertical="center"/>
    </xf>
    <xf numFmtId="49" fontId="1" fillId="0" borderId="25" xfId="0" applyNumberFormat="1" applyFont="1" applyBorder="1" applyAlignment="1">
      <alignment horizontal="left" vertical="center" wrapText="1"/>
    </xf>
    <xf numFmtId="49" fontId="1" fillId="0" borderId="23" xfId="0" applyNumberFormat="1" applyFont="1" applyBorder="1" applyAlignment="1">
      <alignment horizontal="left" vertical="center" wrapText="1"/>
    </xf>
    <xf numFmtId="0" fontId="3" fillId="62" borderId="88" xfId="0" applyFont="1" applyFill="1" applyBorder="1" applyAlignment="1">
      <alignment horizontal="center" vertical="center"/>
    </xf>
    <xf numFmtId="0" fontId="3" fillId="10" borderId="97" xfId="0" applyFont="1" applyFill="1" applyBorder="1" applyAlignment="1">
      <alignment horizontal="center" vertical="center"/>
    </xf>
    <xf numFmtId="0" fontId="3" fillId="62" borderId="89" xfId="0" applyFont="1" applyFill="1" applyBorder="1" applyAlignment="1">
      <alignment horizontal="center" vertical="center"/>
    </xf>
    <xf numFmtId="178" fontId="96" fillId="0" borderId="146" xfId="0" applyNumberFormat="1" applyFont="1" applyBorder="1" applyAlignment="1">
      <alignment horizontal="left" vertical="center" wrapText="1"/>
    </xf>
    <xf numFmtId="178" fontId="96" fillId="0" borderId="97" xfId="0" applyNumberFormat="1" applyFont="1" applyBorder="1" applyAlignment="1">
      <alignment horizontal="left" vertical="center" wrapText="1"/>
    </xf>
    <xf numFmtId="178" fontId="96" fillId="0" borderId="88" xfId="0" applyNumberFormat="1"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21" xfId="0" applyFont="1" applyBorder="1" applyAlignment="1">
      <alignment horizontal="left" vertical="center"/>
    </xf>
    <xf numFmtId="49" fontId="1" fillId="0" borderId="0" xfId="0" applyNumberFormat="1" applyFont="1" applyAlignment="1">
      <alignment horizontal="left" vertical="top" wrapText="1"/>
    </xf>
    <xf numFmtId="49" fontId="1" fillId="0" borderId="21" xfId="0" applyNumberFormat="1" applyFont="1" applyBorder="1" applyAlignment="1">
      <alignment horizontal="left" vertical="top" wrapText="1"/>
    </xf>
    <xf numFmtId="0" fontId="3" fillId="10" borderId="89" xfId="0" applyFont="1" applyFill="1" applyBorder="1" applyAlignment="1">
      <alignment horizontal="center" vertical="center"/>
    </xf>
    <xf numFmtId="49" fontId="117" fillId="0" borderId="97" xfId="0" applyNumberFormat="1" applyFont="1" applyBorder="1" applyAlignment="1">
      <alignment horizontal="center" vertical="center"/>
    </xf>
    <xf numFmtId="178" fontId="118" fillId="0" borderId="97" xfId="0" applyNumberFormat="1" applyFont="1" applyBorder="1" applyAlignment="1">
      <alignment horizontal="center" vertical="center" wrapText="1"/>
    </xf>
    <xf numFmtId="178" fontId="2" fillId="0" borderId="80" xfId="0" applyNumberFormat="1" applyFont="1" applyBorder="1" applyAlignment="1" applyProtection="1">
      <alignment horizontal="center" vertical="center" wrapText="1"/>
      <protection locked="0"/>
    </xf>
    <xf numFmtId="178" fontId="2" fillId="0" borderId="81" xfId="0" applyNumberFormat="1" applyFont="1" applyBorder="1" applyAlignment="1" applyProtection="1">
      <alignment horizontal="center" vertical="center" wrapText="1"/>
      <protection locked="0"/>
    </xf>
    <xf numFmtId="178" fontId="2" fillId="0" borderId="20" xfId="0" applyNumberFormat="1" applyFont="1" applyBorder="1" applyAlignment="1" applyProtection="1">
      <alignment horizontal="center" vertical="center" wrapText="1"/>
      <protection locked="0"/>
    </xf>
    <xf numFmtId="178" fontId="2" fillId="0" borderId="0" xfId="0" applyNumberFormat="1" applyFont="1" applyAlignment="1" applyProtection="1">
      <alignment horizontal="center" vertical="center" wrapText="1"/>
      <protection locked="0"/>
    </xf>
    <xf numFmtId="178" fontId="33" fillId="0" borderId="97" xfId="0" applyNumberFormat="1" applyFont="1" applyBorder="1" applyAlignment="1">
      <alignment horizontal="left" vertical="center" wrapText="1"/>
    </xf>
    <xf numFmtId="178" fontId="33" fillId="0" borderId="81" xfId="0" applyNumberFormat="1" applyFont="1" applyBorder="1" applyAlignment="1">
      <alignment horizontal="left" vertical="center" wrapText="1"/>
    </xf>
    <xf numFmtId="178" fontId="33" fillId="0" borderId="92" xfId="0" applyNumberFormat="1" applyFont="1" applyBorder="1" applyAlignment="1">
      <alignment horizontal="left" vertical="center" wrapText="1"/>
    </xf>
    <xf numFmtId="178" fontId="33" fillId="0" borderId="0" xfId="0" applyNumberFormat="1" applyFont="1" applyAlignment="1">
      <alignment horizontal="left" vertical="center" wrapText="1"/>
    </xf>
    <xf numFmtId="178" fontId="33" fillId="0" borderId="21" xfId="0" applyNumberFormat="1" applyFont="1" applyBorder="1" applyAlignment="1">
      <alignment horizontal="left" vertical="center" wrapText="1"/>
    </xf>
    <xf numFmtId="0" fontId="110" fillId="2" borderId="144" xfId="0" applyFont="1" applyFill="1" applyBorder="1" applyAlignment="1">
      <alignment horizontal="center" vertical="center"/>
    </xf>
    <xf numFmtId="0" fontId="110" fillId="81" borderId="145" xfId="0" applyFont="1" applyFill="1" applyBorder="1" applyAlignment="1">
      <alignment horizontal="center" vertical="center"/>
    </xf>
    <xf numFmtId="0" fontId="110" fillId="81" borderId="147" xfId="0" applyFont="1" applyFill="1" applyBorder="1" applyAlignment="1">
      <alignment horizontal="center" vertical="center"/>
    </xf>
    <xf numFmtId="0" fontId="7" fillId="81" borderId="24" xfId="0" applyFont="1" applyFill="1" applyBorder="1" applyAlignment="1">
      <alignment horizontal="center" vertical="center"/>
    </xf>
    <xf numFmtId="0" fontId="7" fillId="81" borderId="17" xfId="0" applyFont="1" applyFill="1" applyBorder="1" applyAlignment="1">
      <alignment horizontal="center" vertical="center"/>
    </xf>
    <xf numFmtId="0" fontId="3" fillId="54" borderId="97" xfId="0" applyFont="1" applyFill="1" applyBorder="1" applyAlignment="1">
      <alignment horizontal="center" vertical="center"/>
    </xf>
    <xf numFmtId="0" fontId="3" fillId="54" borderId="36" xfId="0" applyFont="1" applyFill="1" applyBorder="1" applyAlignment="1">
      <alignment horizontal="center" vertical="center"/>
    </xf>
    <xf numFmtId="0" fontId="1" fillId="10" borderId="0" xfId="0" applyFont="1" applyFill="1" applyAlignment="1">
      <alignment horizontal="center" vertical="center"/>
    </xf>
    <xf numFmtId="0" fontId="1" fillId="62" borderId="0" xfId="0" applyFont="1" applyFill="1" applyAlignment="1">
      <alignment horizontal="center" vertical="center"/>
    </xf>
    <xf numFmtId="0" fontId="1" fillId="62" borderId="21" xfId="0" applyFont="1" applyFill="1" applyBorder="1" applyAlignment="1">
      <alignment horizontal="center" vertical="center"/>
    </xf>
    <xf numFmtId="0" fontId="104" fillId="11" borderId="0" xfId="0" applyFont="1" applyFill="1" applyAlignment="1">
      <alignment horizontal="center" vertical="center"/>
    </xf>
    <xf numFmtId="0" fontId="104" fillId="34" borderId="0" xfId="0" applyFont="1" applyFill="1" applyAlignment="1">
      <alignment horizontal="center" vertical="center"/>
    </xf>
    <xf numFmtId="0" fontId="104" fillId="0" borderId="0" xfId="0" applyFont="1" applyAlignment="1">
      <alignment horizontal="center" vertical="center"/>
    </xf>
    <xf numFmtId="0" fontId="104" fillId="0" borderId="21" xfId="0" applyFont="1" applyBorder="1" applyAlignment="1">
      <alignment horizontal="center" vertical="center" wrapText="1"/>
    </xf>
    <xf numFmtId="0" fontId="104" fillId="34" borderId="21" xfId="0" applyFont="1" applyFill="1" applyBorder="1" applyAlignment="1">
      <alignment horizontal="center" vertical="center" wrapText="1"/>
    </xf>
    <xf numFmtId="0" fontId="102" fillId="0" borderId="9" xfId="0" applyFont="1" applyBorder="1" applyAlignment="1">
      <alignment horizontal="center" vertical="center" wrapText="1"/>
    </xf>
    <xf numFmtId="0" fontId="102" fillId="0" borderId="0" xfId="0" applyFont="1" applyAlignment="1">
      <alignment horizontal="center" vertical="center" wrapText="1"/>
    </xf>
    <xf numFmtId="0" fontId="102" fillId="0" borderId="14" xfId="0" applyFont="1" applyBorder="1" applyAlignment="1">
      <alignment horizontal="center" vertical="center" wrapText="1"/>
    </xf>
    <xf numFmtId="0" fontId="102" fillId="0" borderId="10" xfId="0" applyFont="1" applyBorder="1" applyAlignment="1">
      <alignment horizontal="center" vertical="center" wrapText="1"/>
    </xf>
    <xf numFmtId="0" fontId="102" fillId="0" borderId="11" xfId="0" applyFont="1" applyBorder="1" applyAlignment="1">
      <alignment horizontal="center" vertical="center" wrapText="1"/>
    </xf>
    <xf numFmtId="0" fontId="102" fillId="0" borderId="15" xfId="0" applyFont="1" applyBorder="1" applyAlignment="1">
      <alignment horizontal="center" vertical="center" wrapText="1"/>
    </xf>
    <xf numFmtId="0" fontId="102" fillId="71" borderId="0" xfId="0" applyFont="1" applyFill="1" applyAlignment="1">
      <alignment horizontal="center" vertical="center"/>
    </xf>
    <xf numFmtId="0" fontId="102" fillId="71" borderId="112" xfId="0" applyFont="1" applyFill="1" applyBorder="1" applyAlignment="1">
      <alignment horizontal="center" vertical="center"/>
    </xf>
    <xf numFmtId="0" fontId="102" fillId="73" borderId="0" xfId="0" applyFont="1" applyFill="1" applyAlignment="1">
      <alignment horizontal="center" vertical="center" wrapText="1"/>
    </xf>
    <xf numFmtId="0" fontId="102" fillId="75" borderId="0" xfId="0" applyFont="1" applyFill="1" applyAlignment="1">
      <alignment horizontal="center" vertical="center" wrapText="1"/>
    </xf>
    <xf numFmtId="0" fontId="102" fillId="78" borderId="0" xfId="0" applyFont="1" applyFill="1" applyAlignment="1">
      <alignment horizontal="center" vertical="center" wrapText="1"/>
    </xf>
    <xf numFmtId="0" fontId="102" fillId="0" borderId="1" xfId="0" applyFont="1" applyBorder="1" applyAlignment="1">
      <alignment horizontal="center" vertical="center" wrapText="1"/>
    </xf>
    <xf numFmtId="0" fontId="104" fillId="0" borderId="25" xfId="0" applyFont="1" applyBorder="1" applyAlignment="1">
      <alignment horizontal="center" vertical="center"/>
    </xf>
    <xf numFmtId="0" fontId="3" fillId="0" borderId="47" xfId="0" applyFont="1" applyBorder="1" applyAlignment="1">
      <alignment horizontal="center" vertical="center"/>
    </xf>
    <xf numFmtId="0" fontId="3" fillId="0" borderId="136" xfId="0" applyFont="1" applyBorder="1" applyAlignment="1">
      <alignment horizontal="center" vertical="center"/>
    </xf>
    <xf numFmtId="0" fontId="3" fillId="0" borderId="137" xfId="0" applyFont="1" applyBorder="1" applyAlignment="1">
      <alignment horizontal="center" vertical="center"/>
    </xf>
    <xf numFmtId="0" fontId="3" fillId="0" borderId="140" xfId="0" applyFont="1" applyBorder="1" applyAlignment="1">
      <alignment horizontal="center" vertical="center"/>
    </xf>
    <xf numFmtId="0" fontId="3" fillId="0" borderId="58" xfId="0" applyFont="1" applyBorder="1" applyAlignment="1">
      <alignment horizontal="center" vertical="center" wrapText="1"/>
    </xf>
    <xf numFmtId="0" fontId="3" fillId="0" borderId="27" xfId="0" applyFont="1" applyBorder="1" applyAlignment="1">
      <alignment horizontal="center" vertical="center"/>
    </xf>
    <xf numFmtId="0" fontId="3" fillId="0" borderId="49" xfId="0" applyFont="1" applyBorder="1" applyAlignment="1">
      <alignment horizontal="center" vertical="center"/>
    </xf>
    <xf numFmtId="0" fontId="3" fillId="0" borderId="21" xfId="0" applyFont="1" applyBorder="1" applyAlignment="1">
      <alignment horizontal="center" vertical="center"/>
    </xf>
    <xf numFmtId="0" fontId="3" fillId="0" borderId="61" xfId="0" applyFont="1" applyBorder="1" applyAlignment="1">
      <alignment horizontal="center" vertical="center"/>
    </xf>
    <xf numFmtId="0" fontId="105" fillId="5" borderId="133" xfId="0" applyFont="1" applyFill="1" applyBorder="1" applyAlignment="1">
      <alignment horizontal="center" vertical="center"/>
    </xf>
    <xf numFmtId="0" fontId="105" fillId="6" borderId="0" xfId="0" applyFont="1" applyFill="1" applyAlignment="1">
      <alignment horizontal="center" vertical="center"/>
    </xf>
    <xf numFmtId="0" fontId="105" fillId="6" borderId="133" xfId="0" applyFont="1" applyFill="1" applyBorder="1" applyAlignment="1">
      <alignment horizontal="center" vertical="center"/>
    </xf>
    <xf numFmtId="0" fontId="105" fillId="11" borderId="133" xfId="0" applyFont="1" applyFill="1" applyBorder="1" applyAlignment="1">
      <alignment horizontal="center" vertical="center"/>
    </xf>
    <xf numFmtId="0" fontId="105" fillId="34" borderId="0" xfId="0" applyFont="1" applyFill="1" applyAlignment="1">
      <alignment horizontal="center" vertical="center"/>
    </xf>
    <xf numFmtId="0" fontId="105" fillId="34" borderId="138" xfId="0" applyFont="1" applyFill="1" applyBorder="1" applyAlignment="1">
      <alignment horizontal="center" vertical="center"/>
    </xf>
    <xf numFmtId="0" fontId="105" fillId="34" borderId="133" xfId="0" applyFont="1" applyFill="1" applyBorder="1" applyAlignment="1">
      <alignment horizontal="center" vertical="center"/>
    </xf>
    <xf numFmtId="0" fontId="105" fillId="34" borderId="134" xfId="0" applyFont="1" applyFill="1" applyBorder="1" applyAlignment="1">
      <alignment horizontal="center" vertical="center"/>
    </xf>
    <xf numFmtId="0" fontId="105" fillId="34" borderId="135" xfId="0" applyFont="1" applyFill="1" applyBorder="1" applyAlignment="1">
      <alignment horizontal="center" vertical="center"/>
    </xf>
    <xf numFmtId="0" fontId="105" fillId="34" borderId="139" xfId="0" applyFont="1" applyFill="1" applyBorder="1" applyAlignment="1">
      <alignment horizontal="center" vertical="center"/>
    </xf>
    <xf numFmtId="0" fontId="102" fillId="11" borderId="20" xfId="0" applyFont="1" applyFill="1" applyBorder="1" applyAlignment="1">
      <alignment horizontal="center" vertical="center"/>
    </xf>
    <xf numFmtId="0" fontId="102" fillId="34" borderId="0" xfId="0" applyFont="1" applyFill="1" applyAlignment="1">
      <alignment horizontal="center" vertical="center"/>
    </xf>
    <xf numFmtId="0" fontId="102" fillId="34" borderId="22" xfId="0" applyFont="1" applyFill="1" applyBorder="1" applyAlignment="1">
      <alignment horizontal="center" vertical="center"/>
    </xf>
    <xf numFmtId="0" fontId="102" fillId="34" borderId="25" xfId="0" applyFont="1" applyFill="1" applyBorder="1" applyAlignment="1">
      <alignment horizontal="center" vertical="center"/>
    </xf>
    <xf numFmtId="0" fontId="102" fillId="11" borderId="97" xfId="0" applyFont="1" applyFill="1" applyBorder="1" applyAlignment="1">
      <alignment horizontal="center" vertical="center"/>
    </xf>
    <xf numFmtId="0" fontId="102" fillId="34" borderId="98" xfId="0" applyFont="1" applyFill="1" applyBorder="1" applyAlignment="1">
      <alignment horizontal="center" vertical="center"/>
    </xf>
    <xf numFmtId="0" fontId="102" fillId="0" borderId="78" xfId="0" applyFont="1" applyBorder="1" applyAlignment="1">
      <alignment horizontal="center" vertical="center"/>
    </xf>
    <xf numFmtId="0" fontId="102" fillId="0" borderId="0" xfId="0" applyFont="1" applyAlignment="1">
      <alignment horizontal="center" vertical="center"/>
    </xf>
    <xf numFmtId="0" fontId="102" fillId="0" borderId="90" xfId="0" applyFont="1" applyBorder="1" applyAlignment="1">
      <alignment horizontal="center" vertical="center"/>
    </xf>
    <xf numFmtId="0" fontId="102" fillId="0" borderId="98" xfId="0" applyFont="1" applyBorder="1" applyAlignment="1">
      <alignment horizontal="center" vertical="center"/>
    </xf>
    <xf numFmtId="0" fontId="102" fillId="0" borderId="25" xfId="0" applyFont="1" applyBorder="1" applyAlignment="1">
      <alignment horizontal="center" vertical="center"/>
    </xf>
    <xf numFmtId="0" fontId="102" fillId="0" borderId="96" xfId="0" applyFont="1" applyBorder="1" applyAlignment="1">
      <alignment horizontal="center" vertical="center"/>
    </xf>
    <xf numFmtId="0" fontId="102" fillId="11" borderId="0" xfId="0" applyFont="1" applyFill="1" applyAlignment="1">
      <alignment horizontal="center" vertical="center"/>
    </xf>
    <xf numFmtId="0" fontId="102" fillId="11" borderId="93" xfId="0" applyFont="1" applyFill="1" applyBorder="1" applyAlignment="1">
      <alignment horizontal="center" vertical="center"/>
    </xf>
    <xf numFmtId="0" fontId="102" fillId="34" borderId="121" xfId="0" applyFont="1" applyFill="1" applyBorder="1" applyAlignment="1">
      <alignment horizontal="center" vertical="center"/>
    </xf>
    <xf numFmtId="0" fontId="102" fillId="11" borderId="78" xfId="0" applyFont="1" applyFill="1" applyBorder="1" applyAlignment="1">
      <alignment horizontal="center" vertical="center"/>
    </xf>
    <xf numFmtId="0" fontId="102" fillId="0" borderId="21" xfId="0" applyFont="1" applyBorder="1" applyAlignment="1">
      <alignment horizontal="center" vertical="center"/>
    </xf>
    <xf numFmtId="0" fontId="102" fillId="0" borderId="23" xfId="0" applyFont="1" applyBorder="1" applyAlignment="1">
      <alignment horizontal="center" vertical="center"/>
    </xf>
    <xf numFmtId="0" fontId="104" fillId="0" borderId="21" xfId="0" applyFont="1" applyBorder="1" applyAlignment="1">
      <alignment horizontal="center" vertical="center"/>
    </xf>
    <xf numFmtId="0" fontId="105" fillId="11" borderId="0" xfId="0" applyFont="1" applyFill="1" applyAlignment="1">
      <alignment horizontal="center" vertical="center" wrapText="1"/>
    </xf>
    <xf numFmtId="0" fontId="105" fillId="11" borderId="119" xfId="0" applyFont="1" applyFill="1" applyBorder="1" applyAlignment="1">
      <alignment horizontal="center" vertical="center"/>
    </xf>
    <xf numFmtId="0" fontId="105" fillId="34" borderId="120" xfId="0" applyFont="1" applyFill="1" applyBorder="1" applyAlignment="1">
      <alignment horizontal="center" vertical="center"/>
    </xf>
    <xf numFmtId="0" fontId="60" fillId="0" borderId="0" xfId="0" applyFont="1" applyAlignment="1">
      <alignment horizontal="center" vertical="center"/>
    </xf>
    <xf numFmtId="0" fontId="113" fillId="5" borderId="0" xfId="0" applyFont="1" applyFill="1" applyAlignment="1">
      <alignment horizontal="center" vertical="center"/>
    </xf>
    <xf numFmtId="0" fontId="114" fillId="6" borderId="0" xfId="0" applyFont="1" applyFill="1" applyAlignment="1">
      <alignment horizontal="center" vertical="center"/>
    </xf>
    <xf numFmtId="0" fontId="114" fillId="6" borderId="138" xfId="0" applyFont="1" applyFill="1" applyBorder="1" applyAlignment="1">
      <alignment horizontal="center" vertical="center"/>
    </xf>
    <xf numFmtId="0" fontId="102" fillId="72" borderId="0" xfId="0" applyFont="1" applyFill="1" applyAlignment="1">
      <alignment horizontal="center" vertical="center"/>
    </xf>
    <xf numFmtId="0" fontId="102" fillId="73" borderId="0" xfId="0" applyFont="1" applyFill="1" applyAlignment="1">
      <alignment horizontal="center" vertical="center"/>
    </xf>
    <xf numFmtId="0" fontId="102" fillId="75" borderId="0" xfId="0" applyFont="1" applyFill="1" applyAlignment="1">
      <alignment horizontal="center" vertical="center"/>
    </xf>
    <xf numFmtId="0" fontId="102" fillId="78" borderId="0" xfId="0" applyFont="1" applyFill="1" applyAlignment="1">
      <alignment horizontal="center" vertical="center"/>
    </xf>
    <xf numFmtId="0" fontId="105" fillId="5" borderId="0" xfId="0" applyFont="1" applyFill="1" applyAlignment="1">
      <alignment horizontal="center" vertical="center" wrapText="1"/>
    </xf>
    <xf numFmtId="0" fontId="105" fillId="6" borderId="138" xfId="0" applyFont="1" applyFill="1" applyBorder="1" applyAlignment="1">
      <alignment horizontal="center" vertical="center"/>
    </xf>
    <xf numFmtId="0" fontId="105" fillId="11" borderId="120" xfId="0" applyFont="1" applyFill="1" applyBorder="1" applyAlignment="1">
      <alignment horizontal="center" vertical="center" wrapText="1"/>
    </xf>
    <xf numFmtId="0" fontId="105" fillId="34" borderId="127" xfId="0" applyFont="1" applyFill="1" applyBorder="1" applyAlignment="1">
      <alignment horizontal="center" vertical="center"/>
    </xf>
    <xf numFmtId="0" fontId="102" fillId="77" borderId="0" xfId="0" applyFont="1" applyFill="1" applyAlignment="1">
      <alignment horizontal="center" vertical="center"/>
    </xf>
    <xf numFmtId="0" fontId="16" fillId="0" borderId="78" xfId="0" applyFont="1" applyBorder="1" applyAlignment="1">
      <alignment horizontal="center" vertical="center" wrapText="1"/>
    </xf>
    <xf numFmtId="0" fontId="16" fillId="0" borderId="0" xfId="0" applyFont="1" applyAlignment="1">
      <alignment horizontal="center" vertical="center" wrapText="1"/>
    </xf>
    <xf numFmtId="0" fontId="16" fillId="0" borderId="21" xfId="0" applyFont="1" applyBorder="1" applyAlignment="1">
      <alignment horizontal="center" vertical="center" wrapText="1"/>
    </xf>
    <xf numFmtId="0" fontId="16" fillId="0" borderId="88" xfId="0" applyFont="1" applyBorder="1" applyAlignment="1">
      <alignment horizontal="center" vertical="center" wrapText="1"/>
    </xf>
    <xf numFmtId="0" fontId="16" fillId="0" borderId="87" xfId="0" applyFont="1" applyBorder="1" applyAlignment="1">
      <alignment horizontal="center" vertical="center" wrapText="1"/>
    </xf>
    <xf numFmtId="0" fontId="16" fillId="0" borderId="89" xfId="0" applyFont="1" applyBorder="1" applyAlignment="1">
      <alignment horizontal="center" vertical="center" wrapText="1"/>
    </xf>
    <xf numFmtId="0" fontId="16" fillId="0" borderId="94" xfId="0" applyFont="1" applyBorder="1" applyAlignment="1">
      <alignment horizontal="center" vertical="center" wrapText="1"/>
    </xf>
    <xf numFmtId="0" fontId="16" fillId="0" borderId="142" xfId="0" applyFont="1" applyBorder="1" applyAlignment="1">
      <alignment horizontal="center" vertical="center" wrapText="1"/>
    </xf>
    <xf numFmtId="0" fontId="16" fillId="0" borderId="143"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0" xfId="0" applyFont="1" applyAlignment="1">
      <alignment horizontal="center" vertical="center" wrapText="1"/>
    </xf>
    <xf numFmtId="0" fontId="1" fillId="0" borderId="82" xfId="0" applyFont="1" applyBorder="1" applyAlignment="1">
      <alignment horizontal="center" vertical="center" wrapText="1"/>
    </xf>
    <xf numFmtId="0" fontId="1" fillId="0" borderId="83" xfId="0" applyFont="1" applyBorder="1" applyAlignment="1">
      <alignment horizontal="center" vertical="center" wrapText="1"/>
    </xf>
    <xf numFmtId="0" fontId="2" fillId="11" borderId="16" xfId="0" applyFont="1" applyFill="1" applyBorder="1" applyAlignment="1">
      <alignment horizontal="center" vertical="center"/>
    </xf>
    <xf numFmtId="0" fontId="2" fillId="34" borderId="24" xfId="0" applyFont="1" applyFill="1" applyBorder="1" applyAlignment="1">
      <alignment horizontal="center" vertical="center"/>
    </xf>
    <xf numFmtId="0" fontId="2" fillId="34" borderId="17" xfId="0" applyFont="1" applyFill="1" applyBorder="1" applyAlignment="1">
      <alignment horizontal="center" vertical="center"/>
    </xf>
    <xf numFmtId="0" fontId="2" fillId="34" borderId="82" xfId="0" applyFont="1" applyFill="1" applyBorder="1" applyAlignment="1">
      <alignment horizontal="center" vertical="center"/>
    </xf>
    <xf numFmtId="0" fontId="2" fillId="34" borderId="83" xfId="0" applyFont="1" applyFill="1" applyBorder="1" applyAlignment="1">
      <alignment horizontal="center" vertical="center"/>
    </xf>
    <xf numFmtId="0" fontId="2" fillId="34" borderId="94" xfId="0" applyFont="1" applyFill="1" applyBorder="1" applyAlignment="1">
      <alignment horizontal="center" vertical="center"/>
    </xf>
    <xf numFmtId="0" fontId="3" fillId="0" borderId="58" xfId="0" applyFont="1" applyBorder="1" applyAlignment="1">
      <alignment horizontal="center" vertical="center"/>
    </xf>
    <xf numFmtId="0" fontId="115" fillId="0" borderId="20" xfId="0" applyFont="1" applyBorder="1" applyAlignment="1">
      <alignment horizontal="center" vertical="center" wrapText="1"/>
    </xf>
    <xf numFmtId="0" fontId="115" fillId="0" borderId="0" xfId="0" applyFont="1" applyAlignment="1">
      <alignment horizontal="center" vertical="center" wrapText="1"/>
    </xf>
    <xf numFmtId="0" fontId="115" fillId="0" borderId="21" xfId="0" applyFont="1" applyBorder="1" applyAlignment="1">
      <alignment horizontal="center" vertical="center" wrapText="1"/>
    </xf>
    <xf numFmtId="0" fontId="115" fillId="0" borderId="22" xfId="0" applyFont="1" applyBorder="1" applyAlignment="1">
      <alignment horizontal="center" vertical="center" wrapText="1"/>
    </xf>
    <xf numFmtId="0" fontId="115" fillId="0" borderId="25" xfId="0" applyFont="1" applyBorder="1" applyAlignment="1">
      <alignment horizontal="center" vertical="center" wrapText="1"/>
    </xf>
    <xf numFmtId="0" fontId="115" fillId="0" borderId="23" xfId="0" applyFont="1" applyBorder="1" applyAlignment="1">
      <alignment horizontal="center" vertical="center" wrapText="1"/>
    </xf>
    <xf numFmtId="0" fontId="3" fillId="0" borderId="20" xfId="0" applyFont="1" applyBorder="1" applyAlignment="1">
      <alignment horizontal="left" vertical="center" wrapText="1"/>
    </xf>
    <xf numFmtId="0" fontId="3" fillId="0" borderId="0" xfId="0" applyFont="1" applyAlignment="1">
      <alignment horizontal="left" vertical="center" wrapText="1"/>
    </xf>
    <xf numFmtId="0" fontId="3" fillId="0" borderId="82" xfId="0" applyFont="1" applyBorder="1" applyAlignment="1">
      <alignment horizontal="left" vertical="center" wrapText="1"/>
    </xf>
    <xf numFmtId="0" fontId="3" fillId="0" borderId="83" xfId="0" applyFont="1" applyBorder="1" applyAlignment="1">
      <alignment horizontal="left" vertical="center" wrapText="1"/>
    </xf>
    <xf numFmtId="0" fontId="2" fillId="34" borderId="20" xfId="0" applyFont="1" applyFill="1" applyBorder="1" applyAlignment="1">
      <alignment horizontal="center" vertical="center"/>
    </xf>
    <xf numFmtId="0" fontId="2" fillId="34" borderId="0" xfId="0" applyFont="1" applyFill="1" applyAlignment="1">
      <alignment horizontal="center" vertical="center"/>
    </xf>
    <xf numFmtId="0" fontId="2" fillId="34" borderId="21" xfId="0" applyFont="1" applyFill="1" applyBorder="1" applyAlignment="1">
      <alignment horizontal="center" vertical="center"/>
    </xf>
    <xf numFmtId="0" fontId="1" fillId="0" borderId="78"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98"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3" xfId="0" applyFont="1" applyBorder="1" applyAlignment="1">
      <alignment horizontal="center" vertical="center" wrapText="1"/>
    </xf>
    <xf numFmtId="0" fontId="3" fillId="0" borderId="22" xfId="0" applyFont="1" applyBorder="1" applyAlignment="1">
      <alignment horizontal="left" vertical="center" wrapText="1"/>
    </xf>
    <xf numFmtId="0" fontId="3" fillId="0" borderId="25" xfId="0" applyFont="1" applyBorder="1" applyAlignment="1">
      <alignment horizontal="left" vertical="center" wrapText="1"/>
    </xf>
    <xf numFmtId="0" fontId="1" fillId="0" borderId="94" xfId="0" applyFont="1" applyBorder="1" applyAlignment="1">
      <alignment horizontal="center" vertical="center" wrapText="1"/>
    </xf>
    <xf numFmtId="0" fontId="1" fillId="0" borderId="90" xfId="0" applyFont="1" applyBorder="1" applyAlignment="1">
      <alignment horizontal="center" vertical="center" wrapText="1"/>
    </xf>
    <xf numFmtId="0" fontId="1" fillId="0" borderId="85" xfId="0" applyFont="1" applyBorder="1" applyAlignment="1">
      <alignment horizontal="center" vertical="center" wrapText="1"/>
    </xf>
    <xf numFmtId="0" fontId="1" fillId="0" borderId="141" xfId="0" applyFont="1" applyBorder="1" applyAlignment="1">
      <alignment horizontal="center" vertical="center" wrapText="1"/>
    </xf>
    <xf numFmtId="0" fontId="102" fillId="74" borderId="0" xfId="0" applyFont="1" applyFill="1" applyAlignment="1">
      <alignment horizontal="center" vertical="center" wrapText="1"/>
    </xf>
    <xf numFmtId="0" fontId="105" fillId="6" borderId="119" xfId="0" applyFont="1" applyFill="1" applyBorder="1" applyAlignment="1">
      <alignment horizontal="center" vertical="center"/>
    </xf>
    <xf numFmtId="0" fontId="102" fillId="66" borderId="0" xfId="0" applyFont="1" applyFill="1" applyAlignment="1">
      <alignment horizontal="center" vertical="center" wrapText="1"/>
    </xf>
    <xf numFmtId="0" fontId="102" fillId="67" borderId="0" xfId="0" applyFont="1" applyFill="1" applyAlignment="1">
      <alignment horizontal="center" vertical="center"/>
    </xf>
    <xf numFmtId="0" fontId="102" fillId="69" borderId="0" xfId="0" applyFont="1" applyFill="1" applyAlignment="1">
      <alignment horizontal="center" vertical="center"/>
    </xf>
    <xf numFmtId="0" fontId="102" fillId="0" borderId="2" xfId="0" applyFont="1" applyBorder="1" applyAlignment="1">
      <alignment horizontal="center" vertical="center" wrapText="1"/>
    </xf>
    <xf numFmtId="0" fontId="104" fillId="68" borderId="0" xfId="0" applyFont="1" applyFill="1" applyAlignment="1">
      <alignment horizontal="center" vertical="center"/>
    </xf>
    <xf numFmtId="0" fontId="102" fillId="70" borderId="0" xfId="0" applyFont="1" applyFill="1" applyAlignment="1">
      <alignment horizontal="center" vertical="center" wrapText="1"/>
    </xf>
    <xf numFmtId="0" fontId="102" fillId="70" borderId="0" xfId="0" applyFont="1" applyFill="1" applyAlignment="1">
      <alignment horizontal="center" vertical="center"/>
    </xf>
    <xf numFmtId="0" fontId="7" fillId="10" borderId="16" xfId="0" applyFont="1" applyFill="1" applyBorder="1" applyAlignment="1">
      <alignment horizontal="center" vertical="center" wrapText="1"/>
    </xf>
    <xf numFmtId="0" fontId="7" fillId="79" borderId="24" xfId="0" applyFont="1" applyFill="1" applyBorder="1" applyAlignment="1">
      <alignment horizontal="center" vertical="center" wrapText="1"/>
    </xf>
    <xf numFmtId="0" fontId="7" fillId="79" borderId="20" xfId="0" applyFont="1" applyFill="1" applyBorder="1" applyAlignment="1">
      <alignment horizontal="center" vertical="center" wrapText="1"/>
    </xf>
    <xf numFmtId="0" fontId="7" fillId="79" borderId="0" xfId="0" applyFont="1" applyFill="1" applyAlignment="1">
      <alignment horizontal="center" vertical="center" wrapText="1"/>
    </xf>
    <xf numFmtId="0" fontId="7" fillId="79" borderId="22" xfId="0" applyFont="1" applyFill="1" applyBorder="1" applyAlignment="1">
      <alignment horizontal="center" vertical="center" wrapText="1"/>
    </xf>
    <xf numFmtId="0" fontId="7" fillId="79" borderId="25" xfId="0" applyFont="1" applyFill="1" applyBorder="1" applyAlignment="1">
      <alignment horizontal="center" vertical="center" wrapText="1"/>
    </xf>
    <xf numFmtId="0" fontId="102" fillId="0" borderId="7" xfId="0" applyFont="1" applyBorder="1" applyAlignment="1">
      <alignment horizontal="center" vertical="center"/>
    </xf>
    <xf numFmtId="0" fontId="102" fillId="0" borderId="8" xfId="0" applyFont="1" applyBorder="1" applyAlignment="1">
      <alignment horizontal="center" vertical="center"/>
    </xf>
    <xf numFmtId="0" fontId="102" fillId="0" borderId="9" xfId="0" applyFont="1" applyBorder="1" applyAlignment="1">
      <alignment horizontal="center" vertical="center"/>
    </xf>
    <xf numFmtId="0" fontId="102" fillId="0" borderId="10" xfId="0" applyFont="1" applyBorder="1" applyAlignment="1">
      <alignment horizontal="center" vertical="center"/>
    </xf>
    <xf numFmtId="0" fontId="102" fillId="0" borderId="11" xfId="0" applyFont="1" applyBorder="1" applyAlignment="1">
      <alignment horizontal="center" vertical="center"/>
    </xf>
    <xf numFmtId="49" fontId="1" fillId="11" borderId="0" xfId="0" applyNumberFormat="1" applyFont="1" applyFill="1" applyAlignment="1">
      <alignment horizontal="center" vertical="center"/>
    </xf>
    <xf numFmtId="49" fontId="1" fillId="12" borderId="0" xfId="0" applyNumberFormat="1" applyFont="1" applyFill="1" applyAlignment="1">
      <alignment horizontal="center" vertical="center"/>
    </xf>
    <xf numFmtId="0" fontId="22" fillId="0" borderId="58" xfId="0" applyFont="1" applyBorder="1" applyAlignment="1">
      <alignment horizontal="center" vertical="center"/>
    </xf>
    <xf numFmtId="0" fontId="22" fillId="0" borderId="47" xfId="0" applyFont="1" applyBorder="1" applyAlignment="1">
      <alignment horizontal="center" vertical="center"/>
    </xf>
    <xf numFmtId="0" fontId="22" fillId="0" borderId="27" xfId="0" applyFont="1" applyBorder="1" applyAlignment="1">
      <alignment horizontal="center" vertical="center"/>
    </xf>
    <xf numFmtId="0" fontId="22" fillId="0" borderId="50" xfId="0" applyFont="1" applyBorder="1" applyAlignment="1">
      <alignment horizontal="center" vertical="center"/>
    </xf>
    <xf numFmtId="0" fontId="22" fillId="0" borderId="38" xfId="0" applyFont="1" applyBorder="1" applyAlignment="1">
      <alignment horizontal="center" vertical="center"/>
    </xf>
    <xf numFmtId="0" fontId="22" fillId="0" borderId="40" xfId="0" applyFont="1" applyBorder="1" applyAlignment="1">
      <alignment horizontal="center" vertical="center"/>
    </xf>
    <xf numFmtId="0" fontId="105" fillId="0" borderId="0" xfId="0" applyFont="1" applyAlignment="1">
      <alignment horizontal="center" vertical="center"/>
    </xf>
    <xf numFmtId="0" fontId="105" fillId="0" borderId="132" xfId="0" applyFont="1" applyBorder="1" applyAlignment="1">
      <alignment horizontal="center" vertical="center"/>
    </xf>
    <xf numFmtId="0" fontId="102" fillId="0" borderId="3" xfId="0" applyFont="1" applyBorder="1" applyAlignment="1">
      <alignment horizontal="center" vertical="center" wrapText="1"/>
    </xf>
    <xf numFmtId="0" fontId="104" fillId="34" borderId="21" xfId="0" applyFont="1" applyFill="1" applyBorder="1" applyAlignment="1">
      <alignment horizontal="center" vertical="center"/>
    </xf>
    <xf numFmtId="0" fontId="102" fillId="4" borderId="0" xfId="0" applyFont="1" applyFill="1" applyAlignment="1">
      <alignment horizontal="center" vertical="center" wrapText="1"/>
    </xf>
    <xf numFmtId="0" fontId="102" fillId="4" borderId="0" xfId="0" applyFont="1" applyFill="1" applyAlignment="1">
      <alignment horizontal="center" vertical="center"/>
    </xf>
    <xf numFmtId="0" fontId="104" fillId="60" borderId="0" xfId="0" applyFont="1" applyFill="1" applyAlignment="1">
      <alignment horizontal="center" vertical="center" wrapText="1"/>
    </xf>
    <xf numFmtId="0" fontId="104" fillId="0" borderId="23" xfId="0" applyFont="1" applyBorder="1" applyAlignment="1">
      <alignment horizontal="center" vertical="center" wrapText="1"/>
    </xf>
    <xf numFmtId="0" fontId="3" fillId="0" borderId="50"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101" fillId="76" borderId="0" xfId="0" applyFont="1" applyFill="1" applyAlignment="1">
      <alignment horizontal="center" vertical="center" wrapText="1"/>
    </xf>
    <xf numFmtId="0" fontId="102" fillId="68" borderId="0" xfId="0" applyFont="1" applyFill="1" applyAlignment="1">
      <alignment horizontal="center" vertical="center" wrapText="1"/>
    </xf>
    <xf numFmtId="0" fontId="104" fillId="0" borderId="20" xfId="0" applyFont="1" applyBorder="1" applyAlignment="1">
      <alignment horizontal="center" vertical="center"/>
    </xf>
    <xf numFmtId="0" fontId="104" fillId="11" borderId="20" xfId="0" applyFont="1" applyFill="1" applyBorder="1" applyAlignment="1">
      <alignment horizontal="center" vertical="center"/>
    </xf>
    <xf numFmtId="0" fontId="104" fillId="34" borderId="20" xfId="0" applyFont="1" applyFill="1" applyBorder="1" applyAlignment="1">
      <alignment horizontal="center" vertical="center"/>
    </xf>
    <xf numFmtId="0" fontId="104" fillId="0" borderId="22" xfId="0" applyFont="1" applyBorder="1" applyAlignment="1">
      <alignment horizontal="center" vertical="center"/>
    </xf>
    <xf numFmtId="0" fontId="1" fillId="0" borderId="26" xfId="0" applyFont="1" applyBorder="1" applyAlignment="1">
      <alignment horizontal="center" vertical="center"/>
    </xf>
    <xf numFmtId="0" fontId="1" fillId="0" borderId="47" xfId="0" applyFont="1" applyBorder="1" applyAlignment="1">
      <alignment horizontal="center" vertical="center"/>
    </xf>
    <xf numFmtId="0" fontId="1" fillId="0" borderId="58" xfId="0" applyFont="1" applyBorder="1" applyAlignment="1">
      <alignment horizontal="center" vertical="center"/>
    </xf>
    <xf numFmtId="0" fontId="1" fillId="0" borderId="52" xfId="0" applyFont="1" applyBorder="1" applyAlignment="1">
      <alignment horizontal="center" vertical="center"/>
    </xf>
    <xf numFmtId="0" fontId="1" fillId="0" borderId="27" xfId="0" applyFont="1" applyBorder="1" applyAlignment="1">
      <alignment horizontal="center" vertical="center"/>
    </xf>
    <xf numFmtId="0" fontId="23" fillId="0" borderId="78" xfId="0" applyFont="1" applyBorder="1" applyAlignment="1">
      <alignment horizontal="center" vertical="center"/>
    </xf>
    <xf numFmtId="0" fontId="23" fillId="0" borderId="0" xfId="0" applyFont="1" applyAlignment="1">
      <alignment horizontal="center" vertical="center"/>
    </xf>
    <xf numFmtId="0" fontId="23" fillId="0" borderId="21" xfId="0" applyFont="1" applyBorder="1" applyAlignment="1">
      <alignment horizontal="center" vertical="center"/>
    </xf>
    <xf numFmtId="0" fontId="23" fillId="0" borderId="84" xfId="0" applyFont="1" applyBorder="1" applyAlignment="1">
      <alignment horizontal="center" vertical="center"/>
    </xf>
    <xf numFmtId="0" fontId="23" fillId="0" borderId="81" xfId="0" applyFont="1" applyBorder="1" applyAlignment="1">
      <alignment horizontal="center" vertical="center"/>
    </xf>
    <xf numFmtId="0" fontId="23" fillId="0" borderId="92" xfId="0" applyFont="1" applyBorder="1" applyAlignment="1">
      <alignment horizontal="center" vertical="center"/>
    </xf>
    <xf numFmtId="0" fontId="105" fillId="0" borderId="1" xfId="0" applyFont="1" applyBorder="1" applyAlignment="1">
      <alignment horizontal="center" vertical="center" wrapText="1"/>
    </xf>
    <xf numFmtId="0" fontId="106" fillId="0" borderId="1" xfId="0" applyFont="1" applyBorder="1" applyAlignment="1">
      <alignment horizontal="center" vertical="center" wrapText="1"/>
    </xf>
    <xf numFmtId="0" fontId="105" fillId="0" borderId="3" xfId="0" applyFont="1" applyBorder="1" applyAlignment="1">
      <alignment horizontal="center" vertical="center" wrapText="1"/>
    </xf>
    <xf numFmtId="0" fontId="105" fillId="0" borderId="4" xfId="0" applyFont="1" applyBorder="1" applyAlignment="1">
      <alignment horizontal="center" vertical="center" wrapText="1"/>
    </xf>
    <xf numFmtId="0" fontId="105" fillId="0" borderId="5" xfId="0" applyFont="1" applyBorder="1" applyAlignment="1">
      <alignment horizontal="center" vertical="center" wrapText="1"/>
    </xf>
    <xf numFmtId="0" fontId="102" fillId="0" borderId="13" xfId="0" applyFont="1" applyBorder="1" applyAlignment="1">
      <alignment horizontal="center" vertical="center"/>
    </xf>
    <xf numFmtId="0" fontId="102" fillId="0" borderId="14" xfId="0" applyFont="1" applyBorder="1" applyAlignment="1">
      <alignment horizontal="center" vertical="center"/>
    </xf>
    <xf numFmtId="0" fontId="102" fillId="0" borderId="15" xfId="0" applyFont="1" applyBorder="1" applyAlignment="1">
      <alignment horizontal="center" vertical="center"/>
    </xf>
    <xf numFmtId="0" fontId="102" fillId="0" borderId="7" xfId="0" applyFont="1" applyBorder="1" applyAlignment="1">
      <alignment horizontal="center" vertical="center" wrapText="1"/>
    </xf>
    <xf numFmtId="0" fontId="102" fillId="0" borderId="8" xfId="0" applyFont="1" applyBorder="1" applyAlignment="1">
      <alignment horizontal="center" vertical="center" wrapText="1"/>
    </xf>
    <xf numFmtId="0" fontId="102" fillId="0" borderId="122" xfId="0" applyFont="1" applyBorder="1" applyAlignment="1">
      <alignment horizontal="center" vertical="center"/>
    </xf>
    <xf numFmtId="0" fontId="109" fillId="0" borderId="0" xfId="0" applyFont="1" applyAlignment="1">
      <alignment horizontal="center" vertical="center" wrapText="1"/>
    </xf>
    <xf numFmtId="0" fontId="102" fillId="60" borderId="0" xfId="0" applyFont="1" applyFill="1" applyAlignment="1">
      <alignment horizontal="center" vertical="center" wrapText="1"/>
    </xf>
    <xf numFmtId="0" fontId="111" fillId="0" borderId="20" xfId="0" applyFont="1" applyBorder="1" applyAlignment="1">
      <alignment horizontal="center" vertical="center"/>
    </xf>
    <xf numFmtId="0" fontId="111" fillId="0" borderId="0" xfId="0" applyFont="1" applyAlignment="1">
      <alignment horizontal="center" vertical="center"/>
    </xf>
    <xf numFmtId="49" fontId="1" fillId="0" borderId="0" xfId="0" applyNumberFormat="1" applyFont="1" applyAlignment="1">
      <alignment horizontal="center" vertical="center"/>
    </xf>
    <xf numFmtId="0" fontId="111" fillId="11" borderId="20" xfId="0" applyFont="1" applyFill="1" applyBorder="1" applyAlignment="1">
      <alignment horizontal="center" vertical="center"/>
    </xf>
    <xf numFmtId="0" fontId="111" fillId="34" borderId="0" xfId="0" applyFont="1" applyFill="1" applyAlignment="1">
      <alignment horizontal="center" vertical="center"/>
    </xf>
    <xf numFmtId="49" fontId="1" fillId="11" borderId="25" xfId="0" applyNumberFormat="1" applyFont="1" applyFill="1" applyBorder="1" applyAlignment="1">
      <alignment horizontal="center" vertical="center"/>
    </xf>
    <xf numFmtId="49" fontId="1" fillId="12" borderId="25" xfId="0" applyNumberFormat="1" applyFont="1" applyFill="1" applyBorder="1" applyAlignment="1">
      <alignment horizontal="center" vertical="center"/>
    </xf>
    <xf numFmtId="0" fontId="111" fillId="0" borderId="22" xfId="0" applyFont="1" applyBorder="1" applyAlignment="1">
      <alignment horizontal="center" vertical="center"/>
    </xf>
    <xf numFmtId="0" fontId="111" fillId="0" borderId="25" xfId="0" applyFont="1" applyBorder="1" applyAlignment="1">
      <alignment horizontal="center" vertical="center"/>
    </xf>
    <xf numFmtId="49" fontId="1" fillId="5" borderId="0" xfId="0" applyNumberFormat="1" applyFont="1" applyFill="1" applyAlignment="1">
      <alignment horizontal="center" vertical="center"/>
    </xf>
    <xf numFmtId="49" fontId="1" fillId="6" borderId="0" xfId="0" applyNumberFormat="1" applyFont="1" applyFill="1" applyAlignment="1">
      <alignment horizontal="center" vertical="center"/>
    </xf>
    <xf numFmtId="0" fontId="112" fillId="5" borderId="20" xfId="0" applyFont="1" applyFill="1" applyBorder="1" applyAlignment="1">
      <alignment horizontal="center" vertical="center"/>
    </xf>
    <xf numFmtId="0" fontId="112" fillId="6" borderId="0" xfId="0" applyFont="1" applyFill="1" applyAlignment="1">
      <alignment horizontal="center" vertical="center"/>
    </xf>
    <xf numFmtId="0" fontId="1" fillId="10" borderId="24" xfId="0" applyFont="1" applyFill="1" applyBorder="1" applyAlignment="1">
      <alignment horizontal="center" vertical="center"/>
    </xf>
    <xf numFmtId="0" fontId="1" fillId="79" borderId="24" xfId="0" applyFont="1" applyFill="1" applyBorder="1" applyAlignment="1">
      <alignment horizontal="center" vertical="center"/>
    </xf>
    <xf numFmtId="0" fontId="101" fillId="2" borderId="16" xfId="0" applyFont="1" applyFill="1" applyBorder="1" applyAlignment="1">
      <alignment horizontal="center" vertical="center"/>
    </xf>
    <xf numFmtId="0" fontId="101" fillId="65" borderId="24" xfId="0" applyFont="1" applyFill="1" applyBorder="1" applyAlignment="1">
      <alignment horizontal="center" vertical="center"/>
    </xf>
    <xf numFmtId="0" fontId="101" fillId="65" borderId="17" xfId="0" applyFont="1" applyFill="1" applyBorder="1" applyAlignment="1">
      <alignment horizontal="center" vertical="center"/>
    </xf>
    <xf numFmtId="0" fontId="103" fillId="10" borderId="20" xfId="0" applyFont="1" applyFill="1" applyBorder="1" applyAlignment="1">
      <alignment horizontal="center" vertical="center" wrapText="1"/>
    </xf>
    <xf numFmtId="0" fontId="103" fillId="54" borderId="0" xfId="0" applyFont="1" applyFill="1" applyAlignment="1">
      <alignment horizontal="center" vertical="center" wrapText="1"/>
    </xf>
    <xf numFmtId="0" fontId="103" fillId="10" borderId="0" xfId="0" applyFont="1" applyFill="1" applyAlignment="1">
      <alignment horizontal="center" vertical="center"/>
    </xf>
    <xf numFmtId="0" fontId="103" fillId="54" borderId="0" xfId="0" applyFont="1" applyFill="1" applyAlignment="1">
      <alignment horizontal="center" vertical="center"/>
    </xf>
    <xf numFmtId="0" fontId="103" fillId="54" borderId="21" xfId="0" applyFont="1" applyFill="1" applyBorder="1" applyAlignment="1">
      <alignment horizontal="center" vertical="center"/>
    </xf>
    <xf numFmtId="0" fontId="103" fillId="10" borderId="82" xfId="0" applyFont="1" applyFill="1" applyBorder="1" applyAlignment="1">
      <alignment horizontal="center" vertical="center" wrapText="1"/>
    </xf>
    <xf numFmtId="0" fontId="103" fillId="54" borderId="83" xfId="0" applyFont="1" applyFill="1" applyBorder="1" applyAlignment="1">
      <alignment horizontal="center" vertical="center" wrapText="1"/>
    </xf>
    <xf numFmtId="0" fontId="103" fillId="10" borderId="83" xfId="0" applyFont="1" applyFill="1" applyBorder="1" applyAlignment="1">
      <alignment horizontal="center" vertical="center"/>
    </xf>
    <xf numFmtId="0" fontId="103" fillId="54" borderId="83" xfId="0" applyFont="1" applyFill="1" applyBorder="1" applyAlignment="1">
      <alignment horizontal="center" vertical="center"/>
    </xf>
    <xf numFmtId="0" fontId="103" fillId="54" borderId="94" xfId="0" applyFont="1" applyFill="1" applyBorder="1" applyAlignment="1">
      <alignment horizontal="center" vertical="center"/>
    </xf>
    <xf numFmtId="0" fontId="96" fillId="0" borderId="20" xfId="0" applyFont="1" applyBorder="1" applyAlignment="1">
      <alignment horizontal="center" vertical="center" wrapText="1"/>
    </xf>
    <xf numFmtId="0" fontId="96" fillId="0" borderId="0" xfId="0" applyFont="1" applyAlignment="1">
      <alignment horizontal="center" vertical="center" wrapText="1"/>
    </xf>
    <xf numFmtId="0" fontId="96" fillId="0" borderId="21" xfId="0" applyFont="1" applyBorder="1" applyAlignment="1">
      <alignment horizontal="center" vertical="center" wrapText="1"/>
    </xf>
    <xf numFmtId="0" fontId="96" fillId="0" borderId="22" xfId="0" applyFont="1" applyBorder="1" applyAlignment="1">
      <alignment horizontal="center" vertical="center" wrapText="1"/>
    </xf>
    <xf numFmtId="0" fontId="96" fillId="0" borderId="25" xfId="0" applyFont="1" applyBorder="1" applyAlignment="1">
      <alignment horizontal="center" vertical="center" wrapText="1"/>
    </xf>
    <xf numFmtId="0" fontId="96" fillId="0" borderId="23" xfId="0" applyFont="1" applyBorder="1" applyAlignment="1">
      <alignment horizontal="center" vertical="center" wrapText="1"/>
    </xf>
    <xf numFmtId="0" fontId="96" fillId="0" borderId="20" xfId="0" applyFont="1" applyBorder="1" applyAlignment="1" applyProtection="1">
      <alignment horizontal="left" vertical="center" indent="1"/>
      <protection locked="0"/>
    </xf>
    <xf numFmtId="0" fontId="96" fillId="0" borderId="0" xfId="0" applyFont="1" applyAlignment="1" applyProtection="1">
      <alignment horizontal="left" vertical="center" indent="1"/>
      <protection locked="0"/>
    </xf>
    <xf numFmtId="0" fontId="33" fillId="11" borderId="22" xfId="0" applyFont="1" applyFill="1" applyBorder="1" applyAlignment="1" applyProtection="1">
      <alignment horizontal="left" vertical="center" indent="1"/>
      <protection locked="0"/>
    </xf>
    <xf numFmtId="0" fontId="33" fillId="12" borderId="25" xfId="0" applyFont="1" applyFill="1" applyBorder="1" applyAlignment="1" applyProtection="1">
      <alignment horizontal="left" vertical="center" indent="1"/>
      <protection locked="0"/>
    </xf>
    <xf numFmtId="0" fontId="33" fillId="11" borderId="20" xfId="0" applyFont="1" applyFill="1" applyBorder="1" applyAlignment="1" applyProtection="1">
      <alignment horizontal="left" vertical="center" indent="1"/>
      <protection locked="0"/>
    </xf>
    <xf numFmtId="0" fontId="33" fillId="12" borderId="0" xfId="0" applyFont="1" applyFill="1" applyAlignment="1" applyProtection="1">
      <alignment horizontal="left" vertical="center" indent="1"/>
      <protection locked="0"/>
    </xf>
    <xf numFmtId="0" fontId="96" fillId="11" borderId="20" xfId="0" applyFont="1" applyFill="1" applyBorder="1" applyAlignment="1" applyProtection="1">
      <alignment horizontal="left" vertical="center" indent="1"/>
      <protection locked="0"/>
    </xf>
    <xf numFmtId="0" fontId="96" fillId="12" borderId="0" xfId="0" applyFont="1" applyFill="1" applyAlignment="1" applyProtection="1">
      <alignment horizontal="left" vertical="center" indent="1"/>
      <protection locked="0"/>
    </xf>
    <xf numFmtId="0" fontId="33" fillId="0" borderId="20" xfId="0" applyFont="1" applyBorder="1" applyAlignment="1" applyProtection="1">
      <alignment horizontal="left" vertical="center"/>
      <protection locked="0"/>
    </xf>
    <xf numFmtId="0" fontId="33" fillId="0" borderId="0" xfId="0" applyFont="1" applyAlignment="1" applyProtection="1">
      <alignment horizontal="left" vertical="center"/>
      <protection locked="0"/>
    </xf>
    <xf numFmtId="0" fontId="95" fillId="10" borderId="16" xfId="0" applyFont="1" applyFill="1" applyBorder="1" applyAlignment="1">
      <alignment horizontal="center" vertical="center"/>
    </xf>
    <xf numFmtId="0" fontId="95" fillId="54" borderId="24" xfId="0" applyFont="1" applyFill="1" applyBorder="1" applyAlignment="1">
      <alignment horizontal="center" vertical="center"/>
    </xf>
    <xf numFmtId="0" fontId="95" fillId="54" borderId="17" xfId="0" applyFont="1" applyFill="1" applyBorder="1" applyAlignment="1">
      <alignment horizontal="center" vertical="center"/>
    </xf>
    <xf numFmtId="0" fontId="96" fillId="11" borderId="20" xfId="0" applyFont="1" applyFill="1" applyBorder="1" applyAlignment="1" applyProtection="1">
      <alignment horizontal="left" vertical="center"/>
      <protection locked="0"/>
    </xf>
    <xf numFmtId="0" fontId="96" fillId="12" borderId="0" xfId="0" applyFont="1" applyFill="1" applyAlignment="1" applyProtection="1">
      <alignment horizontal="left" vertical="center"/>
      <protection locked="0"/>
    </xf>
    <xf numFmtId="0" fontId="96" fillId="5" borderId="20" xfId="0" applyFont="1" applyFill="1" applyBorder="1" applyAlignment="1">
      <alignment horizontal="center" vertical="center"/>
    </xf>
    <xf numFmtId="0" fontId="96" fillId="6" borderId="0" xfId="0" applyFont="1" applyFill="1" applyAlignment="1">
      <alignment horizontal="center" vertical="center"/>
    </xf>
    <xf numFmtId="0" fontId="96" fillId="0" borderId="20" xfId="0" applyFont="1" applyBorder="1" applyAlignment="1" applyProtection="1">
      <alignment horizontal="left" vertical="center"/>
      <protection locked="0"/>
    </xf>
    <xf numFmtId="0" fontId="96" fillId="0" borderId="0" xfId="0" applyFont="1" applyAlignment="1" applyProtection="1">
      <alignment horizontal="left" vertical="center"/>
      <protection locked="0"/>
    </xf>
    <xf numFmtId="0" fontId="96" fillId="0" borderId="22" xfId="0" applyFont="1" applyBorder="1" applyAlignment="1" applyProtection="1">
      <alignment horizontal="left" vertical="center" indent="1"/>
      <protection locked="0"/>
    </xf>
    <xf numFmtId="0" fontId="96" fillId="0" borderId="25" xfId="0" applyFont="1" applyBorder="1" applyAlignment="1" applyProtection="1">
      <alignment horizontal="left" vertical="center" indent="1"/>
      <protection locked="0"/>
    </xf>
    <xf numFmtId="0" fontId="33" fillId="0" borderId="21" xfId="0" applyFont="1" applyBorder="1" applyAlignment="1" applyProtection="1">
      <alignment horizontal="center" vertical="center"/>
      <protection locked="0"/>
    </xf>
    <xf numFmtId="0" fontId="96" fillId="0" borderId="21" xfId="0" applyFont="1" applyBorder="1" applyAlignment="1" applyProtection="1">
      <alignment horizontal="center" vertical="center"/>
      <protection locked="0"/>
    </xf>
    <xf numFmtId="0" fontId="14" fillId="0" borderId="0" xfId="0" applyFont="1" applyAlignment="1">
      <alignment horizontal="left" vertical="center" wrapText="1"/>
    </xf>
    <xf numFmtId="0" fontId="95" fillId="10" borderId="20" xfId="0" applyFont="1" applyFill="1" applyBorder="1" applyAlignment="1">
      <alignment horizontal="center" vertical="center"/>
    </xf>
    <xf numFmtId="0" fontId="95" fillId="54" borderId="0" xfId="0" applyFont="1" applyFill="1" applyAlignment="1">
      <alignment horizontal="center" vertical="center"/>
    </xf>
    <xf numFmtId="0" fontId="95" fillId="54" borderId="21" xfId="0" applyFont="1" applyFill="1" applyBorder="1" applyAlignment="1">
      <alignment horizontal="center" vertical="center"/>
    </xf>
    <xf numFmtId="0" fontId="33" fillId="0" borderId="20" xfId="0" applyFont="1" applyBorder="1" applyAlignment="1" applyProtection="1">
      <alignment horizontal="left" vertical="center" indent="1"/>
      <protection locked="0"/>
    </xf>
    <xf numFmtId="0" fontId="33" fillId="0" borderId="0" xfId="0" applyFont="1" applyAlignment="1" applyProtection="1">
      <alignment horizontal="left" vertical="center" indent="1"/>
      <protection locked="0"/>
    </xf>
    <xf numFmtId="0" fontId="98" fillId="11" borderId="20" xfId="0" applyFont="1" applyFill="1" applyBorder="1" applyAlignment="1" applyProtection="1">
      <alignment horizontal="left" vertical="center" indent="1"/>
      <protection locked="0"/>
    </xf>
    <xf numFmtId="0" fontId="98" fillId="12" borderId="0" xfId="0" applyFont="1" applyFill="1" applyAlignment="1" applyProtection="1">
      <alignment horizontal="left" vertical="center" indent="1"/>
      <protection locked="0"/>
    </xf>
    <xf numFmtId="0" fontId="98" fillId="0" borderId="20" xfId="0" applyFont="1" applyBorder="1" applyAlignment="1" applyProtection="1">
      <alignment horizontal="left" vertical="center"/>
      <protection locked="0"/>
    </xf>
    <xf numFmtId="0" fontId="98" fillId="0" borderId="0" xfId="0" applyFont="1" applyAlignment="1" applyProtection="1">
      <alignment horizontal="left" vertical="center"/>
      <protection locked="0"/>
    </xf>
    <xf numFmtId="0" fontId="96" fillId="0" borderId="20" xfId="0" applyFont="1" applyBorder="1" applyProtection="1">
      <alignment vertical="center"/>
      <protection locked="0"/>
    </xf>
    <xf numFmtId="0" fontId="96" fillId="0" borderId="0" xfId="0" applyFont="1" applyProtection="1">
      <alignment vertical="center"/>
      <protection locked="0"/>
    </xf>
    <xf numFmtId="0" fontId="96" fillId="11" borderId="20" xfId="0" applyFont="1" applyFill="1" applyBorder="1" applyProtection="1">
      <alignment vertical="center"/>
      <protection locked="0"/>
    </xf>
    <xf numFmtId="0" fontId="96" fillId="12" borderId="0" xfId="0" applyFont="1" applyFill="1" applyProtection="1">
      <alignment vertical="center"/>
      <protection locked="0"/>
    </xf>
    <xf numFmtId="0" fontId="96" fillId="0" borderId="22" xfId="0" applyFont="1" applyBorder="1" applyProtection="1">
      <alignment vertical="center"/>
      <protection locked="0"/>
    </xf>
    <xf numFmtId="0" fontId="96" fillId="0" borderId="25" xfId="0" applyFont="1" applyBorder="1" applyProtection="1">
      <alignment vertical="center"/>
      <protection locked="0"/>
    </xf>
    <xf numFmtId="0" fontId="33" fillId="11" borderId="20" xfId="0" applyFont="1" applyFill="1" applyBorder="1" applyAlignment="1" applyProtection="1">
      <alignment horizontal="left" vertical="center"/>
      <protection locked="0"/>
    </xf>
    <xf numFmtId="0" fontId="33" fillId="12" borderId="0" xfId="0" applyFont="1" applyFill="1" applyAlignment="1" applyProtection="1">
      <alignment horizontal="left" vertical="center"/>
      <protection locked="0"/>
    </xf>
    <xf numFmtId="0" fontId="33" fillId="11" borderId="20" xfId="0" applyFont="1" applyFill="1" applyBorder="1" applyProtection="1">
      <alignment vertical="center"/>
      <protection locked="0"/>
    </xf>
    <xf numFmtId="0" fontId="33" fillId="12" borderId="0" xfId="0" applyFont="1" applyFill="1" applyProtection="1">
      <alignment vertical="center"/>
      <protection locked="0"/>
    </xf>
    <xf numFmtId="0" fontId="96" fillId="11" borderId="22" xfId="0" applyFont="1" applyFill="1" applyBorder="1" applyAlignment="1" applyProtection="1">
      <alignment horizontal="left" vertical="center" indent="1"/>
      <protection locked="0"/>
    </xf>
    <xf numFmtId="0" fontId="96" fillId="12" borderId="25" xfId="0" applyFont="1" applyFill="1" applyBorder="1" applyAlignment="1" applyProtection="1">
      <alignment horizontal="left" vertical="center" indent="1"/>
      <protection locked="0"/>
    </xf>
    <xf numFmtId="0" fontId="96" fillId="11" borderId="22" xfId="0" applyFont="1" applyFill="1" applyBorder="1" applyProtection="1">
      <alignment vertical="center"/>
      <protection locked="0"/>
    </xf>
    <xf numFmtId="0" fontId="96" fillId="12" borderId="25" xfId="0" applyFont="1" applyFill="1" applyBorder="1" applyProtection="1">
      <alignment vertical="center"/>
      <protection locked="0"/>
    </xf>
    <xf numFmtId="0" fontId="98" fillId="0" borderId="20" xfId="0" applyFont="1" applyBorder="1" applyAlignment="1" applyProtection="1">
      <alignment horizontal="left" vertical="center" indent="1"/>
      <protection locked="0"/>
    </xf>
    <xf numFmtId="0" fontId="98" fillId="0" borderId="0" xfId="0" applyFont="1" applyAlignment="1" applyProtection="1">
      <alignment horizontal="left" vertical="center" indent="1"/>
      <protection locked="0"/>
    </xf>
    <xf numFmtId="0" fontId="43" fillId="0" borderId="20" xfId="0" applyFont="1" applyBorder="1" applyAlignment="1" applyProtection="1">
      <alignment horizontal="left" vertical="center" wrapText="1"/>
      <protection locked="0"/>
    </xf>
    <xf numFmtId="0" fontId="43" fillId="0" borderId="0" xfId="0" applyFont="1" applyAlignment="1" applyProtection="1">
      <alignment horizontal="left" vertical="center"/>
      <protection locked="0"/>
    </xf>
    <xf numFmtId="0" fontId="43" fillId="11" borderId="20" xfId="0" applyFont="1" applyFill="1" applyBorder="1" applyAlignment="1" applyProtection="1">
      <alignment horizontal="left" vertical="center"/>
      <protection locked="0"/>
    </xf>
    <xf numFmtId="0" fontId="43" fillId="12" borderId="0" xfId="0" applyFont="1" applyFill="1" applyAlignment="1" applyProtection="1">
      <alignment horizontal="left" vertical="center"/>
      <protection locked="0"/>
    </xf>
    <xf numFmtId="0" fontId="33" fillId="0" borderId="22" xfId="0" applyFont="1" applyBorder="1" applyAlignment="1" applyProtection="1">
      <alignment horizontal="left" vertical="center" indent="1"/>
      <protection locked="0"/>
    </xf>
    <xf numFmtId="0" fontId="33" fillId="0" borderId="25" xfId="0" applyFont="1" applyBorder="1" applyAlignment="1" applyProtection="1">
      <alignment horizontal="left" vertical="center" indent="1"/>
      <protection locked="0"/>
    </xf>
    <xf numFmtId="0" fontId="96" fillId="11" borderId="20" xfId="0" applyFont="1" applyFill="1" applyBorder="1" applyAlignment="1" applyProtection="1">
      <alignment horizontal="left" vertical="center" wrapText="1" indent="1"/>
      <protection locked="0"/>
    </xf>
    <xf numFmtId="0" fontId="96" fillId="12" borderId="0" xfId="0" applyFont="1" applyFill="1" applyAlignment="1" applyProtection="1">
      <alignment horizontal="left" vertical="center" wrapText="1" indent="1"/>
      <protection locked="0"/>
    </xf>
    <xf numFmtId="0" fontId="96" fillId="0" borderId="20" xfId="0" applyFont="1" applyBorder="1" applyAlignment="1" applyProtection="1">
      <alignment horizontal="left" vertical="center" wrapText="1" indent="1"/>
      <protection locked="0"/>
    </xf>
    <xf numFmtId="0" fontId="96" fillId="0" borderId="0" xfId="0" applyFont="1" applyAlignment="1" applyProtection="1">
      <alignment horizontal="left" vertical="center" wrapText="1" indent="1"/>
      <protection locked="0"/>
    </xf>
    <xf numFmtId="0" fontId="96" fillId="11" borderId="22" xfId="0" applyFont="1" applyFill="1" applyBorder="1" applyAlignment="1" applyProtection="1">
      <alignment horizontal="left" vertical="center" wrapText="1" indent="1"/>
      <protection locked="0"/>
    </xf>
    <xf numFmtId="0" fontId="96" fillId="12" borderId="25" xfId="0" applyFont="1" applyFill="1" applyBorder="1" applyAlignment="1" applyProtection="1">
      <alignment horizontal="left" vertical="center" wrapText="1" indent="1"/>
      <protection locked="0"/>
    </xf>
    <xf numFmtId="0" fontId="96" fillId="5" borderId="20" xfId="0" applyFont="1" applyFill="1" applyBorder="1" applyAlignment="1">
      <alignment horizontal="center" vertical="center" wrapText="1"/>
    </xf>
    <xf numFmtId="0" fontId="96" fillId="6" borderId="0" xfId="0" applyFont="1" applyFill="1" applyAlignment="1">
      <alignment horizontal="center" vertical="center" wrapText="1"/>
    </xf>
    <xf numFmtId="0" fontId="98" fillId="63" borderId="20" xfId="0" applyFont="1" applyFill="1" applyBorder="1" applyProtection="1">
      <alignment vertical="center"/>
      <protection locked="0"/>
    </xf>
    <xf numFmtId="0" fontId="98" fillId="64" borderId="0" xfId="0" applyFont="1" applyFill="1" applyProtection="1">
      <alignment vertical="center"/>
      <protection locked="0"/>
    </xf>
    <xf numFmtId="0" fontId="33" fillId="63" borderId="20" xfId="0" applyFont="1" applyFill="1" applyBorder="1" applyProtection="1">
      <alignment vertical="center"/>
      <protection locked="0"/>
    </xf>
    <xf numFmtId="0" fontId="33" fillId="64" borderId="0" xfId="0" applyFont="1" applyFill="1" applyProtection="1">
      <alignment vertical="center"/>
      <protection locked="0"/>
    </xf>
    <xf numFmtId="0" fontId="96" fillId="63" borderId="20" xfId="0" applyFont="1" applyFill="1" applyBorder="1" applyProtection="1">
      <alignment vertical="center"/>
      <protection locked="0"/>
    </xf>
    <xf numFmtId="0" fontId="96" fillId="64" borderId="0" xfId="0" applyFont="1" applyFill="1" applyProtection="1">
      <alignment vertical="center"/>
      <protection locked="0"/>
    </xf>
    <xf numFmtId="0" fontId="43" fillId="11" borderId="20" xfId="0" applyFont="1" applyFill="1" applyBorder="1" applyProtection="1">
      <alignment vertical="center"/>
      <protection locked="0"/>
    </xf>
    <xf numFmtId="0" fontId="43" fillId="12" borderId="0" xfId="0" applyFont="1" applyFill="1" applyProtection="1">
      <alignment vertical="center"/>
      <protection locked="0"/>
    </xf>
    <xf numFmtId="0" fontId="43" fillId="0" borderId="20" xfId="0" applyFont="1" applyBorder="1" applyProtection="1">
      <alignment vertical="center"/>
      <protection locked="0"/>
    </xf>
    <xf numFmtId="0" fontId="43" fillId="0" borderId="0" xfId="0" applyFont="1" applyProtection="1">
      <alignment vertical="center"/>
      <protection locked="0"/>
    </xf>
    <xf numFmtId="0" fontId="33" fillId="0" borderId="22" xfId="0" applyFont="1" applyBorder="1" applyProtection="1">
      <alignment vertical="center"/>
      <protection locked="0"/>
    </xf>
    <xf numFmtId="0" fontId="33" fillId="0" borderId="25" xfId="0" applyFont="1" applyBorder="1" applyProtection="1">
      <alignment vertical="center"/>
      <protection locked="0"/>
    </xf>
    <xf numFmtId="0" fontId="43" fillId="0" borderId="20" xfId="0" applyFont="1" applyBorder="1" applyAlignment="1" applyProtection="1">
      <alignment horizontal="left" vertical="center"/>
      <protection locked="0"/>
    </xf>
    <xf numFmtId="0" fontId="33" fillId="0" borderId="20" xfId="0" applyFont="1" applyBorder="1" applyProtection="1">
      <alignment vertical="center"/>
      <protection locked="0"/>
    </xf>
    <xf numFmtId="0" fontId="33" fillId="0" borderId="0" xfId="0" applyFont="1" applyProtection="1">
      <alignment vertical="center"/>
      <protection locked="0"/>
    </xf>
    <xf numFmtId="0" fontId="98" fillId="11" borderId="20" xfId="0" applyFont="1" applyFill="1" applyBorder="1" applyProtection="1">
      <alignment vertical="center"/>
      <protection locked="0"/>
    </xf>
    <xf numFmtId="0" fontId="98" fillId="12" borderId="0" xfId="0" applyFont="1" applyFill="1" applyProtection="1">
      <alignment vertical="center"/>
      <protection locked="0"/>
    </xf>
    <xf numFmtId="0" fontId="98" fillId="0" borderId="20" xfId="0" applyFont="1" applyBorder="1" applyProtection="1">
      <alignment vertical="center"/>
      <protection locked="0"/>
    </xf>
    <xf numFmtId="0" fontId="98" fillId="0" borderId="0" xfId="0" applyFont="1" applyProtection="1">
      <alignment vertical="center"/>
      <protection locked="0"/>
    </xf>
    <xf numFmtId="0" fontId="33" fillId="11" borderId="20" xfId="0" applyFont="1" applyFill="1" applyBorder="1" applyAlignment="1" applyProtection="1">
      <alignment vertical="center" wrapText="1"/>
      <protection locked="0"/>
    </xf>
    <xf numFmtId="0" fontId="29" fillId="0" borderId="0" xfId="0" applyFont="1" applyAlignment="1">
      <alignment horizontal="center" vertical="center"/>
    </xf>
    <xf numFmtId="0" fontId="96" fillId="0" borderId="22" xfId="0" applyFont="1" applyBorder="1" applyAlignment="1" applyProtection="1">
      <alignment horizontal="left" vertical="center"/>
      <protection locked="0"/>
    </xf>
    <xf numFmtId="0" fontId="96" fillId="0" borderId="25" xfId="0" applyFont="1" applyBorder="1" applyAlignment="1" applyProtection="1">
      <alignment horizontal="left" vertical="center"/>
      <protection locked="0"/>
    </xf>
    <xf numFmtId="0" fontId="96" fillId="11" borderId="0" xfId="0" applyFont="1" applyFill="1" applyAlignment="1" applyProtection="1">
      <alignment horizontal="left" vertical="center" indent="1"/>
      <protection locked="0"/>
    </xf>
    <xf numFmtId="0" fontId="96" fillId="12" borderId="21" xfId="0" applyFont="1" applyFill="1" applyBorder="1" applyAlignment="1" applyProtection="1">
      <alignment horizontal="left" vertical="center" indent="1"/>
      <protection locked="0"/>
    </xf>
    <xf numFmtId="0" fontId="96" fillId="0" borderId="23" xfId="0" applyFont="1" applyBorder="1" applyAlignment="1" applyProtection="1">
      <alignment horizontal="left" vertical="center" indent="1"/>
      <protection locked="0"/>
    </xf>
    <xf numFmtId="0" fontId="96" fillId="0" borderId="21" xfId="0" applyFont="1" applyBorder="1" applyAlignment="1" applyProtection="1">
      <alignment horizontal="left" vertical="center" indent="1"/>
      <protection locked="0"/>
    </xf>
    <xf numFmtId="0" fontId="96" fillId="10" borderId="16" xfId="0" applyFont="1" applyFill="1" applyBorder="1" applyAlignment="1">
      <alignment horizontal="center" vertical="center"/>
    </xf>
    <xf numFmtId="0" fontId="96" fillId="54" borderId="24" xfId="0" applyFont="1" applyFill="1" applyBorder="1" applyAlignment="1">
      <alignment horizontal="center" vertical="center"/>
    </xf>
    <xf numFmtId="0" fontId="96" fillId="54" borderId="17" xfId="0" applyFont="1" applyFill="1" applyBorder="1" applyAlignment="1">
      <alignment horizontal="center" vertical="center"/>
    </xf>
    <xf numFmtId="0" fontId="96" fillId="63" borderId="0" xfId="0" applyFont="1" applyFill="1" applyAlignment="1" applyProtection="1">
      <alignment horizontal="left" vertical="center" indent="1"/>
      <protection locked="0"/>
    </xf>
    <xf numFmtId="0" fontId="96" fillId="64" borderId="21" xfId="0" applyFont="1" applyFill="1" applyBorder="1" applyAlignment="1" applyProtection="1">
      <alignment horizontal="left" vertical="center" indent="1"/>
      <protection locked="0"/>
    </xf>
    <xf numFmtId="0" fontId="96" fillId="11" borderId="22" xfId="0" applyFont="1" applyFill="1" applyBorder="1" applyAlignment="1" applyProtection="1">
      <alignment horizontal="left" vertical="center"/>
      <protection locked="0"/>
    </xf>
    <xf numFmtId="0" fontId="96" fillId="12" borderId="25" xfId="0" applyFont="1" applyFill="1" applyBorder="1" applyAlignment="1" applyProtection="1">
      <alignment horizontal="left" vertical="center"/>
      <protection locked="0"/>
    </xf>
    <xf numFmtId="0" fontId="96" fillId="5" borderId="0" xfId="0" applyFont="1" applyFill="1" applyAlignment="1">
      <alignment horizontal="center" vertical="center"/>
    </xf>
    <xf numFmtId="0" fontId="96" fillId="6" borderId="21" xfId="0" applyFont="1" applyFill="1" applyBorder="1" applyAlignment="1">
      <alignment horizontal="center" vertical="center"/>
    </xf>
    <xf numFmtId="0" fontId="96" fillId="11" borderId="20" xfId="0" applyFont="1" applyFill="1" applyBorder="1" applyAlignment="1" applyProtection="1">
      <alignment horizontal="left" vertical="top" indent="1"/>
      <protection locked="0"/>
    </xf>
    <xf numFmtId="0" fontId="96" fillId="12" borderId="0" xfId="0" applyFont="1" applyFill="1" applyAlignment="1" applyProtection="1">
      <alignment horizontal="left" vertical="top" indent="1"/>
      <protection locked="0"/>
    </xf>
    <xf numFmtId="0" fontId="96" fillId="0" borderId="22" xfId="0" applyFont="1" applyBorder="1" applyAlignment="1" applyProtection="1">
      <alignment horizontal="left" vertical="top" indent="1"/>
      <protection locked="0"/>
    </xf>
    <xf numFmtId="0" fontId="96" fillId="0" borderId="25" xfId="0" applyFont="1" applyBorder="1" applyAlignment="1" applyProtection="1">
      <alignment horizontal="left" vertical="top" indent="1"/>
      <protection locked="0"/>
    </xf>
    <xf numFmtId="0" fontId="96" fillId="0" borderId="20" xfId="0" applyFont="1" applyBorder="1" applyAlignment="1" applyProtection="1">
      <alignment horizontal="left" vertical="top" indent="1"/>
      <protection locked="0"/>
    </xf>
    <xf numFmtId="0" fontId="96" fillId="0" borderId="0" xfId="0" applyFont="1" applyAlignment="1" applyProtection="1">
      <alignment horizontal="left" vertical="top" indent="1"/>
      <protection locked="0"/>
    </xf>
    <xf numFmtId="0" fontId="96" fillId="0" borderId="22" xfId="0" applyFont="1" applyBorder="1" applyAlignment="1" applyProtection="1">
      <alignment horizontal="left" vertical="center" wrapText="1" indent="1"/>
      <protection locked="0"/>
    </xf>
    <xf numFmtId="0" fontId="96" fillId="0" borderId="25" xfId="0" applyFont="1" applyBorder="1" applyAlignment="1" applyProtection="1">
      <alignment horizontal="left" vertical="center" wrapText="1" indent="1"/>
      <protection locked="0"/>
    </xf>
    <xf numFmtId="0" fontId="29" fillId="0" borderId="0" xfId="0" applyFont="1" applyAlignment="1" applyProtection="1">
      <alignment horizontal="center" vertical="center"/>
      <protection locked="0"/>
    </xf>
    <xf numFmtId="0" fontId="96" fillId="11" borderId="20" xfId="0" applyFont="1" applyFill="1" applyBorder="1" applyAlignment="1" applyProtection="1">
      <alignment horizontal="left" vertical="top" wrapText="1" indent="1"/>
      <protection locked="0"/>
    </xf>
    <xf numFmtId="0" fontId="96" fillId="12" borderId="0" xfId="0" applyFont="1" applyFill="1" applyAlignment="1" applyProtection="1">
      <alignment horizontal="left" vertical="top" wrapText="1" indent="1"/>
      <protection locked="0"/>
    </xf>
    <xf numFmtId="0" fontId="33" fillId="11" borderId="20" xfId="0" applyFont="1" applyFill="1" applyBorder="1" applyAlignment="1" applyProtection="1">
      <alignment horizontal="left" vertical="top" indent="1"/>
      <protection locked="0"/>
    </xf>
    <xf numFmtId="0" fontId="33" fillId="12" borderId="0" xfId="0" applyFont="1" applyFill="1" applyAlignment="1" applyProtection="1">
      <alignment horizontal="left" vertical="top" indent="1"/>
      <protection locked="0"/>
    </xf>
    <xf numFmtId="0" fontId="33" fillId="0" borderId="20" xfId="0" applyFont="1" applyBorder="1" applyAlignment="1" applyProtection="1">
      <alignment horizontal="left" vertical="top" wrapText="1" indent="1"/>
      <protection locked="0"/>
    </xf>
    <xf numFmtId="0" fontId="33" fillId="0" borderId="0" xfId="0" applyFont="1" applyAlignment="1" applyProtection="1">
      <alignment horizontal="left" vertical="top" wrapText="1" indent="1"/>
      <protection locked="0"/>
    </xf>
    <xf numFmtId="0" fontId="16" fillId="10" borderId="20" xfId="0" applyFont="1" applyFill="1" applyBorder="1" applyAlignment="1">
      <alignment horizontal="center" vertical="center"/>
    </xf>
    <xf numFmtId="0" fontId="16" fillId="62" borderId="0" xfId="0" applyFont="1" applyFill="1" applyAlignment="1">
      <alignment horizontal="center" vertical="center"/>
    </xf>
    <xf numFmtId="0" fontId="16" fillId="62" borderId="21" xfId="0" applyFont="1" applyFill="1" applyBorder="1" applyAlignment="1">
      <alignment horizontal="center" vertical="center"/>
    </xf>
    <xf numFmtId="0" fontId="16" fillId="0" borderId="22" xfId="0" applyFont="1" applyBorder="1" applyAlignment="1">
      <alignment horizontal="left" vertical="center" wrapText="1"/>
    </xf>
    <xf numFmtId="0" fontId="94" fillId="0" borderId="0" xfId="0" applyFont="1" applyAlignment="1">
      <alignment horizontal="left" vertical="center" indent="4"/>
    </xf>
    <xf numFmtId="0" fontId="37" fillId="0" borderId="0" xfId="0" applyFont="1" applyAlignment="1">
      <alignment horizontal="left" vertical="center" indent="4"/>
    </xf>
    <xf numFmtId="0" fontId="16" fillId="10" borderId="16" xfId="0" applyFont="1" applyFill="1" applyBorder="1" applyAlignment="1">
      <alignment horizontal="center" vertical="center"/>
    </xf>
    <xf numFmtId="0" fontId="16" fillId="62" borderId="24" xfId="0" applyFont="1" applyFill="1" applyBorder="1" applyAlignment="1">
      <alignment horizontal="center" vertical="center"/>
    </xf>
    <xf numFmtId="0" fontId="16" fillId="62" borderId="17" xfId="0" applyFont="1" applyFill="1" applyBorder="1" applyAlignment="1">
      <alignment horizontal="center" vertical="center"/>
    </xf>
    <xf numFmtId="0" fontId="23" fillId="10" borderId="16" xfId="0" applyFont="1" applyFill="1" applyBorder="1" applyAlignment="1">
      <alignment horizontal="center" vertical="center"/>
    </xf>
    <xf numFmtId="0" fontId="23" fillId="62" borderId="24" xfId="0" applyFont="1" applyFill="1" applyBorder="1" applyAlignment="1">
      <alignment horizontal="center" vertical="center"/>
    </xf>
    <xf numFmtId="0" fontId="23" fillId="62" borderId="17" xfId="0" applyFont="1" applyFill="1" applyBorder="1" applyAlignment="1">
      <alignment horizontal="center" vertical="center"/>
    </xf>
    <xf numFmtId="0" fontId="16" fillId="11" borderId="25" xfId="0" applyFont="1" applyFill="1" applyBorder="1" applyAlignment="1">
      <alignment horizontal="center" vertical="center"/>
    </xf>
    <xf numFmtId="0" fontId="16" fillId="34" borderId="25" xfId="0" applyFont="1" applyFill="1" applyBorder="1" applyAlignment="1">
      <alignment horizontal="center" vertical="center"/>
    </xf>
    <xf numFmtId="0" fontId="54" fillId="9" borderId="24" xfId="0" applyFont="1" applyFill="1" applyBorder="1" applyAlignment="1">
      <alignment horizontal="center" vertical="center"/>
    </xf>
    <xf numFmtId="0" fontId="54" fillId="9" borderId="17" xfId="0" applyFont="1" applyFill="1" applyBorder="1" applyAlignment="1">
      <alignment horizontal="center" vertical="center"/>
    </xf>
    <xf numFmtId="0" fontId="16" fillId="10" borderId="0" xfId="0" applyFont="1" applyFill="1" applyAlignment="1">
      <alignment horizontal="center" vertical="center"/>
    </xf>
    <xf numFmtId="0" fontId="12" fillId="0" borderId="25" xfId="0" applyFont="1" applyBorder="1" applyAlignment="1">
      <alignment horizontal="center" vertical="center"/>
    </xf>
    <xf numFmtId="0" fontId="12" fillId="0" borderId="0" xfId="0" applyFont="1" applyAlignment="1">
      <alignment horizontal="center" vertical="center"/>
    </xf>
    <xf numFmtId="49" fontId="13" fillId="0" borderId="20" xfId="6" applyNumberFormat="1" applyFont="1" applyBorder="1" applyAlignment="1" applyProtection="1">
      <alignment horizontal="center" vertical="center" wrapText="1"/>
    </xf>
    <xf numFmtId="49" fontId="13" fillId="0" borderId="21" xfId="6" applyNumberFormat="1" applyFont="1" applyBorder="1" applyAlignment="1" applyProtection="1">
      <alignment horizontal="center" vertical="center" wrapText="1"/>
    </xf>
    <xf numFmtId="0" fontId="63" fillId="11" borderId="16" xfId="6" applyFont="1" applyFill="1" applyBorder="1" applyAlignment="1" applyProtection="1">
      <alignment horizontal="center" vertical="center"/>
    </xf>
    <xf numFmtId="0" fontId="63" fillId="34" borderId="17" xfId="6" applyFont="1" applyFill="1" applyBorder="1" applyAlignment="1" applyProtection="1">
      <alignment horizontal="center" vertical="center"/>
    </xf>
    <xf numFmtId="0" fontId="63" fillId="34" borderId="20" xfId="6" applyFont="1" applyFill="1" applyBorder="1" applyAlignment="1" applyProtection="1">
      <alignment horizontal="center" vertical="center"/>
    </xf>
    <xf numFmtId="0" fontId="63" fillId="34" borderId="21" xfId="6" applyFont="1" applyFill="1" applyBorder="1" applyAlignment="1" applyProtection="1">
      <alignment horizontal="center" vertical="center"/>
    </xf>
    <xf numFmtId="0" fontId="89" fillId="0" borderId="16" xfId="6" applyFont="1" applyBorder="1" applyAlignment="1">
      <alignment horizontal="center" vertical="center" wrapText="1"/>
      <protection locked="0"/>
    </xf>
    <xf numFmtId="0" fontId="83" fillId="0" borderId="17" xfId="6" applyFont="1" applyBorder="1" applyAlignment="1">
      <alignment horizontal="center" vertical="center"/>
      <protection locked="0"/>
    </xf>
    <xf numFmtId="0" fontId="83" fillId="0" borderId="20" xfId="6" applyFont="1" applyBorder="1" applyAlignment="1">
      <alignment horizontal="center" vertical="center"/>
      <protection locked="0"/>
    </xf>
    <xf numFmtId="0" fontId="83" fillId="0" borderId="21" xfId="6" applyFont="1" applyBorder="1" applyAlignment="1">
      <alignment horizontal="center" vertical="center"/>
      <protection locked="0"/>
    </xf>
    <xf numFmtId="0" fontId="83" fillId="0" borderId="22" xfId="6" applyFont="1" applyBorder="1" applyAlignment="1">
      <alignment horizontal="center" vertical="center"/>
      <protection locked="0"/>
    </xf>
    <xf numFmtId="0" fontId="83" fillId="0" borderId="23" xfId="6" applyFont="1" applyBorder="1" applyAlignment="1">
      <alignment horizontal="center" vertical="center"/>
      <protection locked="0"/>
    </xf>
    <xf numFmtId="0" fontId="64" fillId="0" borderId="16" xfId="6" applyFont="1" applyBorder="1" applyAlignment="1">
      <alignment horizontal="center" vertical="center" wrapText="1"/>
      <protection locked="0"/>
    </xf>
    <xf numFmtId="0" fontId="6" fillId="0" borderId="24" xfId="6" applyFont="1" applyBorder="1" applyAlignment="1">
      <alignment horizontal="center" vertical="center"/>
      <protection locked="0"/>
    </xf>
    <xf numFmtId="0" fontId="6" fillId="0" borderId="17" xfId="6" applyFont="1" applyBorder="1" applyAlignment="1">
      <alignment horizontal="center" vertical="center"/>
      <protection locked="0"/>
    </xf>
    <xf numFmtId="0" fontId="6" fillId="0" borderId="20" xfId="6" applyFont="1" applyBorder="1" applyAlignment="1">
      <alignment horizontal="center" vertical="center"/>
      <protection locked="0"/>
    </xf>
    <xf numFmtId="0" fontId="6" fillId="0" borderId="0" xfId="6" applyFont="1" applyAlignment="1">
      <alignment horizontal="center" vertical="center"/>
      <protection locked="0"/>
    </xf>
    <xf numFmtId="0" fontId="6" fillId="0" borderId="21" xfId="6" applyFont="1" applyBorder="1" applyAlignment="1">
      <alignment horizontal="center" vertical="center"/>
      <protection locked="0"/>
    </xf>
    <xf numFmtId="0" fontId="6" fillId="0" borderId="22" xfId="6" applyFont="1" applyBorder="1" applyAlignment="1">
      <alignment horizontal="center" vertical="center"/>
      <protection locked="0"/>
    </xf>
    <xf numFmtId="0" fontId="6" fillId="0" borderId="25" xfId="6" applyFont="1" applyBorder="1" applyAlignment="1">
      <alignment horizontal="center" vertical="center"/>
      <protection locked="0"/>
    </xf>
    <xf numFmtId="0" fontId="6" fillId="0" borderId="23" xfId="6" applyFont="1" applyBorder="1" applyAlignment="1">
      <alignment horizontal="center" vertical="center"/>
      <protection locked="0"/>
    </xf>
    <xf numFmtId="0" fontId="87" fillId="0" borderId="16" xfId="6" applyFont="1" applyBorder="1" applyAlignment="1">
      <alignment horizontal="center" vertical="center"/>
      <protection locked="0"/>
    </xf>
    <xf numFmtId="0" fontId="87" fillId="0" borderId="17" xfId="6" applyFont="1" applyBorder="1" applyAlignment="1">
      <alignment horizontal="center" vertical="center"/>
      <protection locked="0"/>
    </xf>
    <xf numFmtId="0" fontId="87" fillId="0" borderId="22" xfId="6" applyFont="1" applyBorder="1" applyAlignment="1">
      <alignment horizontal="center" vertical="center"/>
      <protection locked="0"/>
    </xf>
    <xf numFmtId="0" fontId="87" fillId="0" borderId="23" xfId="6" applyFont="1" applyBorder="1" applyAlignment="1">
      <alignment horizontal="center" vertical="center"/>
      <protection locked="0"/>
    </xf>
    <xf numFmtId="0" fontId="13" fillId="0" borderId="1" xfId="6" applyFont="1" applyBorder="1" applyAlignment="1" applyProtection="1">
      <alignment horizontal="center" vertical="center" wrapText="1"/>
    </xf>
    <xf numFmtId="0" fontId="13" fillId="0" borderId="70" xfId="6" applyFont="1" applyBorder="1" applyAlignment="1" applyProtection="1">
      <alignment horizontal="center" vertical="center"/>
    </xf>
    <xf numFmtId="0" fontId="13" fillId="0" borderId="1" xfId="6" applyFont="1" applyBorder="1" applyAlignment="1" applyProtection="1">
      <alignment horizontal="center" vertical="center"/>
    </xf>
    <xf numFmtId="0" fontId="13" fillId="0" borderId="20" xfId="6" applyFont="1" applyBorder="1" applyAlignment="1" applyProtection="1">
      <alignment horizontal="center" vertical="center" wrapText="1"/>
    </xf>
    <xf numFmtId="0" fontId="13" fillId="0" borderId="0" xfId="6" applyFont="1" applyAlignment="1" applyProtection="1">
      <alignment horizontal="center" vertical="center"/>
    </xf>
    <xf numFmtId="0" fontId="13" fillId="0" borderId="20" xfId="6" applyFont="1" applyBorder="1" applyAlignment="1" applyProtection="1">
      <alignment horizontal="center" vertical="center"/>
    </xf>
    <xf numFmtId="0" fontId="28" fillId="42" borderId="7" xfId="6" applyFill="1" applyBorder="1" applyAlignment="1" applyProtection="1">
      <alignment horizontal="left" vertical="center" wrapText="1"/>
    </xf>
    <xf numFmtId="0" fontId="28" fillId="42" borderId="13" xfId="6" applyFill="1" applyBorder="1" applyAlignment="1" applyProtection="1">
      <alignment horizontal="left" vertical="center" wrapText="1"/>
    </xf>
    <xf numFmtId="0" fontId="28" fillId="42" borderId="9" xfId="6" applyFill="1" applyBorder="1" applyAlignment="1" applyProtection="1">
      <alignment horizontal="left" vertical="center" wrapText="1"/>
    </xf>
    <xf numFmtId="0" fontId="28" fillId="42" borderId="14" xfId="6" applyFill="1" applyBorder="1" applyAlignment="1" applyProtection="1">
      <alignment horizontal="left" vertical="center" wrapText="1"/>
    </xf>
    <xf numFmtId="0" fontId="28" fillId="50" borderId="1" xfId="6" applyFill="1" applyBorder="1" applyAlignment="1" applyProtection="1">
      <alignment horizontal="left" vertical="center" wrapText="1"/>
    </xf>
    <xf numFmtId="0" fontId="28" fillId="50" borderId="3" xfId="6" applyFill="1" applyBorder="1" applyAlignment="1" applyProtection="1">
      <alignment horizontal="left" vertical="center" wrapText="1"/>
    </xf>
    <xf numFmtId="0" fontId="28" fillId="51" borderId="1" xfId="6" applyFill="1" applyBorder="1" applyAlignment="1" applyProtection="1">
      <alignment horizontal="center" vertical="center" wrapText="1"/>
    </xf>
    <xf numFmtId="0" fontId="28" fillId="57" borderId="1" xfId="6" applyFill="1" applyBorder="1" applyAlignment="1" applyProtection="1">
      <alignment horizontal="center" vertical="center" wrapText="1"/>
    </xf>
    <xf numFmtId="0" fontId="28" fillId="57" borderId="3" xfId="6" applyFill="1" applyBorder="1" applyAlignment="1" applyProtection="1">
      <alignment horizontal="center" vertical="center" wrapText="1"/>
    </xf>
    <xf numFmtId="0" fontId="74" fillId="0" borderId="8" xfId="6" applyFont="1" applyBorder="1" applyAlignment="1" applyProtection="1">
      <alignment horizontal="left" vertical="center" wrapText="1"/>
    </xf>
    <xf numFmtId="0" fontId="74" fillId="0" borderId="13" xfId="6" applyFont="1" applyBorder="1" applyAlignment="1" applyProtection="1">
      <alignment horizontal="left" vertical="center" wrapText="1"/>
    </xf>
    <xf numFmtId="0" fontId="74" fillId="0" borderId="0" xfId="6" applyFont="1" applyAlignment="1" applyProtection="1">
      <alignment horizontal="left" vertical="center" wrapText="1"/>
    </xf>
    <xf numFmtId="0" fontId="74" fillId="0" borderId="14" xfId="6" applyFont="1" applyBorder="1" applyAlignment="1" applyProtection="1">
      <alignment horizontal="left" vertical="center" wrapText="1"/>
    </xf>
    <xf numFmtId="0" fontId="74" fillId="0" borderId="9" xfId="6" applyFont="1" applyBorder="1" applyAlignment="1" applyProtection="1">
      <alignment horizontal="left" vertical="center" wrapText="1"/>
    </xf>
    <xf numFmtId="0" fontId="74" fillId="0" borderId="10" xfId="6" applyFont="1" applyBorder="1" applyAlignment="1" applyProtection="1">
      <alignment horizontal="left" vertical="center" wrapText="1"/>
    </xf>
    <xf numFmtId="0" fontId="74" fillId="0" borderId="15" xfId="6" applyFont="1" applyBorder="1" applyAlignment="1" applyProtection="1">
      <alignment horizontal="left" vertical="center" wrapText="1"/>
    </xf>
    <xf numFmtId="0" fontId="74" fillId="0" borderId="20" xfId="6" applyFont="1" applyBorder="1" applyAlignment="1" applyProtection="1">
      <alignment horizontal="left" vertical="top" wrapText="1"/>
    </xf>
    <xf numFmtId="0" fontId="74" fillId="0" borderId="21" xfId="6" applyFont="1" applyBorder="1" applyAlignment="1" applyProtection="1">
      <alignment horizontal="left" vertical="top" wrapText="1"/>
    </xf>
    <xf numFmtId="0" fontId="74" fillId="0" borderId="22" xfId="6" applyFont="1" applyBorder="1" applyAlignment="1" applyProtection="1">
      <alignment horizontal="left" vertical="top" wrapText="1"/>
    </xf>
    <xf numFmtId="0" fontId="74" fillId="0" borderId="23" xfId="6" applyFont="1" applyBorder="1" applyAlignment="1" applyProtection="1">
      <alignment horizontal="left" vertical="top" wrapText="1"/>
    </xf>
    <xf numFmtId="0" fontId="28" fillId="50" borderId="1" xfId="6" applyFill="1" applyBorder="1" applyAlignment="1" applyProtection="1">
      <alignment horizontal="center" wrapText="1"/>
    </xf>
    <xf numFmtId="0" fontId="28" fillId="50" borderId="3" xfId="6" applyFill="1" applyBorder="1" applyAlignment="1" applyProtection="1">
      <alignment horizontal="center" wrapText="1"/>
    </xf>
    <xf numFmtId="0" fontId="28" fillId="50" borderId="5" xfId="6" applyFill="1" applyBorder="1" applyAlignment="1" applyProtection="1">
      <alignment horizontal="center" vertical="top" wrapText="1"/>
    </xf>
    <xf numFmtId="0" fontId="28" fillId="50" borderId="1" xfId="6" applyFill="1" applyBorder="1" applyAlignment="1" applyProtection="1">
      <alignment horizontal="center" vertical="top" wrapText="1"/>
    </xf>
    <xf numFmtId="0" fontId="28" fillId="50" borderId="1" xfId="6" applyFill="1" applyBorder="1" applyAlignment="1" applyProtection="1">
      <alignment horizontal="center" vertical="center" wrapText="1"/>
    </xf>
    <xf numFmtId="0" fontId="87" fillId="0" borderId="16" xfId="6" applyFont="1" applyBorder="1" applyAlignment="1">
      <alignment horizontal="center" vertical="center" wrapText="1"/>
      <protection locked="0"/>
    </xf>
    <xf numFmtId="0" fontId="87" fillId="0" borderId="24" xfId="6" applyFont="1" applyBorder="1" applyAlignment="1">
      <alignment horizontal="center" vertical="center" wrapText="1"/>
      <protection locked="0"/>
    </xf>
    <xf numFmtId="0" fontId="87" fillId="0" borderId="17" xfId="6" applyFont="1" applyBorder="1" applyAlignment="1">
      <alignment horizontal="center" vertical="center" wrapText="1"/>
      <protection locked="0"/>
    </xf>
    <xf numFmtId="0" fontId="87" fillId="0" borderId="20" xfId="6" applyFont="1" applyBorder="1" applyAlignment="1">
      <alignment horizontal="center" vertical="center" wrapText="1"/>
      <protection locked="0"/>
    </xf>
    <xf numFmtId="0" fontId="87" fillId="0" borderId="0" xfId="6" applyFont="1" applyAlignment="1">
      <alignment horizontal="center" vertical="center" wrapText="1"/>
      <protection locked="0"/>
    </xf>
    <xf numFmtId="0" fontId="87" fillId="0" borderId="21" xfId="6" applyFont="1" applyBorder="1" applyAlignment="1">
      <alignment horizontal="center" vertical="center" wrapText="1"/>
      <protection locked="0"/>
    </xf>
    <xf numFmtId="0" fontId="87" fillId="0" borderId="22" xfId="6" applyFont="1" applyBorder="1" applyAlignment="1">
      <alignment horizontal="center" vertical="center" wrapText="1"/>
      <protection locked="0"/>
    </xf>
    <xf numFmtId="0" fontId="87" fillId="0" borderId="25" xfId="6" applyFont="1" applyBorder="1" applyAlignment="1">
      <alignment horizontal="center" vertical="center" wrapText="1"/>
      <protection locked="0"/>
    </xf>
    <xf numFmtId="0" fontId="87" fillId="0" borderId="23" xfId="6" applyFont="1" applyBorder="1" applyAlignment="1">
      <alignment horizontal="center" vertical="center" wrapText="1"/>
      <protection locked="0"/>
    </xf>
    <xf numFmtId="0" fontId="15" fillId="0" borderId="16" xfId="6" applyFont="1" applyBorder="1" applyAlignment="1">
      <alignment horizontal="left" vertical="center" wrapText="1" indent="1"/>
      <protection locked="0"/>
    </xf>
    <xf numFmtId="0" fontId="15" fillId="0" borderId="24" xfId="6" applyFont="1" applyBorder="1" applyAlignment="1">
      <alignment horizontal="left" vertical="center" wrapText="1" indent="1"/>
      <protection locked="0"/>
    </xf>
    <xf numFmtId="0" fontId="15" fillId="0" borderId="17" xfId="6" applyFont="1" applyBorder="1" applyAlignment="1">
      <alignment horizontal="left" vertical="center" wrapText="1" indent="1"/>
      <protection locked="0"/>
    </xf>
    <xf numFmtId="0" fontId="15" fillId="0" borderId="20" xfId="6" applyFont="1" applyBorder="1" applyAlignment="1">
      <alignment horizontal="left" vertical="center" wrapText="1" indent="1"/>
      <protection locked="0"/>
    </xf>
    <xf numFmtId="0" fontId="15" fillId="0" borderId="0" xfId="6" applyFont="1" applyAlignment="1">
      <alignment horizontal="left" vertical="center" wrapText="1" indent="1"/>
      <protection locked="0"/>
    </xf>
    <xf numFmtId="0" fontId="15" fillId="0" borderId="21" xfId="6" applyFont="1" applyBorder="1" applyAlignment="1">
      <alignment horizontal="left" vertical="center" wrapText="1" indent="1"/>
      <protection locked="0"/>
    </xf>
    <xf numFmtId="0" fontId="15" fillId="0" borderId="22" xfId="6" applyFont="1" applyBorder="1" applyAlignment="1">
      <alignment horizontal="left" vertical="center" wrapText="1" indent="1"/>
      <protection locked="0"/>
    </xf>
    <xf numFmtId="0" fontId="15" fillId="0" borderId="25" xfId="6" applyFont="1" applyBorder="1" applyAlignment="1">
      <alignment horizontal="left" vertical="center" wrapText="1" indent="1"/>
      <protection locked="0"/>
    </xf>
    <xf numFmtId="0" fontId="15" fillId="0" borderId="23" xfId="6" applyFont="1" applyBorder="1" applyAlignment="1">
      <alignment horizontal="left" vertical="center" wrapText="1" indent="1"/>
      <protection locked="0"/>
    </xf>
    <xf numFmtId="49" fontId="13" fillId="0" borderId="0" xfId="6" applyNumberFormat="1" applyFont="1" applyAlignment="1" applyProtection="1">
      <alignment horizontal="center" vertical="center"/>
    </xf>
    <xf numFmtId="0" fontId="63" fillId="58" borderId="16" xfId="6" applyFont="1" applyFill="1" applyBorder="1" applyAlignment="1" applyProtection="1">
      <alignment horizontal="center" vertical="center"/>
    </xf>
    <xf numFmtId="0" fontId="63" fillId="58" borderId="24" xfId="6" applyFont="1" applyFill="1" applyBorder="1" applyAlignment="1" applyProtection="1">
      <alignment horizontal="center" vertical="center"/>
    </xf>
    <xf numFmtId="0" fontId="63" fillId="58" borderId="17" xfId="6" applyFont="1" applyFill="1" applyBorder="1" applyAlignment="1" applyProtection="1">
      <alignment horizontal="center" vertical="center"/>
    </xf>
    <xf numFmtId="0" fontId="63" fillId="58" borderId="20" xfId="6" applyFont="1" applyFill="1" applyBorder="1" applyAlignment="1" applyProtection="1">
      <alignment horizontal="center" vertical="center"/>
    </xf>
    <xf numFmtId="0" fontId="63" fillId="58" borderId="0" xfId="6" applyFont="1" applyFill="1" applyAlignment="1" applyProtection="1">
      <alignment horizontal="center" vertical="center"/>
    </xf>
    <xf numFmtId="0" fontId="63" fillId="58" borderId="21" xfId="6" applyFont="1" applyFill="1" applyBorder="1" applyAlignment="1" applyProtection="1">
      <alignment horizontal="center" vertical="center"/>
    </xf>
    <xf numFmtId="0" fontId="28" fillId="49" borderId="5" xfId="6" applyFill="1" applyBorder="1" applyAlignment="1" applyProtection="1">
      <alignment horizontal="center" vertical="center" wrapText="1"/>
    </xf>
    <xf numFmtId="0" fontId="28" fillId="49" borderId="10" xfId="6" applyFill="1" applyBorder="1" applyAlignment="1" applyProtection="1">
      <alignment horizontal="center" vertical="center" wrapText="1"/>
    </xf>
    <xf numFmtId="0" fontId="28" fillId="49" borderId="1" xfId="6" applyFill="1" applyBorder="1" applyAlignment="1" applyProtection="1">
      <alignment horizontal="center" vertical="center" wrapText="1"/>
    </xf>
    <xf numFmtId="0" fontId="28" fillId="49" borderId="2" xfId="6" applyFill="1" applyBorder="1" applyAlignment="1" applyProtection="1">
      <alignment horizontal="center" vertical="center" wrapText="1"/>
    </xf>
    <xf numFmtId="0" fontId="28" fillId="49" borderId="7" xfId="6" applyFill="1" applyBorder="1" applyAlignment="1" applyProtection="1">
      <alignment horizontal="center" vertical="center" wrapText="1"/>
    </xf>
    <xf numFmtId="0" fontId="10" fillId="11" borderId="69" xfId="6" applyFont="1" applyFill="1" applyBorder="1" applyAlignment="1" applyProtection="1">
      <alignment horizontal="left" vertical="center" wrapText="1"/>
    </xf>
    <xf numFmtId="0" fontId="10" fillId="34" borderId="0" xfId="6" applyFont="1" applyFill="1" applyAlignment="1" applyProtection="1">
      <alignment horizontal="left" vertical="center" wrapText="1"/>
    </xf>
    <xf numFmtId="0" fontId="10" fillId="34" borderId="21" xfId="6" applyFont="1" applyFill="1" applyBorder="1" applyAlignment="1" applyProtection="1">
      <alignment horizontal="left" vertical="center" wrapText="1"/>
    </xf>
    <xf numFmtId="0" fontId="10" fillId="34" borderId="69" xfId="6" applyFont="1" applyFill="1" applyBorder="1" applyAlignment="1" applyProtection="1">
      <alignment horizontal="left" vertical="center" wrapText="1"/>
    </xf>
    <xf numFmtId="0" fontId="10" fillId="34" borderId="67" xfId="6" applyFont="1" applyFill="1" applyBorder="1" applyAlignment="1" applyProtection="1">
      <alignment horizontal="left" vertical="center" wrapText="1"/>
    </xf>
    <xf numFmtId="0" fontId="10" fillId="34" borderId="68" xfId="6" applyFont="1" applyFill="1" applyBorder="1" applyAlignment="1" applyProtection="1">
      <alignment horizontal="left" vertical="center" wrapText="1"/>
    </xf>
    <xf numFmtId="0" fontId="10" fillId="34" borderId="74" xfId="6" applyFont="1" applyFill="1" applyBorder="1" applyAlignment="1" applyProtection="1">
      <alignment horizontal="left" vertical="center" wrapText="1"/>
    </xf>
    <xf numFmtId="0" fontId="6" fillId="0" borderId="0" xfId="6" applyFont="1" applyAlignment="1">
      <alignment horizontal="center" vertical="center" wrapText="1"/>
      <protection locked="0"/>
    </xf>
    <xf numFmtId="0" fontId="10" fillId="0" borderId="16" xfId="6" applyFont="1" applyBorder="1" applyAlignment="1">
      <alignment horizontal="center" vertical="center"/>
      <protection locked="0"/>
    </xf>
    <xf numFmtId="0" fontId="10" fillId="0" borderId="24" xfId="6" applyFont="1" applyBorder="1" applyAlignment="1">
      <alignment horizontal="center" vertical="center"/>
      <protection locked="0"/>
    </xf>
    <xf numFmtId="0" fontId="10" fillId="0" borderId="17" xfId="6" applyFont="1" applyBorder="1" applyAlignment="1">
      <alignment horizontal="center" vertical="center"/>
      <protection locked="0"/>
    </xf>
    <xf numFmtId="0" fontId="10" fillId="0" borderId="22" xfId="6" applyFont="1" applyBorder="1" applyAlignment="1">
      <alignment horizontal="center" vertical="center"/>
      <protection locked="0"/>
    </xf>
    <xf numFmtId="0" fontId="10" fillId="0" borderId="25" xfId="6" applyFont="1" applyBorder="1" applyAlignment="1">
      <alignment horizontal="center" vertical="center"/>
      <protection locked="0"/>
    </xf>
    <xf numFmtId="0" fontId="10" fillId="0" borderId="23" xfId="6" applyFont="1" applyBorder="1" applyAlignment="1">
      <alignment horizontal="center" vertical="center"/>
      <protection locked="0"/>
    </xf>
    <xf numFmtId="0" fontId="93" fillId="0" borderId="16" xfId="6" applyFont="1" applyBorder="1" applyAlignment="1">
      <alignment horizontal="center" vertical="center" wrapText="1"/>
      <protection locked="0"/>
    </xf>
    <xf numFmtId="0" fontId="93" fillId="0" borderId="17" xfId="6" applyFont="1" applyBorder="1" applyAlignment="1">
      <alignment horizontal="center" vertical="center" wrapText="1"/>
      <protection locked="0"/>
    </xf>
    <xf numFmtId="0" fontId="93" fillId="0" borderId="20" xfId="6" applyFont="1" applyBorder="1" applyAlignment="1">
      <alignment horizontal="center" vertical="center" wrapText="1"/>
      <protection locked="0"/>
    </xf>
    <xf numFmtId="0" fontId="93" fillId="0" borderId="21" xfId="6" applyFont="1" applyBorder="1" applyAlignment="1">
      <alignment horizontal="center" vertical="center" wrapText="1"/>
      <protection locked="0"/>
    </xf>
    <xf numFmtId="0" fontId="93" fillId="0" borderId="22" xfId="6" applyFont="1" applyBorder="1" applyAlignment="1">
      <alignment horizontal="center" vertical="center" wrapText="1"/>
      <protection locked="0"/>
    </xf>
    <xf numFmtId="0" fontId="93" fillId="0" borderId="23" xfId="6" applyFont="1" applyBorder="1" applyAlignment="1">
      <alignment horizontal="center" vertical="center" wrapText="1"/>
      <protection locked="0"/>
    </xf>
    <xf numFmtId="0" fontId="15" fillId="0" borderId="16" xfId="6" applyFont="1" applyBorder="1" applyAlignment="1">
      <alignment horizontal="center" vertical="center" wrapText="1"/>
      <protection locked="0"/>
    </xf>
    <xf numFmtId="0" fontId="15" fillId="0" borderId="17" xfId="6" applyFont="1" applyBorder="1" applyAlignment="1">
      <alignment horizontal="center" vertical="center" wrapText="1"/>
      <protection locked="0"/>
    </xf>
    <xf numFmtId="0" fontId="15" fillId="0" borderId="20" xfId="6" applyFont="1" applyBorder="1" applyAlignment="1">
      <alignment horizontal="center" vertical="center" wrapText="1"/>
      <protection locked="0"/>
    </xf>
    <xf numFmtId="0" fontId="15" fillId="0" borderId="21" xfId="6" applyFont="1" applyBorder="1" applyAlignment="1">
      <alignment horizontal="center" vertical="center" wrapText="1"/>
      <protection locked="0"/>
    </xf>
    <xf numFmtId="0" fontId="15" fillId="0" borderId="22" xfId="6" applyFont="1" applyBorder="1" applyAlignment="1">
      <alignment horizontal="center" vertical="center" wrapText="1"/>
      <protection locked="0"/>
    </xf>
    <xf numFmtId="0" fontId="15" fillId="0" borderId="23" xfId="6" applyFont="1" applyBorder="1" applyAlignment="1">
      <alignment horizontal="center" vertical="center" wrapText="1"/>
      <protection locked="0"/>
    </xf>
    <xf numFmtId="0" fontId="10" fillId="0" borderId="20" xfId="6" applyFont="1" applyBorder="1" applyAlignment="1" applyProtection="1">
      <alignment horizontal="center" vertical="center"/>
    </xf>
    <xf numFmtId="0" fontId="10" fillId="0" borderId="0" xfId="6" applyFont="1" applyAlignment="1" applyProtection="1">
      <alignment horizontal="center" vertical="center"/>
    </xf>
    <xf numFmtId="0" fontId="10" fillId="0" borderId="0" xfId="6" applyFont="1" applyAlignment="1">
      <alignment horizontal="center" vertical="center"/>
      <protection locked="0"/>
    </xf>
    <xf numFmtId="0" fontId="90" fillId="0" borderId="0" xfId="6" applyFont="1" applyAlignment="1">
      <alignment horizontal="left" vertical="center"/>
      <protection locked="0"/>
    </xf>
    <xf numFmtId="0" fontId="87" fillId="0" borderId="0" xfId="6" applyFont="1" applyAlignment="1">
      <alignment horizontal="center" vertical="center"/>
      <protection locked="0"/>
    </xf>
    <xf numFmtId="0" fontId="89" fillId="0" borderId="0" xfId="6" applyFont="1" applyAlignment="1">
      <alignment horizontal="center" vertical="center" wrapText="1"/>
      <protection locked="0"/>
    </xf>
    <xf numFmtId="0" fontId="10" fillId="0" borderId="20"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21" xfId="6" applyFont="1" applyBorder="1" applyAlignment="1" applyProtection="1">
      <alignment horizontal="center" vertical="center" wrapText="1"/>
    </xf>
    <xf numFmtId="0" fontId="77" fillId="11" borderId="63" xfId="6" applyFont="1" applyFill="1" applyBorder="1" applyAlignment="1" applyProtection="1">
      <alignment horizontal="center" vertical="center"/>
    </xf>
    <xf numFmtId="0" fontId="77" fillId="12" borderId="66" xfId="6" applyFont="1" applyFill="1" applyBorder="1" applyAlignment="1" applyProtection="1">
      <alignment horizontal="center" vertical="center"/>
    </xf>
    <xf numFmtId="0" fontId="78" fillId="0" borderId="20" xfId="6" applyFont="1" applyBorder="1" applyAlignment="1" applyProtection="1">
      <alignment horizontal="center" vertical="center"/>
    </xf>
    <xf numFmtId="0" fontId="78" fillId="0" borderId="66" xfId="6" applyFont="1" applyBorder="1" applyAlignment="1" applyProtection="1">
      <alignment horizontal="center" vertical="center"/>
    </xf>
    <xf numFmtId="0" fontId="79" fillId="11" borderId="20" xfId="6" applyFont="1" applyFill="1" applyBorder="1" applyAlignment="1" applyProtection="1">
      <alignment horizontal="center" vertical="center"/>
    </xf>
    <xf numFmtId="0" fontId="79" fillId="34" borderId="20" xfId="6" applyFont="1" applyFill="1" applyBorder="1" applyAlignment="1" applyProtection="1">
      <alignment horizontal="center" vertical="center"/>
    </xf>
    <xf numFmtId="0" fontId="79" fillId="34" borderId="66" xfId="6" applyFont="1" applyFill="1" applyBorder="1" applyAlignment="1" applyProtection="1">
      <alignment horizontal="center" vertical="center"/>
    </xf>
    <xf numFmtId="0" fontId="81" fillId="0" borderId="20" xfId="6" applyFont="1" applyBorder="1" applyAlignment="1" applyProtection="1">
      <alignment horizontal="center" vertical="center"/>
    </xf>
    <xf numFmtId="0" fontId="13" fillId="0" borderId="16" xfId="6" applyFont="1" applyBorder="1" applyAlignment="1">
      <alignment horizontal="center" vertical="center" wrapText="1"/>
      <protection locked="0"/>
    </xf>
    <xf numFmtId="0" fontId="13" fillId="0" borderId="17" xfId="6" applyFont="1" applyBorder="1" applyAlignment="1">
      <alignment horizontal="center" vertical="center"/>
      <protection locked="0"/>
    </xf>
    <xf numFmtId="0" fontId="13" fillId="0" borderId="20" xfId="6" applyFont="1" applyBorder="1" applyAlignment="1">
      <alignment horizontal="center" vertical="center"/>
      <protection locked="0"/>
    </xf>
    <xf numFmtId="0" fontId="13" fillId="0" borderId="21" xfId="6" applyFont="1" applyBorder="1" applyAlignment="1">
      <alignment horizontal="center" vertical="center"/>
      <protection locked="0"/>
    </xf>
    <xf numFmtId="0" fontId="13" fillId="0" borderId="22" xfId="6" applyFont="1" applyBorder="1" applyAlignment="1">
      <alignment horizontal="center" vertical="center"/>
      <protection locked="0"/>
    </xf>
    <xf numFmtId="0" fontId="13" fillId="0" borderId="23" xfId="6" applyFont="1" applyBorder="1" applyAlignment="1">
      <alignment horizontal="center" vertical="center"/>
      <protection locked="0"/>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13" fillId="0" borderId="22" xfId="6" applyFont="1" applyBorder="1" applyAlignment="1" applyProtection="1">
      <alignment horizontal="center" vertical="center"/>
    </xf>
    <xf numFmtId="0" fontId="13" fillId="0" borderId="25" xfId="6" applyFont="1" applyBorder="1" applyAlignment="1" applyProtection="1">
      <alignment horizontal="center" vertical="center"/>
    </xf>
    <xf numFmtId="0" fontId="13" fillId="0" borderId="70" xfId="6" applyFont="1" applyBorder="1" applyAlignment="1" applyProtection="1">
      <alignment horizontal="center" vertical="center" wrapText="1"/>
    </xf>
    <xf numFmtId="0" fontId="10" fillId="0" borderId="69"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0" fillId="0" borderId="21" xfId="6" applyFont="1" applyBorder="1" applyAlignment="1" applyProtection="1">
      <alignment horizontal="left" vertical="center" wrapText="1"/>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0" fontId="15" fillId="0" borderId="24" xfId="6" applyFont="1" applyBorder="1" applyAlignment="1">
      <alignment horizontal="center" vertical="center" wrapText="1"/>
      <protection locked="0"/>
    </xf>
    <xf numFmtId="0" fontId="15" fillId="0" borderId="0" xfId="6" applyFont="1" applyAlignment="1">
      <alignment horizontal="center" vertical="center" wrapText="1"/>
      <protection locked="0"/>
    </xf>
    <xf numFmtId="0" fontId="6" fillId="0" borderId="16" xfId="6" applyFont="1" applyBorder="1" applyAlignment="1">
      <alignment horizontal="center" vertical="center" wrapText="1"/>
      <protection locked="0"/>
    </xf>
    <xf numFmtId="0" fontId="6" fillId="0" borderId="24" xfId="6" applyFont="1" applyBorder="1" applyAlignment="1">
      <alignment horizontal="center" vertical="center" wrapText="1"/>
      <protection locked="0"/>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13" fillId="0" borderId="78"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13" fillId="0" borderId="21" xfId="6" applyFont="1" applyBorder="1" applyAlignment="1" applyProtection="1">
      <alignment horizontal="center" vertical="center" wrapText="1"/>
    </xf>
    <xf numFmtId="0" fontId="10" fillId="0" borderId="22" xfId="6" applyFont="1" applyBorder="1" applyAlignment="1" applyProtection="1">
      <alignment horizontal="center" vertical="center" wrapText="1"/>
    </xf>
    <xf numFmtId="0" fontId="10" fillId="0" borderId="25" xfId="6" applyFont="1" applyBorder="1" applyAlignment="1" applyProtection="1">
      <alignment horizontal="center" vertical="center" wrapText="1"/>
    </xf>
    <xf numFmtId="0" fontId="10" fillId="0" borderId="23" xfId="6" applyFont="1" applyBorder="1" applyAlignment="1" applyProtection="1">
      <alignment horizontal="center" vertical="center" wrapText="1"/>
    </xf>
    <xf numFmtId="0" fontId="87" fillId="0" borderId="24" xfId="6" applyFont="1" applyBorder="1" applyAlignment="1">
      <alignment horizontal="center" vertical="center"/>
      <protection locked="0"/>
    </xf>
    <xf numFmtId="0" fontId="87" fillId="0" borderId="20" xfId="6" applyFont="1" applyBorder="1" applyAlignment="1">
      <alignment horizontal="center" vertical="center"/>
      <protection locked="0"/>
    </xf>
    <xf numFmtId="0" fontId="87" fillId="0" borderId="21" xfId="6" applyFont="1" applyBorder="1" applyAlignment="1">
      <alignment horizontal="center" vertical="center"/>
      <protection locked="0"/>
    </xf>
    <xf numFmtId="0" fontId="87" fillId="0" borderId="25" xfId="6" applyFont="1" applyBorder="1" applyAlignment="1">
      <alignment horizontal="center" vertical="center"/>
      <protection locked="0"/>
    </xf>
    <xf numFmtId="49" fontId="54" fillId="28" borderId="24" xfId="6" applyNumberFormat="1" applyFont="1" applyFill="1" applyBorder="1" applyAlignment="1" applyProtection="1">
      <alignment horizontal="center" vertical="center"/>
    </xf>
    <xf numFmtId="49" fontId="54" fillId="52" borderId="24" xfId="6" applyNumberFormat="1" applyFont="1" applyFill="1" applyBorder="1" applyAlignment="1" applyProtection="1">
      <alignment horizontal="center" vertical="center"/>
    </xf>
    <xf numFmtId="49" fontId="54" fillId="52" borderId="0" xfId="6" applyNumberFormat="1" applyFont="1" applyFill="1" applyAlignment="1" applyProtection="1">
      <alignment horizontal="center" vertical="center"/>
    </xf>
    <xf numFmtId="49" fontId="13" fillId="11" borderId="0" xfId="6" applyNumberFormat="1" applyFont="1" applyFill="1" applyAlignment="1" applyProtection="1">
      <alignment horizontal="center" vertical="center"/>
    </xf>
    <xf numFmtId="49" fontId="80" fillId="34" borderId="0" xfId="6" applyNumberFormat="1" applyFont="1" applyFill="1" applyAlignment="1" applyProtection="1">
      <alignment horizontal="center" vertical="center"/>
    </xf>
    <xf numFmtId="49" fontId="10" fillId="11" borderId="0" xfId="6" applyNumberFormat="1" applyFont="1" applyFill="1" applyAlignment="1" applyProtection="1">
      <alignment horizontal="center" vertical="center"/>
    </xf>
    <xf numFmtId="49" fontId="10" fillId="34" borderId="0" xfId="6" applyNumberFormat="1" applyFont="1" applyFill="1" applyAlignment="1" applyProtection="1">
      <alignment horizontal="center" vertical="center"/>
    </xf>
    <xf numFmtId="49" fontId="10" fillId="34" borderId="21" xfId="6" applyNumberFormat="1" applyFont="1" applyFill="1" applyBorder="1" applyAlignment="1" applyProtection="1">
      <alignment horizontal="center" vertical="center"/>
    </xf>
    <xf numFmtId="49" fontId="10" fillId="34" borderId="25" xfId="6" applyNumberFormat="1" applyFont="1" applyFill="1" applyBorder="1" applyAlignment="1" applyProtection="1">
      <alignment horizontal="center" vertical="center"/>
    </xf>
    <xf numFmtId="49" fontId="10" fillId="34" borderId="23" xfId="6" applyNumberFormat="1" applyFont="1" applyFill="1" applyBorder="1" applyAlignment="1" applyProtection="1">
      <alignment horizontal="center" vertical="center"/>
    </xf>
    <xf numFmtId="0" fontId="10" fillId="0" borderId="24" xfId="6" applyFont="1" applyBorder="1" applyAlignment="1">
      <alignment horizontal="center" vertical="center" wrapText="1"/>
      <protection locked="0"/>
    </xf>
    <xf numFmtId="0" fontId="10" fillId="0" borderId="17" xfId="6" applyFont="1" applyBorder="1" applyAlignment="1">
      <alignment horizontal="center" vertical="center" wrapText="1"/>
      <protection locked="0"/>
    </xf>
    <xf numFmtId="0" fontId="10" fillId="0" borderId="20" xfId="6" applyFont="1" applyBorder="1" applyAlignment="1">
      <alignment horizontal="center" vertical="center" wrapText="1"/>
      <protection locked="0"/>
    </xf>
    <xf numFmtId="0" fontId="10" fillId="0" borderId="0" xfId="6" applyFont="1" applyAlignment="1">
      <alignment horizontal="center" vertical="center" wrapText="1"/>
      <protection locked="0"/>
    </xf>
    <xf numFmtId="0" fontId="10" fillId="0" borderId="21" xfId="6" applyFont="1" applyBorder="1" applyAlignment="1">
      <alignment horizontal="center" vertical="center" wrapText="1"/>
      <protection locked="0"/>
    </xf>
    <xf numFmtId="0" fontId="10" fillId="0" borderId="22" xfId="6" applyFont="1" applyBorder="1" applyAlignment="1">
      <alignment horizontal="center" vertical="center" wrapText="1"/>
      <protection locked="0"/>
    </xf>
    <xf numFmtId="0" fontId="10" fillId="0" borderId="25" xfId="6" applyFont="1" applyBorder="1" applyAlignment="1">
      <alignment horizontal="center" vertical="center" wrapText="1"/>
      <protection locked="0"/>
    </xf>
    <xf numFmtId="0" fontId="10" fillId="0" borderId="23" xfId="6" applyFont="1" applyBorder="1" applyAlignment="1">
      <alignment horizontal="center" vertical="center" wrapText="1"/>
      <protection locked="0"/>
    </xf>
    <xf numFmtId="0" fontId="21" fillId="61" borderId="20" xfId="0" applyFont="1" applyFill="1" applyBorder="1" applyAlignment="1">
      <alignment horizontal="center" vertical="center" wrapText="1"/>
    </xf>
    <xf numFmtId="0" fontId="21" fillId="61" borderId="0" xfId="0" applyFont="1" applyFill="1" applyAlignment="1">
      <alignment horizontal="center" vertical="center" wrapText="1"/>
    </xf>
    <xf numFmtId="0" fontId="21" fillId="61" borderId="21" xfId="0" applyFont="1" applyFill="1" applyBorder="1" applyAlignment="1">
      <alignment horizontal="center" vertical="center" wrapText="1"/>
    </xf>
    <xf numFmtId="0" fontId="21" fillId="61" borderId="22" xfId="0" applyFont="1" applyFill="1" applyBorder="1" applyAlignment="1">
      <alignment horizontal="center" vertical="center" wrapText="1"/>
    </xf>
    <xf numFmtId="0" fontId="21" fillId="61" borderId="25" xfId="0" applyFont="1" applyFill="1" applyBorder="1" applyAlignment="1">
      <alignment horizontal="center" vertical="center" wrapText="1"/>
    </xf>
    <xf numFmtId="0" fontId="21" fillId="61" borderId="23" xfId="0" applyFont="1" applyFill="1" applyBorder="1" applyAlignment="1">
      <alignment horizontal="center" vertical="center" wrapText="1"/>
    </xf>
    <xf numFmtId="0" fontId="10" fillId="0" borderId="20" xfId="6" applyFont="1" applyBorder="1" applyAlignment="1" applyProtection="1">
      <alignment horizontal="left" vertical="center" wrapText="1"/>
    </xf>
    <xf numFmtId="0" fontId="10" fillId="0" borderId="22" xfId="6" applyFont="1" applyBorder="1" applyAlignment="1" applyProtection="1">
      <alignment horizontal="left" vertical="center" wrapText="1"/>
    </xf>
    <xf numFmtId="0" fontId="10" fillId="0" borderId="25" xfId="6" applyFont="1" applyBorder="1" applyAlignment="1" applyProtection="1">
      <alignment horizontal="left" vertical="center" wrapText="1"/>
    </xf>
    <xf numFmtId="0" fontId="10" fillId="0" borderId="23" xfId="6" applyFont="1" applyBorder="1" applyAlignment="1" applyProtection="1">
      <alignment horizontal="left" vertical="center" wrapText="1"/>
    </xf>
    <xf numFmtId="0" fontId="82" fillId="11" borderId="16" xfId="6" applyFont="1" applyFill="1" applyBorder="1" applyAlignment="1" applyProtection="1">
      <alignment horizontal="center" vertical="center"/>
    </xf>
    <xf numFmtId="0" fontId="82" fillId="34" borderId="24" xfId="6" applyFont="1" applyFill="1" applyBorder="1" applyAlignment="1" applyProtection="1">
      <alignment horizontal="center" vertical="center"/>
    </xf>
    <xf numFmtId="0" fontId="82" fillId="34" borderId="17" xfId="6" applyFont="1" applyFill="1" applyBorder="1" applyAlignment="1" applyProtection="1">
      <alignment horizontal="center" vertical="center"/>
    </xf>
    <xf numFmtId="0" fontId="82" fillId="34" borderId="20" xfId="6" applyFont="1" applyFill="1" applyBorder="1" applyAlignment="1" applyProtection="1">
      <alignment horizontal="center" vertical="center"/>
    </xf>
    <xf numFmtId="0" fontId="82" fillId="34" borderId="0" xfId="6" applyFont="1" applyFill="1" applyAlignment="1" applyProtection="1">
      <alignment horizontal="center" vertical="center"/>
    </xf>
    <xf numFmtId="0" fontId="82" fillId="34" borderId="21" xfId="6" applyFont="1" applyFill="1" applyBorder="1" applyAlignment="1" applyProtection="1">
      <alignment horizontal="center" vertical="center"/>
    </xf>
    <xf numFmtId="49" fontId="63" fillId="11" borderId="16" xfId="6" applyNumberFormat="1" applyFont="1" applyFill="1" applyBorder="1" applyAlignment="1" applyProtection="1">
      <alignment horizontal="center" vertical="center"/>
    </xf>
    <xf numFmtId="49" fontId="63" fillId="34" borderId="24" xfId="6" applyNumberFormat="1" applyFont="1" applyFill="1" applyBorder="1" applyAlignment="1" applyProtection="1">
      <alignment horizontal="center" vertical="center"/>
    </xf>
    <xf numFmtId="49" fontId="63" fillId="34" borderId="20" xfId="6" applyNumberFormat="1" applyFont="1" applyFill="1" applyBorder="1" applyAlignment="1" applyProtection="1">
      <alignment horizontal="center" vertical="center"/>
    </xf>
    <xf numFmtId="49" fontId="63" fillId="34" borderId="0" xfId="6" applyNumberFormat="1" applyFont="1" applyFill="1" applyAlignment="1" applyProtection="1">
      <alignment horizontal="center" vertical="center"/>
    </xf>
    <xf numFmtId="0" fontId="85" fillId="0" borderId="16" xfId="6" applyFont="1" applyBorder="1" applyAlignment="1">
      <alignment horizontal="center" vertical="center"/>
      <protection locked="0"/>
    </xf>
    <xf numFmtId="0" fontId="85" fillId="0" borderId="24" xfId="6" applyFont="1" applyBorder="1" applyAlignment="1">
      <alignment horizontal="center" vertical="center"/>
      <protection locked="0"/>
    </xf>
    <xf numFmtId="0" fontId="85" fillId="0" borderId="17" xfId="6" applyFont="1" applyBorder="1" applyAlignment="1">
      <alignment horizontal="center" vertical="center"/>
      <protection locked="0"/>
    </xf>
    <xf numFmtId="0" fontId="85" fillId="0" borderId="22" xfId="6" applyFont="1" applyBorder="1" applyAlignment="1">
      <alignment horizontal="center" vertical="center"/>
      <protection locked="0"/>
    </xf>
    <xf numFmtId="0" fontId="85" fillId="0" borderId="25" xfId="6" applyFont="1" applyBorder="1" applyAlignment="1">
      <alignment horizontal="center" vertical="center"/>
      <protection locked="0"/>
    </xf>
    <xf numFmtId="0" fontId="85" fillId="0" borderId="23" xfId="6" applyFont="1" applyBorder="1" applyAlignment="1">
      <alignment horizontal="center" vertical="center"/>
      <protection locked="0"/>
    </xf>
    <xf numFmtId="0" fontId="83" fillId="60" borderId="16" xfId="6" applyFont="1" applyFill="1" applyBorder="1" applyAlignment="1" applyProtection="1">
      <alignment horizontal="center" vertical="center"/>
    </xf>
    <xf numFmtId="0" fontId="83" fillId="60" borderId="24" xfId="6" applyFont="1" applyFill="1" applyBorder="1" applyAlignment="1" applyProtection="1">
      <alignment horizontal="center" vertical="center"/>
    </xf>
    <xf numFmtId="0" fontId="83" fillId="60" borderId="17" xfId="6" applyFont="1" applyFill="1" applyBorder="1" applyAlignment="1" applyProtection="1">
      <alignment horizontal="center" vertical="center"/>
    </xf>
    <xf numFmtId="0" fontId="83" fillId="60" borderId="82" xfId="6" applyFont="1" applyFill="1" applyBorder="1" applyAlignment="1" applyProtection="1">
      <alignment horizontal="center" vertical="center"/>
    </xf>
    <xf numFmtId="0" fontId="83" fillId="60" borderId="83" xfId="6" applyFont="1" applyFill="1" applyBorder="1" applyAlignment="1" applyProtection="1">
      <alignment horizontal="center" vertical="center"/>
    </xf>
    <xf numFmtId="0" fontId="83" fillId="60" borderId="94" xfId="6" applyFont="1" applyFill="1" applyBorder="1" applyAlignment="1" applyProtection="1">
      <alignment horizontal="center" vertical="center"/>
    </xf>
    <xf numFmtId="0" fontId="10" fillId="0" borderId="16" xfId="6" applyFont="1" applyBorder="1" applyAlignment="1">
      <alignment horizontal="center" vertical="center" wrapText="1"/>
      <protection locked="0"/>
    </xf>
    <xf numFmtId="0" fontId="6" fillId="61" borderId="78" xfId="6" applyFont="1" applyFill="1" applyBorder="1" applyAlignment="1" applyProtection="1">
      <alignment horizontal="center" vertical="center"/>
    </xf>
    <xf numFmtId="0" fontId="6" fillId="61" borderId="90" xfId="6" applyFont="1" applyFill="1" applyBorder="1" applyAlignment="1" applyProtection="1">
      <alignment horizontal="center" vertical="center"/>
    </xf>
    <xf numFmtId="0" fontId="21" fillId="61" borderId="0" xfId="0" applyFont="1" applyFill="1" applyAlignment="1">
      <alignment horizontal="center" vertical="center"/>
    </xf>
    <xf numFmtId="0" fontId="21" fillId="61" borderId="21" xfId="0" applyFont="1" applyFill="1" applyBorder="1" applyAlignment="1">
      <alignment horizontal="center" vertical="center"/>
    </xf>
    <xf numFmtId="0" fontId="65" fillId="11" borderId="20" xfId="6" applyFont="1" applyFill="1" applyBorder="1" applyAlignment="1" applyProtection="1">
      <alignment horizontal="center" vertical="center" wrapText="1"/>
    </xf>
    <xf numFmtId="0" fontId="65" fillId="34" borderId="0" xfId="6" applyFont="1" applyFill="1" applyAlignment="1" applyProtection="1">
      <alignment horizontal="center" vertical="center" wrapText="1"/>
    </xf>
    <xf numFmtId="0" fontId="65" fillId="34" borderId="84" xfId="6" applyFont="1" applyFill="1" applyBorder="1" applyAlignment="1" applyProtection="1">
      <alignment horizontal="center" vertical="center" wrapText="1"/>
    </xf>
    <xf numFmtId="0" fontId="65" fillId="34" borderId="81" xfId="6" applyFont="1" applyFill="1" applyBorder="1" applyAlignment="1" applyProtection="1">
      <alignment horizontal="center" vertical="center" wrapText="1"/>
    </xf>
    <xf numFmtId="0" fontId="65" fillId="34" borderId="92" xfId="6" applyFont="1" applyFill="1" applyBorder="1" applyAlignment="1" applyProtection="1">
      <alignment horizontal="center" vertical="center" wrapText="1"/>
    </xf>
    <xf numFmtId="0" fontId="65" fillId="34" borderId="82" xfId="6" applyFont="1" applyFill="1" applyBorder="1" applyAlignment="1" applyProtection="1">
      <alignment horizontal="center" vertical="center" wrapText="1"/>
    </xf>
    <xf numFmtId="0" fontId="65" fillId="34" borderId="83" xfId="6" applyFont="1" applyFill="1" applyBorder="1" applyAlignment="1" applyProtection="1">
      <alignment horizontal="center" vertical="center" wrapText="1"/>
    </xf>
    <xf numFmtId="0" fontId="65" fillId="34" borderId="85" xfId="6" applyFont="1" applyFill="1" applyBorder="1" applyAlignment="1" applyProtection="1">
      <alignment horizontal="center" vertical="center" wrapText="1"/>
    </xf>
    <xf numFmtId="0" fontId="65" fillId="34" borderId="94" xfId="6" applyFont="1" applyFill="1" applyBorder="1" applyAlignment="1" applyProtection="1">
      <alignment horizontal="center" vertical="center" wrapText="1"/>
    </xf>
    <xf numFmtId="49" fontId="13" fillId="34" borderId="0" xfId="6" applyNumberFormat="1" applyFont="1" applyFill="1" applyAlignment="1" applyProtection="1">
      <alignment horizontal="center" vertical="center"/>
    </xf>
    <xf numFmtId="49" fontId="13" fillId="34" borderId="25" xfId="6" applyNumberFormat="1" applyFont="1" applyFill="1" applyBorder="1" applyAlignment="1" applyProtection="1">
      <alignment horizontal="center" vertical="center"/>
    </xf>
    <xf numFmtId="0" fontId="84" fillId="11" borderId="16" xfId="0" applyFont="1" applyFill="1" applyBorder="1" applyAlignment="1" applyProtection="1">
      <alignment horizontal="center" vertical="center"/>
      <protection locked="0"/>
    </xf>
    <xf numFmtId="0" fontId="84" fillId="47" borderId="24" xfId="0" applyFont="1" applyFill="1" applyBorder="1" applyAlignment="1" applyProtection="1">
      <alignment horizontal="center" vertical="center"/>
      <protection locked="0"/>
    </xf>
    <xf numFmtId="0" fontId="84" fillId="47" borderId="17" xfId="0" applyFont="1" applyFill="1" applyBorder="1" applyAlignment="1" applyProtection="1">
      <alignment horizontal="center" vertical="center"/>
      <protection locked="0"/>
    </xf>
    <xf numFmtId="0" fontId="84" fillId="47" borderId="20" xfId="0" applyFont="1" applyFill="1" applyBorder="1" applyAlignment="1" applyProtection="1">
      <alignment horizontal="center" vertical="center"/>
      <protection locked="0"/>
    </xf>
    <xf numFmtId="0" fontId="84" fillId="47" borderId="0" xfId="0" applyFont="1" applyFill="1" applyAlignment="1" applyProtection="1">
      <alignment horizontal="center" vertical="center"/>
      <protection locked="0"/>
    </xf>
    <xf numFmtId="0" fontId="84" fillId="47" borderId="21" xfId="0" applyFont="1" applyFill="1" applyBorder="1" applyAlignment="1" applyProtection="1">
      <alignment horizontal="center" vertical="center"/>
      <protection locked="0"/>
    </xf>
    <xf numFmtId="0" fontId="84" fillId="47" borderId="22" xfId="0" applyFont="1" applyFill="1" applyBorder="1" applyAlignment="1" applyProtection="1">
      <alignment horizontal="center" vertical="center"/>
      <protection locked="0"/>
    </xf>
    <xf numFmtId="0" fontId="84" fillId="47" borderId="25" xfId="0" applyFont="1" applyFill="1" applyBorder="1" applyAlignment="1" applyProtection="1">
      <alignment horizontal="center" vertical="center"/>
      <protection locked="0"/>
    </xf>
    <xf numFmtId="0" fontId="84" fillId="47" borderId="23" xfId="0" applyFont="1" applyFill="1" applyBorder="1" applyAlignment="1" applyProtection="1">
      <alignment horizontal="center" vertical="center"/>
      <protection locked="0"/>
    </xf>
    <xf numFmtId="0" fontId="63" fillId="34" borderId="24" xfId="6" applyFont="1" applyFill="1" applyBorder="1" applyAlignment="1" applyProtection="1">
      <alignment horizontal="center" vertical="center"/>
    </xf>
    <xf numFmtId="0" fontId="63" fillId="34" borderId="0" xfId="6" applyFont="1" applyFill="1" applyAlignment="1" applyProtection="1">
      <alignment horizontal="center" vertical="center"/>
    </xf>
    <xf numFmtId="0" fontId="27" fillId="11" borderId="7" xfId="6" applyFont="1" applyFill="1" applyBorder="1" applyAlignment="1" applyProtection="1">
      <alignment horizontal="left" vertical="center" wrapText="1"/>
    </xf>
    <xf numFmtId="0" fontId="27" fillId="47" borderId="9" xfId="6" applyFont="1" applyFill="1" applyBorder="1" applyAlignment="1" applyProtection="1">
      <alignment horizontal="left" vertical="center" wrapText="1"/>
    </xf>
    <xf numFmtId="0" fontId="27" fillId="11" borderId="13" xfId="6" applyFont="1" applyFill="1" applyBorder="1" applyAlignment="1" applyProtection="1">
      <alignment horizontal="left" vertical="center" wrapText="1"/>
    </xf>
    <xf numFmtId="0" fontId="27" fillId="47" borderId="14" xfId="6" applyFont="1" applyFill="1" applyBorder="1" applyAlignment="1" applyProtection="1">
      <alignment horizontal="left" vertical="center" wrapText="1"/>
    </xf>
    <xf numFmtId="0" fontId="91" fillId="0" borderId="0" xfId="6" applyFont="1" applyAlignment="1">
      <alignment horizontal="center" vertical="center"/>
      <protection locked="0"/>
    </xf>
    <xf numFmtId="0" fontId="6" fillId="0" borderId="17" xfId="6" applyFont="1" applyBorder="1" applyAlignment="1">
      <alignment horizontal="center" vertical="center" wrapText="1"/>
      <protection locked="0"/>
    </xf>
    <xf numFmtId="0" fontId="6" fillId="0" borderId="20" xfId="6" applyFont="1" applyBorder="1" applyAlignment="1">
      <alignment horizontal="center" vertical="center" wrapText="1"/>
      <protection locked="0"/>
    </xf>
    <xf numFmtId="0" fontId="6" fillId="0" borderId="21" xfId="6" applyFont="1" applyBorder="1" applyAlignment="1">
      <alignment horizontal="center" vertical="center" wrapText="1"/>
      <protection locked="0"/>
    </xf>
    <xf numFmtId="0" fontId="6" fillId="0" borderId="22" xfId="6" applyFont="1" applyBorder="1" applyAlignment="1">
      <alignment horizontal="center" vertical="center" wrapText="1"/>
      <protection locked="0"/>
    </xf>
    <xf numFmtId="0" fontId="6" fillId="0" borderId="25" xfId="6" applyFont="1" applyBorder="1" applyAlignment="1">
      <alignment horizontal="center" vertical="center" wrapText="1"/>
      <protection locked="0"/>
    </xf>
    <xf numFmtId="0" fontId="6" fillId="0" borderId="23" xfId="6" applyFont="1" applyBorder="1" applyAlignment="1">
      <alignment horizontal="center" vertical="center" wrapText="1"/>
      <protection locked="0"/>
    </xf>
    <xf numFmtId="49" fontId="10" fillId="0" borderId="0" xfId="6" applyNumberFormat="1" applyFont="1" applyAlignment="1" applyProtection="1">
      <alignment horizontal="center" vertical="center" wrapText="1"/>
    </xf>
    <xf numFmtId="49" fontId="10" fillId="0" borderId="21" xfId="6" applyNumberFormat="1" applyFont="1" applyBorder="1" applyAlignment="1" applyProtection="1">
      <alignment horizontal="center" vertical="center" wrapText="1"/>
    </xf>
    <xf numFmtId="49" fontId="62" fillId="11" borderId="16" xfId="6" applyNumberFormat="1" applyFont="1" applyFill="1" applyBorder="1" applyAlignment="1" applyProtection="1">
      <alignment horizontal="center" vertical="center"/>
    </xf>
    <xf numFmtId="49" fontId="62" fillId="34" borderId="24" xfId="6" applyNumberFormat="1" applyFont="1" applyFill="1" applyBorder="1" applyAlignment="1" applyProtection="1">
      <alignment horizontal="center" vertical="center"/>
    </xf>
    <xf numFmtId="49" fontId="62" fillId="34" borderId="17" xfId="6" applyNumberFormat="1" applyFont="1" applyFill="1" applyBorder="1" applyAlignment="1" applyProtection="1">
      <alignment horizontal="center" vertical="center"/>
    </xf>
    <xf numFmtId="49" fontId="62" fillId="34" borderId="20" xfId="6" applyNumberFormat="1" applyFont="1" applyFill="1" applyBorder="1" applyAlignment="1" applyProtection="1">
      <alignment horizontal="center" vertical="center"/>
    </xf>
    <xf numFmtId="49" fontId="62" fillId="34" borderId="0" xfId="6" applyNumberFormat="1" applyFont="1" applyFill="1" applyAlignment="1" applyProtection="1">
      <alignment horizontal="center" vertical="center"/>
    </xf>
    <xf numFmtId="49" fontId="62" fillId="34" borderId="21" xfId="6" applyNumberFormat="1" applyFont="1" applyFill="1" applyBorder="1" applyAlignment="1" applyProtection="1">
      <alignment horizontal="center" vertical="center"/>
    </xf>
    <xf numFmtId="49" fontId="62" fillId="34" borderId="22" xfId="6" applyNumberFormat="1" applyFont="1" applyFill="1" applyBorder="1" applyAlignment="1" applyProtection="1">
      <alignment horizontal="center" vertical="center"/>
    </xf>
    <xf numFmtId="49" fontId="62" fillId="34" borderId="25" xfId="6" applyNumberFormat="1" applyFont="1" applyFill="1" applyBorder="1" applyAlignment="1" applyProtection="1">
      <alignment horizontal="center" vertical="center"/>
    </xf>
    <xf numFmtId="49" fontId="62" fillId="34" borderId="23" xfId="6" applyNumberFormat="1" applyFont="1" applyFill="1" applyBorder="1" applyAlignment="1" applyProtection="1">
      <alignment horizontal="center" vertical="center"/>
    </xf>
    <xf numFmtId="0" fontId="54" fillId="28" borderId="24" xfId="6" applyFont="1" applyFill="1" applyBorder="1" applyAlignment="1" applyProtection="1">
      <alignment horizontal="center" vertical="center"/>
    </xf>
    <xf numFmtId="0" fontId="54" fillId="52" borderId="24" xfId="6" applyFont="1" applyFill="1" applyBorder="1" applyAlignment="1" applyProtection="1">
      <alignment horizontal="center" vertical="center"/>
    </xf>
    <xf numFmtId="0" fontId="54" fillId="52" borderId="17" xfId="6" applyFont="1" applyFill="1" applyBorder="1" applyAlignment="1" applyProtection="1">
      <alignment horizontal="center" vertical="center"/>
    </xf>
    <xf numFmtId="0" fontId="54" fillId="52" borderId="0" xfId="6" applyFont="1" applyFill="1" applyAlignment="1" applyProtection="1">
      <alignment horizontal="center" vertical="center"/>
    </xf>
    <xf numFmtId="0" fontId="54" fillId="52" borderId="21" xfId="6" applyFont="1" applyFill="1" applyBorder="1" applyAlignment="1" applyProtection="1">
      <alignment horizontal="center" vertical="center"/>
    </xf>
    <xf numFmtId="0" fontId="13" fillId="0" borderId="79" xfId="6" applyFont="1" applyBorder="1" applyAlignment="1" applyProtection="1">
      <alignment horizontal="center" vertical="center" wrapText="1"/>
    </xf>
    <xf numFmtId="0" fontId="13" fillId="0" borderId="11" xfId="6" applyFont="1" applyBorder="1" applyAlignment="1" applyProtection="1">
      <alignment horizontal="center" vertical="center" wrapText="1"/>
    </xf>
    <xf numFmtId="0" fontId="13" fillId="0" borderId="42" xfId="6" applyFont="1" applyBorder="1" applyAlignment="1" applyProtection="1">
      <alignment horizontal="center" vertical="center" wrapText="1"/>
    </xf>
    <xf numFmtId="0" fontId="10" fillId="0" borderId="20" xfId="6" quotePrefix="1" applyFont="1" applyBorder="1" applyAlignment="1" applyProtection="1">
      <alignment horizontal="center" vertical="center" wrapText="1"/>
    </xf>
    <xf numFmtId="0" fontId="10" fillId="0" borderId="90" xfId="6" applyFont="1" applyBorder="1" applyAlignment="1" applyProtection="1">
      <alignment horizontal="center" vertical="center" wrapText="1"/>
    </xf>
    <xf numFmtId="0" fontId="10" fillId="0" borderId="96" xfId="6" applyFont="1" applyBorder="1" applyAlignment="1" applyProtection="1">
      <alignment horizontal="center" vertical="center" wrapText="1"/>
    </xf>
    <xf numFmtId="49" fontId="10" fillId="0" borderId="20" xfId="6" applyNumberFormat="1" applyFont="1" applyBorder="1" applyAlignment="1" applyProtection="1">
      <alignment horizontal="left" vertical="center" wrapText="1"/>
    </xf>
    <xf numFmtId="49" fontId="10" fillId="0" borderId="21" xfId="6" applyNumberFormat="1" applyFont="1" applyBorder="1" applyAlignment="1" applyProtection="1">
      <alignment horizontal="left" vertical="center" wrapText="1"/>
    </xf>
    <xf numFmtId="49" fontId="10" fillId="0" borderId="22" xfId="6" applyNumberFormat="1" applyFont="1" applyBorder="1" applyAlignment="1" applyProtection="1">
      <alignment horizontal="left" vertical="center" wrapText="1"/>
    </xf>
    <xf numFmtId="49" fontId="10" fillId="0" borderId="23" xfId="6" applyNumberFormat="1" applyFont="1" applyBorder="1" applyAlignment="1" applyProtection="1">
      <alignment horizontal="left" vertical="center" wrapText="1"/>
    </xf>
    <xf numFmtId="0" fontId="10" fillId="11" borderId="64" xfId="6" applyFont="1" applyFill="1" applyBorder="1" applyAlignment="1" applyProtection="1">
      <alignment horizontal="left" vertical="center" wrapText="1"/>
    </xf>
    <xf numFmtId="0" fontId="10" fillId="12" borderId="65" xfId="6" applyFont="1" applyFill="1" applyBorder="1" applyAlignment="1" applyProtection="1">
      <alignment horizontal="left" vertical="center" wrapText="1"/>
    </xf>
    <xf numFmtId="0" fontId="10" fillId="12" borderId="73" xfId="6" applyFont="1" applyFill="1" applyBorder="1" applyAlignment="1" applyProtection="1">
      <alignment horizontal="left" vertical="center" wrapText="1"/>
    </xf>
    <xf numFmtId="0" fontId="10" fillId="12" borderId="67" xfId="6" applyFont="1" applyFill="1" applyBorder="1" applyAlignment="1" applyProtection="1">
      <alignment horizontal="left" vertical="center" wrapText="1"/>
    </xf>
    <xf numFmtId="0" fontId="10" fillId="12" borderId="68" xfId="6" applyFont="1" applyFill="1" applyBorder="1" applyAlignment="1" applyProtection="1">
      <alignment horizontal="left" vertical="center" wrapText="1"/>
    </xf>
    <xf numFmtId="0" fontId="10" fillId="12" borderId="74" xfId="6" applyFont="1" applyFill="1" applyBorder="1" applyAlignment="1" applyProtection="1">
      <alignment horizontal="left" vertical="center" wrapText="1"/>
    </xf>
    <xf numFmtId="49" fontId="10" fillId="0" borderId="0" xfId="6" applyNumberFormat="1" applyFont="1" applyAlignment="1" applyProtection="1">
      <alignment horizontal="left" vertical="center" wrapText="1"/>
    </xf>
    <xf numFmtId="49" fontId="10" fillId="0" borderId="25" xfId="6" applyNumberFormat="1" applyFont="1" applyBorder="1" applyAlignment="1" applyProtection="1">
      <alignment horizontal="left" vertical="center" wrapText="1"/>
    </xf>
    <xf numFmtId="49" fontId="10" fillId="0" borderId="76" xfId="6" applyNumberFormat="1" applyFont="1" applyBorder="1" applyAlignment="1">
      <alignment horizontal="center" vertical="center" wrapText="1"/>
      <protection locked="0"/>
    </xf>
    <xf numFmtId="49" fontId="13" fillId="0" borderId="76" xfId="6" applyNumberFormat="1" applyFont="1" applyBorder="1" applyAlignment="1">
      <alignment horizontal="center" vertical="center"/>
      <protection locked="0"/>
    </xf>
    <xf numFmtId="49" fontId="13" fillId="0" borderId="77" xfId="6" applyNumberFormat="1" applyFont="1" applyBorder="1" applyAlignment="1">
      <alignment horizontal="center" vertical="center"/>
      <protection locked="0"/>
    </xf>
    <xf numFmtId="0" fontId="90" fillId="0" borderId="0" xfId="6" applyFont="1" applyAlignment="1">
      <alignment horizontal="right" vertical="center"/>
      <protection locked="0"/>
    </xf>
    <xf numFmtId="0" fontId="36" fillId="11" borderId="12" xfId="6" applyFont="1" applyFill="1" applyBorder="1" applyAlignment="1" applyProtection="1">
      <alignment horizontal="center" vertical="center" wrapText="1"/>
    </xf>
    <xf numFmtId="0" fontId="28" fillId="44" borderId="12" xfId="6" applyFill="1" applyBorder="1" applyAlignment="1" applyProtection="1">
      <alignment horizontal="center" vertical="center" wrapText="1"/>
    </xf>
    <xf numFmtId="0" fontId="36" fillId="41" borderId="13" xfId="6" applyFont="1" applyFill="1" applyBorder="1" applyAlignment="1" applyProtection="1">
      <alignment horizontal="center" vertical="center" wrapText="1"/>
    </xf>
    <xf numFmtId="0" fontId="28" fillId="41" borderId="14" xfId="6" applyFill="1" applyBorder="1" applyAlignment="1" applyProtection="1">
      <alignment horizontal="center" vertical="center" wrapText="1"/>
    </xf>
    <xf numFmtId="0" fontId="28" fillId="41" borderId="15" xfId="6" applyFill="1" applyBorder="1" applyAlignment="1" applyProtection="1">
      <alignment horizontal="center" vertical="center" wrapText="1"/>
    </xf>
    <xf numFmtId="0" fontId="36" fillId="11" borderId="13" xfId="6" applyFont="1" applyFill="1" applyBorder="1" applyAlignment="1" applyProtection="1">
      <alignment horizontal="center" vertical="center" wrapText="1"/>
    </xf>
    <xf numFmtId="0" fontId="36" fillId="47" borderId="14" xfId="6" applyFont="1" applyFill="1" applyBorder="1" applyAlignment="1" applyProtection="1">
      <alignment horizontal="center" vertical="center" wrapText="1"/>
    </xf>
    <xf numFmtId="0" fontId="50" fillId="11" borderId="13" xfId="6" applyFont="1" applyFill="1" applyBorder="1" applyAlignment="1" applyProtection="1">
      <alignment horizontal="center" vertical="center" wrapText="1"/>
    </xf>
    <xf numFmtId="0" fontId="50" fillId="47" borderId="14" xfId="6" applyFont="1" applyFill="1" applyBorder="1" applyAlignment="1" applyProtection="1">
      <alignment horizontal="center" vertical="center" wrapText="1"/>
    </xf>
    <xf numFmtId="0" fontId="50" fillId="47" borderId="15" xfId="6" applyFont="1" applyFill="1" applyBorder="1" applyAlignment="1" applyProtection="1">
      <alignment horizontal="center" vertical="center" wrapText="1"/>
    </xf>
    <xf numFmtId="0" fontId="40" fillId="48" borderId="8" xfId="6" applyFont="1" applyFill="1" applyBorder="1" applyAlignment="1" applyProtection="1">
      <alignment horizontal="center" vertical="center" wrapText="1"/>
    </xf>
    <xf numFmtId="0" fontId="40" fillId="48" borderId="0" xfId="6" applyFont="1" applyFill="1" applyAlignment="1" applyProtection="1">
      <alignment horizontal="center" vertical="center" wrapText="1"/>
    </xf>
    <xf numFmtId="0" fontId="40" fillId="48" borderId="11" xfId="6" applyFont="1" applyFill="1" applyBorder="1" applyAlignment="1" applyProtection="1">
      <alignment horizontal="center" vertical="center" wrapText="1"/>
    </xf>
    <xf numFmtId="0" fontId="75" fillId="48" borderId="0" xfId="6" applyFont="1" applyFill="1" applyAlignment="1" applyProtection="1">
      <alignment horizontal="center" vertical="center" wrapText="1"/>
    </xf>
    <xf numFmtId="0" fontId="36" fillId="48" borderId="6" xfId="6" applyFont="1" applyFill="1" applyBorder="1" applyAlignment="1" applyProtection="1">
      <alignment horizontal="center" vertical="center" wrapText="1"/>
    </xf>
    <xf numFmtId="0" fontId="36" fillId="11" borderId="14" xfId="6" applyFont="1" applyFill="1" applyBorder="1" applyAlignment="1" applyProtection="1">
      <alignment horizontal="center" vertical="center" wrapText="1"/>
    </xf>
    <xf numFmtId="0" fontId="36" fillId="53" borderId="14" xfId="6" applyFont="1" applyFill="1" applyBorder="1" applyAlignment="1" applyProtection="1">
      <alignment horizontal="center" vertical="center" wrapText="1"/>
    </xf>
    <xf numFmtId="0" fontId="36" fillId="53" borderId="15" xfId="6" applyFont="1" applyFill="1" applyBorder="1" applyAlignment="1" applyProtection="1">
      <alignment horizontal="center" vertical="center" wrapText="1"/>
    </xf>
    <xf numFmtId="0" fontId="88" fillId="0" borderId="16" xfId="6" applyFont="1" applyBorder="1" applyAlignment="1">
      <alignment horizontal="center" vertical="center" wrapText="1"/>
      <protection locked="0"/>
    </xf>
    <xf numFmtId="0" fontId="15" fillId="0" borderId="17" xfId="6" applyFont="1" applyBorder="1" applyAlignment="1">
      <alignment horizontal="center" vertical="center"/>
      <protection locked="0"/>
    </xf>
    <xf numFmtId="0" fontId="15" fillId="0" borderId="20" xfId="6" applyFont="1" applyBorder="1" applyAlignment="1">
      <alignment horizontal="center" vertical="center"/>
      <protection locked="0"/>
    </xf>
    <xf numFmtId="0" fontId="15" fillId="0" borderId="21" xfId="6" applyFont="1" applyBorder="1" applyAlignment="1">
      <alignment horizontal="center" vertical="center"/>
      <protection locked="0"/>
    </xf>
    <xf numFmtId="0" fontId="15" fillId="0" borderId="22" xfId="6" applyFont="1" applyBorder="1" applyAlignment="1">
      <alignment horizontal="center" vertical="center"/>
      <protection locked="0"/>
    </xf>
    <xf numFmtId="0" fontId="15" fillId="0" borderId="23" xfId="6" applyFont="1" applyBorder="1" applyAlignment="1">
      <alignment horizontal="center" vertical="center"/>
      <protection locked="0"/>
    </xf>
    <xf numFmtId="0" fontId="86" fillId="0" borderId="0" xfId="6" applyFont="1" applyAlignment="1">
      <alignment horizontal="center"/>
      <protection locked="0"/>
    </xf>
    <xf numFmtId="0" fontId="10" fillId="0" borderId="16" xfId="6" applyFont="1" applyBorder="1" applyAlignment="1">
      <alignment horizontal="left" vertical="center" wrapText="1" indent="1"/>
      <protection locked="0"/>
    </xf>
    <xf numFmtId="0" fontId="10" fillId="0" borderId="24" xfId="6" applyFont="1" applyBorder="1" applyAlignment="1">
      <alignment horizontal="left" vertical="center" wrapText="1" indent="1"/>
      <protection locked="0"/>
    </xf>
    <xf numFmtId="0" fontId="10" fillId="0" borderId="17" xfId="6" applyFont="1" applyBorder="1" applyAlignment="1">
      <alignment horizontal="left" vertical="center" wrapText="1" indent="1"/>
      <protection locked="0"/>
    </xf>
    <xf numFmtId="0" fontId="10" fillId="0" borderId="20" xfId="6" applyFont="1" applyBorder="1" applyAlignment="1">
      <alignment horizontal="left" vertical="center" wrapText="1" indent="1"/>
      <protection locked="0"/>
    </xf>
    <xf numFmtId="0" fontId="10" fillId="0" borderId="0" xfId="6" applyFont="1" applyAlignment="1">
      <alignment horizontal="left" vertical="center" wrapText="1" indent="1"/>
      <protection locked="0"/>
    </xf>
    <xf numFmtId="0" fontId="10" fillId="0" borderId="21" xfId="6" applyFont="1" applyBorder="1" applyAlignment="1">
      <alignment horizontal="left" vertical="center" wrapText="1" indent="1"/>
      <protection locked="0"/>
    </xf>
    <xf numFmtId="0" fontId="10" fillId="0" borderId="22" xfId="6" applyFont="1" applyBorder="1" applyAlignment="1">
      <alignment horizontal="left" vertical="center" wrapText="1" indent="1"/>
      <protection locked="0"/>
    </xf>
    <xf numFmtId="0" fontId="10" fillId="0" borderId="25" xfId="6" applyFont="1" applyBorder="1" applyAlignment="1">
      <alignment horizontal="left" vertical="center" wrapText="1" indent="1"/>
      <protection locked="0"/>
    </xf>
    <xf numFmtId="0" fontId="10" fillId="0" borderId="23" xfId="6" applyFont="1" applyBorder="1" applyAlignment="1">
      <alignment horizontal="left" vertical="center" wrapText="1" indent="1"/>
      <protection locked="0"/>
    </xf>
    <xf numFmtId="0" fontId="86" fillId="0" borderId="0" xfId="6" applyFont="1" applyAlignment="1">
      <alignment horizontal="center" vertical="center"/>
      <protection locked="0"/>
    </xf>
    <xf numFmtId="49" fontId="15" fillId="0" borderId="20"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22" xfId="6" applyNumberFormat="1" applyFont="1" applyBorder="1" applyAlignment="1" applyProtection="1">
      <alignment horizontal="center" vertical="center" wrapText="1"/>
    </xf>
    <xf numFmtId="49" fontId="15" fillId="0" borderId="25" xfId="6" applyNumberFormat="1" applyFont="1" applyBorder="1" applyAlignment="1" applyProtection="1">
      <alignment horizontal="center" vertical="center" wrapText="1"/>
    </xf>
    <xf numFmtId="49" fontId="13" fillId="0" borderId="44" xfId="6" applyNumberFormat="1" applyFont="1" applyBorder="1" applyAlignment="1" applyProtection="1">
      <alignment horizontal="center" vertical="center"/>
    </xf>
    <xf numFmtId="49" fontId="13" fillId="0" borderId="6" xfId="6" applyNumberFormat="1" applyFont="1" applyBorder="1" applyAlignment="1" applyProtection="1">
      <alignment horizontal="center" vertical="center"/>
    </xf>
    <xf numFmtId="49" fontId="13" fillId="0" borderId="45" xfId="6" applyNumberFormat="1" applyFont="1" applyBorder="1" applyAlignment="1" applyProtection="1">
      <alignment horizontal="center" vertical="center"/>
    </xf>
    <xf numFmtId="49" fontId="13" fillId="0" borderId="22" xfId="6" applyNumberFormat="1" applyFont="1" applyBorder="1" applyAlignment="1" applyProtection="1">
      <alignment horizontal="center" vertical="center"/>
    </xf>
    <xf numFmtId="49" fontId="13" fillId="0" borderId="25" xfId="6" applyNumberFormat="1" applyFont="1" applyBorder="1" applyAlignment="1" applyProtection="1">
      <alignment horizontal="center" vertical="center"/>
    </xf>
    <xf numFmtId="49" fontId="13" fillId="0" borderId="23" xfId="6" applyNumberFormat="1" applyFont="1" applyBorder="1" applyAlignment="1" applyProtection="1">
      <alignment horizontal="center" vertical="center"/>
    </xf>
    <xf numFmtId="0" fontId="7" fillId="55" borderId="16" xfId="6" applyFont="1" applyFill="1" applyBorder="1" applyAlignment="1" applyProtection="1">
      <alignment horizontal="center" vertical="center"/>
    </xf>
    <xf numFmtId="0" fontId="76" fillId="56" borderId="24" xfId="6" applyFont="1" applyFill="1" applyBorder="1" applyAlignment="1" applyProtection="1">
      <alignment horizontal="center" vertical="center"/>
    </xf>
    <xf numFmtId="0" fontId="76" fillId="56" borderId="17" xfId="6" applyFont="1" applyFill="1" applyBorder="1" applyAlignment="1" applyProtection="1">
      <alignment horizontal="center" vertical="center"/>
    </xf>
    <xf numFmtId="49" fontId="63" fillId="34" borderId="17" xfId="6" applyNumberFormat="1" applyFont="1" applyFill="1" applyBorder="1" applyAlignment="1" applyProtection="1">
      <alignment horizontal="center" vertical="center"/>
    </xf>
    <xf numFmtId="0" fontId="68" fillId="0" borderId="14" xfId="6" applyFont="1" applyBorder="1" applyAlignment="1" applyProtection="1">
      <alignment horizontal="left" vertical="center" wrapText="1"/>
    </xf>
    <xf numFmtId="0" fontId="68" fillId="0" borderId="14" xfId="6" applyFont="1" applyBorder="1" applyAlignment="1" applyProtection="1">
      <alignment horizontal="left" vertical="center"/>
    </xf>
    <xf numFmtId="49" fontId="54" fillId="28" borderId="16" xfId="6" applyNumberFormat="1" applyFont="1" applyFill="1" applyBorder="1" applyAlignment="1" applyProtection="1">
      <alignment horizontal="center" vertical="center"/>
    </xf>
    <xf numFmtId="49" fontId="54" fillId="52" borderId="20" xfId="6" applyNumberFormat="1" applyFont="1" applyFill="1" applyBorder="1" applyAlignment="1" applyProtection="1">
      <alignment horizontal="center" vertical="center"/>
    </xf>
    <xf numFmtId="49" fontId="13" fillId="11" borderId="20" xfId="6" applyNumberFormat="1" applyFont="1" applyFill="1" applyBorder="1" applyAlignment="1" applyProtection="1">
      <alignment horizontal="center" vertical="center" wrapText="1"/>
    </xf>
    <xf numFmtId="49" fontId="13" fillId="34" borderId="20" xfId="6" applyNumberFormat="1" applyFont="1" applyFill="1" applyBorder="1" applyAlignment="1" applyProtection="1">
      <alignment horizontal="center" vertical="center" wrapText="1"/>
    </xf>
    <xf numFmtId="49" fontId="13" fillId="11" borderId="20" xfId="6" applyNumberFormat="1" applyFont="1" applyFill="1" applyBorder="1" applyAlignment="1" applyProtection="1">
      <alignment horizontal="center" vertical="center"/>
    </xf>
    <xf numFmtId="49" fontId="80" fillId="34" borderId="20" xfId="6" applyNumberFormat="1" applyFont="1" applyFill="1" applyBorder="1" applyAlignment="1" applyProtection="1">
      <alignment horizontal="center" vertical="center"/>
    </xf>
    <xf numFmtId="49" fontId="13" fillId="0" borderId="20" xfId="6" applyNumberFormat="1" applyFont="1" applyBorder="1" applyAlignment="1" applyProtection="1">
      <alignment horizontal="center" vertical="center"/>
    </xf>
    <xf numFmtId="49" fontId="13" fillId="34" borderId="20" xfId="6" applyNumberFormat="1" applyFont="1" applyFill="1" applyBorder="1" applyAlignment="1" applyProtection="1">
      <alignment horizontal="center" vertical="center"/>
    </xf>
    <xf numFmtId="49" fontId="13" fillId="34" borderId="22"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13" fillId="0" borderId="22" xfId="6" applyNumberFormat="1" applyFont="1" applyBorder="1" applyAlignment="1" applyProtection="1">
      <alignment horizontal="center" vertical="center" wrapText="1"/>
    </xf>
    <xf numFmtId="0" fontId="15" fillId="59" borderId="20" xfId="6" applyFont="1" applyFill="1" applyBorder="1" applyAlignment="1" applyProtection="1">
      <alignment horizontal="center" vertical="center"/>
    </xf>
    <xf numFmtId="0" fontId="64" fillId="0" borderId="75" xfId="6" applyFont="1" applyBorder="1" applyAlignment="1">
      <alignment horizontal="center" vertical="center" wrapText="1"/>
      <protection locked="0"/>
    </xf>
    <xf numFmtId="0" fontId="6" fillId="0" borderId="76" xfId="6" applyFont="1" applyBorder="1" applyAlignment="1">
      <alignment horizontal="center" vertical="center"/>
      <protection locked="0"/>
    </xf>
    <xf numFmtId="0" fontId="6" fillId="0" borderId="77" xfId="6" applyFont="1" applyBorder="1" applyAlignment="1">
      <alignment horizontal="center" vertical="center"/>
      <protection locked="0"/>
    </xf>
    <xf numFmtId="0" fontId="15" fillId="59" borderId="46" xfId="6" applyFont="1" applyFill="1" applyBorder="1" applyAlignment="1" applyProtection="1">
      <alignment horizontal="center" vertical="center"/>
    </xf>
    <xf numFmtId="0" fontId="15" fillId="59" borderId="11" xfId="6" applyFont="1" applyFill="1" applyBorder="1" applyAlignment="1" applyProtection="1">
      <alignment horizontal="center" vertical="center"/>
    </xf>
    <xf numFmtId="0" fontId="10" fillId="0" borderId="86" xfId="6" applyFont="1" applyBorder="1" applyAlignment="1" applyProtection="1">
      <alignment horizontal="center" vertical="center" wrapText="1"/>
    </xf>
    <xf numFmtId="0" fontId="10" fillId="0" borderId="87" xfId="6" applyFont="1" applyBorder="1" applyAlignment="1" applyProtection="1">
      <alignment horizontal="center" vertical="center" wrapText="1"/>
    </xf>
    <xf numFmtId="0" fontId="10" fillId="0" borderId="95" xfId="6" applyFont="1" applyBorder="1" applyAlignment="1" applyProtection="1">
      <alignment horizontal="center" vertical="center" wrapText="1"/>
    </xf>
    <xf numFmtId="0" fontId="15" fillId="0" borderId="20" xfId="6" applyFont="1" applyBorder="1" applyAlignment="1" applyProtection="1">
      <alignment horizontal="center" vertical="center" wrapText="1"/>
    </xf>
    <xf numFmtId="0" fontId="15" fillId="0" borderId="0" xfId="6" applyFont="1" applyAlignment="1" applyProtection="1">
      <alignment horizontal="center" vertical="center" wrapText="1"/>
    </xf>
    <xf numFmtId="0" fontId="15" fillId="58" borderId="86" xfId="6" applyFont="1" applyFill="1" applyBorder="1" applyAlignment="1" applyProtection="1">
      <alignment horizontal="center" vertical="center"/>
    </xf>
    <xf numFmtId="0" fontId="15" fillId="58" borderId="87" xfId="6" applyFont="1" applyFill="1" applyBorder="1" applyAlignment="1" applyProtection="1">
      <alignment horizontal="center" vertical="center"/>
    </xf>
    <xf numFmtId="0" fontId="15" fillId="58" borderId="88" xfId="6" applyFont="1" applyFill="1" applyBorder="1" applyAlignment="1" applyProtection="1">
      <alignment horizontal="center" vertical="center"/>
    </xf>
    <xf numFmtId="0" fontId="15" fillId="58" borderId="89" xfId="6" applyFont="1" applyFill="1" applyBorder="1" applyAlignment="1" applyProtection="1">
      <alignment horizontal="center" vertical="center"/>
    </xf>
    <xf numFmtId="0" fontId="15" fillId="58" borderId="95" xfId="6" applyFont="1" applyFill="1" applyBorder="1" applyAlignment="1" applyProtection="1">
      <alignment horizontal="center" vertical="center"/>
    </xf>
    <xf numFmtId="0" fontId="13" fillId="59" borderId="0" xfId="6" applyFont="1" applyFill="1" applyAlignment="1" applyProtection="1">
      <alignment horizontal="center" vertical="center"/>
    </xf>
    <xf numFmtId="0" fontId="15" fillId="58" borderId="80" xfId="6" applyFont="1" applyFill="1" applyBorder="1" applyAlignment="1" applyProtection="1">
      <alignment horizontal="center" vertical="center"/>
    </xf>
    <xf numFmtId="0" fontId="15" fillId="58" borderId="81" xfId="6" applyFont="1" applyFill="1" applyBorder="1" applyAlignment="1" applyProtection="1">
      <alignment horizontal="center" vertical="center"/>
    </xf>
    <xf numFmtId="0" fontId="15" fillId="58" borderId="92" xfId="6" applyFont="1" applyFill="1" applyBorder="1" applyAlignment="1" applyProtection="1">
      <alignment horizontal="center" vertical="center"/>
    </xf>
    <xf numFmtId="0" fontId="13" fillId="0" borderId="22" xfId="6" applyFont="1" applyBorder="1" applyAlignment="1" applyProtection="1">
      <alignment horizontal="center" vertical="center" wrapText="1"/>
    </xf>
    <xf numFmtId="0" fontId="13" fillId="0" borderId="23" xfId="6" applyFont="1" applyBorder="1" applyAlignment="1" applyProtection="1">
      <alignment horizontal="center" vertical="center" wrapText="1"/>
    </xf>
    <xf numFmtId="0" fontId="17" fillId="59" borderId="0" xfId="6" applyFont="1" applyFill="1" applyAlignment="1" applyProtection="1">
      <alignment horizontal="center" vertical="center" wrapText="1"/>
    </xf>
    <xf numFmtId="0" fontId="13" fillId="0" borderId="25" xfId="6" applyFont="1" applyBorder="1" applyAlignment="1" applyProtection="1">
      <alignment horizontal="center" vertical="center" wrapText="1"/>
    </xf>
    <xf numFmtId="49" fontId="10" fillId="0" borderId="0" xfId="6" applyNumberFormat="1" applyFont="1" applyAlignment="1" applyProtection="1">
      <alignment horizontal="center" vertical="center"/>
    </xf>
    <xf numFmtId="49" fontId="10" fillId="0" borderId="21" xfId="6" applyNumberFormat="1" applyFont="1" applyBorder="1" applyAlignment="1" applyProtection="1">
      <alignment horizontal="center" vertical="center"/>
    </xf>
    <xf numFmtId="49" fontId="63" fillId="34" borderId="21" xfId="6" applyNumberFormat="1" applyFont="1" applyFill="1" applyBorder="1" applyAlignment="1" applyProtection="1">
      <alignment horizontal="center" vertical="center"/>
    </xf>
    <xf numFmtId="0" fontId="17" fillId="0" borderId="20"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21" xfId="6" applyFont="1" applyBorder="1" applyAlignment="1" applyProtection="1">
      <alignment horizontal="left" vertical="center" wrapText="1"/>
    </xf>
    <xf numFmtId="0" fontId="17" fillId="0" borderId="22" xfId="6" applyFont="1" applyBorder="1" applyAlignment="1" applyProtection="1">
      <alignment horizontal="left" vertical="center" wrapText="1"/>
    </xf>
    <xf numFmtId="0" fontId="17" fillId="0" borderId="25" xfId="6" applyFont="1" applyBorder="1" applyAlignment="1" applyProtection="1">
      <alignment horizontal="left" vertical="center" wrapText="1"/>
    </xf>
    <xf numFmtId="0" fontId="17" fillId="0" borderId="23" xfId="6" applyFont="1" applyBorder="1" applyAlignment="1" applyProtection="1">
      <alignment horizontal="left"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0" fontId="10" fillId="11" borderId="0" xfId="6" applyFont="1" applyFill="1" applyAlignment="1" applyProtection="1">
      <alignment horizontal="center" vertical="center" wrapText="1"/>
    </xf>
    <xf numFmtId="0" fontId="10" fillId="34" borderId="0" xfId="6" applyFont="1" applyFill="1" applyAlignment="1" applyProtection="1">
      <alignment horizontal="center" vertical="center" wrapText="1"/>
    </xf>
    <xf numFmtId="0" fontId="10" fillId="34" borderId="21" xfId="6" applyFont="1" applyFill="1" applyBorder="1" applyAlignment="1" applyProtection="1">
      <alignment horizontal="center" vertical="center" wrapText="1"/>
    </xf>
    <xf numFmtId="49" fontId="13" fillId="0" borderId="0" xfId="6" applyNumberFormat="1" applyFont="1" applyAlignment="1" applyProtection="1">
      <alignment horizontal="center" vertical="center" wrapText="1"/>
    </xf>
    <xf numFmtId="49" fontId="10" fillId="0" borderId="39" xfId="6" applyNumberFormat="1" applyFont="1" applyBorder="1" applyAlignment="1" applyProtection="1">
      <alignment horizontal="center" vertical="center"/>
    </xf>
    <xf numFmtId="49" fontId="10" fillId="0" borderId="8" xfId="6" applyNumberFormat="1" applyFont="1" applyBorder="1" applyAlignment="1" applyProtection="1">
      <alignment horizontal="center" vertical="center"/>
    </xf>
    <xf numFmtId="49" fontId="10" fillId="0" borderId="41" xfId="6" applyNumberFormat="1" applyFont="1" applyBorder="1" applyAlignment="1" applyProtection="1">
      <alignment horizontal="center" vertical="center"/>
    </xf>
    <xf numFmtId="49" fontId="13" fillId="0" borderId="21" xfId="6" applyNumberFormat="1" applyFont="1" applyBorder="1" applyAlignment="1" applyProtection="1">
      <alignment horizontal="center" vertical="center"/>
    </xf>
    <xf numFmtId="49" fontId="13" fillId="0" borderId="39" xfId="6" applyNumberFormat="1" applyFont="1" applyBorder="1" applyAlignment="1" applyProtection="1">
      <alignment horizontal="center" vertical="center"/>
    </xf>
    <xf numFmtId="49" fontId="13" fillId="0" borderId="8" xfId="6" applyNumberFormat="1" applyFont="1" applyBorder="1" applyAlignment="1" applyProtection="1">
      <alignment horizontal="center" vertical="center"/>
    </xf>
    <xf numFmtId="49" fontId="13" fillId="0" borderId="41" xfId="6" applyNumberFormat="1" applyFont="1" applyBorder="1" applyAlignment="1" applyProtection="1">
      <alignment horizontal="center" vertical="center"/>
    </xf>
    <xf numFmtId="0" fontId="13" fillId="0" borderId="39" xfId="6" applyFont="1" applyBorder="1" applyAlignment="1" applyProtection="1">
      <alignment horizontal="center" vertical="center"/>
    </xf>
    <xf numFmtId="0" fontId="13" fillId="0" borderId="8" xfId="6" applyFont="1" applyBorder="1" applyAlignment="1" applyProtection="1">
      <alignment horizontal="center" vertical="center"/>
    </xf>
    <xf numFmtId="49" fontId="67" fillId="28" borderId="0" xfId="0" applyNumberFormat="1" applyFont="1" applyFill="1" applyAlignment="1">
      <alignment horizontal="center" vertical="center"/>
    </xf>
    <xf numFmtId="49" fontId="67" fillId="43" borderId="0" xfId="0" applyNumberFormat="1" applyFont="1" applyFill="1" applyAlignment="1">
      <alignment horizontal="center" vertical="center"/>
    </xf>
    <xf numFmtId="49" fontId="67" fillId="28" borderId="16" xfId="0" applyNumberFormat="1" applyFont="1" applyFill="1" applyBorder="1" applyAlignment="1">
      <alignment horizontal="center" vertical="center"/>
    </xf>
    <xf numFmtId="49" fontId="67" fillId="43" borderId="17" xfId="0" applyNumberFormat="1" applyFont="1" applyFill="1" applyBorder="1" applyAlignment="1">
      <alignment horizontal="center" vertical="center"/>
    </xf>
    <xf numFmtId="0" fontId="28" fillId="50" borderId="1" xfId="6" applyFill="1" applyBorder="1" applyAlignment="1" applyProtection="1">
      <alignment horizontal="center" vertical="center"/>
    </xf>
    <xf numFmtId="0" fontId="28" fillId="7" borderId="8" xfId="6" applyFill="1" applyBorder="1" applyAlignment="1" applyProtection="1">
      <alignment horizontal="center" vertical="center"/>
    </xf>
    <xf numFmtId="49" fontId="54" fillId="33" borderId="24" xfId="6" applyNumberFormat="1" applyFont="1" applyFill="1" applyBorder="1" applyAlignment="1" applyProtection="1">
      <alignment horizontal="center" vertical="center"/>
    </xf>
    <xf numFmtId="49" fontId="54" fillId="33" borderId="17" xfId="6" applyNumberFormat="1" applyFont="1" applyFill="1" applyBorder="1" applyAlignment="1" applyProtection="1">
      <alignment horizontal="center" vertical="center"/>
    </xf>
    <xf numFmtId="49" fontId="10" fillId="0" borderId="20" xfId="6" applyNumberFormat="1" applyFont="1" applyBorder="1" applyAlignment="1" applyProtection="1">
      <alignment horizontal="center" vertical="center" wrapText="1"/>
    </xf>
    <xf numFmtId="0" fontId="7" fillId="28" borderId="16" xfId="6" applyFont="1" applyFill="1" applyBorder="1" applyAlignment="1" applyProtection="1">
      <alignment horizontal="center" vertical="center"/>
    </xf>
    <xf numFmtId="0" fontId="7" fillId="33" borderId="24" xfId="6" applyFont="1" applyFill="1" applyBorder="1" applyAlignment="1" applyProtection="1">
      <alignment horizontal="center" vertical="center"/>
    </xf>
    <xf numFmtId="0" fontId="7" fillId="33" borderId="17" xfId="6" applyFont="1" applyFill="1" applyBorder="1" applyAlignment="1" applyProtection="1">
      <alignment horizontal="center" vertical="center"/>
    </xf>
    <xf numFmtId="0" fontId="10" fillId="10" borderId="20" xfId="6" applyFont="1" applyFill="1" applyBorder="1" applyAlignment="1" applyProtection="1">
      <alignment horizontal="center" vertical="center"/>
    </xf>
    <xf numFmtId="0" fontId="10" fillId="54" borderId="0" xfId="6" applyFont="1" applyFill="1" applyAlignment="1" applyProtection="1">
      <alignment horizontal="center" vertical="center"/>
    </xf>
    <xf numFmtId="0" fontId="10" fillId="10" borderId="0" xfId="6" applyFont="1" applyFill="1" applyAlignment="1" applyProtection="1">
      <alignment horizontal="center" vertical="center"/>
    </xf>
    <xf numFmtId="0" fontId="10" fillId="54" borderId="21" xfId="6" applyFont="1" applyFill="1" applyBorder="1" applyAlignment="1" applyProtection="1">
      <alignment horizontal="center" vertical="center"/>
    </xf>
    <xf numFmtId="0" fontId="10" fillId="0" borderId="7"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9"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10" fillId="0" borderId="10" xfId="6" applyFont="1" applyBorder="1" applyAlignment="1" applyProtection="1">
      <alignment horizontal="left" vertical="center" wrapText="1"/>
    </xf>
    <xf numFmtId="0" fontId="10" fillId="0" borderId="15" xfId="6" applyFont="1" applyBorder="1" applyAlignment="1" applyProtection="1">
      <alignment horizontal="left" vertical="center" wrapText="1"/>
    </xf>
    <xf numFmtId="0" fontId="28" fillId="37" borderId="7" xfId="6" applyFill="1" applyBorder="1" applyAlignment="1" applyProtection="1">
      <alignment horizontal="left" vertical="center" wrapText="1"/>
    </xf>
    <xf numFmtId="0" fontId="28" fillId="37" borderId="8" xfId="6" applyFill="1" applyBorder="1" applyAlignment="1" applyProtection="1">
      <alignment horizontal="left" vertical="center" wrapText="1"/>
    </xf>
    <xf numFmtId="0" fontId="28" fillId="37" borderId="13" xfId="6" applyFill="1" applyBorder="1" applyAlignment="1" applyProtection="1">
      <alignment horizontal="left" vertical="center" wrapText="1"/>
    </xf>
    <xf numFmtId="0" fontId="28" fillId="37" borderId="9" xfId="6" applyFill="1" applyBorder="1" applyAlignment="1" applyProtection="1">
      <alignment horizontal="left" vertical="center" wrapText="1"/>
    </xf>
    <xf numFmtId="0" fontId="28" fillId="37" borderId="0" xfId="6" applyFill="1" applyAlignment="1" applyProtection="1">
      <alignment horizontal="left" vertical="center" wrapText="1"/>
    </xf>
    <xf numFmtId="0" fontId="28" fillId="37" borderId="14" xfId="6" applyFill="1" applyBorder="1" applyAlignment="1" applyProtection="1">
      <alignment horizontal="left" vertical="center" wrapText="1"/>
    </xf>
    <xf numFmtId="0" fontId="28" fillId="37" borderId="10" xfId="6" applyFill="1" applyBorder="1" applyAlignment="1" applyProtection="1">
      <alignment horizontal="left" vertical="center" wrapText="1"/>
    </xf>
    <xf numFmtId="0" fontId="28" fillId="37" borderId="11" xfId="6" applyFill="1" applyBorder="1" applyAlignment="1" applyProtection="1">
      <alignment horizontal="left" vertical="center" wrapText="1"/>
    </xf>
    <xf numFmtId="0" fontId="28" fillId="37" borderId="15" xfId="6" applyFill="1" applyBorder="1" applyAlignment="1" applyProtection="1">
      <alignment horizontal="left" vertical="center" wrapText="1"/>
    </xf>
    <xf numFmtId="0" fontId="13" fillId="38" borderId="7" xfId="6" applyFont="1" applyFill="1" applyBorder="1" applyAlignment="1" applyProtection="1">
      <alignment horizontal="left" vertical="center" wrapText="1"/>
    </xf>
    <xf numFmtId="0" fontId="13" fillId="38" borderId="8" xfId="6" applyFont="1" applyFill="1" applyBorder="1" applyAlignment="1" applyProtection="1">
      <alignment horizontal="left" vertical="center" wrapText="1"/>
    </xf>
    <xf numFmtId="0" fontId="13" fillId="38" borderId="13" xfId="6" applyFont="1" applyFill="1" applyBorder="1" applyAlignment="1" applyProtection="1">
      <alignment horizontal="left" vertical="center" wrapText="1"/>
    </xf>
    <xf numFmtId="0" fontId="13" fillId="38" borderId="9" xfId="6" applyFont="1" applyFill="1" applyBorder="1" applyAlignment="1" applyProtection="1">
      <alignment horizontal="left" vertical="center" wrapText="1"/>
    </xf>
    <xf numFmtId="0" fontId="13" fillId="38" borderId="0" xfId="6" applyFont="1" applyFill="1" applyAlignment="1" applyProtection="1">
      <alignment horizontal="left" vertical="center" wrapText="1"/>
    </xf>
    <xf numFmtId="0" fontId="13" fillId="38" borderId="14" xfId="6" applyFont="1" applyFill="1" applyBorder="1" applyAlignment="1" applyProtection="1">
      <alignment horizontal="left" vertical="center" wrapText="1"/>
    </xf>
    <xf numFmtId="0" fontId="13" fillId="38" borderId="10" xfId="6" applyFont="1" applyFill="1" applyBorder="1" applyAlignment="1" applyProtection="1">
      <alignment horizontal="left" vertical="center" wrapText="1"/>
    </xf>
    <xf numFmtId="0" fontId="13" fillId="38" borderId="11" xfId="6" applyFont="1" applyFill="1" applyBorder="1" applyAlignment="1" applyProtection="1">
      <alignment horizontal="left" vertical="center" wrapText="1"/>
    </xf>
    <xf numFmtId="0" fontId="13" fillId="38" borderId="15" xfId="6" applyFont="1" applyFill="1" applyBorder="1" applyAlignment="1" applyProtection="1">
      <alignment horizontal="left" vertical="center" wrapText="1"/>
    </xf>
    <xf numFmtId="0" fontId="28" fillId="39" borderId="7" xfId="6" applyFill="1" applyBorder="1" applyAlignment="1" applyProtection="1">
      <alignment horizontal="left" vertical="center" wrapText="1"/>
    </xf>
    <xf numFmtId="0" fontId="28" fillId="45" borderId="8" xfId="6" applyFill="1" applyBorder="1" applyAlignment="1" applyProtection="1">
      <alignment horizontal="left" vertical="center" wrapText="1"/>
    </xf>
    <xf numFmtId="0" fontId="28" fillId="45" borderId="13" xfId="6" applyFill="1" applyBorder="1" applyAlignment="1" applyProtection="1">
      <alignment horizontal="left" vertical="center" wrapText="1"/>
    </xf>
    <xf numFmtId="0" fontId="28" fillId="45" borderId="9" xfId="6" applyFill="1" applyBorder="1" applyAlignment="1" applyProtection="1">
      <alignment horizontal="left" vertical="center" wrapText="1"/>
    </xf>
    <xf numFmtId="0" fontId="28" fillId="45" borderId="0" xfId="6" applyFill="1" applyAlignment="1" applyProtection="1">
      <alignment horizontal="left" vertical="center" wrapText="1"/>
    </xf>
    <xf numFmtId="0" fontId="28" fillId="45" borderId="14" xfId="6" applyFill="1" applyBorder="1" applyAlignment="1" applyProtection="1">
      <alignment horizontal="left" vertical="center" wrapText="1"/>
    </xf>
    <xf numFmtId="0" fontId="28" fillId="45" borderId="10" xfId="6" applyFill="1" applyBorder="1" applyAlignment="1" applyProtection="1">
      <alignment horizontal="left" vertical="center" wrapText="1"/>
    </xf>
    <xf numFmtId="0" fontId="28" fillId="45" borderId="11" xfId="6" applyFill="1" applyBorder="1" applyAlignment="1" applyProtection="1">
      <alignment horizontal="left" vertical="center" wrapText="1"/>
    </xf>
    <xf numFmtId="0" fontId="28" fillId="45" borderId="15" xfId="6" applyFill="1" applyBorder="1" applyAlignment="1" applyProtection="1">
      <alignment horizontal="left" vertical="center" wrapText="1"/>
    </xf>
    <xf numFmtId="0" fontId="28" fillId="40" borderId="7" xfId="6" applyFill="1" applyBorder="1" applyAlignment="1" applyProtection="1">
      <alignment horizontal="left" vertical="center" wrapText="1"/>
    </xf>
    <xf numFmtId="0" fontId="28" fillId="46" borderId="8" xfId="6" applyFill="1" applyBorder="1" applyAlignment="1" applyProtection="1">
      <alignment horizontal="left" vertical="center" wrapText="1"/>
    </xf>
    <xf numFmtId="0" fontId="28" fillId="46" borderId="13" xfId="6" applyFill="1" applyBorder="1" applyAlignment="1" applyProtection="1">
      <alignment horizontal="left" vertical="center" wrapText="1"/>
    </xf>
    <xf numFmtId="0" fontId="28" fillId="46" borderId="9" xfId="6" applyFill="1" applyBorder="1" applyAlignment="1" applyProtection="1">
      <alignment horizontal="left" vertical="center" wrapText="1"/>
    </xf>
    <xf numFmtId="0" fontId="28" fillId="46" borderId="0" xfId="6" applyFill="1" applyAlignment="1" applyProtection="1">
      <alignment horizontal="left" vertical="center" wrapText="1"/>
    </xf>
    <xf numFmtId="0" fontId="28" fillId="46" borderId="14" xfId="6" applyFill="1" applyBorder="1" applyAlignment="1" applyProtection="1">
      <alignment horizontal="left" vertical="center" wrapText="1"/>
    </xf>
    <xf numFmtId="0" fontId="28" fillId="46" borderId="10" xfId="6" applyFill="1" applyBorder="1" applyAlignment="1" applyProtection="1">
      <alignment horizontal="left" vertical="center" wrapText="1"/>
    </xf>
    <xf numFmtId="0" fontId="28" fillId="46" borderId="11" xfId="6" applyFill="1" applyBorder="1" applyAlignment="1" applyProtection="1">
      <alignment horizontal="left" vertical="center" wrapText="1"/>
    </xf>
    <xf numFmtId="0" fontId="28" fillId="46" borderId="15" xfId="6" applyFill="1" applyBorder="1" applyAlignment="1" applyProtection="1">
      <alignment horizontal="left" vertical="center" wrapText="1"/>
    </xf>
    <xf numFmtId="0" fontId="28" fillId="41" borderId="7" xfId="6" applyFill="1" applyBorder="1" applyAlignment="1" applyProtection="1">
      <alignment horizontal="left" vertical="center" wrapText="1"/>
    </xf>
    <xf numFmtId="0" fontId="28" fillId="41" borderId="9" xfId="6" applyFill="1" applyBorder="1" applyAlignment="1" applyProtection="1">
      <alignment horizontal="left" vertical="center" wrapText="1"/>
    </xf>
    <xf numFmtId="0" fontId="28" fillId="41" borderId="10" xfId="6" applyFill="1" applyBorder="1" applyAlignment="1" applyProtection="1">
      <alignment horizontal="left" vertical="center" wrapText="1"/>
    </xf>
    <xf numFmtId="0" fontId="28" fillId="11" borderId="13" xfId="6" applyFill="1" applyBorder="1" applyAlignment="1" applyProtection="1">
      <alignment horizontal="left" vertical="center" wrapText="1"/>
    </xf>
    <xf numFmtId="0" fontId="28" fillId="47" borderId="14" xfId="6" applyFill="1" applyBorder="1" applyAlignment="1" applyProtection="1">
      <alignment horizontal="left" vertical="center" wrapText="1"/>
    </xf>
    <xf numFmtId="0" fontId="27" fillId="47" borderId="15" xfId="6" applyFont="1" applyFill="1" applyBorder="1" applyAlignment="1" applyProtection="1">
      <alignment horizontal="left" vertical="center" wrapText="1"/>
    </xf>
    <xf numFmtId="0" fontId="74" fillId="0" borderId="7" xfId="6" applyFont="1" applyBorder="1" applyAlignment="1" applyProtection="1">
      <alignment horizontal="left" vertical="center" wrapText="1"/>
    </xf>
    <xf numFmtId="0" fontId="74" fillId="0" borderId="4" xfId="6" applyFont="1" applyBorder="1" applyAlignment="1" applyProtection="1">
      <alignment horizontal="left" vertical="center" wrapText="1"/>
    </xf>
    <xf numFmtId="0" fontId="74" fillId="0" borderId="5" xfId="6" applyFont="1" applyBorder="1" applyAlignment="1" applyProtection="1">
      <alignment horizontal="left" vertical="center" wrapText="1"/>
    </xf>
    <xf numFmtId="0" fontId="15" fillId="0" borderId="0" xfId="6" applyFont="1" applyAlignment="1">
      <alignment horizontal="center" vertical="center"/>
      <protection locked="0"/>
    </xf>
    <xf numFmtId="0" fontId="37" fillId="0" borderId="7" xfId="6" applyFont="1" applyBorder="1" applyAlignment="1" applyProtection="1">
      <alignment horizontal="center" vertical="center" wrapText="1"/>
    </xf>
    <xf numFmtId="0" fontId="28" fillId="0" borderId="8" xfId="6" applyBorder="1" applyAlignment="1" applyProtection="1">
      <alignment horizontal="center" vertical="center" wrapText="1"/>
    </xf>
    <xf numFmtId="0" fontId="28" fillId="0" borderId="9" xfId="6" applyBorder="1" applyAlignment="1" applyProtection="1">
      <alignment horizontal="center" vertical="center" wrapText="1"/>
    </xf>
    <xf numFmtId="0" fontId="28" fillId="0" borderId="0" xfId="6" applyAlignment="1" applyProtection="1">
      <alignment horizontal="center" vertical="center" wrapText="1"/>
    </xf>
    <xf numFmtId="0" fontId="28" fillId="0" borderId="10" xfId="6" applyBorder="1" applyAlignment="1" applyProtection="1">
      <alignment horizontal="center" vertical="center" wrapText="1"/>
    </xf>
    <xf numFmtId="0" fontId="28" fillId="0" borderId="11" xfId="6" applyBorder="1" applyAlignment="1" applyProtection="1">
      <alignment horizontal="center" vertical="center" wrapText="1"/>
    </xf>
    <xf numFmtId="0" fontId="28" fillId="18" borderId="8" xfId="6" applyFill="1" applyBorder="1" applyAlignment="1" applyProtection="1">
      <alignment horizontal="center" vertical="center" wrapText="1"/>
    </xf>
    <xf numFmtId="0" fontId="28" fillId="18" borderId="8" xfId="6" applyFill="1" applyBorder="1" applyAlignment="1" applyProtection="1">
      <alignment horizontal="center" vertical="center"/>
    </xf>
    <xf numFmtId="0" fontId="28" fillId="18" borderId="13" xfId="6" applyFill="1" applyBorder="1" applyAlignment="1" applyProtection="1">
      <alignment horizontal="center" vertical="center"/>
    </xf>
    <xf numFmtId="0" fontId="28" fillId="18" borderId="0" xfId="6" applyFill="1" applyAlignment="1" applyProtection="1">
      <alignment horizontal="center" vertical="center"/>
    </xf>
    <xf numFmtId="0" fontId="28" fillId="18" borderId="14" xfId="6" applyFill="1" applyBorder="1" applyAlignment="1" applyProtection="1">
      <alignment horizontal="center" vertical="center"/>
    </xf>
    <xf numFmtId="0" fontId="28" fillId="18" borderId="11" xfId="6" applyFill="1" applyBorder="1" applyAlignment="1" applyProtection="1">
      <alignment horizontal="center" vertical="center"/>
    </xf>
    <xf numFmtId="0" fontId="28" fillId="18" borderId="15" xfId="6" applyFill="1" applyBorder="1" applyAlignment="1" applyProtection="1">
      <alignment horizontal="center" vertical="center"/>
    </xf>
    <xf numFmtId="0" fontId="35" fillId="13" borderId="12" xfId="6" applyFont="1" applyFill="1" applyBorder="1" applyAlignment="1" applyProtection="1">
      <alignment horizontal="left" vertical="center" wrapText="1"/>
    </xf>
    <xf numFmtId="0" fontId="35" fillId="13" borderId="1" xfId="6" applyFont="1" applyFill="1" applyBorder="1" applyAlignment="1" applyProtection="1">
      <alignment horizontal="left" vertical="center" wrapText="1"/>
    </xf>
    <xf numFmtId="0" fontId="28" fillId="14" borderId="8" xfId="6" applyFill="1" applyBorder="1" applyAlignment="1" applyProtection="1">
      <alignment horizontal="center" vertical="center" wrapText="1"/>
    </xf>
    <xf numFmtId="0" fontId="28" fillId="14" borderId="13" xfId="6" applyFill="1" applyBorder="1" applyAlignment="1" applyProtection="1">
      <alignment horizontal="center" vertical="center" wrapText="1"/>
    </xf>
    <xf numFmtId="0" fontId="28" fillId="14" borderId="0" xfId="6" applyFill="1" applyAlignment="1" applyProtection="1">
      <alignment horizontal="center" vertical="center" wrapText="1"/>
    </xf>
    <xf numFmtId="0" fontId="28" fillId="14" borderId="14" xfId="6" applyFill="1" applyBorder="1" applyAlignment="1" applyProtection="1">
      <alignment horizontal="center" vertical="center" wrapText="1"/>
    </xf>
    <xf numFmtId="0" fontId="28" fillId="14" borderId="11" xfId="6" applyFill="1" applyBorder="1" applyAlignment="1" applyProtection="1">
      <alignment horizontal="center" vertical="center" wrapText="1"/>
    </xf>
    <xf numFmtId="0" fontId="28" fillId="14" borderId="15" xfId="6" applyFill="1" applyBorder="1" applyAlignment="1" applyProtection="1">
      <alignment horizontal="center" vertical="center" wrapText="1"/>
    </xf>
    <xf numFmtId="0" fontId="0" fillId="25" borderId="7" xfId="6" applyFont="1" applyFill="1" applyBorder="1" applyAlignment="1" applyProtection="1">
      <alignment horizontal="center" vertical="center"/>
    </xf>
    <xf numFmtId="0" fontId="0" fillId="25" borderId="8" xfId="6" applyFont="1" applyFill="1" applyBorder="1" applyAlignment="1" applyProtection="1">
      <alignment horizontal="center" vertical="center"/>
    </xf>
    <xf numFmtId="0" fontId="0" fillId="25" borderId="13" xfId="6" applyFont="1" applyFill="1" applyBorder="1" applyAlignment="1" applyProtection="1">
      <alignment horizontal="center" vertical="center"/>
    </xf>
    <xf numFmtId="0" fontId="0" fillId="25" borderId="9" xfId="6" applyFont="1" applyFill="1" applyBorder="1" applyAlignment="1" applyProtection="1">
      <alignment horizontal="center" vertical="center"/>
    </xf>
    <xf numFmtId="0" fontId="0" fillId="25" borderId="0" xfId="6" applyFont="1" applyFill="1" applyAlignment="1" applyProtection="1">
      <alignment horizontal="center" vertical="center"/>
    </xf>
    <xf numFmtId="0" fontId="0" fillId="25" borderId="14" xfId="6" applyFont="1" applyFill="1" applyBorder="1" applyAlignment="1" applyProtection="1">
      <alignment horizontal="center" vertical="center"/>
    </xf>
    <xf numFmtId="0" fontId="0" fillId="25" borderId="10" xfId="6" applyFont="1" applyFill="1" applyBorder="1" applyAlignment="1" applyProtection="1">
      <alignment horizontal="center" vertical="center"/>
    </xf>
    <xf numFmtId="0" fontId="0" fillId="25" borderId="11" xfId="6" applyFont="1" applyFill="1" applyBorder="1" applyAlignment="1" applyProtection="1">
      <alignment horizontal="center" vertical="center"/>
    </xf>
    <xf numFmtId="0" fontId="0" fillId="25" borderId="15" xfId="6" applyFont="1" applyFill="1" applyBorder="1" applyAlignment="1" applyProtection="1">
      <alignment horizontal="center" vertical="center"/>
    </xf>
    <xf numFmtId="0" fontId="46" fillId="22" borderId="7" xfId="6" applyFont="1" applyFill="1" applyBorder="1" applyAlignment="1" applyProtection="1">
      <alignment horizontal="center" vertical="center" wrapText="1"/>
    </xf>
    <xf numFmtId="0" fontId="46" fillId="22" borderId="8" xfId="6" applyFont="1" applyFill="1" applyBorder="1" applyAlignment="1" applyProtection="1">
      <alignment horizontal="center" vertical="center" wrapText="1"/>
    </xf>
    <xf numFmtId="0" fontId="46" fillId="22" borderId="13" xfId="6" applyFont="1" applyFill="1" applyBorder="1" applyAlignment="1" applyProtection="1">
      <alignment horizontal="center" vertical="center" wrapText="1"/>
    </xf>
    <xf numFmtId="0" fontId="46" fillId="22" borderId="9" xfId="6" applyFont="1" applyFill="1" applyBorder="1" applyAlignment="1" applyProtection="1">
      <alignment horizontal="center" vertical="center" wrapText="1"/>
    </xf>
    <xf numFmtId="0" fontId="46" fillId="22" borderId="0" xfId="6" applyFont="1" applyFill="1" applyAlignment="1" applyProtection="1">
      <alignment horizontal="center" vertical="center" wrapText="1"/>
    </xf>
    <xf numFmtId="0" fontId="46" fillId="22" borderId="14" xfId="6" applyFont="1" applyFill="1" applyBorder="1" applyAlignment="1" applyProtection="1">
      <alignment horizontal="center" vertical="center" wrapText="1"/>
    </xf>
    <xf numFmtId="0" fontId="46" fillId="22" borderId="10" xfId="6" applyFont="1" applyFill="1" applyBorder="1" applyAlignment="1" applyProtection="1">
      <alignment horizontal="center" vertical="center" wrapText="1"/>
    </xf>
    <xf numFmtId="0" fontId="46" fillId="22" borderId="11" xfId="6" applyFont="1" applyFill="1" applyBorder="1" applyAlignment="1" applyProtection="1">
      <alignment horizontal="center" vertical="center" wrapText="1"/>
    </xf>
    <xf numFmtId="0" fontId="46" fillId="22" borderId="15" xfId="6" applyFont="1" applyFill="1" applyBorder="1" applyAlignment="1" applyProtection="1">
      <alignment horizontal="center" vertical="center" wrapText="1"/>
    </xf>
    <xf numFmtId="0" fontId="28" fillId="32" borderId="1" xfId="6" applyFill="1" applyBorder="1" applyAlignment="1" applyProtection="1">
      <alignment horizontal="left" vertical="center" wrapText="1"/>
    </xf>
    <xf numFmtId="49" fontId="55" fillId="0" borderId="39" xfId="6" applyNumberFormat="1" applyFont="1" applyBorder="1" applyAlignment="1" applyProtection="1">
      <alignment horizontal="center" vertical="center" wrapText="1"/>
    </xf>
    <xf numFmtId="49" fontId="55" fillId="0" borderId="8" xfId="6" applyNumberFormat="1" applyFont="1" applyBorder="1" applyAlignment="1" applyProtection="1">
      <alignment horizontal="center" vertical="center"/>
    </xf>
    <xf numFmtId="49" fontId="55" fillId="0" borderId="41" xfId="6" applyNumberFormat="1" applyFont="1" applyBorder="1" applyAlignment="1" applyProtection="1">
      <alignment horizontal="center" vertical="center"/>
    </xf>
    <xf numFmtId="49" fontId="55" fillId="0" borderId="20" xfId="6" applyNumberFormat="1" applyFont="1" applyBorder="1" applyAlignment="1" applyProtection="1">
      <alignment horizontal="center" vertical="center"/>
    </xf>
    <xf numFmtId="49" fontId="55" fillId="0" borderId="0" xfId="6" applyNumberFormat="1" applyFont="1" applyAlignment="1" applyProtection="1">
      <alignment horizontal="center" vertical="center"/>
    </xf>
    <xf numFmtId="49" fontId="55" fillId="0" borderId="21" xfId="6" applyNumberFormat="1" applyFont="1" applyBorder="1" applyAlignment="1" applyProtection="1">
      <alignment horizontal="center" vertical="center"/>
    </xf>
    <xf numFmtId="49" fontId="56" fillId="0" borderId="20" xfId="6" applyNumberFormat="1" applyFont="1" applyBorder="1" applyAlignment="1" applyProtection="1">
      <alignment horizontal="center" vertical="center" wrapText="1"/>
    </xf>
    <xf numFmtId="49" fontId="56" fillId="0" borderId="0" xfId="6" applyNumberFormat="1" applyFont="1" applyAlignment="1" applyProtection="1">
      <alignment horizontal="center" vertical="center"/>
    </xf>
    <xf numFmtId="49" fontId="56" fillId="0" borderId="21" xfId="6" applyNumberFormat="1" applyFont="1" applyBorder="1" applyAlignment="1" applyProtection="1">
      <alignment horizontal="center" vertical="center"/>
    </xf>
    <xf numFmtId="49" fontId="56" fillId="0" borderId="46" xfId="6" applyNumberFormat="1" applyFont="1" applyBorder="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42" xfId="6" applyNumberFormat="1" applyFont="1" applyBorder="1" applyAlignment="1" applyProtection="1">
      <alignment horizontal="center" vertical="center"/>
    </xf>
    <xf numFmtId="0" fontId="28" fillId="19" borderId="8" xfId="6" applyFill="1" applyBorder="1" applyAlignment="1" applyProtection="1">
      <alignment horizontal="center" vertical="center" wrapText="1"/>
    </xf>
    <xf numFmtId="0" fontId="28" fillId="19" borderId="13" xfId="6" applyFill="1" applyBorder="1" applyAlignment="1" applyProtection="1">
      <alignment horizontal="center" vertical="center" wrapText="1"/>
    </xf>
    <xf numFmtId="0" fontId="28" fillId="19" borderId="0" xfId="6" applyFill="1" applyAlignment="1" applyProtection="1">
      <alignment horizontal="center" vertical="center" wrapText="1"/>
    </xf>
    <xf numFmtId="0" fontId="28" fillId="19" borderId="14" xfId="6" applyFill="1" applyBorder="1" applyAlignment="1" applyProtection="1">
      <alignment horizontal="center" vertical="center" wrapText="1"/>
    </xf>
    <xf numFmtId="0" fontId="28" fillId="19" borderId="11" xfId="6" applyFill="1" applyBorder="1" applyAlignment="1" applyProtection="1">
      <alignment horizontal="center" vertical="center" wrapText="1"/>
    </xf>
    <xf numFmtId="0" fontId="28" fillId="19" borderId="15" xfId="6" applyFill="1" applyBorder="1" applyAlignment="1" applyProtection="1">
      <alignment horizontal="center" vertical="center" wrapText="1"/>
    </xf>
    <xf numFmtId="0" fontId="38" fillId="0" borderId="0" xfId="6" applyFont="1" applyAlignment="1" applyProtection="1">
      <alignment horizontal="left" vertical="center" wrapText="1"/>
    </xf>
    <xf numFmtId="0" fontId="0" fillId="15" borderId="7" xfId="6" applyFont="1" applyFill="1" applyBorder="1" applyAlignment="1" applyProtection="1">
      <alignment horizontal="center" vertical="center" wrapText="1"/>
    </xf>
    <xf numFmtId="0" fontId="0" fillId="15" borderId="8" xfId="6" applyFont="1" applyFill="1" applyBorder="1" applyAlignment="1" applyProtection="1">
      <alignment horizontal="center" vertical="center"/>
    </xf>
    <xf numFmtId="0" fontId="0" fillId="15" borderId="13" xfId="6" applyFont="1" applyFill="1" applyBorder="1" applyAlignment="1" applyProtection="1">
      <alignment horizontal="center" vertical="center"/>
    </xf>
    <xf numFmtId="0" fontId="0" fillId="15" borderId="9" xfId="6" applyFont="1" applyFill="1" applyBorder="1" applyAlignment="1" applyProtection="1">
      <alignment horizontal="center" vertical="center"/>
    </xf>
    <xf numFmtId="0" fontId="0" fillId="15" borderId="0" xfId="6" applyFont="1" applyFill="1" applyAlignment="1" applyProtection="1">
      <alignment horizontal="center" vertical="center"/>
    </xf>
    <xf numFmtId="0" fontId="0" fillId="15" borderId="14" xfId="6" applyFont="1" applyFill="1" applyBorder="1" applyAlignment="1" applyProtection="1">
      <alignment horizontal="center" vertical="center"/>
    </xf>
    <xf numFmtId="0" fontId="0" fillId="15" borderId="10" xfId="6" applyFont="1" applyFill="1" applyBorder="1" applyAlignment="1" applyProtection="1">
      <alignment horizontal="center" vertical="center"/>
    </xf>
    <xf numFmtId="0" fontId="0" fillId="15" borderId="11" xfId="6" applyFont="1" applyFill="1" applyBorder="1" applyAlignment="1" applyProtection="1">
      <alignment horizontal="center" vertical="center"/>
    </xf>
    <xf numFmtId="0" fontId="0" fillId="15" borderId="15" xfId="6" applyFont="1" applyFill="1" applyBorder="1" applyAlignment="1" applyProtection="1">
      <alignment horizontal="center" vertical="center"/>
    </xf>
    <xf numFmtId="49" fontId="55" fillId="0" borderId="8" xfId="6" applyNumberFormat="1" applyFont="1" applyBorder="1" applyAlignment="1" applyProtection="1">
      <alignment horizontal="center" vertical="center" wrapText="1"/>
    </xf>
    <xf numFmtId="49" fontId="55" fillId="0" borderId="41" xfId="6" applyNumberFormat="1" applyFont="1" applyBorder="1" applyAlignment="1" applyProtection="1">
      <alignment horizontal="center" vertical="center" wrapText="1"/>
    </xf>
    <xf numFmtId="49" fontId="55" fillId="0" borderId="20"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wrapText="1"/>
    </xf>
    <xf numFmtId="49" fontId="55" fillId="0" borderId="21" xfId="6" applyNumberFormat="1" applyFont="1" applyBorder="1" applyAlignment="1" applyProtection="1">
      <alignment horizontal="center" vertical="center" wrapText="1"/>
    </xf>
    <xf numFmtId="49" fontId="55" fillId="0" borderId="46" xfId="6" applyNumberFormat="1" applyFont="1" applyBorder="1" applyAlignment="1" applyProtection="1">
      <alignment horizontal="center" vertical="center" wrapText="1"/>
    </xf>
    <xf numFmtId="49" fontId="55" fillId="0" borderId="11" xfId="6" applyNumberFormat="1" applyFont="1" applyBorder="1" applyAlignment="1" applyProtection="1">
      <alignment horizontal="center" vertical="center" wrapText="1"/>
    </xf>
    <xf numFmtId="49" fontId="55" fillId="0" borderId="42" xfId="6" applyNumberFormat="1" applyFont="1" applyBorder="1" applyAlignment="1" applyProtection="1">
      <alignment horizontal="center" vertical="center" wrapText="1"/>
    </xf>
    <xf numFmtId="0" fontId="28" fillId="31" borderId="1" xfId="6" applyFill="1" applyBorder="1" applyAlignment="1" applyProtection="1">
      <alignment horizontal="left" vertical="center" wrapText="1"/>
    </xf>
    <xf numFmtId="0" fontId="10" fillId="0" borderId="21" xfId="6" applyFont="1" applyBorder="1" applyAlignment="1" applyProtection="1">
      <alignment horizontal="center" vertical="center"/>
    </xf>
    <xf numFmtId="0" fontId="10" fillId="0" borderId="25" xfId="6" applyFont="1" applyBorder="1" applyAlignment="1" applyProtection="1">
      <alignment horizontal="center" vertical="center"/>
    </xf>
    <xf numFmtId="0" fontId="10" fillId="0" borderId="23" xfId="6" applyFont="1" applyBorder="1" applyAlignment="1" applyProtection="1">
      <alignment horizontal="center" vertical="center"/>
    </xf>
    <xf numFmtId="0" fontId="28" fillId="0" borderId="0" xfId="6" applyAlignment="1" applyProtection="1">
      <alignment horizontal="center" vertical="center"/>
    </xf>
    <xf numFmtId="0" fontId="15" fillId="0" borderId="58"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50"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40" xfId="0" applyFont="1" applyBorder="1" applyAlignment="1">
      <alignment horizontal="center" vertical="center" wrapText="1"/>
    </xf>
    <xf numFmtId="0" fontId="6" fillId="0" borderId="20" xfId="6" applyFont="1" applyBorder="1" applyAlignment="1" applyProtection="1">
      <alignment horizontal="left" vertical="center" wrapText="1"/>
    </xf>
    <xf numFmtId="0" fontId="6" fillId="0" borderId="0" xfId="6" applyFont="1" applyAlignment="1" applyProtection="1">
      <alignment horizontal="left" vertical="center" wrapText="1"/>
    </xf>
    <xf numFmtId="0" fontId="3" fillId="0" borderId="49" xfId="0" applyFont="1" applyBorder="1" applyAlignment="1">
      <alignment horizontal="center" vertical="center" wrapText="1"/>
    </xf>
    <xf numFmtId="0" fontId="3" fillId="0" borderId="50" xfId="0" applyFont="1" applyBorder="1" applyAlignment="1">
      <alignment horizontal="center" vertical="center" wrapText="1"/>
    </xf>
    <xf numFmtId="0" fontId="3" fillId="0" borderId="38" xfId="0" applyFont="1" applyBorder="1" applyAlignment="1">
      <alignment horizontal="center" vertical="center" wrapText="1"/>
    </xf>
    <xf numFmtId="0" fontId="56" fillId="0" borderId="0" xfId="6" applyFont="1" applyAlignment="1">
      <alignment horizontal="center" vertical="center"/>
      <protection locked="0"/>
    </xf>
    <xf numFmtId="0" fontId="15" fillId="0" borderId="26" xfId="0" applyFont="1" applyBorder="1" applyAlignment="1">
      <alignment horizontal="center" vertical="center" wrapText="1"/>
    </xf>
    <xf numFmtId="0" fontId="15" fillId="0" borderId="52" xfId="0" applyFont="1" applyBorder="1" applyAlignment="1">
      <alignment horizontal="center" vertical="center" wrapText="1"/>
    </xf>
    <xf numFmtId="0" fontId="15" fillId="0" borderId="48" xfId="0" applyFont="1" applyBorder="1" applyAlignment="1">
      <alignment horizontal="center" vertical="center" wrapText="1"/>
    </xf>
    <xf numFmtId="0" fontId="10" fillId="36" borderId="0" xfId="6" applyFont="1" applyFill="1" applyAlignment="1" applyProtection="1">
      <alignment horizontal="center" vertical="center" wrapText="1"/>
    </xf>
    <xf numFmtId="0" fontId="10" fillId="36" borderId="0" xfId="6" applyFont="1" applyFill="1" applyAlignment="1" applyProtection="1">
      <alignment horizontal="center" vertical="center"/>
    </xf>
    <xf numFmtId="0" fontId="3" fillId="0" borderId="49" xfId="0" applyFont="1" applyBorder="1" applyAlignment="1">
      <alignment horizontal="left" vertical="center" wrapText="1"/>
    </xf>
    <xf numFmtId="0" fontId="3" fillId="0" borderId="21" xfId="0" applyFont="1" applyBorder="1" applyAlignment="1">
      <alignment horizontal="left" vertical="center" wrapText="1"/>
    </xf>
    <xf numFmtId="0" fontId="3" fillId="0" borderId="50" xfId="0" applyFont="1" applyBorder="1" applyAlignment="1">
      <alignment horizontal="left" vertical="center" wrapText="1"/>
    </xf>
    <xf numFmtId="0" fontId="3" fillId="0" borderId="38" xfId="0" applyFont="1" applyBorder="1" applyAlignment="1">
      <alignment horizontal="left" vertical="center" wrapText="1"/>
    </xf>
    <xf numFmtId="0" fontId="3" fillId="0" borderId="40" xfId="0" applyFont="1" applyBorder="1" applyAlignment="1">
      <alignment horizontal="left" vertical="center" wrapText="1"/>
    </xf>
    <xf numFmtId="0" fontId="63" fillId="0" borderId="0" xfId="6" applyFont="1" applyAlignment="1">
      <alignment horizontal="center" vertical="center"/>
      <protection locked="0"/>
    </xf>
    <xf numFmtId="0" fontId="15" fillId="0" borderId="49" xfId="0" applyFont="1" applyBorder="1" applyAlignment="1">
      <alignment horizontal="center" vertical="center" wrapText="1"/>
    </xf>
    <xf numFmtId="0" fontId="15" fillId="0" borderId="61" xfId="0" applyFont="1" applyBorder="1" applyAlignment="1">
      <alignment horizontal="center" vertical="center" wrapText="1"/>
    </xf>
    <xf numFmtId="0" fontId="60" fillId="0" borderId="0" xfId="0" applyFont="1" applyAlignment="1" applyProtection="1">
      <alignment horizontal="center" vertical="center"/>
      <protection locked="0"/>
    </xf>
    <xf numFmtId="49" fontId="63" fillId="0" borderId="0" xfId="6" applyNumberFormat="1" applyFont="1" applyAlignment="1">
      <alignment horizontal="center" vertical="center"/>
      <protection locked="0"/>
    </xf>
    <xf numFmtId="0" fontId="66" fillId="0" borderId="0" xfId="0" applyFont="1" applyAlignment="1" applyProtection="1">
      <alignment horizontal="center" vertical="center" wrapText="1"/>
      <protection locked="0"/>
    </xf>
    <xf numFmtId="0" fontId="10" fillId="0" borderId="0" xfId="0" applyFont="1" applyAlignment="1" applyProtection="1">
      <alignment horizontal="center" vertical="center" wrapText="1"/>
      <protection locked="0"/>
    </xf>
    <xf numFmtId="0" fontId="62" fillId="0" borderId="0" xfId="0" applyFont="1" applyAlignment="1" applyProtection="1">
      <alignment horizontal="center" vertical="center"/>
      <protection locked="0"/>
    </xf>
    <xf numFmtId="0" fontId="13" fillId="0" borderId="0" xfId="6" applyFont="1" applyAlignment="1">
      <alignment horizontal="center" vertical="center"/>
      <protection locked="0"/>
    </xf>
    <xf numFmtId="0" fontId="55" fillId="0" borderId="0" xfId="0" applyFont="1" applyAlignment="1" applyProtection="1">
      <alignment horizontal="center" vertical="center"/>
      <protection locked="0"/>
    </xf>
    <xf numFmtId="0" fontId="6" fillId="0" borderId="22" xfId="6" applyFont="1" applyBorder="1" applyAlignment="1" applyProtection="1">
      <alignment horizontal="left" vertical="center" wrapText="1"/>
    </xf>
    <xf numFmtId="0" fontId="6" fillId="0" borderId="25" xfId="6" applyFont="1" applyBorder="1" applyAlignment="1" applyProtection="1">
      <alignment horizontal="left" vertical="center" wrapText="1"/>
    </xf>
    <xf numFmtId="0" fontId="15" fillId="0" borderId="49" xfId="6" applyFont="1" applyBorder="1" applyAlignment="1" applyProtection="1">
      <alignment horizontal="center" vertical="center" wrapText="1"/>
    </xf>
    <xf numFmtId="0" fontId="15" fillId="0" borderId="21" xfId="6" applyFont="1" applyBorder="1" applyAlignment="1" applyProtection="1">
      <alignment horizontal="center" vertical="center" wrapText="1"/>
    </xf>
    <xf numFmtId="0" fontId="15" fillId="0" borderId="50" xfId="6" applyFont="1" applyBorder="1" applyAlignment="1" applyProtection="1">
      <alignment horizontal="center" vertical="center" wrapText="1"/>
    </xf>
    <xf numFmtId="0" fontId="15" fillId="0" borderId="38" xfId="6" applyFont="1" applyBorder="1" applyAlignment="1" applyProtection="1">
      <alignment horizontal="center" vertical="center" wrapText="1"/>
    </xf>
    <xf numFmtId="0" fontId="15" fillId="0" borderId="40" xfId="6" applyFont="1" applyBorder="1" applyAlignment="1" applyProtection="1">
      <alignment horizontal="center" vertical="center" wrapText="1"/>
    </xf>
    <xf numFmtId="49" fontId="10" fillId="0" borderId="0" xfId="6" applyNumberFormat="1" applyFont="1" applyAlignment="1">
      <alignment horizontal="center" vertical="center" wrapText="1"/>
      <protection locked="0"/>
    </xf>
    <xf numFmtId="49" fontId="13" fillId="0" borderId="0" xfId="6" applyNumberFormat="1" applyFont="1" applyAlignment="1">
      <alignment horizontal="center" vertical="center" wrapText="1"/>
      <protection locked="0"/>
    </xf>
    <xf numFmtId="0" fontId="65" fillId="0" borderId="0" xfId="6" applyFont="1" applyAlignment="1">
      <alignment horizontal="center" vertical="center" wrapText="1"/>
      <protection locked="0"/>
    </xf>
    <xf numFmtId="0" fontId="15" fillId="0" borderId="51" xfId="0" applyFont="1" applyBorder="1" applyAlignment="1">
      <alignment horizontal="center" vertical="center" wrapText="1"/>
    </xf>
    <xf numFmtId="0" fontId="15" fillId="0" borderId="48" xfId="6" applyFont="1" applyBorder="1" applyAlignment="1" applyProtection="1">
      <alignment horizontal="center" vertical="center" wrapText="1"/>
    </xf>
    <xf numFmtId="0" fontId="24" fillId="35" borderId="16" xfId="0" applyFont="1" applyFill="1" applyBorder="1" applyAlignment="1">
      <alignment horizontal="center" vertical="center"/>
    </xf>
    <xf numFmtId="0" fontId="24" fillId="35" borderId="24" xfId="0" applyFont="1" applyFill="1" applyBorder="1" applyAlignment="1">
      <alignment horizontal="center" vertical="center"/>
    </xf>
    <xf numFmtId="0" fontId="24" fillId="35" borderId="17" xfId="0" applyFont="1" applyFill="1" applyBorder="1" applyAlignment="1">
      <alignment horizontal="center" vertical="center"/>
    </xf>
    <xf numFmtId="0" fontId="24" fillId="35" borderId="20" xfId="0" applyFont="1" applyFill="1" applyBorder="1" applyAlignment="1">
      <alignment horizontal="center" vertical="center"/>
    </xf>
    <xf numFmtId="0" fontId="24" fillId="35" borderId="0" xfId="0" applyFont="1" applyFill="1" applyAlignment="1">
      <alignment horizontal="center" vertical="center"/>
    </xf>
    <xf numFmtId="0" fontId="24" fillId="35" borderId="21" xfId="0" applyFont="1" applyFill="1" applyBorder="1" applyAlignment="1">
      <alignment horizontal="center" vertical="center"/>
    </xf>
    <xf numFmtId="0" fontId="15" fillId="0" borderId="59" xfId="0" applyFont="1" applyBorder="1" applyAlignment="1">
      <alignment horizontal="center" vertical="center" wrapText="1"/>
    </xf>
    <xf numFmtId="0" fontId="15" fillId="0" borderId="60" xfId="0" applyFont="1" applyBorder="1" applyAlignment="1">
      <alignment horizontal="center" vertical="center" wrapText="1"/>
    </xf>
    <xf numFmtId="0" fontId="15" fillId="0" borderId="55" xfId="0" applyFont="1" applyBorder="1" applyAlignment="1">
      <alignment horizontal="center" vertical="center" wrapText="1"/>
    </xf>
    <xf numFmtId="0" fontId="17" fillId="0" borderId="0" xfId="6" applyFont="1" applyAlignment="1">
      <alignment horizontal="center" vertical="center" wrapText="1"/>
      <protection locked="0"/>
    </xf>
    <xf numFmtId="0" fontId="10" fillId="36" borderId="21" xfId="6" applyFont="1" applyFill="1" applyBorder="1" applyAlignment="1" applyProtection="1">
      <alignment horizontal="center" vertical="center"/>
    </xf>
    <xf numFmtId="49" fontId="56" fillId="0" borderId="22" xfId="6" applyNumberFormat="1" applyFont="1" applyBorder="1" applyAlignment="1" applyProtection="1">
      <alignment horizontal="center" vertical="center"/>
    </xf>
    <xf numFmtId="49" fontId="56" fillId="0" borderId="25" xfId="6" applyNumberFormat="1" applyFont="1" applyBorder="1" applyAlignment="1" applyProtection="1">
      <alignment horizontal="center" vertical="center"/>
    </xf>
    <xf numFmtId="49" fontId="56" fillId="0" borderId="23" xfId="6" applyNumberFormat="1" applyFont="1" applyBorder="1" applyAlignment="1" applyProtection="1">
      <alignment horizontal="center" vertical="center"/>
    </xf>
    <xf numFmtId="0" fontId="60" fillId="11" borderId="16" xfId="0" applyFont="1" applyFill="1" applyBorder="1" applyAlignment="1">
      <alignment horizontal="center" vertical="center"/>
    </xf>
    <xf numFmtId="0" fontId="60" fillId="12" borderId="24" xfId="0" applyFont="1" applyFill="1" applyBorder="1" applyAlignment="1">
      <alignment horizontal="center" vertical="center"/>
    </xf>
    <xf numFmtId="0" fontId="60" fillId="12" borderId="17" xfId="0" applyFont="1" applyFill="1" applyBorder="1" applyAlignment="1">
      <alignment horizontal="center" vertical="center"/>
    </xf>
    <xf numFmtId="0" fontId="60" fillId="12" borderId="20" xfId="0" applyFont="1" applyFill="1" applyBorder="1" applyAlignment="1">
      <alignment horizontal="center" vertical="center"/>
    </xf>
    <xf numFmtId="0" fontId="60" fillId="12" borderId="0" xfId="0" applyFont="1" applyFill="1" applyAlignment="1">
      <alignment horizontal="center" vertical="center"/>
    </xf>
    <xf numFmtId="0" fontId="60" fillId="12" borderId="38" xfId="0" applyFont="1" applyFill="1" applyBorder="1" applyAlignment="1">
      <alignment horizontal="center" vertical="center"/>
    </xf>
    <xf numFmtId="0" fontId="60" fillId="12" borderId="40" xfId="0" applyFont="1" applyFill="1" applyBorder="1" applyAlignment="1">
      <alignment horizontal="center" vertical="center"/>
    </xf>
    <xf numFmtId="0" fontId="15" fillId="0" borderId="0" xfId="0" applyFont="1" applyAlignment="1" applyProtection="1">
      <alignment horizontal="center" vertical="center" wrapText="1"/>
      <protection locked="0"/>
    </xf>
    <xf numFmtId="0" fontId="64" fillId="0" borderId="0" xfId="6" applyFont="1" applyAlignment="1">
      <alignment horizontal="center" vertical="center"/>
      <protection locked="0"/>
    </xf>
    <xf numFmtId="0" fontId="50" fillId="24" borderId="14" xfId="6" applyFont="1" applyFill="1" applyBorder="1" applyAlignment="1" applyProtection="1">
      <alignment horizontal="center" vertical="center" wrapText="1"/>
    </xf>
    <xf numFmtId="0" fontId="40" fillId="26" borderId="14" xfId="6" applyFont="1" applyFill="1" applyBorder="1" applyAlignment="1" applyProtection="1">
      <alignment horizontal="center" vertical="center" wrapText="1"/>
    </xf>
    <xf numFmtId="0" fontId="40" fillId="26" borderId="15" xfId="6" applyFont="1" applyFill="1" applyBorder="1" applyAlignment="1" applyProtection="1">
      <alignment horizontal="center" vertical="center" wrapText="1"/>
    </xf>
    <xf numFmtId="0" fontId="51" fillId="27" borderId="0" xfId="6" applyFont="1" applyFill="1" applyAlignment="1" applyProtection="1">
      <alignment horizontal="center" vertical="center" wrapText="1"/>
    </xf>
    <xf numFmtId="0" fontId="51" fillId="27" borderId="11" xfId="6" applyFont="1" applyFill="1" applyBorder="1" applyAlignment="1" applyProtection="1">
      <alignment horizontal="center" vertical="center" wrapText="1"/>
    </xf>
    <xf numFmtId="0" fontId="45" fillId="0" borderId="1" xfId="6" applyFont="1" applyBorder="1" applyAlignment="1" applyProtection="1">
      <alignment horizontal="center" vertical="center" textRotation="255" wrapText="1"/>
    </xf>
    <xf numFmtId="0" fontId="15" fillId="0" borderId="53" xfId="0" applyFont="1" applyBorder="1" applyAlignment="1">
      <alignment horizontal="center" vertical="center" wrapText="1"/>
    </xf>
    <xf numFmtId="0" fontId="15" fillId="0" borderId="56" xfId="0" applyFont="1" applyBorder="1" applyAlignment="1">
      <alignment horizontal="center" vertical="center" wrapText="1"/>
    </xf>
    <xf numFmtId="0" fontId="15" fillId="0" borderId="47" xfId="6" applyFont="1" applyBorder="1" applyAlignment="1" applyProtection="1">
      <alignment horizontal="center" vertical="center" wrapText="1"/>
    </xf>
    <xf numFmtId="49" fontId="56" fillId="0" borderId="0" xfId="6" applyNumberFormat="1" applyFont="1" applyAlignment="1" applyProtection="1">
      <alignment horizontal="center" vertical="center" wrapText="1"/>
    </xf>
    <xf numFmtId="49" fontId="56" fillId="0" borderId="21" xfId="6" applyNumberFormat="1" applyFont="1" applyBorder="1" applyAlignment="1" applyProtection="1">
      <alignment horizontal="center" vertical="center" wrapText="1"/>
    </xf>
    <xf numFmtId="49" fontId="56" fillId="0" borderId="39" xfId="6" applyNumberFormat="1" applyFont="1" applyBorder="1" applyAlignment="1" applyProtection="1">
      <alignment horizontal="center" vertical="center" wrapText="1"/>
    </xf>
    <xf numFmtId="49" fontId="56" fillId="0" borderId="8" xfId="6" applyNumberFormat="1" applyFont="1" applyBorder="1" applyAlignment="1" applyProtection="1">
      <alignment horizontal="center" vertical="center" wrapText="1"/>
    </xf>
    <xf numFmtId="49" fontId="56" fillId="0" borderId="41" xfId="6" applyNumberFormat="1" applyFont="1" applyBorder="1" applyAlignment="1" applyProtection="1">
      <alignment horizontal="center" vertical="center" wrapText="1"/>
    </xf>
    <xf numFmtId="49" fontId="56" fillId="0" borderId="46" xfId="6" applyNumberFormat="1" applyFont="1" applyBorder="1" applyAlignment="1" applyProtection="1">
      <alignment horizontal="center" vertical="center" wrapText="1"/>
    </xf>
    <xf numFmtId="49" fontId="56" fillId="0" borderId="11" xfId="6" applyNumberFormat="1" applyFont="1" applyBorder="1" applyAlignment="1" applyProtection="1">
      <alignment horizontal="center" vertical="center" wrapText="1"/>
    </xf>
    <xf numFmtId="49" fontId="56" fillId="0" borderId="42" xfId="6" applyNumberFormat="1" applyFont="1" applyBorder="1" applyAlignment="1" applyProtection="1">
      <alignment horizontal="center" vertical="center" wrapText="1"/>
    </xf>
    <xf numFmtId="0" fontId="3" fillId="0" borderId="48" xfId="0" applyFont="1" applyBorder="1" applyAlignment="1">
      <alignment horizontal="left" vertical="center" wrapText="1"/>
    </xf>
    <xf numFmtId="0" fontId="3" fillId="0" borderId="37" xfId="0" applyFont="1" applyBorder="1" applyAlignment="1">
      <alignment horizontal="left" vertical="center" wrapText="1"/>
    </xf>
    <xf numFmtId="0" fontId="3" fillId="0" borderId="51" xfId="0" applyFont="1" applyBorder="1" applyAlignment="1">
      <alignment horizontal="left" vertical="center" wrapText="1"/>
    </xf>
    <xf numFmtId="0" fontId="6" fillId="36" borderId="20" xfId="6" applyFont="1" applyFill="1" applyBorder="1" applyAlignment="1" applyProtection="1">
      <alignment horizontal="left" vertical="center" wrapText="1"/>
    </xf>
    <xf numFmtId="0" fontId="6" fillId="36" borderId="0" xfId="6" applyFont="1" applyFill="1" applyAlignment="1" applyProtection="1">
      <alignment horizontal="left" vertical="center" wrapText="1"/>
    </xf>
    <xf numFmtId="49" fontId="13" fillId="0" borderId="0" xfId="6" applyNumberFormat="1" applyFont="1" applyAlignment="1">
      <alignment horizontal="center" vertical="center"/>
      <protection locked="0"/>
    </xf>
    <xf numFmtId="0" fontId="13" fillId="0" borderId="0" xfId="6" applyFont="1" applyAlignment="1">
      <alignment horizontal="center" vertical="center" wrapText="1"/>
      <protection locked="0"/>
    </xf>
    <xf numFmtId="49" fontId="10" fillId="0" borderId="0" xfId="6" applyNumberFormat="1" applyFont="1" applyAlignment="1">
      <alignment horizontal="center" vertical="center"/>
      <protection locked="0"/>
    </xf>
    <xf numFmtId="0" fontId="56" fillId="0" borderId="37" xfId="0" applyFont="1" applyBorder="1" applyAlignment="1">
      <alignment horizontal="center" vertical="center" wrapText="1"/>
    </xf>
    <xf numFmtId="0" fontId="56" fillId="0" borderId="38" xfId="0" applyFont="1" applyBorder="1" applyAlignment="1">
      <alignment horizontal="center" vertical="center" wrapText="1"/>
    </xf>
    <xf numFmtId="0" fontId="56" fillId="0" borderId="51" xfId="0" applyFont="1" applyBorder="1" applyAlignment="1">
      <alignment horizontal="center" vertical="center" wrapText="1"/>
    </xf>
    <xf numFmtId="0" fontId="15" fillId="36" borderId="20" xfId="6" applyFont="1" applyFill="1" applyBorder="1" applyAlignment="1" applyProtection="1">
      <alignment horizontal="center" vertical="center"/>
    </xf>
    <xf numFmtId="0" fontId="15" fillId="36" borderId="0" xfId="6" applyFont="1" applyFill="1" applyAlignment="1" applyProtection="1">
      <alignment horizontal="center" vertical="center"/>
    </xf>
    <xf numFmtId="0" fontId="15" fillId="36" borderId="21" xfId="6" applyFont="1" applyFill="1" applyBorder="1" applyAlignment="1" applyProtection="1">
      <alignment horizontal="center" vertical="center"/>
    </xf>
    <xf numFmtId="0" fontId="3" fillId="0" borderId="40"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57" xfId="0" applyFont="1" applyBorder="1" applyAlignment="1">
      <alignment horizontal="center" vertical="center" wrapText="1"/>
    </xf>
    <xf numFmtId="0" fontId="55" fillId="0" borderId="44" xfId="6" applyFont="1" applyBorder="1" applyAlignment="1" applyProtection="1">
      <alignment horizontal="center" vertical="center"/>
    </xf>
    <xf numFmtId="0" fontId="10" fillId="0" borderId="6" xfId="6" applyFont="1" applyBorder="1" applyAlignment="1" applyProtection="1">
      <alignment horizontal="center" vertical="center"/>
    </xf>
    <xf numFmtId="0" fontId="10" fillId="0" borderId="45" xfId="6" applyFont="1" applyBorder="1" applyAlignment="1" applyProtection="1">
      <alignment horizontal="center" vertical="center"/>
    </xf>
    <xf numFmtId="0" fontId="56" fillId="0" borderId="22" xfId="6" applyFont="1" applyBorder="1" applyAlignment="1" applyProtection="1">
      <alignment horizontal="center" vertical="center"/>
    </xf>
    <xf numFmtId="0" fontId="13" fillId="0" borderId="23" xfId="6" applyFont="1" applyBorder="1" applyAlignment="1" applyProtection="1">
      <alignment horizontal="center" vertical="center"/>
    </xf>
    <xf numFmtId="0" fontId="15" fillId="0" borderId="54"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0" xfId="0" applyFont="1" applyAlignment="1">
      <alignment horizontal="center" vertical="center" wrapText="1"/>
    </xf>
    <xf numFmtId="0" fontId="17" fillId="0" borderId="48"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5" xfId="0" applyFont="1" applyBorder="1" applyAlignment="1">
      <alignment horizontal="center" vertical="center" wrapText="1"/>
    </xf>
    <xf numFmtId="0" fontId="17" fillId="0" borderId="57" xfId="0" applyFont="1" applyBorder="1" applyAlignment="1">
      <alignment horizontal="center" vertical="center" wrapText="1"/>
    </xf>
    <xf numFmtId="0" fontId="17" fillId="0" borderId="23" xfId="0" applyFont="1" applyBorder="1" applyAlignment="1">
      <alignment horizontal="center" vertical="center" wrapText="1"/>
    </xf>
    <xf numFmtId="0" fontId="60" fillId="12" borderId="21" xfId="0" applyFont="1" applyFill="1" applyBorder="1" applyAlignment="1">
      <alignment horizontal="center" vertical="center"/>
    </xf>
    <xf numFmtId="0" fontId="3" fillId="0" borderId="37" xfId="0" applyFont="1" applyBorder="1" applyAlignment="1">
      <alignment horizontal="center" vertical="center"/>
    </xf>
    <xf numFmtId="0" fontId="2" fillId="11" borderId="16" xfId="0" applyFont="1" applyFill="1" applyBorder="1" applyAlignment="1">
      <alignment horizontal="center" vertical="center" wrapText="1"/>
    </xf>
    <xf numFmtId="0" fontId="2" fillId="34" borderId="24" xfId="0" applyFont="1" applyFill="1" applyBorder="1" applyAlignment="1">
      <alignment horizontal="center" vertical="center" wrapText="1"/>
    </xf>
    <xf numFmtId="0" fontId="2" fillId="34" borderId="17" xfId="0" applyFont="1" applyFill="1" applyBorder="1" applyAlignment="1">
      <alignment horizontal="center" vertical="center" wrapText="1"/>
    </xf>
    <xf numFmtId="0" fontId="2" fillId="34" borderId="37" xfId="0" applyFont="1" applyFill="1" applyBorder="1" applyAlignment="1">
      <alignment horizontal="center" vertical="center" wrapText="1"/>
    </xf>
    <xf numFmtId="0" fontId="2" fillId="34" borderId="38" xfId="0" applyFont="1" applyFill="1" applyBorder="1" applyAlignment="1">
      <alignment horizontal="center" vertical="center" wrapText="1"/>
    </xf>
    <xf numFmtId="0" fontId="2" fillId="34" borderId="40" xfId="0" applyFont="1" applyFill="1" applyBorder="1" applyAlignment="1">
      <alignment horizontal="center" vertical="center" wrapText="1"/>
    </xf>
    <xf numFmtId="49" fontId="30" fillId="2" borderId="0" xfId="0" applyNumberFormat="1" applyFont="1" applyFill="1" applyAlignment="1">
      <alignment horizontal="center" vertical="center"/>
    </xf>
    <xf numFmtId="49" fontId="30" fillId="3" borderId="0" xfId="0" applyNumberFormat="1" applyFont="1" applyFill="1" applyAlignment="1">
      <alignment horizontal="center" vertical="center"/>
    </xf>
    <xf numFmtId="49" fontId="41" fillId="28" borderId="0" xfId="0" applyNumberFormat="1" applyFont="1" applyFill="1" applyAlignment="1">
      <alignment horizontal="center" vertical="center"/>
    </xf>
    <xf numFmtId="49" fontId="41" fillId="29" borderId="0" xfId="0" applyNumberFormat="1" applyFont="1" applyFill="1" applyAlignment="1">
      <alignment horizontal="center" vertical="center"/>
    </xf>
    <xf numFmtId="0" fontId="52" fillId="28" borderId="16" xfId="6" applyFont="1" applyFill="1" applyBorder="1" applyAlignment="1" applyProtection="1">
      <alignment horizontal="center" vertical="center"/>
    </xf>
    <xf numFmtId="0" fontId="52" fillId="29" borderId="24" xfId="6" applyFont="1" applyFill="1" applyBorder="1" applyAlignment="1" applyProtection="1">
      <alignment horizontal="center" vertical="center"/>
    </xf>
    <xf numFmtId="0" fontId="52" fillId="29" borderId="17" xfId="6" applyFont="1" applyFill="1" applyBorder="1" applyAlignment="1" applyProtection="1">
      <alignment horizontal="center" vertical="center"/>
    </xf>
    <xf numFmtId="0" fontId="0" fillId="0" borderId="0" xfId="6" applyFont="1" applyAlignment="1" applyProtection="1">
      <alignment horizontal="center" vertical="center"/>
    </xf>
    <xf numFmtId="49" fontId="57" fillId="0" borderId="20" xfId="6" applyNumberFormat="1" applyFont="1" applyBorder="1" applyAlignment="1" applyProtection="1">
      <alignment horizontal="center" vertical="center"/>
    </xf>
    <xf numFmtId="49" fontId="57" fillId="0" borderId="0" xfId="6" applyNumberFormat="1" applyFont="1" applyAlignment="1" applyProtection="1">
      <alignment horizontal="center" vertical="center"/>
    </xf>
    <xf numFmtId="49" fontId="57" fillId="0" borderId="21" xfId="6" applyNumberFormat="1" applyFont="1" applyBorder="1" applyAlignment="1" applyProtection="1">
      <alignment horizontal="center" vertical="center"/>
    </xf>
    <xf numFmtId="0" fontId="54" fillId="28" borderId="16" xfId="6" applyFont="1" applyFill="1" applyBorder="1" applyAlignment="1" applyProtection="1">
      <alignment horizontal="center" vertical="center"/>
    </xf>
    <xf numFmtId="0" fontId="54" fillId="33" borderId="24" xfId="6" applyFont="1" applyFill="1" applyBorder="1" applyAlignment="1" applyProtection="1">
      <alignment horizontal="center" vertical="center"/>
    </xf>
    <xf numFmtId="0" fontId="54" fillId="33" borderId="17" xfId="6" applyFont="1" applyFill="1" applyBorder="1" applyAlignment="1" applyProtection="1">
      <alignment horizontal="center" vertical="center"/>
    </xf>
    <xf numFmtId="0" fontId="33" fillId="15" borderId="0" xfId="0" applyFont="1" applyFill="1" applyAlignment="1">
      <alignment horizontal="center" vertical="center"/>
    </xf>
    <xf numFmtId="0" fontId="33" fillId="15" borderId="21" xfId="0" applyFont="1" applyFill="1" applyBorder="1" applyAlignment="1">
      <alignment horizontal="center" vertical="center"/>
    </xf>
    <xf numFmtId="0" fontId="34" fillId="0" borderId="12" xfId="6" applyFont="1" applyBorder="1" applyAlignment="1" applyProtection="1">
      <alignment horizontal="center" vertical="center" wrapText="1"/>
    </xf>
    <xf numFmtId="0" fontId="36" fillId="15" borderId="12" xfId="6" applyFont="1" applyFill="1" applyBorder="1" applyAlignment="1" applyProtection="1">
      <alignment horizontal="center" vertical="center" wrapText="1"/>
    </xf>
    <xf numFmtId="0" fontId="36" fillId="17" borderId="12" xfId="6" applyFont="1" applyFill="1" applyBorder="1" applyAlignment="1" applyProtection="1">
      <alignment horizontal="center" vertical="center" wrapText="1"/>
    </xf>
    <xf numFmtId="0" fontId="36" fillId="20" borderId="13" xfId="6" applyFont="1" applyFill="1" applyBorder="1" applyAlignment="1" applyProtection="1">
      <alignment horizontal="center" vertical="center" wrapText="1"/>
    </xf>
    <xf numFmtId="0" fontId="40" fillId="11" borderId="13" xfId="6" applyFont="1" applyFill="1" applyBorder="1" applyAlignment="1" applyProtection="1">
      <alignment horizontal="center" vertical="center" wrapText="1"/>
    </xf>
    <xf numFmtId="0" fontId="40" fillId="12" borderId="13" xfId="6" applyFont="1" applyFill="1" applyBorder="1" applyAlignment="1" applyProtection="1">
      <alignment horizontal="center" vertical="center" wrapText="1"/>
    </xf>
    <xf numFmtId="0" fontId="36" fillId="30" borderId="13" xfId="6" applyFont="1" applyFill="1" applyBorder="1" applyAlignment="1" applyProtection="1">
      <alignment horizontal="center" vertical="center" wrapText="1"/>
    </xf>
    <xf numFmtId="0" fontId="50" fillId="0" borderId="12" xfId="6" applyFont="1" applyBorder="1" applyAlignment="1" applyProtection="1">
      <alignment horizontal="center" vertical="center" wrapText="1"/>
    </xf>
    <xf numFmtId="0" fontId="28" fillId="0" borderId="12" xfId="6" applyBorder="1" applyAlignment="1" applyProtection="1">
      <alignment horizontal="center" vertical="center" wrapText="1"/>
    </xf>
    <xf numFmtId="0" fontId="44" fillId="0" borderId="12" xfId="6" applyFont="1" applyBorder="1" applyAlignment="1" applyProtection="1">
      <alignment horizontal="center" vertical="center" wrapText="1"/>
    </xf>
    <xf numFmtId="0" fontId="48" fillId="13" borderId="12" xfId="6" applyFont="1" applyFill="1" applyBorder="1" applyAlignment="1" applyProtection="1">
      <alignment horizontal="center" vertical="center" wrapText="1"/>
    </xf>
    <xf numFmtId="0" fontId="48" fillId="15" borderId="14" xfId="6" applyFont="1" applyFill="1" applyBorder="1" applyAlignment="1" applyProtection="1">
      <alignment horizontal="center" vertical="center" wrapText="1"/>
    </xf>
    <xf numFmtId="0" fontId="49" fillId="21" borderId="12" xfId="6" applyFont="1" applyFill="1" applyBorder="1" applyAlignment="1" applyProtection="1">
      <alignment horizontal="center" vertical="center" wrapText="1"/>
    </xf>
    <xf numFmtId="0" fontId="50" fillId="23" borderId="13" xfId="6" applyFont="1" applyFill="1" applyBorder="1" applyAlignment="1" applyProtection="1">
      <alignment horizontal="center" vertical="center" wrapText="1"/>
    </xf>
    <xf numFmtId="0" fontId="50" fillId="23" borderId="14" xfId="6" applyFont="1" applyFill="1" applyBorder="1" applyAlignment="1" applyProtection="1">
      <alignment horizontal="center"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23" fillId="0" borderId="31"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32" xfId="0" applyFont="1" applyBorder="1" applyAlignment="1">
      <alignment horizontal="center" vertical="center" wrapText="1"/>
    </xf>
    <xf numFmtId="0" fontId="1" fillId="0" borderId="32" xfId="0" applyFont="1" applyBorder="1" applyAlignment="1">
      <alignment horizontal="center" vertical="center" wrapText="1"/>
    </xf>
    <xf numFmtId="0" fontId="23" fillId="0" borderId="35"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5" xfId="0" applyFont="1" applyBorder="1" applyAlignment="1">
      <alignment horizontal="left" vertical="center" wrapText="1"/>
    </xf>
    <xf numFmtId="0" fontId="1" fillId="0" borderId="20"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11" borderId="16" xfId="0" applyFont="1" applyFill="1" applyBorder="1" applyAlignment="1">
      <alignment horizontal="center" vertical="center" wrapText="1"/>
    </xf>
    <xf numFmtId="0" fontId="1" fillId="12" borderId="20" xfId="0" applyFont="1" applyFill="1" applyBorder="1" applyAlignment="1">
      <alignment horizontal="center" vertical="center" wrapText="1"/>
    </xf>
    <xf numFmtId="0" fontId="1" fillId="12" borderId="22" xfId="0" applyFont="1" applyFill="1" applyBorder="1" applyAlignment="1">
      <alignment horizontal="center" vertical="center" wrapText="1"/>
    </xf>
    <xf numFmtId="0" fontId="24" fillId="11" borderId="16" xfId="0" applyFont="1" applyFill="1" applyBorder="1" applyAlignment="1">
      <alignment horizontal="center" vertical="center" wrapText="1"/>
    </xf>
    <xf numFmtId="0" fontId="24" fillId="12" borderId="24" xfId="0" applyFont="1" applyFill="1" applyBorder="1" applyAlignment="1">
      <alignment horizontal="center" vertical="center" wrapText="1"/>
    </xf>
    <xf numFmtId="0" fontId="24" fillId="12" borderId="17" xfId="0" applyFont="1" applyFill="1" applyBorder="1" applyAlignment="1">
      <alignment horizontal="center" vertical="center" wrapText="1"/>
    </xf>
    <xf numFmtId="0" fontId="24" fillId="12" borderId="20" xfId="0" applyFont="1" applyFill="1" applyBorder="1" applyAlignment="1">
      <alignment horizontal="center" vertical="center" wrapText="1"/>
    </xf>
    <xf numFmtId="0" fontId="24" fillId="12" borderId="0" xfId="0" applyFont="1" applyFill="1" applyAlignment="1">
      <alignment horizontal="center" vertical="center" wrapText="1"/>
    </xf>
    <xf numFmtId="0" fontId="24" fillId="12" borderId="21" xfId="0" applyFont="1" applyFill="1" applyBorder="1" applyAlignment="1">
      <alignment horizontal="center" vertical="center" wrapText="1"/>
    </xf>
    <xf numFmtId="0" fontId="24" fillId="12" borderId="22" xfId="0" applyFont="1" applyFill="1" applyBorder="1" applyAlignment="1">
      <alignment horizontal="center" vertical="center" wrapText="1"/>
    </xf>
    <xf numFmtId="0" fontId="24" fillId="12" borderId="25" xfId="0" applyFont="1" applyFill="1" applyBorder="1" applyAlignment="1">
      <alignment horizontal="center" vertical="center" wrapText="1"/>
    </xf>
    <xf numFmtId="0" fontId="24" fillId="12" borderId="23" xfId="0" applyFont="1" applyFill="1" applyBorder="1" applyAlignment="1">
      <alignment horizontal="center" vertical="center" wrapText="1"/>
    </xf>
    <xf numFmtId="0" fontId="25" fillId="11" borderId="16" xfId="0" applyFont="1" applyFill="1" applyBorder="1" applyAlignment="1">
      <alignment horizontal="center" vertical="center" wrapText="1"/>
    </xf>
    <xf numFmtId="0" fontId="25" fillId="12" borderId="17" xfId="0" applyFont="1" applyFill="1" applyBorder="1" applyAlignment="1">
      <alignment horizontal="center" vertical="center" wrapText="1"/>
    </xf>
    <xf numFmtId="0" fontId="25" fillId="12" borderId="20" xfId="0" applyFont="1" applyFill="1" applyBorder="1" applyAlignment="1">
      <alignment horizontal="center" vertical="center" wrapText="1"/>
    </xf>
    <xf numFmtId="0" fontId="25" fillId="12" borderId="21" xfId="0" applyFont="1" applyFill="1" applyBorder="1" applyAlignment="1">
      <alignment horizontal="center"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1" fillId="0" borderId="36" xfId="0" applyFont="1" applyBorder="1" applyAlignment="1">
      <alignment horizontal="left" vertical="center" wrapText="1"/>
    </xf>
    <xf numFmtId="0" fontId="25" fillId="12" borderId="22" xfId="0" applyFont="1" applyFill="1" applyBorder="1" applyAlignment="1">
      <alignment horizontal="center" vertical="center" wrapText="1"/>
    </xf>
    <xf numFmtId="0" fontId="1" fillId="11" borderId="20" xfId="0" applyFont="1" applyFill="1" applyBorder="1" applyAlignment="1">
      <alignment horizontal="center" vertical="center" wrapText="1"/>
    </xf>
    <xf numFmtId="0" fontId="7" fillId="8" borderId="17" xfId="0" applyFont="1" applyFill="1" applyBorder="1" applyAlignment="1">
      <alignment horizontal="center" vertical="center"/>
    </xf>
    <xf numFmtId="0" fontId="7" fillId="2" borderId="18" xfId="0" applyFont="1" applyFill="1" applyBorder="1" applyAlignment="1">
      <alignment horizontal="center" vertical="center"/>
    </xf>
    <xf numFmtId="0" fontId="7" fillId="9" borderId="19" xfId="0" applyFont="1" applyFill="1" applyBorder="1" applyAlignment="1">
      <alignment horizontal="center" vertical="center"/>
    </xf>
    <xf numFmtId="0" fontId="7" fillId="2" borderId="16" xfId="0" applyFont="1" applyFill="1" applyBorder="1" applyAlignment="1" applyProtection="1">
      <alignment horizontal="center" vertical="center"/>
      <protection hidden="1"/>
    </xf>
    <xf numFmtId="0" fontId="7" fillId="9" borderId="17" xfId="0" applyFont="1" applyFill="1" applyBorder="1" applyAlignment="1" applyProtection="1">
      <alignment horizontal="center" vertical="center"/>
      <protection hidden="1"/>
    </xf>
    <xf numFmtId="0" fontId="1" fillId="0" borderId="21" xfId="0" applyFont="1" applyBorder="1" applyAlignment="1" applyProtection="1">
      <alignment horizontal="left" vertical="center" wrapText="1"/>
      <protection hidden="1"/>
    </xf>
    <xf numFmtId="0" fontId="1" fillId="0" borderId="23" xfId="0" applyFont="1" applyBorder="1" applyAlignment="1" applyProtection="1">
      <alignment horizontal="left" vertical="center" wrapText="1"/>
      <protection hidden="1"/>
    </xf>
    <xf numFmtId="0" fontId="204" fillId="0" borderId="0" xfId="0" applyFont="1" applyAlignment="1">
      <alignment vertical="center" wrapText="1"/>
    </xf>
    <xf numFmtId="0" fontId="1" fillId="0" borderId="0" xfId="0" applyFont="1">
      <alignment vertical="center"/>
    </xf>
    <xf numFmtId="0" fontId="1" fillId="0" borderId="0" xfId="0" applyFont="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7" fillId="2" borderId="0" xfId="0" applyFont="1" applyFill="1" applyAlignment="1">
      <alignment horizontal="left" vertical="center" indent="1"/>
    </xf>
    <xf numFmtId="0" fontId="7" fillId="3" borderId="0" xfId="0" applyFont="1" applyFill="1" applyAlignment="1">
      <alignment horizontal="left" vertical="center" indent="1"/>
    </xf>
    <xf numFmtId="0" fontId="12" fillId="0" borderId="1" xfId="0" applyFont="1" applyBorder="1" applyAlignment="1">
      <alignment horizontal="left" vertical="center" wrapText="1"/>
    </xf>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12" xfId="0" applyFont="1" applyFill="1" applyBorder="1" applyAlignment="1">
      <alignment horizontal="center" vertical="center"/>
    </xf>
    <xf numFmtId="0" fontId="6" fillId="5" borderId="1" xfId="0" applyFont="1" applyFill="1" applyBorder="1" applyAlignment="1">
      <alignment horizontal="center" vertical="center" textRotation="255" wrapText="1"/>
    </xf>
    <xf numFmtId="0" fontId="6" fillId="6" borderId="1" xfId="0" applyFont="1" applyFill="1" applyBorder="1" applyAlignment="1">
      <alignment horizontal="center" vertical="center" textRotation="255" wrapText="1"/>
    </xf>
    <xf numFmtId="0" fontId="19" fillId="0" borderId="1" xfId="0" applyFont="1" applyBorder="1" applyAlignment="1">
      <alignment horizontal="left" vertical="center"/>
    </xf>
    <xf numFmtId="0" fontId="2" fillId="0" borderId="0" xfId="0" applyFont="1" applyAlignment="1">
      <alignment horizontal="center" vertical="center"/>
    </xf>
    <xf numFmtId="0" fontId="10" fillId="0" borderId="1" xfId="0" applyFont="1" applyBorder="1" applyAlignment="1">
      <alignment vertical="center" wrapText="1"/>
    </xf>
    <xf numFmtId="0" fontId="8" fillId="0" borderId="1" xfId="0" applyFont="1" applyBorder="1">
      <alignment vertical="center"/>
    </xf>
    <xf numFmtId="0" fontId="9" fillId="0" borderId="1" xfId="0" applyFont="1" applyBorder="1" applyAlignment="1">
      <alignment horizontal="left" vertical="center" wrapText="1"/>
    </xf>
    <xf numFmtId="0" fontId="9" fillId="0" borderId="1" xfId="0" applyFont="1" applyBorder="1">
      <alignment vertical="center"/>
    </xf>
    <xf numFmtId="0" fontId="1" fillId="0" borderId="1" xfId="0" applyFont="1" applyBorder="1" applyAlignment="1">
      <alignment vertical="center" wrapText="1"/>
    </xf>
    <xf numFmtId="0" fontId="1" fillId="0" borderId="1" xfId="0" applyFont="1" applyBorder="1">
      <alignment vertical="center"/>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4" fillId="0" borderId="1" xfId="1" applyFont="1" applyBorder="1" applyAlignment="1" applyProtection="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9" fillId="0" borderId="1" xfId="0" applyFont="1"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center" wrapText="1"/>
    </xf>
    <xf numFmtId="0" fontId="1" fillId="0" borderId="5" xfId="0" applyFont="1" applyBorder="1" applyAlignment="1">
      <alignment horizontal="left" vertical="center" wrapText="1"/>
    </xf>
    <xf numFmtId="0" fontId="1" fillId="0" borderId="12" xfId="0" applyFont="1" applyBorder="1" applyAlignment="1">
      <alignment horizontal="left" vertical="center" wrapText="1"/>
    </xf>
    <xf numFmtId="0" fontId="1" fillId="0" borderId="12" xfId="0" applyFont="1" applyBorder="1" applyAlignment="1">
      <alignment horizontal="left" vertical="center"/>
    </xf>
    <xf numFmtId="0" fontId="1" fillId="0" borderId="13" xfId="0" applyFont="1" applyBorder="1" applyAlignment="1">
      <alignment horizontal="left" vertical="center" wrapText="1"/>
    </xf>
    <xf numFmtId="0" fontId="6" fillId="5" borderId="1" xfId="0" applyFont="1" applyFill="1" applyBorder="1" applyAlignment="1">
      <alignment vertical="center" wrapText="1"/>
    </xf>
    <xf numFmtId="0" fontId="6" fillId="6" borderId="1" xfId="0" applyFont="1" applyFill="1" applyBorder="1" applyAlignment="1">
      <alignment vertical="center" wrapText="1"/>
    </xf>
    <xf numFmtId="0" fontId="10" fillId="5" borderId="5" xfId="0" applyFont="1" applyFill="1" applyBorder="1" applyAlignment="1">
      <alignment horizontal="center" vertical="center" wrapText="1"/>
    </xf>
    <xf numFmtId="0" fontId="13" fillId="5" borderId="1" xfId="0" applyFont="1" applyFill="1" applyBorder="1" applyAlignment="1">
      <alignment horizontal="center" vertical="top" wrapText="1"/>
    </xf>
    <xf numFmtId="0" fontId="13" fillId="6" borderId="1" xfId="0" applyFont="1" applyFill="1" applyBorder="1" applyAlignment="1">
      <alignment horizontal="center" vertical="top" wrapText="1"/>
    </xf>
    <xf numFmtId="0" fontId="15" fillId="5" borderId="1" xfId="0" applyFont="1" applyFill="1" applyBorder="1" applyAlignment="1">
      <alignment horizontal="center" vertical="center" textRotation="255"/>
    </xf>
    <xf numFmtId="0" fontId="15" fillId="6" borderId="1" xfId="0" applyFont="1" applyFill="1" applyBorder="1" applyAlignment="1">
      <alignment horizontal="center" vertical="center" textRotation="255"/>
    </xf>
    <xf numFmtId="0" fontId="15" fillId="5"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6" fillId="5" borderId="1" xfId="0" applyFont="1" applyFill="1" applyBorder="1" applyAlignment="1">
      <alignment horizontal="center" vertical="center" textRotation="255" wrapText="1"/>
    </xf>
    <xf numFmtId="0" fontId="16" fillId="6" borderId="1" xfId="0" applyFont="1" applyFill="1" applyBorder="1" applyAlignment="1">
      <alignment horizontal="center" vertical="center" textRotation="255" wrapText="1"/>
    </xf>
    <xf numFmtId="0" fontId="10" fillId="5" borderId="1" xfId="0" applyFont="1" applyFill="1" applyBorder="1" applyAlignment="1">
      <alignment horizontal="center" vertical="center" textRotation="255" wrapText="1"/>
    </xf>
    <xf numFmtId="0" fontId="10" fillId="6" borderId="1" xfId="0" applyFont="1" applyFill="1" applyBorder="1" applyAlignment="1">
      <alignment horizontal="center" vertical="center" textRotation="255" wrapText="1"/>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lignment vertical="center"/>
    </xf>
    <xf numFmtId="0" fontId="11" fillId="5"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 fillId="5" borderId="1" xfId="0" applyFont="1" applyFill="1" applyBorder="1" applyAlignment="1">
      <alignment horizontal="center" vertical="center" textRotation="255" wrapText="1"/>
    </xf>
    <xf numFmtId="0" fontId="1" fillId="6" borderId="1" xfId="0" applyFont="1" applyFill="1" applyBorder="1" applyAlignment="1">
      <alignment horizontal="center" vertical="center" textRotation="255" wrapText="1"/>
    </xf>
    <xf numFmtId="0" fontId="7" fillId="2" borderId="3" xfId="0" applyFont="1" applyFill="1" applyBorder="1" applyAlignment="1">
      <alignment horizontal="center" vertical="center"/>
    </xf>
    <xf numFmtId="0" fontId="7" fillId="3" borderId="3" xfId="0" applyFont="1" applyFill="1" applyBorder="1" applyAlignment="1">
      <alignment horizontal="center" vertical="center"/>
    </xf>
    <xf numFmtId="0" fontId="6" fillId="6" borderId="2" xfId="0" applyFont="1" applyFill="1" applyBorder="1" applyAlignment="1">
      <alignment horizontal="center" vertical="center" textRotation="255" wrapText="1"/>
    </xf>
    <xf numFmtId="0" fontId="6" fillId="5" borderId="5"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5" fillId="5" borderId="1" xfId="0" applyFont="1" applyFill="1" applyBorder="1" applyAlignment="1">
      <alignment horizontal="center" vertical="center" textRotation="255" wrapText="1"/>
    </xf>
    <xf numFmtId="0" fontId="15" fillId="6" borderId="1" xfId="0" applyFont="1" applyFill="1" applyBorder="1" applyAlignment="1">
      <alignment horizontal="center" vertical="center" textRotation="255" wrapText="1"/>
    </xf>
    <xf numFmtId="0" fontId="18" fillId="0" borderId="1" xfId="0" applyFont="1" applyBorder="1" applyAlignment="1">
      <alignment horizontal="left" vertical="center"/>
    </xf>
    <xf numFmtId="0" fontId="7" fillId="2" borderId="5" xfId="0" applyFont="1" applyFill="1" applyBorder="1" applyAlignment="1">
      <alignment horizontal="center" vertical="center"/>
    </xf>
    <xf numFmtId="0" fontId="7" fillId="3" borderId="5" xfId="0" applyFont="1" applyFill="1" applyBorder="1" applyAlignment="1">
      <alignment horizontal="center" vertical="center"/>
    </xf>
    <xf numFmtId="0" fontId="6" fillId="5" borderId="1" xfId="0" applyFont="1" applyFill="1" applyBorder="1" applyAlignment="1">
      <alignment horizontal="center" vertical="center" wrapText="1"/>
    </xf>
    <xf numFmtId="0" fontId="12" fillId="0" borderId="1" xfId="0" applyFont="1" applyBorder="1" applyAlignment="1">
      <alignment horizontal="left" vertical="center"/>
    </xf>
    <xf numFmtId="0" fontId="6" fillId="6" borderId="3" xfId="0" applyFont="1" applyFill="1" applyBorder="1" applyAlignment="1">
      <alignment horizontal="center" vertical="center" textRotation="255" wrapText="1"/>
    </xf>
    <xf numFmtId="0" fontId="16" fillId="0" borderId="1" xfId="0" applyFont="1" applyBorder="1" applyAlignment="1">
      <alignment horizontal="left" vertical="center"/>
    </xf>
    <xf numFmtId="0" fontId="6" fillId="5" borderId="3" xfId="0" applyFont="1" applyFill="1" applyBorder="1" applyAlignment="1">
      <alignment horizontal="center" vertical="center" textRotation="255" wrapText="1"/>
    </xf>
    <xf numFmtId="0" fontId="6" fillId="6" borderId="4" xfId="0" applyFont="1" applyFill="1" applyBorder="1" applyAlignment="1">
      <alignment horizontal="center" vertical="center" textRotation="255" wrapText="1"/>
    </xf>
    <xf numFmtId="0" fontId="6" fillId="6" borderId="5" xfId="0" applyFont="1" applyFill="1" applyBorder="1" applyAlignment="1">
      <alignment horizontal="center" vertical="center" textRotation="255"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9" fillId="0" borderId="13" xfId="0" applyFont="1" applyBorder="1" applyAlignment="1">
      <alignment horizontal="left" vertical="center" wrapText="1"/>
    </xf>
    <xf numFmtId="0" fontId="9" fillId="0" borderId="9" xfId="0" applyFont="1" applyBorder="1" applyAlignment="1">
      <alignment horizontal="left" vertical="center" wrapText="1"/>
    </xf>
    <xf numFmtId="0" fontId="9" fillId="0" borderId="0" xfId="0" applyFont="1" applyAlignment="1">
      <alignment horizontal="left" vertical="center" wrapText="1"/>
    </xf>
    <xf numFmtId="0" fontId="9" fillId="0" borderId="14" xfId="0" applyFont="1" applyBorder="1" applyAlignment="1">
      <alignment horizontal="left" vertical="center" wrapText="1"/>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xf numFmtId="0" fontId="9" fillId="0" borderId="15" xfId="0" applyFont="1" applyBorder="1" applyAlignment="1">
      <alignment horizontal="left" vertical="center" wrapText="1"/>
    </xf>
    <xf numFmtId="0" fontId="1" fillId="0" borderId="1" xfId="0" applyFont="1" applyBorder="1" applyAlignment="1">
      <alignment horizontal="center" vertical="center"/>
    </xf>
    <xf numFmtId="0" fontId="204" fillId="0" borderId="1" xfId="0" applyFont="1" applyBorder="1" applyAlignment="1">
      <alignment horizontal="center" vertical="center"/>
    </xf>
    <xf numFmtId="0" fontId="7" fillId="2" borderId="1" xfId="0" applyFont="1" applyFill="1" applyBorder="1" applyAlignment="1">
      <alignment horizontal="left" vertical="center" indent="1"/>
    </xf>
    <xf numFmtId="0" fontId="7" fillId="3" borderId="1" xfId="0" applyFont="1" applyFill="1" applyBorder="1" applyAlignment="1">
      <alignment horizontal="left" vertical="center" indent="1"/>
    </xf>
    <xf numFmtId="0" fontId="8" fillId="0" borderId="1" xfId="0" applyFont="1" applyBorder="1" applyAlignment="1">
      <alignment horizontal="center" vertical="center"/>
    </xf>
    <xf numFmtId="0" fontId="7" fillId="2" borderId="1" xfId="0" applyFont="1" applyFill="1" applyBorder="1" applyAlignment="1">
      <alignment horizontal="center" vertical="center" wrapText="1"/>
    </xf>
    <xf numFmtId="0" fontId="5" fillId="0" borderId="1" xfId="1" applyFont="1" applyBorder="1" applyAlignment="1" applyProtection="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cellXfs>
  <cellStyles count="7">
    <cellStyle name="20% - Accent1" xfId="3" builtinId="30"/>
    <cellStyle name="40% - Accent1" xfId="4" builtinId="31"/>
    <cellStyle name="60% - Accent1" xfId="5" builtinId="32"/>
    <cellStyle name="Accent1" xfId="2" builtinId="29"/>
    <cellStyle name="Hyperlink" xfId="1" builtinId="8"/>
    <cellStyle name="Normal" xfId="0" builtinId="0"/>
    <cellStyle name="常规 2" xfId="6" xr:uid="{00000000-0005-0000-0000-000031000000}"/>
  </cellStyles>
  <dxfs count="21">
    <dxf>
      <font>
        <color theme="0" tint="-0.249977111117893"/>
      </font>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ont>
        <color theme="0"/>
      </font>
      <fill>
        <patternFill patternType="solid">
          <bgColor rgb="FFFF9191"/>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ont>
        <color theme="0"/>
      </font>
      <fill>
        <patternFill patternType="solid">
          <bgColor rgb="FFFF9191"/>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colors>
    <mruColors>
      <color rgb="FFFFAA78"/>
      <color rgb="FFFFC8A9"/>
      <color rgb="FFD3375F"/>
      <color rgb="FFDE7391"/>
      <color rgb="FFE8B7CC"/>
      <color rgb="FFDB91B2"/>
      <color rgb="FFFF000C"/>
      <color rgb="FFFF9191"/>
      <color rgb="FFEEBEBE"/>
      <color rgb="FFE38B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32755233650007"/>
          <c:y val="0.110410793395086"/>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0.13373676248108926</c:v>
                </c:pt>
                <c:pt idx="1">
                  <c:v>0.19667170953101362</c:v>
                </c:pt>
                <c:pt idx="2">
                  <c:v>0.24357034795763993</c:v>
                </c:pt>
                <c:pt idx="3">
                  <c:v>0.12102874432677761</c:v>
                </c:pt>
                <c:pt idx="4">
                  <c:v>0.10287443267776097</c:v>
                </c:pt>
                <c:pt idx="5">
                  <c:v>0.20211800302571861</c:v>
                </c:pt>
              </c:numCache>
            </c:numRef>
          </c:val>
          <c:extLst>
            <c:ext xmlns:c16="http://schemas.microsoft.com/office/drawing/2014/chart" uri="{C3380CC4-5D6E-409C-BE32-E72D297353CC}">
              <c16:uniqueId val="{00000000-3775-4B7E-A21A-F872B50931DB}"/>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89725484"/>
        <c:crosses val="autoZero"/>
        <c:auto val="1"/>
        <c:lblAlgn val="ctr"/>
        <c:lblOffset val="100"/>
        <c:noMultiLvlLbl val="0"/>
      </c:catAx>
      <c:valAx>
        <c:axId val="897254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noFill/>
                <a:latin typeface="+mn-lt"/>
                <a:ea typeface="+mn-ea"/>
                <a:cs typeface="+mn-cs"/>
              </a:defRPr>
            </a:pPr>
            <a:endParaRPr lang="zh-CN"/>
          </a:p>
        </c:txPr>
        <c:crossAx val="28202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780633936655"/>
          <c:y val="0.19835024580028501"/>
          <c:w val="0.433223672352059"/>
          <c:h val="0.65901541905160099"/>
        </c:manualLayout>
      </c:layout>
      <c:radarChart>
        <c:radarStyle val="filled"/>
        <c:varyColors val="0"/>
        <c:ser>
          <c:idx val="0"/>
          <c:order val="0"/>
          <c:spPr>
            <a:solidFill>
              <a:schemeClr val="accent1"/>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70</c:v>
                </c:pt>
                <c:pt idx="1">
                  <c:v>50</c:v>
                </c:pt>
                <c:pt idx="2">
                  <c:v>35</c:v>
                </c:pt>
                <c:pt idx="3">
                  <c:v>80</c:v>
                </c:pt>
                <c:pt idx="4">
                  <c:v>45</c:v>
                </c:pt>
                <c:pt idx="5">
                  <c:v>80</c:v>
                </c:pt>
                <c:pt idx="6">
                  <c:v>50</c:v>
                </c:pt>
                <c:pt idx="7">
                  <c:v>78</c:v>
                </c:pt>
                <c:pt idx="8">
                  <c:v>94</c:v>
                </c:pt>
              </c:numCache>
            </c:numRef>
          </c:val>
          <c:extLst>
            <c:ext xmlns:c16="http://schemas.microsoft.com/office/drawing/2014/chart" uri="{C3380CC4-5D6E-409C-BE32-E72D297353CC}">
              <c16:uniqueId val="{00000000-9977-4E29-9E76-0AD22D532F6B}"/>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47028619"/>
        <c:crosses val="autoZero"/>
        <c:auto val="1"/>
        <c:lblAlgn val="ctr"/>
        <c:lblOffset val="100"/>
        <c:noMultiLvlLbl val="0"/>
      </c:catAx>
      <c:valAx>
        <c:axId val="7470286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939545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161364</xdr:colOff>
      <xdr:row>7</xdr:row>
      <xdr:rowOff>215152</xdr:rowOff>
    </xdr:from>
    <xdr:to>
      <xdr:col>69</xdr:col>
      <xdr:colOff>205796</xdr:colOff>
      <xdr:row>15</xdr:row>
      <xdr:rowOff>204977</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22225</xdr:colOff>
      <xdr:row>7</xdr:row>
      <xdr:rowOff>220980</xdr:rowOff>
    </xdr:from>
    <xdr:to>
      <xdr:col>58</xdr:col>
      <xdr:colOff>69092</xdr:colOff>
      <xdr:row>15</xdr:row>
      <xdr:rowOff>192164</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5914370" y="8269605"/>
          <a:ext cx="4025900" cy="4711065"/>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congyu.lanzoum.com/i7jb9hi" TargetMode="External"/><Relationship Id="rId7" Type="http://schemas.openxmlformats.org/officeDocument/2006/relationships/printerSettings" Target="../printerSettings/printerSettings1.bin"/><Relationship Id="rId2" Type="http://schemas.openxmlformats.org/officeDocument/2006/relationships/hyperlink" Target="https://congyu.lanzoum.com/i7jb4qh" TargetMode="External"/><Relationship Id="rId1" Type="http://schemas.openxmlformats.org/officeDocument/2006/relationships/hyperlink" Target="https://congyu.lanzoum.com/i76887g" TargetMode="External"/><Relationship Id="rId6" Type="http://schemas.openxmlformats.org/officeDocument/2006/relationships/hyperlink" Target="https://congyu.lanzoum.com/b00nb3n2d" TargetMode="External"/><Relationship Id="rId5" Type="http://schemas.openxmlformats.org/officeDocument/2006/relationships/hyperlink" Target="https://congyu.lanzoum.com/iDZGqw7r50b" TargetMode="External"/><Relationship Id="rId4" Type="http://schemas.openxmlformats.org/officeDocument/2006/relationships/hyperlink" Target="https://congyu.lanzoum.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showRowColHeaders="0" tabSelected="1" topLeftCell="A46" workbookViewId="0">
      <selection activeCell="N70" sqref="N70:Q74"/>
    </sheetView>
  </sheetViews>
  <sheetFormatPr defaultColWidth="3.125" defaultRowHeight="18" customHeight="1"/>
  <cols>
    <col min="1" max="1" width="3.125" style="369" customWidth="1"/>
    <col min="2" max="16384" width="3.125" style="369"/>
  </cols>
  <sheetData>
    <row r="1" spans="1:87" ht="18" customHeight="1">
      <c r="B1" s="1869" t="s">
        <v>0</v>
      </c>
      <c r="C1" s="1870"/>
      <c r="D1" s="1870"/>
      <c r="E1" s="1870"/>
      <c r="F1" s="1870"/>
      <c r="G1" s="1870"/>
      <c r="H1" s="1870"/>
      <c r="I1" s="1870"/>
      <c r="J1" s="1870"/>
      <c r="K1" s="1870"/>
      <c r="L1" s="1870"/>
      <c r="M1" s="1870"/>
      <c r="N1" s="1870"/>
      <c r="O1" s="1870"/>
      <c r="P1" s="1870"/>
      <c r="Q1" s="1870"/>
      <c r="R1" s="1870"/>
      <c r="S1" s="1870"/>
      <c r="T1" s="1870"/>
      <c r="U1" s="1870"/>
      <c r="V1" s="1870"/>
      <c r="W1" s="1870"/>
      <c r="X1" s="1870"/>
      <c r="Y1" s="1870"/>
      <c r="Z1" s="1870"/>
      <c r="AA1" s="1870"/>
      <c r="AB1" s="1870"/>
      <c r="AC1" s="1870"/>
      <c r="AD1" s="1870"/>
      <c r="AE1" s="1870"/>
      <c r="AF1" s="1870"/>
      <c r="AG1" s="1870"/>
      <c r="AH1" s="1870"/>
      <c r="AI1" s="1870"/>
      <c r="AJ1" s="1870"/>
      <c r="AK1" s="1870"/>
      <c r="AL1" s="1870"/>
      <c r="AM1" s="1870"/>
      <c r="AN1" s="1870"/>
      <c r="AO1" s="1870"/>
      <c r="AP1" s="1870"/>
      <c r="AQ1" s="1870"/>
      <c r="AR1" s="1870"/>
      <c r="AS1" s="1870"/>
      <c r="AT1" s="1870"/>
      <c r="AU1" s="1870"/>
      <c r="AV1" s="1870"/>
      <c r="AW1" s="1870"/>
      <c r="AX1" s="1870"/>
      <c r="AY1" s="1870"/>
      <c r="AZ1" s="1870"/>
      <c r="BA1" s="1870"/>
      <c r="BB1" s="1870"/>
      <c r="BC1" s="1870"/>
      <c r="BD1" s="1870"/>
      <c r="BE1" s="1870"/>
      <c r="BF1" s="1870"/>
      <c r="BG1" s="1870"/>
      <c r="BH1" s="1870"/>
      <c r="BI1" s="1870"/>
      <c r="BJ1" s="1870"/>
      <c r="BK1" s="1870"/>
      <c r="BL1" s="1870"/>
      <c r="BM1" s="1870"/>
      <c r="BN1" s="1870"/>
      <c r="BO1" s="1870"/>
      <c r="BP1" s="1870"/>
      <c r="BQ1" s="1870"/>
      <c r="BR1" s="1870"/>
    </row>
    <row r="2" spans="1:87" ht="18" customHeight="1">
      <c r="B2" s="1332" t="s">
        <v>1</v>
      </c>
      <c r="C2" s="1333"/>
      <c r="D2" s="1333"/>
      <c r="E2" s="1333"/>
      <c r="F2" s="1333"/>
      <c r="G2" s="1333"/>
      <c r="H2" s="1333"/>
      <c r="I2" s="1333"/>
      <c r="J2" s="1333"/>
      <c r="K2" s="1333"/>
      <c r="L2" s="1333"/>
      <c r="M2" s="1333"/>
      <c r="N2" s="1333"/>
      <c r="O2" s="1333"/>
      <c r="P2" s="1333"/>
      <c r="Q2" s="1334"/>
      <c r="S2" s="1871" t="s">
        <v>2</v>
      </c>
      <c r="T2" s="1872"/>
      <c r="U2" s="1872"/>
      <c r="V2" s="1873" t="str">
        <f>附表!D37</f>
        <v>请和kp商议</v>
      </c>
      <c r="W2" s="1874"/>
      <c r="X2" s="1874"/>
      <c r="Y2" s="1874"/>
      <c r="Z2" s="1874"/>
      <c r="AA2" s="1875" t="s">
        <v>3</v>
      </c>
      <c r="AB2" s="1876"/>
      <c r="AC2" s="1877" t="s">
        <v>4</v>
      </c>
      <c r="AD2" s="1878"/>
      <c r="AE2" s="1878"/>
      <c r="AF2" s="1878"/>
      <c r="AG2" s="1879">
        <f>U3+U5+U7+AA3+AA5+AA7+AG3+AG5+AG7</f>
        <v>582</v>
      </c>
      <c r="AH2" s="1880"/>
      <c r="AI2" s="1880"/>
      <c r="AJ2" s="1881"/>
      <c r="AL2" s="1846" t="s">
        <v>5</v>
      </c>
      <c r="AM2" s="1847"/>
      <c r="AN2" s="1847"/>
      <c r="AO2" s="1847"/>
      <c r="AP2" s="1847"/>
      <c r="AQ2" s="1847"/>
      <c r="AR2" s="1847"/>
      <c r="AS2" s="1848"/>
      <c r="AU2" s="1509" t="s">
        <v>6</v>
      </c>
      <c r="AV2" s="1510"/>
      <c r="AW2" s="1510"/>
      <c r="AX2" s="1510"/>
      <c r="AY2" s="1510"/>
      <c r="AZ2" s="1510"/>
      <c r="BA2" s="1510"/>
      <c r="BB2" s="1510"/>
      <c r="BC2" s="1510"/>
      <c r="BD2" s="1510"/>
      <c r="BE2" s="1510"/>
      <c r="BF2" s="1510"/>
      <c r="BG2" s="1510"/>
      <c r="BH2" s="1510"/>
      <c r="BI2" s="1510"/>
      <c r="BJ2" s="1510"/>
      <c r="BK2" s="1510"/>
      <c r="BL2" s="1510"/>
      <c r="BM2" s="1510"/>
      <c r="BN2" s="1510"/>
      <c r="BO2" s="1510"/>
      <c r="BP2" s="1510"/>
      <c r="BQ2" s="1510"/>
      <c r="BR2" s="1511"/>
    </row>
    <row r="3" spans="1:87" ht="18" customHeight="1">
      <c r="B3" s="1135" t="s">
        <v>7</v>
      </c>
      <c r="C3" s="1136"/>
      <c r="D3" s="1136"/>
      <c r="E3" s="1169"/>
      <c r="F3" s="1169"/>
      <c r="G3" s="1169"/>
      <c r="H3" s="1169"/>
      <c r="I3" s="1169"/>
      <c r="J3" s="1169"/>
      <c r="K3" s="1169"/>
      <c r="L3" s="1169"/>
      <c r="M3" s="1169"/>
      <c r="N3" s="1169"/>
      <c r="O3" s="1169"/>
      <c r="P3" s="1169"/>
      <c r="Q3" s="1170"/>
      <c r="S3" s="1112" t="s">
        <v>8</v>
      </c>
      <c r="T3" s="1113"/>
      <c r="U3" s="1116">
        <f>14*5</f>
        <v>70</v>
      </c>
      <c r="V3" s="1117"/>
      <c r="W3" s="1306">
        <f>INT(U3/2)</f>
        <v>35</v>
      </c>
      <c r="X3" s="1224"/>
      <c r="Y3" s="1119" t="s">
        <v>9</v>
      </c>
      <c r="Z3" s="1119"/>
      <c r="AA3" s="1120">
        <f>16*5</f>
        <v>80</v>
      </c>
      <c r="AB3" s="1120"/>
      <c r="AC3" s="1855">
        <f>INT(AA3/2)</f>
        <v>40</v>
      </c>
      <c r="AD3" s="1855"/>
      <c r="AE3" s="1122" t="s">
        <v>10</v>
      </c>
      <c r="AF3" s="1113"/>
      <c r="AG3" s="1116">
        <f>10*5</f>
        <v>50</v>
      </c>
      <c r="AH3" s="1117"/>
      <c r="AI3" s="1861">
        <f t="shared" ref="AI3:AI7" si="0">INT(AG3/2)</f>
        <v>25</v>
      </c>
      <c r="AJ3" s="1882"/>
      <c r="AL3" s="1849"/>
      <c r="AM3" s="1850"/>
      <c r="AN3" s="1850"/>
      <c r="AO3" s="1850"/>
      <c r="AP3" s="1850"/>
      <c r="AQ3" s="1850"/>
      <c r="AR3" s="1850"/>
      <c r="AS3" s="1851"/>
      <c r="AU3" s="1154" t="str">
        <f>IF(U3=0,"",IF(U3&lt;=15,"虚弱，孱弱",IF(U3&lt;=40,"力量弱小",IF(U3&lt;=60,"有正常人的力量",IF(U3&lt;=80,"超乎常人的力量",IF(U3&lt;100,"超乎超乎常人的力量"))))))</f>
        <v>超乎常人的力量</v>
      </c>
      <c r="AV3" s="1142"/>
      <c r="AW3" s="1142"/>
      <c r="AX3" s="1142"/>
      <c r="AY3" s="1142"/>
      <c r="AZ3" s="1142"/>
      <c r="BA3" s="1142"/>
      <c r="BB3" s="1142"/>
      <c r="BC3" s="1140" t="str">
        <f>IF(AA3=0,"",IF(AA3&lt;=20,"很不灵活",IF(AA3&lt;=40,"不是很灵活",IF(AA3&lt;=60,"普通人水平",IF(AA3&lt;=80,"是一位运动健将",IF(AA3&lt;100,"高速而灵活,可以达成超凡的技艺"))))))</f>
        <v>是一位运动健将</v>
      </c>
      <c r="BD3" s="1140"/>
      <c r="BE3" s="1140"/>
      <c r="BF3" s="1140"/>
      <c r="BG3" s="1140"/>
      <c r="BH3" s="1140"/>
      <c r="BI3" s="1140"/>
      <c r="BJ3" s="1140"/>
      <c r="BK3" s="1141" t="str">
        <f>IF(AG3=0,"",IF(AG3&lt;=20,"尔不过玩物",IF(AG3&lt;=40,"痴愚盲目",IF(AG3&lt;=60,"如常人一般会有一定自制力",IF(AG3&lt;=80,"我心如铁，心坚石穿",IF(AG3&lt;100,"泰山崩于面而色不变",IF(AG3&lt;140,"钢铁之心，还能看见鬼","你怕是个假人吧")))))))</f>
        <v>如常人一般会有一定自制力</v>
      </c>
      <c r="BL3" s="1142"/>
      <c r="BM3" s="1142"/>
      <c r="BN3" s="1142"/>
      <c r="BO3" s="1142"/>
      <c r="BP3" s="1142"/>
      <c r="BQ3" s="1142"/>
      <c r="BR3" s="1158"/>
    </row>
    <row r="4" spans="1:87" ht="18" customHeight="1">
      <c r="B4" s="1223" t="s">
        <v>11</v>
      </c>
      <c r="C4" s="1224"/>
      <c r="D4" s="1224"/>
      <c r="E4" s="1569"/>
      <c r="F4" s="1858"/>
      <c r="G4" s="1858"/>
      <c r="H4" s="1858"/>
      <c r="I4" s="1858"/>
      <c r="J4" s="1306" t="s">
        <v>12</v>
      </c>
      <c r="K4" s="1224"/>
      <c r="L4" s="1224"/>
      <c r="M4" s="1569" t="s">
        <v>3276</v>
      </c>
      <c r="N4" s="1858"/>
      <c r="O4" s="1858"/>
      <c r="P4" s="1858"/>
      <c r="Q4" s="1859"/>
      <c r="S4" s="1114"/>
      <c r="T4" s="1115"/>
      <c r="U4" s="1118"/>
      <c r="V4" s="1118"/>
      <c r="W4" s="1306">
        <f>INT(U3/5)</f>
        <v>14</v>
      </c>
      <c r="X4" s="1224"/>
      <c r="Y4" s="1106"/>
      <c r="Z4" s="1106"/>
      <c r="AA4" s="1121"/>
      <c r="AB4" s="1121"/>
      <c r="AC4" s="1136">
        <f>INT(AA3/5)</f>
        <v>16</v>
      </c>
      <c r="AD4" s="1136"/>
      <c r="AE4" s="1115"/>
      <c r="AF4" s="1115"/>
      <c r="AG4" s="1118"/>
      <c r="AH4" s="1118"/>
      <c r="AI4" s="1306">
        <f t="shared" ref="AI4:AI8" si="1">INT(AG3/5)</f>
        <v>10</v>
      </c>
      <c r="AJ4" s="1883"/>
      <c r="AL4" s="1849"/>
      <c r="AM4" s="1850"/>
      <c r="AN4" s="1850"/>
      <c r="AO4" s="1850"/>
      <c r="AP4" s="1850"/>
      <c r="AQ4" s="1850"/>
      <c r="AR4" s="1850"/>
      <c r="AS4" s="1851"/>
      <c r="AU4" s="1884"/>
      <c r="AV4" s="1142"/>
      <c r="AW4" s="1142"/>
      <c r="AX4" s="1142"/>
      <c r="AY4" s="1142"/>
      <c r="AZ4" s="1142"/>
      <c r="BA4" s="1142"/>
      <c r="BB4" s="1142"/>
      <c r="BC4" s="1140"/>
      <c r="BD4" s="1140"/>
      <c r="BE4" s="1140"/>
      <c r="BF4" s="1140"/>
      <c r="BG4" s="1140"/>
      <c r="BH4" s="1140"/>
      <c r="BI4" s="1140"/>
      <c r="BJ4" s="1140"/>
      <c r="BK4" s="1142"/>
      <c r="BL4" s="1142"/>
      <c r="BM4" s="1142"/>
      <c r="BN4" s="1142"/>
      <c r="BO4" s="1142"/>
      <c r="BP4" s="1142"/>
      <c r="BQ4" s="1142"/>
      <c r="BR4" s="1158"/>
    </row>
    <row r="5" spans="1:87" ht="18" customHeight="1">
      <c r="B5" s="1135" t="s">
        <v>14</v>
      </c>
      <c r="C5" s="1136"/>
      <c r="D5" s="1136"/>
      <c r="E5" s="1169"/>
      <c r="F5" s="1169"/>
      <c r="G5" s="1169"/>
      <c r="H5" s="1169"/>
      <c r="I5" s="1169"/>
      <c r="J5" s="1136" t="s">
        <v>15</v>
      </c>
      <c r="K5" s="1136"/>
      <c r="L5" s="1136"/>
      <c r="M5" s="1169">
        <v>20</v>
      </c>
      <c r="N5" s="1169"/>
      <c r="O5" s="1169"/>
      <c r="P5" s="1169"/>
      <c r="Q5" s="1170"/>
      <c r="S5" s="1160" t="s">
        <v>16</v>
      </c>
      <c r="T5" s="1106"/>
      <c r="U5" s="1121">
        <f>10*5</f>
        <v>50</v>
      </c>
      <c r="V5" s="1121"/>
      <c r="W5" s="1855">
        <f>INT(U5/2)</f>
        <v>25</v>
      </c>
      <c r="X5" s="1855"/>
      <c r="Y5" s="1865" t="s">
        <v>17</v>
      </c>
      <c r="Z5" s="1115"/>
      <c r="AA5" s="1653">
        <f>9*5</f>
        <v>45</v>
      </c>
      <c r="AB5" s="1118"/>
      <c r="AC5" s="1306">
        <f>INT(AA5/2)</f>
        <v>22</v>
      </c>
      <c r="AD5" s="1224"/>
      <c r="AE5" s="1106" t="s">
        <v>18</v>
      </c>
      <c r="AF5" s="1106"/>
      <c r="AG5" s="1121">
        <v>78</v>
      </c>
      <c r="AH5" s="1121"/>
      <c r="AI5" s="1136">
        <f t="shared" si="0"/>
        <v>39</v>
      </c>
      <c r="AJ5" s="1145"/>
      <c r="AL5" s="1849"/>
      <c r="AM5" s="1850"/>
      <c r="AN5" s="1850"/>
      <c r="AO5" s="1850"/>
      <c r="AP5" s="1850"/>
      <c r="AQ5" s="1850"/>
      <c r="AR5" s="1850"/>
      <c r="AS5" s="1851"/>
      <c r="AU5" s="1139" t="str">
        <f>IF(U5=0,"",IF(U5&lt;=20,"常年患病在身",IF(U5&lt;=40,"体弱多病",IF(U5&lt;=60,"不会生什么大毛病",IF(U5&lt;=80,"健硕，浑身湿透也不会感冒",IF(U5&lt;100,"身体素质极好，精神抖擞"))))))</f>
        <v>不会生什么大毛病</v>
      </c>
      <c r="AV5" s="1140"/>
      <c r="AW5" s="1140"/>
      <c r="AX5" s="1140"/>
      <c r="AY5" s="1140"/>
      <c r="AZ5" s="1140"/>
      <c r="BA5" s="1140"/>
      <c r="BB5" s="1140"/>
      <c r="BC5" s="1141" t="str">
        <f>IF(AA5=0,"",IF(AA5&lt;=20,"用脸就能恐惧敌人。。或队友",IF(AA5&lt;=40,"有些难看",IF(AA5&lt;=60,"人群之中谁也不会看你一眼之后就忘不掉你容颜",IF(AA5&lt;=80,"五官端正，仪表堂堂",IF(AA5&lt;100,"沉鱼落雁，闭月羞花"))))))</f>
        <v>人群之中谁也不会看你一眼之后就忘不掉你容颜</v>
      </c>
      <c r="BD5" s="1142"/>
      <c r="BE5" s="1142"/>
      <c r="BF5" s="1142"/>
      <c r="BG5" s="1142"/>
      <c r="BH5" s="1142"/>
      <c r="BI5" s="1142"/>
      <c r="BJ5" s="1142"/>
      <c r="BK5" s="1140" t="str">
        <f>IF(AG5=0,"",IF(AG5&lt;=20,"目不识丁",IF(AG5&lt;=40,"小学毕业",IF(AG5&lt;=60,"高中毕业",IF(AG5&lt;=80,"是重点大学的学生，或是普通大学的研究生",IF(AG5&lt;100,"饱读诗书，满腹经纶"))))))</f>
        <v>是重点大学的学生，或是普通大学的研究生</v>
      </c>
      <c r="BL5" s="1140"/>
      <c r="BM5" s="1140"/>
      <c r="BN5" s="1140"/>
      <c r="BO5" s="1140"/>
      <c r="BP5" s="1140"/>
      <c r="BQ5" s="1140"/>
      <c r="BR5" s="1143"/>
    </row>
    <row r="6" spans="1:87" ht="18" customHeight="1">
      <c r="B6" s="1223" t="s">
        <v>19</v>
      </c>
      <c r="C6" s="1224"/>
      <c r="D6" s="1224"/>
      <c r="E6" s="1856"/>
      <c r="F6" s="1857"/>
      <c r="G6" s="1857"/>
      <c r="H6" s="1857"/>
      <c r="I6" s="1857"/>
      <c r="J6" s="1306" t="s">
        <v>20</v>
      </c>
      <c r="K6" s="1224"/>
      <c r="L6" s="1224"/>
      <c r="M6" s="1569"/>
      <c r="N6" s="1858"/>
      <c r="O6" s="1858"/>
      <c r="P6" s="1858"/>
      <c r="Q6" s="1859"/>
      <c r="S6" s="1160"/>
      <c r="T6" s="1106"/>
      <c r="U6" s="1121"/>
      <c r="V6" s="1121"/>
      <c r="W6" s="1136">
        <f>INT(U5/5)</f>
        <v>10</v>
      </c>
      <c r="X6" s="1136"/>
      <c r="Y6" s="1115"/>
      <c r="Z6" s="1115"/>
      <c r="AA6" s="1118"/>
      <c r="AB6" s="1118"/>
      <c r="AC6" s="1306">
        <f>INT(AA5/5)</f>
        <v>9</v>
      </c>
      <c r="AD6" s="1224"/>
      <c r="AE6" s="1866"/>
      <c r="AF6" s="1867"/>
      <c r="AG6" s="1868"/>
      <c r="AH6" s="1868"/>
      <c r="AI6" s="1138">
        <f t="shared" si="1"/>
        <v>15</v>
      </c>
      <c r="AJ6" s="1860"/>
      <c r="AL6" s="1849"/>
      <c r="AM6" s="1850"/>
      <c r="AN6" s="1850"/>
      <c r="AO6" s="1850"/>
      <c r="AP6" s="1850"/>
      <c r="AQ6" s="1850"/>
      <c r="AR6" s="1850"/>
      <c r="AS6" s="1851"/>
      <c r="AU6" s="1139"/>
      <c r="AV6" s="1140"/>
      <c r="AW6" s="1140"/>
      <c r="AX6" s="1140"/>
      <c r="AY6" s="1140"/>
      <c r="AZ6" s="1140"/>
      <c r="BA6" s="1140"/>
      <c r="BB6" s="1140"/>
      <c r="BC6" s="1142"/>
      <c r="BD6" s="1142"/>
      <c r="BE6" s="1142"/>
      <c r="BF6" s="1142"/>
      <c r="BG6" s="1142"/>
      <c r="BH6" s="1142"/>
      <c r="BI6" s="1142"/>
      <c r="BJ6" s="1142"/>
      <c r="BK6" s="1140"/>
      <c r="BL6" s="1140"/>
      <c r="BM6" s="1140"/>
      <c r="BN6" s="1140"/>
      <c r="BO6" s="1140"/>
      <c r="BP6" s="1140"/>
      <c r="BQ6" s="1140"/>
      <c r="BR6" s="1143"/>
    </row>
    <row r="7" spans="1:87" ht="18" customHeight="1">
      <c r="B7" s="1135" t="s">
        <v>21</v>
      </c>
      <c r="C7" s="1136"/>
      <c r="D7" s="1136"/>
      <c r="E7" s="1169"/>
      <c r="F7" s="1169"/>
      <c r="G7" s="1169"/>
      <c r="H7" s="1169"/>
      <c r="I7" s="1169"/>
      <c r="J7" s="1136" t="s">
        <v>22</v>
      </c>
      <c r="K7" s="1136"/>
      <c r="L7" s="1136"/>
      <c r="M7" s="1169"/>
      <c r="N7" s="1169"/>
      <c r="O7" s="1169"/>
      <c r="P7" s="1169"/>
      <c r="Q7" s="1170"/>
      <c r="S7" s="1516" t="s">
        <v>23</v>
      </c>
      <c r="T7" s="1115"/>
      <c r="U7" s="1653">
        <f>7*5</f>
        <v>35</v>
      </c>
      <c r="V7" s="1118"/>
      <c r="W7" s="1861">
        <f>INT(U7/2)</f>
        <v>17</v>
      </c>
      <c r="X7" s="1862"/>
      <c r="Y7" s="1106" t="s">
        <v>24</v>
      </c>
      <c r="Z7" s="1106"/>
      <c r="AA7" s="1121">
        <v>80</v>
      </c>
      <c r="AB7" s="1121"/>
      <c r="AC7" s="1136">
        <f>INT(AA7/2)</f>
        <v>40</v>
      </c>
      <c r="AD7" s="1584"/>
      <c r="AE7" s="1838" t="s">
        <v>25</v>
      </c>
      <c r="AF7" s="1839"/>
      <c r="AG7" s="1842">
        <v>94</v>
      </c>
      <c r="AH7" s="1843"/>
      <c r="AI7" s="1863">
        <f t="shared" si="0"/>
        <v>47</v>
      </c>
      <c r="AJ7" s="1864"/>
      <c r="AL7" s="1849"/>
      <c r="AM7" s="1850"/>
      <c r="AN7" s="1850"/>
      <c r="AO7" s="1850"/>
      <c r="AP7" s="1850"/>
      <c r="AQ7" s="1850"/>
      <c r="AR7" s="1850"/>
      <c r="AS7" s="1851"/>
      <c r="AU7" s="1154" t="str">
        <f>IF(U7=0,"",IF(U7&lt;=20,"孩童，身短体瘦",IF(U7&lt;=40,"乙女身材",IF(U7&lt;=60,"普遍身高155-175",IF(U7&lt;=80,"不是高就是胖",IF(U7&lt;=100,"大号的人",IF(U7&lt;150,"听说你正在申请身高世界记录？",IF(U7&lt;180,"你可能是一头牛",IF(U7&lt;200,"你已经是历史上最重的人类了","过分了喂！")))))))))</f>
        <v>乙女身材</v>
      </c>
      <c r="AV7" s="1142"/>
      <c r="AW7" s="1142"/>
      <c r="AX7" s="1142"/>
      <c r="AY7" s="1142"/>
      <c r="AZ7" s="1142"/>
      <c r="BA7" s="1142"/>
      <c r="BB7" s="1142"/>
      <c r="BC7" s="1140" t="str">
        <f>IF(INT=0,"",IF(INT&lt;=20,"脑子是个好东西，可惜。。。",IF(INT&lt;=40,"理解知识要耗费比普通人更多的时间",IF(INT&lt;=60,"有着普通人的灵光一现",IF(INT&lt;=80,"可以自主进行发明创造",IF(INT&lt;100,"天才级水准"))))))</f>
        <v>可以自主进行发明创造</v>
      </c>
      <c r="BD7" s="1140"/>
      <c r="BE7" s="1140"/>
      <c r="BF7" s="1140"/>
      <c r="BG7" s="1140"/>
      <c r="BH7" s="1140"/>
      <c r="BI7" s="1140"/>
      <c r="BJ7" s="1140"/>
      <c r="BK7" s="1141" t="str">
        <f>IF(Luck=0,"",IF(Luck&lt;=20,"克夫克妻",IF(Luck&lt;=40,"霉运连连",IF(Luck&lt;=60,"命格平庸",IF(Luck&lt;=80,"在马路边捡到100块",IF(Luck&lt;100,"被幸运女神所眷顾"))))))</f>
        <v>被幸运女神所眷顾</v>
      </c>
      <c r="BL7" s="1142"/>
      <c r="BM7" s="1142"/>
      <c r="BN7" s="1142"/>
      <c r="BO7" s="1142"/>
      <c r="BP7" s="1142"/>
      <c r="BQ7" s="1142"/>
      <c r="BR7" s="1158"/>
      <c r="CH7" s="1055"/>
      <c r="CI7" s="1055"/>
    </row>
    <row r="8" spans="1:87" ht="18" customHeight="1">
      <c r="B8" s="1800" t="s">
        <v>26</v>
      </c>
      <c r="C8" s="1801"/>
      <c r="D8" s="1801"/>
      <c r="E8" s="1555" t="s">
        <v>27</v>
      </c>
      <c r="F8" s="1802"/>
      <c r="G8" s="1803">
        <v>2023</v>
      </c>
      <c r="H8" s="1804"/>
      <c r="I8" s="1804"/>
      <c r="J8" s="1555" t="s">
        <v>28</v>
      </c>
      <c r="K8" s="1802"/>
      <c r="L8" s="1805" t="s">
        <v>29</v>
      </c>
      <c r="M8" s="1806"/>
      <c r="N8" s="1807" t="s">
        <v>30</v>
      </c>
      <c r="O8" s="1808"/>
      <c r="P8" s="1808"/>
      <c r="Q8" s="1809"/>
      <c r="S8" s="1833"/>
      <c r="T8" s="1834"/>
      <c r="U8" s="1835"/>
      <c r="V8" s="1835"/>
      <c r="W8" s="1559">
        <f>INT(U7/5)</f>
        <v>7</v>
      </c>
      <c r="X8" s="1801"/>
      <c r="Y8" s="1836"/>
      <c r="Z8" s="1836"/>
      <c r="AA8" s="1837"/>
      <c r="AB8" s="1837"/>
      <c r="AC8" s="1239">
        <f>INT(AA7/5)</f>
        <v>16</v>
      </c>
      <c r="AD8" s="1810"/>
      <c r="AE8" s="1840"/>
      <c r="AF8" s="1841"/>
      <c r="AG8" s="1844"/>
      <c r="AH8" s="1845"/>
      <c r="AI8" s="1811">
        <f t="shared" si="1"/>
        <v>18</v>
      </c>
      <c r="AJ8" s="1812"/>
      <c r="AL8" s="1852"/>
      <c r="AM8" s="1853"/>
      <c r="AN8" s="1853"/>
      <c r="AO8" s="1853"/>
      <c r="AP8" s="1853"/>
      <c r="AQ8" s="1853"/>
      <c r="AR8" s="1853"/>
      <c r="AS8" s="1854"/>
      <c r="AU8" s="1155"/>
      <c r="AV8" s="1156"/>
      <c r="AW8" s="1156"/>
      <c r="AX8" s="1156"/>
      <c r="AY8" s="1156"/>
      <c r="AZ8" s="1156"/>
      <c r="BA8" s="1156"/>
      <c r="BB8" s="1156"/>
      <c r="BC8" s="1157"/>
      <c r="BD8" s="1157"/>
      <c r="BE8" s="1157"/>
      <c r="BF8" s="1157"/>
      <c r="BG8" s="1157"/>
      <c r="BH8" s="1157"/>
      <c r="BI8" s="1157"/>
      <c r="BJ8" s="1157"/>
      <c r="BK8" s="1156"/>
      <c r="BL8" s="1156"/>
      <c r="BM8" s="1156"/>
      <c r="BN8" s="1156"/>
      <c r="BO8" s="1156"/>
      <c r="BP8" s="1156"/>
      <c r="BQ8" s="1156"/>
      <c r="BR8" s="1159"/>
      <c r="CH8" s="1055"/>
      <c r="CI8" s="1055"/>
    </row>
    <row r="9" spans="1:87" ht="18" customHeight="1">
      <c r="B9" s="1813" t="str">
        <f>IF(F9=0,"","任意特长数：")</f>
        <v/>
      </c>
      <c r="C9" s="1813"/>
      <c r="D9" s="1813"/>
      <c r="E9" s="1813"/>
      <c r="F9" s="1814">
        <f>INDEX(本职技能!$A$2:$HX$69,MATCH("任意特长",本职技能!$A$2:$A$75,0),MATCH($M$5,本职技能!$A$1:$HX$1,0))</f>
        <v>0</v>
      </c>
      <c r="G9" s="1814"/>
      <c r="H9" s="1814"/>
      <c r="I9" s="1814"/>
      <c r="K9" s="1815">
        <f>INDEX(本职技能!$A$2:$HX$69,MATCH("☆",本职技能!$A$2:$A$75,0),MATCH($M$5,本职技能!$A$1:$HX$1,0))</f>
        <v>1</v>
      </c>
      <c r="L9" s="1815"/>
      <c r="M9" s="1815"/>
      <c r="N9" s="1815"/>
      <c r="O9" s="1815"/>
      <c r="P9" s="1815"/>
      <c r="Q9" s="1815"/>
      <c r="R9" s="1815"/>
      <c r="S9" s="1040"/>
      <c r="T9" s="1816">
        <f>INDEX(本职技能!$A$2:$HX$69,MATCH("⊙",本职技能!$A$2:$A$75,0),MATCH($M$5,本职技能!$A$1:$HX$1,0))</f>
        <v>1</v>
      </c>
      <c r="U9" s="1816"/>
      <c r="V9" s="1816"/>
      <c r="W9" s="1816"/>
      <c r="X9" s="1816"/>
      <c r="Y9" s="1817"/>
      <c r="Z9" s="1817"/>
      <c r="AA9" s="1817"/>
      <c r="AC9" s="1818">
        <f>INDEX(本职技能!$A$2:$HX$69,MATCH("☯",本职技能!$A$2:$A$75,0),MATCH($M$5,本职技能!$A$1:$HX$1,0))</f>
        <v>1</v>
      </c>
      <c r="AD9" s="1818"/>
      <c r="AE9" s="1819"/>
      <c r="AF9" s="1819"/>
      <c r="AG9" s="1819"/>
      <c r="AH9" s="1819"/>
      <c r="AI9" s="1819"/>
      <c r="AJ9" s="1819"/>
      <c r="AK9" s="1053"/>
      <c r="AL9" s="1820">
        <f>INDEX(本职技能!$A$2:$HX$69,MATCH("※",本职技能!$A$2:$A$75,0),MATCH($M$5,本职技能!$A$1:$HX$1,0))</f>
        <v>0</v>
      </c>
      <c r="AM9" s="1820"/>
      <c r="AN9" s="1820"/>
      <c r="AO9" s="1820"/>
      <c r="AP9" s="1821"/>
      <c r="AQ9" s="1821"/>
      <c r="AR9" s="1821"/>
      <c r="AS9" s="1821"/>
      <c r="AT9" s="1044"/>
      <c r="AU9" s="363"/>
      <c r="AV9" s="363"/>
      <c r="AW9" s="363"/>
      <c r="AX9" s="363"/>
      <c r="AZ9" s="363"/>
      <c r="BA9" s="363"/>
      <c r="BB9" s="363"/>
      <c r="BC9" s="363"/>
      <c r="BD9" s="363"/>
      <c r="BE9" s="363"/>
      <c r="BF9" s="363"/>
      <c r="BG9" s="363"/>
      <c r="BH9" s="363"/>
      <c r="BI9" s="363"/>
      <c r="BJ9" s="363"/>
      <c r="BK9" s="363"/>
      <c r="BL9" s="363"/>
      <c r="BM9" s="363"/>
      <c r="BN9" s="363"/>
      <c r="BO9" s="363"/>
      <c r="BP9" s="363"/>
      <c r="BQ9" s="363"/>
      <c r="BR9" s="1044"/>
      <c r="BX9" s="1161"/>
      <c r="BY9" s="1162"/>
    </row>
    <row r="10" spans="1:87" ht="18" customHeight="1">
      <c r="B10" s="1782" t="s">
        <v>31</v>
      </c>
      <c r="C10" s="1783"/>
      <c r="D10" s="1783"/>
      <c r="E10" s="1151">
        <v>8</v>
      </c>
      <c r="F10" s="1152"/>
      <c r="G10" s="1772">
        <f>INT((U5+U7)/10)</f>
        <v>8</v>
      </c>
      <c r="H10" s="1773"/>
      <c r="I10" s="1822" t="s">
        <v>32</v>
      </c>
      <c r="J10" s="1823"/>
      <c r="K10" s="1786" t="s">
        <v>33</v>
      </c>
      <c r="L10" s="1787"/>
      <c r="M10" s="1787"/>
      <c r="N10" s="1096">
        <v>50</v>
      </c>
      <c r="O10" s="1097"/>
      <c r="P10" s="1099">
        <f>99-R27</f>
        <v>99</v>
      </c>
      <c r="Q10" s="1100"/>
      <c r="R10" s="1824" t="s">
        <v>32</v>
      </c>
      <c r="S10" s="1825"/>
      <c r="T10" s="1769" t="s">
        <v>34</v>
      </c>
      <c r="U10" s="1790"/>
      <c r="V10" s="1790"/>
      <c r="W10" s="1775">
        <v>10</v>
      </c>
      <c r="X10" s="1776"/>
      <c r="Y10" s="1778">
        <f>INT(AG3/5)</f>
        <v>10</v>
      </c>
      <c r="Z10" s="1779"/>
      <c r="AA10" s="1826" t="s">
        <v>35</v>
      </c>
      <c r="AB10" s="1827"/>
      <c r="AC10" s="1793" t="s">
        <v>36</v>
      </c>
      <c r="AD10" s="1794"/>
      <c r="AE10" s="1795"/>
      <c r="AF10" s="1797">
        <f>AI11+8</f>
        <v>8</v>
      </c>
      <c r="AG10" s="1798"/>
      <c r="AH10" s="1798"/>
      <c r="AI10" s="1828" t="s">
        <v>37</v>
      </c>
      <c r="AJ10" s="1829"/>
      <c r="AK10" s="1769" t="s">
        <v>38</v>
      </c>
      <c r="AL10" s="1104"/>
      <c r="AM10" s="1104"/>
      <c r="AN10" s="1102">
        <f>IF($AN12=0,"0",VLOOKUP($AN12,'防具表 载具表'!B2:J82,2,FALSE))</f>
        <v>12</v>
      </c>
      <c r="AO10" s="1103"/>
      <c r="AP10" s="1830" t="s">
        <v>39</v>
      </c>
      <c r="AQ10" s="1831"/>
      <c r="AR10" s="1831"/>
      <c r="AS10" s="1832"/>
      <c r="AT10" s="1044"/>
      <c r="AU10" s="363"/>
      <c r="AV10" s="363"/>
      <c r="AW10" s="363"/>
      <c r="AX10" s="363"/>
      <c r="AZ10"/>
      <c r="BA10"/>
      <c r="BB10"/>
      <c r="BC10"/>
      <c r="BD10"/>
      <c r="BE10"/>
      <c r="BF10"/>
      <c r="BG10"/>
      <c r="BH10"/>
      <c r="BI10"/>
      <c r="BJ10"/>
      <c r="BK10"/>
      <c r="BL10"/>
      <c r="BM10"/>
      <c r="BN10"/>
      <c r="BO10"/>
      <c r="BP10"/>
      <c r="BQ10"/>
      <c r="BR10" s="1044"/>
      <c r="BX10" s="1162"/>
      <c r="BY10" s="1162"/>
    </row>
    <row r="11" spans="1:87" ht="18" customHeight="1">
      <c r="B11" s="1784"/>
      <c r="C11" s="1785"/>
      <c r="D11" s="1785"/>
      <c r="E11" s="1153"/>
      <c r="F11" s="1153"/>
      <c r="G11" s="1774"/>
      <c r="H11" s="1774"/>
      <c r="I11" s="1729" t="s">
        <v>40</v>
      </c>
      <c r="J11" s="1730"/>
      <c r="K11" s="1788"/>
      <c r="L11" s="1789"/>
      <c r="M11" s="1789"/>
      <c r="N11" s="1098"/>
      <c r="O11" s="1098"/>
      <c r="P11" s="1101"/>
      <c r="Q11" s="1101"/>
      <c r="R11" s="1731" t="s">
        <v>41</v>
      </c>
      <c r="S11" s="1732"/>
      <c r="T11" s="1791"/>
      <c r="U11" s="1792"/>
      <c r="V11" s="1792"/>
      <c r="W11" s="1777"/>
      <c r="X11" s="1777"/>
      <c r="Y11" s="1780"/>
      <c r="Z11" s="1781"/>
      <c r="AA11" s="1733">
        <f>IF(AG3="","",INT(AG3/100+1))</f>
        <v>1</v>
      </c>
      <c r="AB11" s="1734"/>
      <c r="AC11" s="1796"/>
      <c r="AD11" s="1796"/>
      <c r="AE11" s="1796"/>
      <c r="AF11" s="1799"/>
      <c r="AG11" s="1799"/>
      <c r="AH11" s="1799"/>
      <c r="AI11" s="1735">
        <f>附表!C9</f>
        <v>0</v>
      </c>
      <c r="AJ11" s="1736"/>
      <c r="AK11" s="1770"/>
      <c r="AL11" s="1771"/>
      <c r="AM11" s="1771"/>
      <c r="AN11" s="1104"/>
      <c r="AO11" s="1105"/>
      <c r="AP11" s="1737" t="str">
        <f>IF($AN12=0,"",VLOOKUP($AN12,'防具表 载具表'!B2:I101,4,FALSE))</f>
        <v>全身</v>
      </c>
      <c r="AQ11" s="1104"/>
      <c r="AR11" s="1104"/>
      <c r="AS11" s="1738"/>
      <c r="AT11" s="1044"/>
      <c r="AU11" s="363"/>
      <c r="AV11" s="363"/>
      <c r="AW11" s="363"/>
      <c r="AX11" s="363"/>
      <c r="AZ11"/>
      <c r="BA11"/>
      <c r="BB11"/>
      <c r="BC11"/>
      <c r="BD11"/>
      <c r="BE11"/>
      <c r="BF11"/>
      <c r="BG11"/>
      <c r="BH11"/>
      <c r="BI11"/>
      <c r="BJ11"/>
      <c r="BK11"/>
      <c r="BL11"/>
      <c r="BM11"/>
      <c r="BN11"/>
      <c r="BO11"/>
      <c r="BP11"/>
      <c r="BQ11"/>
      <c r="BR11" s="1044"/>
    </row>
    <row r="12" spans="1:87" ht="18" customHeight="1">
      <c r="B12" s="1739" t="s">
        <v>42</v>
      </c>
      <c r="C12" s="1740"/>
      <c r="D12" s="1741">
        <f>CEILING(G10/2,1)</f>
        <v>4</v>
      </c>
      <c r="E12" s="1742"/>
      <c r="F12" s="1743" t="s">
        <v>43</v>
      </c>
      <c r="G12" s="1740"/>
      <c r="H12" s="1740"/>
      <c r="I12" s="1744">
        <v>0</v>
      </c>
      <c r="J12" s="1745"/>
      <c r="K12" s="1746" t="s">
        <v>44</v>
      </c>
      <c r="L12" s="1747"/>
      <c r="M12" s="1747"/>
      <c r="N12" s="1748">
        <v>0</v>
      </c>
      <c r="O12" s="1749"/>
      <c r="P12" s="1750" t="s">
        <v>45</v>
      </c>
      <c r="Q12" s="1751"/>
      <c r="R12" s="1752">
        <f>N10-N12</f>
        <v>50</v>
      </c>
      <c r="S12" s="1753"/>
      <c r="T12" s="1754" t="s">
        <v>46</v>
      </c>
      <c r="U12" s="1755"/>
      <c r="V12" s="1755"/>
      <c r="W12" s="1755"/>
      <c r="X12" s="1756"/>
      <c r="Y12" s="1757"/>
      <c r="Z12" s="1757"/>
      <c r="AA12" s="1757"/>
      <c r="AB12" s="1758"/>
      <c r="AC12" s="1759" t="s">
        <v>47</v>
      </c>
      <c r="AD12" s="1760"/>
      <c r="AE12" s="1761" t="s">
        <v>6005</v>
      </c>
      <c r="AF12" s="1762"/>
      <c r="AG12" s="1761" t="s">
        <v>48</v>
      </c>
      <c r="AH12" s="1763"/>
      <c r="AI12" s="1761" t="s">
        <v>6004</v>
      </c>
      <c r="AJ12" s="1763"/>
      <c r="AK12" s="1764" t="s">
        <v>49</v>
      </c>
      <c r="AL12" s="1765"/>
      <c r="AM12" s="1765"/>
      <c r="AN12" s="1766" t="s">
        <v>5388</v>
      </c>
      <c r="AO12" s="1767"/>
      <c r="AP12" s="1767"/>
      <c r="AQ12" s="1767"/>
      <c r="AR12" s="1767"/>
      <c r="AS12" s="1768"/>
      <c r="AT12" s="1044"/>
      <c r="AU12" s="363"/>
      <c r="AV12" s="363"/>
      <c r="AW12" s="363"/>
      <c r="AX12" s="363"/>
      <c r="AZ12"/>
      <c r="BA12"/>
      <c r="BB12"/>
      <c r="BC12"/>
      <c r="BD12"/>
      <c r="BE12"/>
      <c r="BF12"/>
      <c r="BG12"/>
      <c r="BH12"/>
      <c r="BI12"/>
      <c r="BJ12"/>
      <c r="BK12"/>
      <c r="BL12"/>
      <c r="BM12"/>
      <c r="BN12"/>
      <c r="BO12"/>
      <c r="BP12"/>
      <c r="BQ12"/>
      <c r="BR12" s="1044"/>
    </row>
    <row r="13" spans="1:87" ht="18" customHeight="1">
      <c r="B13" s="1722" t="str">
        <f>IF(M5=0," ","["&amp;LOOKUP(M5,职业列表!A2:A232,职业列表!B2:B232)&amp;"]的本职技能："&amp;LOOKUP(M5,职业列表!A2:A232,职业列表!G2:G232))</f>
        <v>[赏金猎人]的本职技能：汽车驾驶，电子学或电气维修，格斗或射击，一项社交技能（取悦、话术、恐吓、说服），法律，心理学，追踪，潜行。</v>
      </c>
      <c r="C13" s="1722"/>
      <c r="D13" s="1722"/>
      <c r="E13" s="1722"/>
      <c r="F13" s="1722"/>
      <c r="G13" s="1722"/>
      <c r="H13" s="1722"/>
      <c r="I13" s="1722"/>
      <c r="J13" s="1722"/>
      <c r="K13" s="1722"/>
      <c r="L13" s="1722"/>
      <c r="M13" s="1722"/>
      <c r="N13" s="1722"/>
      <c r="O13" s="1722"/>
      <c r="P13" s="1722"/>
      <c r="Q13" s="1722"/>
      <c r="R13" s="1722"/>
      <c r="S13" s="1722"/>
      <c r="T13" s="1722"/>
      <c r="U13" s="1722"/>
      <c r="V13" s="1722"/>
      <c r="W13" s="1722"/>
      <c r="X13" s="1722"/>
      <c r="Y13" s="1722"/>
      <c r="Z13" s="1722"/>
      <c r="AA13" s="1722"/>
      <c r="AB13" s="1722"/>
      <c r="AC13" s="1722"/>
      <c r="AD13" s="1722"/>
      <c r="AE13" s="1722"/>
      <c r="AF13" s="1722"/>
      <c r="AG13" s="1722"/>
      <c r="AH13" s="1722"/>
      <c r="AI13" s="1722"/>
      <c r="AJ13" s="1722"/>
      <c r="AK13" s="1722"/>
      <c r="AL13" s="1722"/>
      <c r="AM13" s="1722"/>
      <c r="AN13" s="1722"/>
      <c r="AO13" s="1722"/>
      <c r="AP13" s="1722"/>
      <c r="AQ13" s="1722"/>
      <c r="AR13" s="1722"/>
      <c r="AS13" s="1722"/>
      <c r="AT13" s="1054"/>
      <c r="AU13" s="363"/>
      <c r="AV13"/>
      <c r="AW13"/>
      <c r="AX13"/>
      <c r="AZ13"/>
      <c r="BA13"/>
      <c r="BB13"/>
      <c r="BC13"/>
      <c r="BD13"/>
      <c r="BE13"/>
      <c r="BF13"/>
      <c r="BG13"/>
      <c r="BH13"/>
      <c r="BI13"/>
      <c r="BJ13"/>
      <c r="BK13"/>
      <c r="BL13"/>
      <c r="BM13"/>
      <c r="BN13"/>
      <c r="BO13"/>
      <c r="BP13"/>
      <c r="BQ13"/>
      <c r="BR13" s="1044"/>
    </row>
    <row r="14" spans="1:87" ht="18" customHeight="1">
      <c r="B14" s="1332" t="s">
        <v>51</v>
      </c>
      <c r="C14" s="1333"/>
      <c r="D14" s="1333"/>
      <c r="E14" s="1333"/>
      <c r="F14" s="1333"/>
      <c r="G14" s="1333"/>
      <c r="H14" s="1333"/>
      <c r="I14" s="1333"/>
      <c r="J14" s="1333"/>
      <c r="K14" s="1333"/>
      <c r="L14" s="1333"/>
      <c r="M14" s="1333"/>
      <c r="N14" s="1333"/>
      <c r="O14" s="1333"/>
      <c r="P14" s="1333"/>
      <c r="Q14" s="1333"/>
      <c r="R14" s="1333"/>
      <c r="S14" s="1333"/>
      <c r="T14" s="1333"/>
      <c r="U14" s="1333"/>
      <c r="V14" s="1333"/>
      <c r="W14" s="1333"/>
      <c r="X14" s="1333"/>
      <c r="Y14" s="1723"/>
      <c r="Z14" s="1333"/>
      <c r="AA14" s="1333"/>
      <c r="AB14" s="1333"/>
      <c r="AC14" s="1333"/>
      <c r="AD14" s="1333"/>
      <c r="AE14" s="1333"/>
      <c r="AF14" s="1333"/>
      <c r="AG14" s="1333"/>
      <c r="AH14" s="1333"/>
      <c r="AI14" s="1333"/>
      <c r="AJ14" s="1333"/>
      <c r="AK14" s="1333"/>
      <c r="AL14" s="1333"/>
      <c r="AM14" s="1333"/>
      <c r="AN14" s="1333"/>
      <c r="AO14" s="1333"/>
      <c r="AP14" s="1333"/>
      <c r="AQ14" s="1333"/>
      <c r="AR14" s="1333"/>
      <c r="AS14" s="1334"/>
      <c r="AT14" s="1054"/>
      <c r="AU14" s="363"/>
      <c r="AV14" s="363"/>
      <c r="AW14" s="363"/>
      <c r="AX14" s="363"/>
      <c r="AZ14"/>
      <c r="BA14"/>
      <c r="BB14"/>
      <c r="BC14"/>
      <c r="BD14"/>
      <c r="BE14"/>
      <c r="BF14"/>
      <c r="BG14"/>
      <c r="BH14"/>
      <c r="BI14"/>
      <c r="BJ14"/>
      <c r="BK14"/>
      <c r="BL14"/>
      <c r="BM14"/>
      <c r="BN14"/>
      <c r="BO14"/>
      <c r="BP14"/>
      <c r="BQ14"/>
      <c r="BR14" s="1044"/>
    </row>
    <row r="15" spans="1:87" ht="18" customHeight="1">
      <c r="B15" s="1724" t="s">
        <v>52</v>
      </c>
      <c r="C15" s="1725"/>
      <c r="D15" s="1478" t="s">
        <v>53</v>
      </c>
      <c r="E15" s="1477"/>
      <c r="F15" s="1478" t="s">
        <v>54</v>
      </c>
      <c r="G15" s="1477"/>
      <c r="H15" s="1477"/>
      <c r="I15" s="1477"/>
      <c r="J15" s="1478" t="s">
        <v>55</v>
      </c>
      <c r="K15" s="1477"/>
      <c r="L15" s="1478" t="s">
        <v>56</v>
      </c>
      <c r="M15" s="1477"/>
      <c r="N15" s="1478" t="s">
        <v>14</v>
      </c>
      <c r="O15" s="1477"/>
      <c r="P15" s="1478" t="s">
        <v>57</v>
      </c>
      <c r="Q15" s="1477"/>
      <c r="R15" s="1478" t="s">
        <v>58</v>
      </c>
      <c r="S15" s="1477"/>
      <c r="T15" s="1477"/>
      <c r="U15" s="1477"/>
      <c r="V15" s="1477"/>
      <c r="W15" s="1726"/>
      <c r="X15" s="1727" t="s">
        <v>52</v>
      </c>
      <c r="Y15" s="1728"/>
      <c r="Z15" s="1478" t="s">
        <v>53</v>
      </c>
      <c r="AA15" s="1477"/>
      <c r="AB15" s="1478" t="s">
        <v>54</v>
      </c>
      <c r="AC15" s="1477"/>
      <c r="AD15" s="1477"/>
      <c r="AE15" s="1477"/>
      <c r="AF15" s="1478" t="s">
        <v>55</v>
      </c>
      <c r="AG15" s="1477"/>
      <c r="AH15" s="1478" t="s">
        <v>56</v>
      </c>
      <c r="AI15" s="1477"/>
      <c r="AJ15" s="1478" t="s">
        <v>14</v>
      </c>
      <c r="AK15" s="1477"/>
      <c r="AL15" s="1478" t="s">
        <v>57</v>
      </c>
      <c r="AM15" s="1477"/>
      <c r="AN15" s="1478" t="s">
        <v>58</v>
      </c>
      <c r="AO15" s="1477"/>
      <c r="AP15" s="1477"/>
      <c r="AQ15" s="1477"/>
      <c r="AR15" s="1477"/>
      <c r="AS15" s="1479"/>
      <c r="AT15" s="1054"/>
      <c r="AU15" s="363"/>
      <c r="AV15" s="363"/>
      <c r="AW15" s="363"/>
      <c r="AX15" s="363"/>
      <c r="AZ15"/>
      <c r="BA15"/>
      <c r="BB15"/>
      <c r="BC15"/>
      <c r="BD15"/>
      <c r="BE15"/>
      <c r="BF15"/>
      <c r="BG15"/>
      <c r="BH15"/>
      <c r="BI15"/>
      <c r="BJ15"/>
      <c r="BK15"/>
      <c r="BL15"/>
      <c r="BM15"/>
      <c r="BN15"/>
      <c r="BO15"/>
      <c r="BP15"/>
      <c r="BQ15"/>
      <c r="BR15" s="1044"/>
    </row>
    <row r="16" spans="1:87" ht="18" customHeight="1">
      <c r="A16" s="1051"/>
      <c r="B16" s="1576" t="s">
        <v>59</v>
      </c>
      <c r="C16" s="1577"/>
      <c r="D16" s="1578">
        <f>IF(ISTEXT(IFERROR(VLOOKUP(人物卡!F16,人物卡!BJ18:BR22,1,FALSE),IFERROR(VLOOKUP(人物卡!F16,人物卡!BA18:BC22,1,FALSE),0))),"★",INDEX(本职技能!$A$2:$HX$76,MATCH(人物卡!F16,本职技能!$A$2:$A$75,0),MATCH(人物卡!$M$5,本职技能!$A$1:$HX$1,0)))</f>
        <v>0</v>
      </c>
      <c r="E16" s="1578"/>
      <c r="F16" s="1169" t="s">
        <v>60</v>
      </c>
      <c r="G16" s="1169"/>
      <c r="H16" s="1169"/>
      <c r="I16" s="1169"/>
      <c r="J16" s="1136">
        <v>5</v>
      </c>
      <c r="K16" s="1136"/>
      <c r="L16" s="1169"/>
      <c r="M16" s="1169"/>
      <c r="N16" s="1169"/>
      <c r="O16" s="1169"/>
      <c r="P16" s="1169"/>
      <c r="Q16" s="1169"/>
      <c r="R16" s="1583">
        <f>SUM(J16:P16)</f>
        <v>5</v>
      </c>
      <c r="S16" s="1583"/>
      <c r="T16" s="1136">
        <f t="shared" ref="T16:T49" si="2">INT(R16/2)</f>
        <v>2</v>
      </c>
      <c r="U16" s="1136"/>
      <c r="V16" s="1136">
        <f t="shared" ref="V16:V49" si="3">INT(R16/5)</f>
        <v>1</v>
      </c>
      <c r="W16" s="1584"/>
      <c r="X16" s="1585" t="s">
        <v>59</v>
      </c>
      <c r="Y16" s="1169"/>
      <c r="Z16" s="1578" t="str">
        <f>IF(ISTEXT(IFERROR(VLOOKUP(人物卡!AB16,人物卡!BJ18:BR22,1,FALSE),IFERROR(VLOOKUP(人物卡!AB16,人物卡!BA18:BC22,1,FALSE),0))),"★",INDEX(本职技能!$A$2:$HX$76,MATCH(人物卡!AB16,本职技能!$A$2:$A$75,0),MATCH(人物卡!$M$5,本职技能!$A$1:$HX$1,0)))</f>
        <v>★</v>
      </c>
      <c r="AA16" s="1578"/>
      <c r="AB16" s="1169" t="s">
        <v>61</v>
      </c>
      <c r="AC16" s="1169"/>
      <c r="AD16" s="1169"/>
      <c r="AE16" s="1169"/>
      <c r="AF16" s="1136">
        <v>5</v>
      </c>
      <c r="AG16" s="1136"/>
      <c r="AH16" s="1169"/>
      <c r="AI16" s="1169"/>
      <c r="AJ16" s="1169">
        <v>75</v>
      </c>
      <c r="AK16" s="1169"/>
      <c r="AL16" s="1591"/>
      <c r="AM16" s="1591"/>
      <c r="AN16" s="1583">
        <f t="shared" ref="AN16:AN30" si="4">SUM(AF16:AL16)</f>
        <v>80</v>
      </c>
      <c r="AO16" s="1583"/>
      <c r="AP16" s="1583">
        <f t="shared" ref="AP16:AP49" si="5">INT(AN16/2)</f>
        <v>40</v>
      </c>
      <c r="AQ16" s="1583"/>
      <c r="AR16" s="1583">
        <f t="shared" ref="AR16:AR49" si="6">INT(AN16/5)</f>
        <v>16</v>
      </c>
      <c r="AS16" s="1592"/>
      <c r="AT16" s="1054"/>
      <c r="AU16" s="1045"/>
      <c r="AV16" s="1045"/>
      <c r="AW16" s="1045"/>
      <c r="AX16" s="1045"/>
      <c r="AZ16" s="1045"/>
      <c r="BA16" s="1045"/>
      <c r="BB16" s="1045"/>
      <c r="BC16" s="1045"/>
      <c r="BD16" s="1045"/>
      <c r="BE16" s="1045"/>
      <c r="BF16" s="1045"/>
      <c r="BG16" s="1045"/>
      <c r="BH16" s="1045"/>
      <c r="BI16" s="1045"/>
      <c r="BJ16" s="1045"/>
      <c r="BK16" s="1045"/>
      <c r="BL16" s="1045"/>
      <c r="BM16" s="1045"/>
      <c r="BN16" s="1045"/>
      <c r="BO16" s="1045"/>
      <c r="BP16" s="1045"/>
      <c r="BQ16" s="1045"/>
      <c r="BR16" s="1046"/>
    </row>
    <row r="17" spans="2:70" ht="18" customHeight="1">
      <c r="B17" s="1593" t="s">
        <v>59</v>
      </c>
      <c r="C17" s="1594"/>
      <c r="D17" s="1595">
        <f>IF(ISTEXT(IFERROR(VLOOKUP(人物卡!F17,人物卡!BJ18:BR22,1,FALSE),IFERROR(VLOOKUP(人物卡!F17,人物卡!BA18:BC22,1,FALSE),0))),"★",INDEX(本职技能!$A$2:$HX$76,MATCH(人物卡!F17,本职技能!$A$2:$A$75,0),MATCH(人物卡!$M$5,本职技能!$A$1:$HX$1,0)))</f>
        <v>0</v>
      </c>
      <c r="E17" s="1596"/>
      <c r="F17" s="1569" t="s">
        <v>62</v>
      </c>
      <c r="G17" s="1570"/>
      <c r="H17" s="1570"/>
      <c r="I17" s="1570"/>
      <c r="J17" s="1306">
        <v>1</v>
      </c>
      <c r="K17" s="1307"/>
      <c r="L17" s="1569"/>
      <c r="M17" s="1570"/>
      <c r="N17" s="1569"/>
      <c r="O17" s="1721"/>
      <c r="P17" s="1569"/>
      <c r="Q17" s="1570"/>
      <c r="R17" s="1573">
        <f>SUM(J17:P17)</f>
        <v>1</v>
      </c>
      <c r="S17" s="1574"/>
      <c r="T17" s="1306">
        <f t="shared" si="2"/>
        <v>0</v>
      </c>
      <c r="U17" s="1307"/>
      <c r="V17" s="1306">
        <f t="shared" si="3"/>
        <v>0</v>
      </c>
      <c r="W17" s="1601"/>
      <c r="X17" s="1602" t="s">
        <v>59</v>
      </c>
      <c r="Y17" s="1570"/>
      <c r="Z17" s="1595">
        <f>IF(ISTEXT(IFERROR(VLOOKUP(人物卡!AB17,人物卡!BJ18:BR22,1,FALSE),IFERROR(VLOOKUP(人物卡!AB17,人物卡!BA18:BC22,1,FALSE),0))),"★",INDEX(本职技能!$A$2:$HX$76,MATCH(人物卡!AB17,本职技能!$A$2:$A$75,0),MATCH(人物卡!$M$5,本职技能!$A$1:$HX$1,0)))</f>
        <v>0</v>
      </c>
      <c r="AA17" s="1596"/>
      <c r="AB17" s="1569" t="s">
        <v>63</v>
      </c>
      <c r="AC17" s="1570"/>
      <c r="AD17" s="1570"/>
      <c r="AE17" s="1570"/>
      <c r="AF17" s="1306">
        <v>20</v>
      </c>
      <c r="AG17" s="1307"/>
      <c r="AH17" s="1569"/>
      <c r="AI17" s="1570"/>
      <c r="AJ17" s="1569"/>
      <c r="AK17" s="1570"/>
      <c r="AL17" s="1571"/>
      <c r="AM17" s="1572"/>
      <c r="AN17" s="1573">
        <f t="shared" si="4"/>
        <v>20</v>
      </c>
      <c r="AO17" s="1574"/>
      <c r="AP17" s="1573">
        <f t="shared" si="5"/>
        <v>10</v>
      </c>
      <c r="AQ17" s="1574"/>
      <c r="AR17" s="1573">
        <f t="shared" si="6"/>
        <v>4</v>
      </c>
      <c r="AS17" s="1575"/>
      <c r="AU17" s="1715" t="s">
        <v>64</v>
      </c>
      <c r="AV17" s="1716"/>
      <c r="AW17" s="1716"/>
      <c r="AX17" s="1716"/>
      <c r="AY17" s="1716"/>
      <c r="AZ17" s="1716"/>
      <c r="BA17" s="1717" t="s">
        <v>65</v>
      </c>
      <c r="BB17" s="1716"/>
      <c r="BC17" s="1716"/>
      <c r="BD17" s="1716"/>
      <c r="BE17" s="1716"/>
      <c r="BF17" s="1716"/>
      <c r="BG17" s="1716"/>
      <c r="BH17" s="1716"/>
      <c r="BI17" s="1716"/>
      <c r="BJ17" s="1716"/>
      <c r="BK17" s="1716"/>
      <c r="BL17" s="1716"/>
      <c r="BM17" s="1716"/>
      <c r="BN17" s="1716"/>
      <c r="BO17" s="1716"/>
      <c r="BP17" s="1716"/>
      <c r="BQ17" s="1716"/>
      <c r="BR17" s="1718"/>
    </row>
    <row r="18" spans="2:70" ht="18" customHeight="1">
      <c r="B18" s="1576" t="s">
        <v>59</v>
      </c>
      <c r="C18" s="1577"/>
      <c r="D18" s="1578">
        <f>IF(ISTEXT(IFERROR(VLOOKUP(人物卡!F18,人物卡!BJ18:BR22,1,FALSE),IFERROR(VLOOKUP(人物卡!F18,人物卡!BA18:BC22,1,FALSE),0))),"★",INDEX(本职技能!$A$2:$HX$76,MATCH(人物卡!F18,本职技能!$A$2:$A$75,0),MATCH(人物卡!$M$5,本职技能!$A$1:$HX$1,0)))</f>
        <v>0</v>
      </c>
      <c r="E18" s="1578"/>
      <c r="F18" s="1169" t="s">
        <v>66</v>
      </c>
      <c r="G18" s="1169"/>
      <c r="H18" s="1169"/>
      <c r="I18" s="1169"/>
      <c r="J18" s="1136">
        <v>5</v>
      </c>
      <c r="K18" s="1136"/>
      <c r="L18" s="1169"/>
      <c r="M18" s="1169"/>
      <c r="N18" s="1169"/>
      <c r="O18" s="1169"/>
      <c r="P18" s="1169"/>
      <c r="Q18" s="1169"/>
      <c r="R18" s="1583">
        <f>SUM(J18:P18)</f>
        <v>5</v>
      </c>
      <c r="S18" s="1583"/>
      <c r="T18" s="1136">
        <f t="shared" si="2"/>
        <v>2</v>
      </c>
      <c r="U18" s="1136"/>
      <c r="V18" s="1136">
        <f t="shared" si="3"/>
        <v>1</v>
      </c>
      <c r="W18" s="1584"/>
      <c r="X18" s="1585" t="s">
        <v>59</v>
      </c>
      <c r="Y18" s="1169"/>
      <c r="Z18" s="1578">
        <f>IF(ISTEXT(IFERROR(VLOOKUP(人物卡!AB18,人物卡!BJ18:BR22,1,FALSE),IFERROR(VLOOKUP(人物卡!AB18,人物卡!BA18:BC22,1,FALSE),0))),"★",INDEX(本职技能!$A$2:$HX$76,MATCH(人物卡!AB18,本职技能!$A$2:$A$75,0),MATCH(人物卡!$M$5,本职技能!$A$1:$HX$1,0)))</f>
        <v>0</v>
      </c>
      <c r="AA18" s="1578"/>
      <c r="AB18" s="1169" t="s">
        <v>67</v>
      </c>
      <c r="AC18" s="1169"/>
      <c r="AD18" s="1169"/>
      <c r="AE18" s="1169"/>
      <c r="AF18" s="1136">
        <v>20</v>
      </c>
      <c r="AG18" s="1136"/>
      <c r="AH18" s="1169"/>
      <c r="AI18" s="1169"/>
      <c r="AJ18" s="1169"/>
      <c r="AK18" s="1169"/>
      <c r="AL18" s="1591"/>
      <c r="AM18" s="1591"/>
      <c r="AN18" s="1583">
        <f t="shared" si="4"/>
        <v>20</v>
      </c>
      <c r="AO18" s="1583"/>
      <c r="AP18" s="1583">
        <f t="shared" si="5"/>
        <v>10</v>
      </c>
      <c r="AQ18" s="1583"/>
      <c r="AR18" s="1583">
        <f t="shared" si="6"/>
        <v>4</v>
      </c>
      <c r="AS18" s="1592"/>
      <c r="AU18" s="1719" t="s">
        <v>68</v>
      </c>
      <c r="AV18" s="1720"/>
      <c r="AW18" s="1720"/>
      <c r="AX18" s="1720"/>
      <c r="AY18" s="1720"/>
      <c r="AZ18" s="1720"/>
      <c r="BA18" s="1707"/>
      <c r="BB18" s="1635"/>
      <c r="BC18" s="1635"/>
      <c r="BD18" s="1635"/>
      <c r="BE18" s="1635"/>
      <c r="BF18" s="1635"/>
      <c r="BG18" s="1635"/>
      <c r="BH18" s="1635"/>
      <c r="BI18" s="1635"/>
      <c r="BJ18" s="1707"/>
      <c r="BK18" s="1635"/>
      <c r="BL18" s="1635"/>
      <c r="BM18" s="1635"/>
      <c r="BN18" s="1635"/>
      <c r="BO18" s="1635"/>
      <c r="BP18" s="1635"/>
      <c r="BQ18" s="1635"/>
      <c r="BR18" s="1708"/>
    </row>
    <row r="19" spans="2:70" ht="18" customHeight="1">
      <c r="B19" s="1593" t="s">
        <v>59</v>
      </c>
      <c r="C19" s="1594"/>
      <c r="D19" s="1595">
        <f>IF(ISTEXT(IFERROR(VLOOKUP(人物卡!F19,人物卡!BJ18:BR22,1,FALSE),IFERROR(VLOOKUP(人物卡!F19,人物卡!BA18:BC22,1,FALSE),0))),"★",INDEX(本职技能!$A$2:$HX$76,MATCH(人物卡!F19,本职技能!$A$2:$A$75,0),MATCH(人物卡!$M$5,本职技能!$A$1:$HX$1,0)))</f>
        <v>0</v>
      </c>
      <c r="E19" s="1596"/>
      <c r="F19" s="1569" t="s">
        <v>69</v>
      </c>
      <c r="G19" s="1616"/>
      <c r="H19" s="1617"/>
      <c r="I19" s="1570"/>
      <c r="J19" s="1306">
        <v>1</v>
      </c>
      <c r="K19" s="1307"/>
      <c r="L19" s="1569"/>
      <c r="M19" s="1570"/>
      <c r="N19" s="1569"/>
      <c r="O19" s="1570"/>
      <c r="P19" s="1569"/>
      <c r="Q19" s="1570"/>
      <c r="R19" s="1573">
        <f>SUM(J19:P19)</f>
        <v>1</v>
      </c>
      <c r="S19" s="1574"/>
      <c r="T19" s="1306">
        <f t="shared" si="2"/>
        <v>0</v>
      </c>
      <c r="U19" s="1307"/>
      <c r="V19" s="1306">
        <f t="shared" si="3"/>
        <v>0</v>
      </c>
      <c r="W19" s="1601"/>
      <c r="X19" s="1602" t="s">
        <v>59</v>
      </c>
      <c r="Y19" s="1570"/>
      <c r="Z19" s="1595">
        <f>IF(ISTEXT(IFERROR(VLOOKUP(人物卡!AB19,人物卡!BJ18:BR22,1,FALSE),IFERROR(VLOOKUP(人物卡!AB19,人物卡!BA18:BC22,1,FALSE),0))),"★",INDEX(本职技能!$A$2:$HX$76,MATCH(人物卡!AB19,本职技能!$A$2:$A$75,0),MATCH(人物卡!$M$5,本职技能!$A$1:$HX$1,0)))</f>
        <v>0</v>
      </c>
      <c r="AA19" s="1596"/>
      <c r="AB19" s="1569" t="s">
        <v>70</v>
      </c>
      <c r="AC19" s="1570"/>
      <c r="AD19" s="1570"/>
      <c r="AE19" s="1570"/>
      <c r="AF19" s="1306">
        <v>1</v>
      </c>
      <c r="AG19" s="1307"/>
      <c r="AH19" s="1569"/>
      <c r="AI19" s="1570"/>
      <c r="AJ19" s="1569"/>
      <c r="AK19" s="1570"/>
      <c r="AL19" s="1571"/>
      <c r="AM19" s="1572"/>
      <c r="AN19" s="1573">
        <f t="shared" si="4"/>
        <v>1</v>
      </c>
      <c r="AO19" s="1574"/>
      <c r="AP19" s="1573">
        <f t="shared" si="5"/>
        <v>0</v>
      </c>
      <c r="AQ19" s="1574"/>
      <c r="AR19" s="1573">
        <f t="shared" si="6"/>
        <v>0</v>
      </c>
      <c r="AS19" s="1575"/>
      <c r="AU19" s="1709" t="str">
        <f>附表!AD25</f>
        <v>过多！</v>
      </c>
      <c r="AV19" s="1710"/>
      <c r="AW19" s="1710"/>
      <c r="AX19" s="1710"/>
      <c r="AY19" s="1710"/>
      <c r="AZ19" s="1711"/>
      <c r="BA19" s="1698" t="s">
        <v>6003</v>
      </c>
      <c r="BB19" s="1699"/>
      <c r="BC19" s="1699"/>
      <c r="BD19" s="1699"/>
      <c r="BE19" s="1699"/>
      <c r="BF19" s="1699"/>
      <c r="BG19" s="1699"/>
      <c r="BH19" s="1699"/>
      <c r="BI19" s="1699"/>
      <c r="BJ19" s="1698"/>
      <c r="BK19" s="1699"/>
      <c r="BL19" s="1699"/>
      <c r="BM19" s="1699"/>
      <c r="BN19" s="1699"/>
      <c r="BO19" s="1699"/>
      <c r="BP19" s="1699"/>
      <c r="BQ19" s="1699"/>
      <c r="BR19" s="1703"/>
    </row>
    <row r="20" spans="2:70" ht="18" customHeight="1">
      <c r="B20" s="1576" t="s">
        <v>59</v>
      </c>
      <c r="C20" s="1577"/>
      <c r="D20" s="1578">
        <f>IF(ISTEXT(IFERROR(VLOOKUP(人物卡!F20,人物卡!BJ18:BR22,1,FALSE),IFERROR(VLOOKUP(人物卡!F20,人物卡!BA18:BC22,1,FALSE),0))),"★",INDEX(本职技能!$A$2:$HX$76,MATCH(人物卡!F20,本职技能!$A$2:$A$75,0),MATCH(人物卡!$M$5,本职技能!$A$1:$HX$1,0)))</f>
        <v>0</v>
      </c>
      <c r="E20" s="1578"/>
      <c r="F20" s="1579" t="s">
        <v>71</v>
      </c>
      <c r="G20" s="1580"/>
      <c r="H20" s="1704"/>
      <c r="I20" s="1705"/>
      <c r="J20" s="1136">
        <f>IF(ISBLANK(AU26),5,IF(H20=AU26,BA26,5))</f>
        <v>5</v>
      </c>
      <c r="K20" s="1136"/>
      <c r="L20" s="1169"/>
      <c r="M20" s="1169"/>
      <c r="N20" s="1169"/>
      <c r="O20" s="1169"/>
      <c r="P20" s="1169"/>
      <c r="Q20" s="1169"/>
      <c r="R20" s="1583">
        <f>J20+L20+N20+P20</f>
        <v>5</v>
      </c>
      <c r="S20" s="1583"/>
      <c r="T20" s="1136">
        <f t="shared" si="2"/>
        <v>2</v>
      </c>
      <c r="U20" s="1136"/>
      <c r="V20" s="1136">
        <f t="shared" si="3"/>
        <v>1</v>
      </c>
      <c r="W20" s="1584"/>
      <c r="X20" s="1585" t="s">
        <v>59</v>
      </c>
      <c r="Y20" s="1169"/>
      <c r="Z20" s="1578">
        <f>IF(ISTEXT(IFERROR(VLOOKUP(人物卡!AB20,人物卡!BJ18:BR22,1,FALSE),IFERROR(VLOOKUP(人物卡!AB20,人物卡!BA18:BC22,1,FALSE),0))),"★",INDEX(本职技能!$A$2:$HX$76,MATCH(人物卡!AB20,本职技能!$A$2:$A$75,0),MATCH(人物卡!$M$5,本职技能!$A$1:$HX$1,0)))</f>
        <v>0</v>
      </c>
      <c r="AA20" s="1578"/>
      <c r="AB20" s="1169" t="s">
        <v>72</v>
      </c>
      <c r="AC20" s="1169"/>
      <c r="AD20" s="1169"/>
      <c r="AE20" s="1169"/>
      <c r="AF20" s="1136">
        <v>10</v>
      </c>
      <c r="AG20" s="1136"/>
      <c r="AH20" s="1169"/>
      <c r="AI20" s="1169"/>
      <c r="AJ20" s="1169"/>
      <c r="AK20" s="1169"/>
      <c r="AL20" s="1591"/>
      <c r="AM20" s="1591"/>
      <c r="AN20" s="1583">
        <f t="shared" si="4"/>
        <v>10</v>
      </c>
      <c r="AO20" s="1583"/>
      <c r="AP20" s="1583">
        <f t="shared" si="5"/>
        <v>5</v>
      </c>
      <c r="AQ20" s="1583"/>
      <c r="AR20" s="1583">
        <f t="shared" si="6"/>
        <v>2</v>
      </c>
      <c r="AS20" s="1592"/>
      <c r="AU20" s="1712"/>
      <c r="AV20" s="1710"/>
      <c r="AW20" s="1710"/>
      <c r="AX20" s="1710"/>
      <c r="AY20" s="1710"/>
      <c r="AZ20" s="1711"/>
      <c r="BA20" s="1707"/>
      <c r="BB20" s="1635"/>
      <c r="BC20" s="1635"/>
      <c r="BD20" s="1635"/>
      <c r="BE20" s="1635"/>
      <c r="BF20" s="1635"/>
      <c r="BG20" s="1635"/>
      <c r="BH20" s="1635"/>
      <c r="BI20" s="1635"/>
      <c r="BJ20" s="1707"/>
      <c r="BK20" s="1635"/>
      <c r="BL20" s="1635"/>
      <c r="BM20" s="1635"/>
      <c r="BN20" s="1635"/>
      <c r="BO20" s="1635"/>
      <c r="BP20" s="1635"/>
      <c r="BQ20" s="1635"/>
      <c r="BR20" s="1708"/>
    </row>
    <row r="21" spans="2:70" ht="18" customHeight="1">
      <c r="B21" s="1593" t="s">
        <v>59</v>
      </c>
      <c r="C21" s="1594"/>
      <c r="D21" s="1595">
        <f>IF(ISTEXT(IFERROR(VLOOKUP(人物卡!F21,人物卡!BJ18:BR22,1,FALSE),IFERROR(VLOOKUP(人物卡!F21,人物卡!BA18:BC22,1,FALSE),0))),"★",INDEX(本职技能!$A$2:$HX$76,MATCH(人物卡!F21,本职技能!$A$2:$A$75,0),MATCH(人物卡!$M$5,本职技能!$A$1:$HX$1,0)))</f>
        <v>0</v>
      </c>
      <c r="E21" s="1596"/>
      <c r="F21" s="1597" t="s">
        <v>73</v>
      </c>
      <c r="G21" s="1598"/>
      <c r="H21" s="1713"/>
      <c r="I21" s="1714"/>
      <c r="J21" s="1306">
        <f>IF(ISBLANK(AU26),5,IF(H21=AU26,BA26,5))</f>
        <v>5</v>
      </c>
      <c r="K21" s="1307"/>
      <c r="L21" s="1569"/>
      <c r="M21" s="1570"/>
      <c r="N21" s="1569"/>
      <c r="O21" s="1570"/>
      <c r="P21" s="1569"/>
      <c r="Q21" s="1570"/>
      <c r="R21" s="1573">
        <f>P21+N21+L21+J21</f>
        <v>5</v>
      </c>
      <c r="S21" s="1574"/>
      <c r="T21" s="1306">
        <f t="shared" si="2"/>
        <v>2</v>
      </c>
      <c r="U21" s="1307"/>
      <c r="V21" s="1306">
        <f t="shared" si="3"/>
        <v>1</v>
      </c>
      <c r="W21" s="1601"/>
      <c r="X21" s="1602" t="s">
        <v>59</v>
      </c>
      <c r="Y21" s="1570"/>
      <c r="Z21" s="1595">
        <f>IF(ISTEXT(IFERROR(VLOOKUP(人物卡!AB21,人物卡!BJ18:BR22,1,FALSE),IFERROR(VLOOKUP(人物卡!AB21,人物卡!BA18:BC22,1,FALSE),0))),"★",INDEX(本职技能!$A$2:$HX$76,MATCH(人物卡!AB21,本职技能!$A$2:$A$75,0),MATCH(人物卡!$M$5,本职技能!$A$1:$HX$1,0)))</f>
        <v>0</v>
      </c>
      <c r="AA21" s="1596"/>
      <c r="AB21" s="1569" t="s">
        <v>74</v>
      </c>
      <c r="AC21" s="1570"/>
      <c r="AD21" s="1570"/>
      <c r="AE21" s="1570"/>
      <c r="AF21" s="1306">
        <v>1</v>
      </c>
      <c r="AG21" s="1307"/>
      <c r="AH21" s="1569"/>
      <c r="AI21" s="1570"/>
      <c r="AJ21" s="1569"/>
      <c r="AK21" s="1570"/>
      <c r="AL21" s="1571"/>
      <c r="AM21" s="1572"/>
      <c r="AN21" s="1573">
        <f t="shared" si="4"/>
        <v>1</v>
      </c>
      <c r="AO21" s="1574"/>
      <c r="AP21" s="1573">
        <f t="shared" si="5"/>
        <v>0</v>
      </c>
      <c r="AQ21" s="1574"/>
      <c r="AR21" s="1573">
        <f t="shared" si="6"/>
        <v>0</v>
      </c>
      <c r="AS21" s="1575"/>
      <c r="AU21" s="1712"/>
      <c r="AV21" s="1710"/>
      <c r="AW21" s="1710"/>
      <c r="AX21" s="1710"/>
      <c r="AY21" s="1710"/>
      <c r="AZ21" s="1711"/>
      <c r="BA21" s="1698"/>
      <c r="BB21" s="1699"/>
      <c r="BC21" s="1699"/>
      <c r="BD21" s="1699"/>
      <c r="BE21" s="1699"/>
      <c r="BF21" s="1699"/>
      <c r="BG21" s="1699"/>
      <c r="BH21" s="1699"/>
      <c r="BI21" s="1699"/>
      <c r="BJ21" s="1698"/>
      <c r="BK21" s="1699"/>
      <c r="BL21" s="1699"/>
      <c r="BM21" s="1699"/>
      <c r="BN21" s="1699"/>
      <c r="BO21" s="1699"/>
      <c r="BP21" s="1699"/>
      <c r="BQ21" s="1699"/>
      <c r="BR21" s="1703"/>
    </row>
    <row r="22" spans="2:70" ht="18" customHeight="1">
      <c r="B22" s="1576" t="s">
        <v>59</v>
      </c>
      <c r="C22" s="1577"/>
      <c r="D22" s="1578">
        <f>IF(ISTEXT(IFERROR(VLOOKUP(人物卡!F22,人物卡!BJ18:BR22,1,FALSE),IFERROR(VLOOKUP(人物卡!F22,人物卡!BA18:BC22,1,FALSE),0))),"★",INDEX(本职技能!$A$2:$HX$76,MATCH(人物卡!F22,本职技能!$A$2:$A$75,0),MATCH(人物卡!$M$5,本职技能!$A$1:$HX$1,0)))</f>
        <v>0</v>
      </c>
      <c r="E22" s="1578"/>
      <c r="F22" s="1579" t="s">
        <v>75</v>
      </c>
      <c r="G22" s="1580"/>
      <c r="H22" s="1704"/>
      <c r="I22" s="1705"/>
      <c r="J22" s="1136">
        <f>IF(ISBLANK(AU26),5,IF(H22=AU26,BA26,5))</f>
        <v>5</v>
      </c>
      <c r="K22" s="1136"/>
      <c r="L22" s="1169"/>
      <c r="M22" s="1169"/>
      <c r="N22" s="1169"/>
      <c r="O22" s="1169"/>
      <c r="P22" s="1169"/>
      <c r="Q22" s="1169"/>
      <c r="R22" s="1583">
        <f>P22+N22+L22+J22</f>
        <v>5</v>
      </c>
      <c r="S22" s="1583"/>
      <c r="T22" s="1136">
        <f t="shared" si="2"/>
        <v>2</v>
      </c>
      <c r="U22" s="1136"/>
      <c r="V22" s="1136">
        <f t="shared" si="3"/>
        <v>1</v>
      </c>
      <c r="W22" s="1584"/>
      <c r="X22" s="1585" t="s">
        <v>59</v>
      </c>
      <c r="Y22" s="1169"/>
      <c r="Z22" s="1578">
        <f>IF(ISTEXT(IFERROR(VLOOKUP(人物卡!AB22,人物卡!BJ18:BR22,1,FALSE),IFERROR(VLOOKUP(人物卡!AB22,人物卡!BA18:BC22,1,FALSE),0))),"★",INDEX(本职技能!$A$2:$HX$76,MATCH(人物卡!AB22,本职技能!$A$2:$A$75,0),MATCH(人物卡!$M$5,本职技能!$A$1:$HX$1,0)))</f>
        <v>0</v>
      </c>
      <c r="AA22" s="1578"/>
      <c r="AB22" s="1169" t="s">
        <v>76</v>
      </c>
      <c r="AC22" s="1169"/>
      <c r="AD22" s="1169"/>
      <c r="AE22" s="1169"/>
      <c r="AF22" s="1136">
        <v>10</v>
      </c>
      <c r="AG22" s="1136"/>
      <c r="AH22" s="1169"/>
      <c r="AI22" s="1169"/>
      <c r="AJ22" s="1169"/>
      <c r="AK22" s="1169"/>
      <c r="AL22" s="1591"/>
      <c r="AM22" s="1591"/>
      <c r="AN22" s="1583">
        <f t="shared" si="4"/>
        <v>10</v>
      </c>
      <c r="AO22" s="1583"/>
      <c r="AP22" s="1583">
        <f t="shared" si="5"/>
        <v>5</v>
      </c>
      <c r="AQ22" s="1583"/>
      <c r="AR22" s="1583">
        <f t="shared" si="6"/>
        <v>2</v>
      </c>
      <c r="AS22" s="1592"/>
      <c r="AU22" s="1706" t="s">
        <v>77</v>
      </c>
      <c r="AV22" s="1635"/>
      <c r="AW22" s="1635"/>
      <c r="AX22" s="1635"/>
      <c r="AY22" s="1635"/>
      <c r="AZ22" s="1635"/>
      <c r="BA22" s="1707"/>
      <c r="BB22" s="1635"/>
      <c r="BC22" s="1635"/>
      <c r="BD22" s="1635"/>
      <c r="BE22" s="1635"/>
      <c r="BF22" s="1635"/>
      <c r="BG22" s="1635"/>
      <c r="BH22" s="1635"/>
      <c r="BI22" s="1635"/>
      <c r="BJ22" s="1707"/>
      <c r="BK22" s="1635"/>
      <c r="BL22" s="1635"/>
      <c r="BM22" s="1635"/>
      <c r="BN22" s="1635"/>
      <c r="BO22" s="1635"/>
      <c r="BP22" s="1635"/>
      <c r="BQ22" s="1635"/>
      <c r="BR22" s="1708"/>
    </row>
    <row r="23" spans="2:70" ht="18" customHeight="1">
      <c r="B23" s="1593" t="s">
        <v>59</v>
      </c>
      <c r="C23" s="1594"/>
      <c r="D23" s="1595" t="str">
        <f>IF(ISTEXT(IFERROR(VLOOKUP(人物卡!F23,人物卡!BJ18:BR22,1,FALSE),IFERROR(VLOOKUP(人物卡!F23,人物卡!BA18:BC22,1,FALSE),0))),"★",INDEX(本职技能!$A$2:$HX$76,MATCH(人物卡!F23,本职技能!$A$2:$A$75,0),MATCH(人物卡!$M$5,本职技能!$A$1:$HX$1,0)))</f>
        <v>☯</v>
      </c>
      <c r="E23" s="1596"/>
      <c r="F23" s="1569" t="s">
        <v>78</v>
      </c>
      <c r="G23" s="1616"/>
      <c r="H23" s="1617"/>
      <c r="I23" s="1570"/>
      <c r="J23" s="1306">
        <v>15</v>
      </c>
      <c r="K23" s="1307"/>
      <c r="L23" s="1569"/>
      <c r="M23" s="1570"/>
      <c r="N23" s="1569"/>
      <c r="O23" s="1570"/>
      <c r="P23" s="1569"/>
      <c r="Q23" s="1570"/>
      <c r="R23" s="1573">
        <f t="shared" ref="R23:R34" si="7">SUM(J23:P23)</f>
        <v>15</v>
      </c>
      <c r="S23" s="1574"/>
      <c r="T23" s="1306">
        <f t="shared" si="2"/>
        <v>7</v>
      </c>
      <c r="U23" s="1307"/>
      <c r="V23" s="1306">
        <f t="shared" si="3"/>
        <v>3</v>
      </c>
      <c r="W23" s="1601"/>
      <c r="X23" s="1602" t="s">
        <v>59</v>
      </c>
      <c r="Y23" s="1570"/>
      <c r="Z23" s="1595">
        <f>IF(ISTEXT(IFERROR(VLOOKUP(人物卡!AB23,人物卡!BJ18:BR22,1,FALSE),IFERROR(VLOOKUP(人物卡!AB23,人物卡!BA18:BC22,1,FALSE),0))),"★",INDEX(本职技能!$A$2:$HX$76,MATCH(人物卡!AB23,本职技能!$A$2:$A$75,0),MATCH(人物卡!$M$5,本职技能!$A$1:$HX$1,0)))</f>
        <v>0</v>
      </c>
      <c r="AA23" s="1596"/>
      <c r="AB23" s="1569" t="s">
        <v>79</v>
      </c>
      <c r="AC23" s="1570"/>
      <c r="AD23" s="1570"/>
      <c r="AE23" s="1570"/>
      <c r="AF23" s="1306">
        <v>10</v>
      </c>
      <c r="AG23" s="1307"/>
      <c r="AH23" s="1569"/>
      <c r="AI23" s="1570"/>
      <c r="AJ23" s="1569"/>
      <c r="AK23" s="1570"/>
      <c r="AL23" s="1571"/>
      <c r="AM23" s="1572"/>
      <c r="AN23" s="1573">
        <f t="shared" si="4"/>
        <v>10</v>
      </c>
      <c r="AO23" s="1574"/>
      <c r="AP23" s="1573">
        <f t="shared" si="5"/>
        <v>5</v>
      </c>
      <c r="AQ23" s="1574"/>
      <c r="AR23" s="1573">
        <f t="shared" si="6"/>
        <v>2</v>
      </c>
      <c r="AS23" s="1575"/>
      <c r="AU23" s="1700" t="s">
        <v>80</v>
      </c>
      <c r="AV23" s="1701"/>
      <c r="AW23" s="1701"/>
      <c r="AX23" s="1701"/>
      <c r="AY23" s="1701"/>
      <c r="AZ23" s="1701"/>
      <c r="BA23" s="1701"/>
      <c r="BB23" s="1701"/>
      <c r="BC23" s="1701"/>
      <c r="BD23" s="1701"/>
      <c r="BE23" s="1701"/>
      <c r="BF23" s="1701"/>
      <c r="BG23" s="1701"/>
      <c r="BH23" s="1701"/>
      <c r="BI23" s="1701"/>
      <c r="BJ23" s="1701"/>
      <c r="BK23" s="1701"/>
      <c r="BL23" s="1701"/>
      <c r="BM23" s="1701"/>
      <c r="BN23" s="1701"/>
      <c r="BO23" s="1701"/>
      <c r="BP23" s="1701"/>
      <c r="BQ23" s="1701"/>
      <c r="BR23" s="1702"/>
    </row>
    <row r="24" spans="2:70" ht="18" customHeight="1">
      <c r="B24" s="1576" t="s">
        <v>59</v>
      </c>
      <c r="C24" s="1577"/>
      <c r="D24" s="1578">
        <f>IF(ISTEXT(IFERROR(VLOOKUP(人物卡!F24,人物卡!BJ18:BR22,1,FALSE),IFERROR(VLOOKUP(人物卡!F24,人物卡!BA18:BC22,1,FALSE),0))),"★",INDEX(本职技能!$A$2:$HX$76,MATCH(人物卡!F24,本职技能!$A$2:$A$75,0),MATCH(人物卡!$M$5,本职技能!$A$1:$HX$1,0)))</f>
        <v>0</v>
      </c>
      <c r="E24" s="1578"/>
      <c r="F24" s="1169" t="s">
        <v>81</v>
      </c>
      <c r="G24" s="1618"/>
      <c r="H24" s="1619"/>
      <c r="I24" s="1169"/>
      <c r="J24" s="1136">
        <v>20</v>
      </c>
      <c r="K24" s="1136"/>
      <c r="L24" s="1169"/>
      <c r="M24" s="1169"/>
      <c r="N24" s="1169"/>
      <c r="O24" s="1169"/>
      <c r="P24" s="1169"/>
      <c r="Q24" s="1169"/>
      <c r="R24" s="1583">
        <f t="shared" si="7"/>
        <v>20</v>
      </c>
      <c r="S24" s="1583"/>
      <c r="T24" s="1136">
        <f t="shared" si="2"/>
        <v>10</v>
      </c>
      <c r="U24" s="1136"/>
      <c r="V24" s="1136">
        <f t="shared" si="3"/>
        <v>4</v>
      </c>
      <c r="W24" s="1584"/>
      <c r="X24" s="1585" t="s">
        <v>59</v>
      </c>
      <c r="Y24" s="1169"/>
      <c r="Z24" s="1578">
        <f>IF(ISTEXT(IFERROR(VLOOKUP(人物卡!AB24,人物卡!BJ18:BR22,1,FALSE),IFERROR(VLOOKUP(人物卡!AB24,人物卡!BA18:BC22,1,FALSE),0))),"★",INDEX(本职技能!$A$2:$HX$76,MATCH(人物卡!AB24,本职技能!$A$2:$A$75,0),MATCH(人物卡!$M$5,本职技能!$A$1:$HX$1,0)))</f>
        <v>0</v>
      </c>
      <c r="AA24" s="1578"/>
      <c r="AB24" s="1169" t="s">
        <v>82</v>
      </c>
      <c r="AC24" s="1169"/>
      <c r="AD24" s="1169"/>
      <c r="AE24" s="1169"/>
      <c r="AF24" s="1136">
        <v>5</v>
      </c>
      <c r="AG24" s="1136"/>
      <c r="AH24" s="1169"/>
      <c r="AI24" s="1169"/>
      <c r="AJ24" s="1169"/>
      <c r="AK24" s="1169"/>
      <c r="AL24" s="1591"/>
      <c r="AM24" s="1591"/>
      <c r="AN24" s="1583">
        <f t="shared" si="4"/>
        <v>5</v>
      </c>
      <c r="AO24" s="1583"/>
      <c r="AP24" s="1583">
        <f t="shared" si="5"/>
        <v>2</v>
      </c>
      <c r="AQ24" s="1583"/>
      <c r="AR24" s="1583">
        <f t="shared" si="6"/>
        <v>1</v>
      </c>
      <c r="AS24" s="1592"/>
      <c r="AU24" s="1687" t="s">
        <v>83</v>
      </c>
      <c r="AV24" s="1688"/>
      <c r="AW24" s="1688"/>
      <c r="AX24" s="1688"/>
      <c r="AY24" s="1688"/>
      <c r="AZ24" s="1688"/>
      <c r="BA24" s="1688"/>
      <c r="BB24" s="1689"/>
      <c r="BC24" s="1690" t="s">
        <v>84</v>
      </c>
      <c r="BD24" s="1691"/>
      <c r="BE24" s="1691"/>
      <c r="BF24" s="1691"/>
      <c r="BG24" s="1691"/>
      <c r="BH24" s="1691"/>
      <c r="BI24" s="1691"/>
      <c r="BJ24" s="1692"/>
      <c r="BK24" s="1693" t="s">
        <v>85</v>
      </c>
      <c r="BL24" s="1694"/>
      <c r="BM24" s="1694"/>
      <c r="BN24" s="1694"/>
      <c r="BO24" s="1694"/>
      <c r="BP24" s="1694"/>
      <c r="BQ24" s="1694"/>
      <c r="BR24" s="1695"/>
    </row>
    <row r="25" spans="2:70" ht="18" customHeight="1">
      <c r="B25" s="1593" t="s">
        <v>59</v>
      </c>
      <c r="C25" s="1594"/>
      <c r="D25" s="1696">
        <f>IF(ISTEXT(IFERROR(VLOOKUP(人物卡!F25,人物卡!BJ18:BR22,1,FALSE),IFERROR(VLOOKUP(人物卡!F25,人物卡!BA18:BC22,1,FALSE),0))),"★",INDEX(本职技能!$A$2:$HX$76,MATCH(人物卡!F25,本职技能!$A$2:$A$75,0),MATCH(人物卡!$M$5,本职技能!$A$1:$HX$1,0)))</f>
        <v>0</v>
      </c>
      <c r="E25" s="1697"/>
      <c r="F25" s="1569" t="s">
        <v>86</v>
      </c>
      <c r="G25" s="1616"/>
      <c r="H25" s="1617"/>
      <c r="I25" s="1570"/>
      <c r="J25" s="1306">
        <v>5</v>
      </c>
      <c r="K25" s="1307"/>
      <c r="L25" s="1569"/>
      <c r="M25" s="1570"/>
      <c r="N25" s="1569"/>
      <c r="O25" s="1570"/>
      <c r="P25" s="1569">
        <v>51</v>
      </c>
      <c r="Q25" s="1570"/>
      <c r="R25" s="1573">
        <f t="shared" si="7"/>
        <v>56</v>
      </c>
      <c r="S25" s="1574"/>
      <c r="T25" s="1306">
        <f t="shared" si="2"/>
        <v>28</v>
      </c>
      <c r="U25" s="1307"/>
      <c r="V25" s="1306">
        <f t="shared" si="3"/>
        <v>11</v>
      </c>
      <c r="W25" s="1601"/>
      <c r="X25" s="1602" t="s">
        <v>59</v>
      </c>
      <c r="Y25" s="1570"/>
      <c r="Z25" s="1595">
        <f>IF(ISTEXT(IFERROR(VLOOKUP(人物卡!AB25,人物卡!BJ18:BR22,1,FALSE),IFERROR(VLOOKUP(人物卡!AB25,人物卡!BA18:BC22,1,FALSE),0))),"★",INDEX(本职技能!$A$2:$HX$76,MATCH(人物卡!AB25,本职技能!$A$2:$A$75,0),MATCH(人物卡!$M$5,本职技能!$A$1:$HX$1,0)))</f>
        <v>0</v>
      </c>
      <c r="AA25" s="1596"/>
      <c r="AB25" s="1569" t="s">
        <v>87</v>
      </c>
      <c r="AC25" s="1570"/>
      <c r="AD25" s="1570"/>
      <c r="AE25" s="1570"/>
      <c r="AF25" s="1306">
        <v>1</v>
      </c>
      <c r="AG25" s="1307"/>
      <c r="AH25" s="1569"/>
      <c r="AI25" s="1570"/>
      <c r="AJ25" s="1569"/>
      <c r="AK25" s="1570"/>
      <c r="AL25" s="1571"/>
      <c r="AM25" s="1572"/>
      <c r="AN25" s="1573">
        <f t="shared" si="4"/>
        <v>1</v>
      </c>
      <c r="AO25" s="1574"/>
      <c r="AP25" s="1573">
        <f t="shared" si="5"/>
        <v>0</v>
      </c>
      <c r="AQ25" s="1574"/>
      <c r="AR25" s="1573">
        <f t="shared" si="6"/>
        <v>0</v>
      </c>
      <c r="AS25" s="1575"/>
      <c r="AU25" s="1649" t="s">
        <v>88</v>
      </c>
      <c r="AV25" s="1650"/>
      <c r="AW25" s="1650"/>
      <c r="AX25" s="1650"/>
      <c r="AY25" s="1650"/>
      <c r="AZ25" s="1650"/>
      <c r="BA25" s="1651" t="s">
        <v>89</v>
      </c>
      <c r="BB25" s="1652"/>
      <c r="BC25" s="1673" t="s">
        <v>90</v>
      </c>
      <c r="BD25" s="1665"/>
      <c r="BE25" s="1665"/>
      <c r="BF25" s="1665"/>
      <c r="BG25" s="1665"/>
      <c r="BH25" s="1665"/>
      <c r="BI25" s="1665"/>
      <c r="BJ25" s="1668"/>
      <c r="BK25" s="1674" t="s">
        <v>91</v>
      </c>
      <c r="BL25" s="1675"/>
      <c r="BM25" s="1675"/>
      <c r="BN25" s="1675"/>
      <c r="BO25" s="1675"/>
      <c r="BP25" s="1675"/>
      <c r="BQ25" s="1675"/>
      <c r="BR25" s="1676"/>
    </row>
    <row r="26" spans="2:70" ht="18" customHeight="1">
      <c r="B26" s="1576" t="s">
        <v>92</v>
      </c>
      <c r="C26" s="1677"/>
      <c r="D26" s="1678" t="s">
        <v>93</v>
      </c>
      <c r="E26" s="1679"/>
      <c r="F26" s="1169" t="s">
        <v>94</v>
      </c>
      <c r="G26" s="1618"/>
      <c r="H26" s="1619"/>
      <c r="I26" s="1169"/>
      <c r="J26" s="1136">
        <v>0</v>
      </c>
      <c r="K26" s="1136"/>
      <c r="L26" s="1169">
        <v>80</v>
      </c>
      <c r="M26" s="1169"/>
      <c r="N26" s="1169"/>
      <c r="O26" s="1169"/>
      <c r="P26" s="1169"/>
      <c r="Q26" s="1169"/>
      <c r="R26" s="1583">
        <f t="shared" si="7"/>
        <v>80</v>
      </c>
      <c r="S26" s="1583"/>
      <c r="T26" s="1136">
        <f t="shared" si="2"/>
        <v>40</v>
      </c>
      <c r="U26" s="1136"/>
      <c r="V26" s="1136">
        <f t="shared" si="3"/>
        <v>16</v>
      </c>
      <c r="W26" s="1584"/>
      <c r="X26" s="1585" t="s">
        <v>59</v>
      </c>
      <c r="Y26" s="1169"/>
      <c r="Z26" s="1578" t="str">
        <f>IF(ISTEXT(IFERROR(VLOOKUP(人物卡!AB26,人物卡!BJ18:BR22,1,FALSE),IFERROR(VLOOKUP(人物卡!AB26,人物卡!BA18:BC22,1,FALSE),0))),"★",INDEX(本职技能!$A$2:$HX$76,MATCH(人物卡!AB26,本职技能!$A$2:$A$75,0),MATCH(人物卡!$M$5,本职技能!$A$1:$HX$1,0)))</f>
        <v>☯</v>
      </c>
      <c r="AA26" s="1578"/>
      <c r="AB26" s="1169" t="s">
        <v>95</v>
      </c>
      <c r="AC26" s="1169"/>
      <c r="AD26" s="1169"/>
      <c r="AE26" s="1169"/>
      <c r="AF26" s="1136">
        <v>10</v>
      </c>
      <c r="AG26" s="1136"/>
      <c r="AH26" s="1169"/>
      <c r="AI26" s="1169"/>
      <c r="AJ26" s="1169"/>
      <c r="AK26" s="1169"/>
      <c r="AL26" s="1591"/>
      <c r="AM26" s="1591"/>
      <c r="AN26" s="1583">
        <f t="shared" si="4"/>
        <v>10</v>
      </c>
      <c r="AO26" s="1583"/>
      <c r="AP26" s="1583">
        <f t="shared" si="5"/>
        <v>5</v>
      </c>
      <c r="AQ26" s="1583"/>
      <c r="AR26" s="1583">
        <f t="shared" si="6"/>
        <v>2</v>
      </c>
      <c r="AS26" s="1592"/>
      <c r="AU26" s="1640"/>
      <c r="AV26" s="1641"/>
      <c r="AW26" s="1641"/>
      <c r="AX26" s="1641"/>
      <c r="AY26" s="1641"/>
      <c r="AZ26" s="1641"/>
      <c r="BA26" s="1642"/>
      <c r="BB26" s="1643"/>
      <c r="BC26" s="1680"/>
      <c r="BD26" s="1681"/>
      <c r="BE26" s="1681"/>
      <c r="BF26" s="1681"/>
      <c r="BG26" s="1681"/>
      <c r="BH26" s="1681"/>
      <c r="BI26" s="1681"/>
      <c r="BJ26" s="1682"/>
      <c r="BK26" s="1683"/>
      <c r="BL26" s="1684"/>
      <c r="BM26" s="1684"/>
      <c r="BN26" s="1684"/>
      <c r="BO26" s="1685"/>
      <c r="BP26" s="1684"/>
      <c r="BQ26" s="1684"/>
      <c r="BR26" s="1686"/>
    </row>
    <row r="27" spans="2:70" ht="18" customHeight="1">
      <c r="B27" s="1593" t="s">
        <v>92</v>
      </c>
      <c r="C27" s="1594"/>
      <c r="D27" s="1595">
        <f>IF(ISTEXT(IFERROR(VLOOKUP(F27,人物卡!BJ18:BR22,1,FALSE),IFERROR(VLOOKUP(F27,人物卡!BA18:BC22,1,FALSE),0))),"★",INDEX(本职技能!$A$2:$HX$76,MATCH(F27,本职技能!$A$2:$A$75,0),MATCH(人物卡!$M$5,本职技能!$A$1:$HX$1,0)))</f>
        <v>0</v>
      </c>
      <c r="E27" s="1596"/>
      <c r="F27" s="1569" t="s">
        <v>96</v>
      </c>
      <c r="G27" s="1616"/>
      <c r="H27" s="1617"/>
      <c r="I27" s="1570"/>
      <c r="J27" s="1306">
        <v>0</v>
      </c>
      <c r="K27" s="1307"/>
      <c r="L27" s="1569"/>
      <c r="M27" s="1570"/>
      <c r="N27" s="1569" t="s">
        <v>92</v>
      </c>
      <c r="O27" s="1570"/>
      <c r="P27" s="1569" t="s">
        <v>92</v>
      </c>
      <c r="Q27" s="1570"/>
      <c r="R27" s="1573">
        <f t="shared" si="7"/>
        <v>0</v>
      </c>
      <c r="S27" s="1574"/>
      <c r="T27" s="1306">
        <f t="shared" si="2"/>
        <v>0</v>
      </c>
      <c r="U27" s="1307"/>
      <c r="V27" s="1306">
        <f t="shared" si="3"/>
        <v>0</v>
      </c>
      <c r="W27" s="1601"/>
      <c r="X27" s="1602" t="s">
        <v>59</v>
      </c>
      <c r="Y27" s="1570"/>
      <c r="Z27" s="1595">
        <f>IF(ISTEXT(IFERROR(VLOOKUP(人物卡!AB27,人物卡!BJ18:BR22,1,FALSE),IFERROR(VLOOKUP(人物卡!AB27,人物卡!BA18:BC22,1,FALSE),0))),"★",INDEX(本职技能!$A$2:$HX$76,MATCH(人物卡!AB27,本职技能!$A$2:$A$75,0),MATCH(人物卡!$M$5,本职技能!$A$1:$HX$1,0)))</f>
        <v>0</v>
      </c>
      <c r="AA27" s="1596"/>
      <c r="AB27" s="1597" t="s">
        <v>97</v>
      </c>
      <c r="AC27" s="1598"/>
      <c r="AD27" s="1628"/>
      <c r="AE27" s="1629"/>
      <c r="AF27" s="1306">
        <f>IF(ISBLANK(AU32),1,IF(AD27=AU32,BA32,1))</f>
        <v>1</v>
      </c>
      <c r="AG27" s="1307"/>
      <c r="AH27" s="1569"/>
      <c r="AI27" s="1570"/>
      <c r="AJ27" s="1569"/>
      <c r="AK27" s="1570"/>
      <c r="AL27" s="1571"/>
      <c r="AM27" s="1572"/>
      <c r="AN27" s="1573">
        <f t="shared" si="4"/>
        <v>1</v>
      </c>
      <c r="AO27" s="1574"/>
      <c r="AP27" s="1573">
        <f t="shared" si="5"/>
        <v>0</v>
      </c>
      <c r="AQ27" s="1574"/>
      <c r="AR27" s="1573">
        <f t="shared" si="6"/>
        <v>0</v>
      </c>
      <c r="AS27" s="1575"/>
      <c r="AU27" s="1649" t="s">
        <v>98</v>
      </c>
      <c r="AV27" s="1650"/>
      <c r="AW27" s="1650"/>
      <c r="AX27" s="1650"/>
      <c r="AY27" s="1650"/>
      <c r="AZ27" s="1650"/>
      <c r="BA27" s="1651" t="s">
        <v>89</v>
      </c>
      <c r="BB27" s="1652"/>
      <c r="BC27" s="1664" t="s">
        <v>99</v>
      </c>
      <c r="BD27" s="1665"/>
      <c r="BE27" s="1665"/>
      <c r="BF27" s="1666"/>
      <c r="BG27" s="1667" t="s">
        <v>100</v>
      </c>
      <c r="BH27" s="1665"/>
      <c r="BI27" s="1665"/>
      <c r="BJ27" s="1668"/>
      <c r="BK27" s="1669" t="s">
        <v>101</v>
      </c>
      <c r="BL27" s="1670"/>
      <c r="BM27" s="1670"/>
      <c r="BN27" s="1670"/>
      <c r="BO27" s="1671" t="s">
        <v>102</v>
      </c>
      <c r="BP27" s="1670"/>
      <c r="BQ27" s="1670"/>
      <c r="BR27" s="1672"/>
    </row>
    <row r="28" spans="2:70" ht="18" customHeight="1">
      <c r="B28" s="1576" t="s">
        <v>59</v>
      </c>
      <c r="C28" s="1577"/>
      <c r="D28" s="1578">
        <f>IF(ISTEXT(IFERROR(VLOOKUP(人物卡!F28,人物卡!BJ18:BR22,1,FALSE),IFERROR(VLOOKUP(人物卡!F28,人物卡!BA18:BC22,1,FALSE),0))),"★",INDEX(本职技能!$A$2:$HX$76,MATCH(人物卡!F28,本职技能!$A$2:$A$75,0),MATCH(人物卡!$M$5,本职技能!$A$1:$HX$1,0)))</f>
        <v>0</v>
      </c>
      <c r="E28" s="1578"/>
      <c r="F28" s="1169" t="s">
        <v>103</v>
      </c>
      <c r="G28" s="1618"/>
      <c r="H28" s="1619"/>
      <c r="I28" s="1169"/>
      <c r="J28" s="1136">
        <v>5</v>
      </c>
      <c r="K28" s="1136"/>
      <c r="L28" s="1169"/>
      <c r="M28" s="1169"/>
      <c r="N28" s="1169"/>
      <c r="O28" s="1169"/>
      <c r="P28" s="1169"/>
      <c r="Q28" s="1169"/>
      <c r="R28" s="1583">
        <f t="shared" si="7"/>
        <v>5</v>
      </c>
      <c r="S28" s="1583"/>
      <c r="T28" s="1136">
        <f t="shared" si="2"/>
        <v>2</v>
      </c>
      <c r="U28" s="1136"/>
      <c r="V28" s="1136">
        <f t="shared" si="3"/>
        <v>1</v>
      </c>
      <c r="W28" s="1584"/>
      <c r="X28" s="1585" t="s">
        <v>59</v>
      </c>
      <c r="Y28" s="1169"/>
      <c r="Z28" s="1578">
        <f>IF(ISTEXT(IFERROR(VLOOKUP(人物卡!AB28,人物卡!BJ18:BR22,1,FALSE),IFERROR(VLOOKUP(人物卡!AB28,人物卡!BA18:BC22,1,FALSE),0))),"★",INDEX(本职技能!$A$2:$HX$76,MATCH(人物卡!AB28,本职技能!$A$2:$A$75,0),MATCH(人物卡!$M$5,本职技能!$A$1:$HX$1,0)))</f>
        <v>0</v>
      </c>
      <c r="AA28" s="1578"/>
      <c r="AB28" s="1169" t="s">
        <v>104</v>
      </c>
      <c r="AC28" s="1169"/>
      <c r="AD28" s="1169"/>
      <c r="AE28" s="1169"/>
      <c r="AF28" s="1136">
        <v>1</v>
      </c>
      <c r="AG28" s="1136"/>
      <c r="AH28" s="1169"/>
      <c r="AI28" s="1169"/>
      <c r="AJ28" s="1169"/>
      <c r="AK28" s="1169"/>
      <c r="AL28" s="1591"/>
      <c r="AM28" s="1591"/>
      <c r="AN28" s="1583">
        <f t="shared" si="4"/>
        <v>1</v>
      </c>
      <c r="AO28" s="1583"/>
      <c r="AP28" s="1583">
        <f t="shared" si="5"/>
        <v>0</v>
      </c>
      <c r="AQ28" s="1583"/>
      <c r="AR28" s="1583">
        <f t="shared" si="6"/>
        <v>0</v>
      </c>
      <c r="AS28" s="1592"/>
      <c r="AU28" s="1640"/>
      <c r="AV28" s="1641"/>
      <c r="AW28" s="1641"/>
      <c r="AX28" s="1641"/>
      <c r="AY28" s="1641"/>
      <c r="AZ28" s="1641"/>
      <c r="BA28" s="1642"/>
      <c r="BB28" s="1643"/>
      <c r="BC28" s="1655"/>
      <c r="BD28" s="1656"/>
      <c r="BE28" s="1656"/>
      <c r="BF28" s="1657"/>
      <c r="BG28" s="1658"/>
      <c r="BH28" s="1659"/>
      <c r="BI28" s="1659"/>
      <c r="BJ28" s="1660"/>
      <c r="BK28" s="1084"/>
      <c r="BL28" s="1085"/>
      <c r="BM28" s="1085"/>
      <c r="BN28" s="1086"/>
      <c r="BO28" s="1085"/>
      <c r="BP28" s="1085"/>
      <c r="BQ28" s="1085"/>
      <c r="BR28" s="1093"/>
    </row>
    <row r="29" spans="2:70" ht="18" customHeight="1">
      <c r="B29" s="1593" t="s">
        <v>59</v>
      </c>
      <c r="C29" s="1594"/>
      <c r="D29" s="1595">
        <f>IF(ISTEXT(IFERROR(VLOOKUP(人物卡!F29,人物卡!BJ18:BR22,1,FALSE),IFERROR(VLOOKUP(人物卡!F29,人物卡!BA18:BC22,1,FALSE),0))),"★",INDEX(本职技能!$A$2:$HX$76,MATCH(人物卡!F29,本职技能!$A$2:$A$75,0),MATCH(人物卡!$M$5,本职技能!$A$1:$HX$1,0)))</f>
        <v>0</v>
      </c>
      <c r="E29" s="1596"/>
      <c r="F29" s="1569" t="s">
        <v>105</v>
      </c>
      <c r="G29" s="1616"/>
      <c r="H29" s="1617"/>
      <c r="I29" s="1570"/>
      <c r="J29" s="1306">
        <f>INT(DEX/2)</f>
        <v>40</v>
      </c>
      <c r="K29" s="1307"/>
      <c r="L29" s="1569"/>
      <c r="M29" s="1570"/>
      <c r="N29" s="1569"/>
      <c r="O29" s="1570"/>
      <c r="P29" s="1569"/>
      <c r="Q29" s="1570"/>
      <c r="R29" s="1573">
        <f t="shared" si="7"/>
        <v>40</v>
      </c>
      <c r="S29" s="1574"/>
      <c r="T29" s="1306">
        <f t="shared" si="2"/>
        <v>20</v>
      </c>
      <c r="U29" s="1307"/>
      <c r="V29" s="1306">
        <f t="shared" si="3"/>
        <v>8</v>
      </c>
      <c r="W29" s="1601"/>
      <c r="X29" s="1602" t="s">
        <v>59</v>
      </c>
      <c r="Y29" s="1570"/>
      <c r="Z29" s="1595" t="str">
        <f>IF(ISTEXT(IFERROR(VLOOKUP(人物卡!AB29,人物卡!BJ18:BR22,1,FALSE),IFERROR(VLOOKUP(人物卡!AB29,人物卡!BA18:BC22,1,FALSE),0))),"★",INDEX(本职技能!$A$2:$HX$76,MATCH(人物卡!AB29,本职技能!$A$2:$A$75,0),MATCH(人物卡!$M$5,本职技能!$A$1:$HX$1,0)))</f>
        <v>★</v>
      </c>
      <c r="AA29" s="1596"/>
      <c r="AB29" s="1569" t="s">
        <v>106</v>
      </c>
      <c r="AC29" s="1570"/>
      <c r="AD29" s="1570"/>
      <c r="AE29" s="1570"/>
      <c r="AF29" s="1306">
        <v>10</v>
      </c>
      <c r="AG29" s="1307"/>
      <c r="AH29" s="1569"/>
      <c r="AI29" s="1570"/>
      <c r="AJ29" s="1569">
        <v>50</v>
      </c>
      <c r="AK29" s="1570"/>
      <c r="AL29" s="1571"/>
      <c r="AM29" s="1572"/>
      <c r="AN29" s="1573">
        <f t="shared" si="4"/>
        <v>60</v>
      </c>
      <c r="AO29" s="1574"/>
      <c r="AP29" s="1573">
        <f t="shared" si="5"/>
        <v>30</v>
      </c>
      <c r="AQ29" s="1574"/>
      <c r="AR29" s="1573">
        <f t="shared" si="6"/>
        <v>12</v>
      </c>
      <c r="AS29" s="1575"/>
      <c r="AU29" s="1649" t="s">
        <v>107</v>
      </c>
      <c r="AV29" s="1650"/>
      <c r="AW29" s="1650"/>
      <c r="AX29" s="1650"/>
      <c r="AY29" s="1650"/>
      <c r="AZ29" s="1650"/>
      <c r="BA29" s="1651" t="s">
        <v>89</v>
      </c>
      <c r="BB29" s="1652"/>
      <c r="BC29" s="1661" t="s">
        <v>108</v>
      </c>
      <c r="BD29" s="1662"/>
      <c r="BE29" s="1662"/>
      <c r="BF29" s="1662"/>
      <c r="BG29" s="1662"/>
      <c r="BH29" s="1662"/>
      <c r="BI29" s="1662"/>
      <c r="BJ29" s="1663"/>
      <c r="BK29" s="1087"/>
      <c r="BL29" s="1088"/>
      <c r="BM29" s="1088"/>
      <c r="BN29" s="1089"/>
      <c r="BO29" s="1088"/>
      <c r="BP29" s="1088"/>
      <c r="BQ29" s="1088"/>
      <c r="BR29" s="1094"/>
    </row>
    <row r="30" spans="2:70" ht="18" customHeight="1">
      <c r="B30" s="1576" t="s">
        <v>59</v>
      </c>
      <c r="C30" s="1577"/>
      <c r="D30" s="1578" t="str">
        <f>IF(ISTEXT(IFERROR(VLOOKUP(人物卡!F30,人物卡!BJ18:BR22,1,FALSE),IFERROR(VLOOKUP(人物卡!F30,人物卡!BA18:BC22,1,FALSE),0))),"★",INDEX(本职技能!$A$2:$HX$76,MATCH(人物卡!F30,本职技能!$A$2:$A$75,0),MATCH(人物卡!$M$5,本职技能!$A$1:$HX$1,0)))</f>
        <v>★</v>
      </c>
      <c r="E30" s="1578"/>
      <c r="F30" s="1169" t="s">
        <v>109</v>
      </c>
      <c r="G30" s="1618"/>
      <c r="H30" s="1619"/>
      <c r="I30" s="1169"/>
      <c r="J30" s="1136">
        <v>20</v>
      </c>
      <c r="K30" s="1136"/>
      <c r="L30" s="1169"/>
      <c r="M30" s="1169"/>
      <c r="N30" s="1169">
        <v>40</v>
      </c>
      <c r="O30" s="1169"/>
      <c r="P30" s="1169"/>
      <c r="Q30" s="1169"/>
      <c r="R30" s="1583">
        <f t="shared" si="7"/>
        <v>60</v>
      </c>
      <c r="S30" s="1583"/>
      <c r="T30" s="1136">
        <f t="shared" si="2"/>
        <v>30</v>
      </c>
      <c r="U30" s="1136"/>
      <c r="V30" s="1136">
        <f t="shared" si="3"/>
        <v>12</v>
      </c>
      <c r="W30" s="1584"/>
      <c r="X30" s="1585" t="s">
        <v>59</v>
      </c>
      <c r="Y30" s="1169"/>
      <c r="Z30" s="1578">
        <f>IF(ISTEXT(IFERROR(VLOOKUP(人物卡!AB30,人物卡!BJ18:BR22,1,FALSE),IFERROR(VLOOKUP(人物卡!AB30,人物卡!BA18:BC22,1,FALSE),0))),"★",INDEX(本职技能!$A$2:$HX$76,MATCH(人物卡!AB30,本职技能!$A$2:$A$75,0),MATCH(人物卡!$M$5,本职技能!$A$1:$HX$1,0)))</f>
        <v>0</v>
      </c>
      <c r="AA30" s="1578"/>
      <c r="AB30" s="1169" t="s">
        <v>110</v>
      </c>
      <c r="AC30" s="1169"/>
      <c r="AD30" s="1169"/>
      <c r="AE30" s="1169"/>
      <c r="AF30" s="1136">
        <v>5</v>
      </c>
      <c r="AG30" s="1136"/>
      <c r="AH30" s="1169"/>
      <c r="AI30" s="1169"/>
      <c r="AJ30" s="1169"/>
      <c r="AK30" s="1169"/>
      <c r="AL30" s="1591"/>
      <c r="AM30" s="1591"/>
      <c r="AN30" s="1583">
        <f t="shared" si="4"/>
        <v>5</v>
      </c>
      <c r="AO30" s="1583"/>
      <c r="AP30" s="1583">
        <f t="shared" si="5"/>
        <v>2</v>
      </c>
      <c r="AQ30" s="1583"/>
      <c r="AR30" s="1583">
        <f t="shared" si="6"/>
        <v>1</v>
      </c>
      <c r="AS30" s="1592"/>
      <c r="AU30" s="1640"/>
      <c r="AV30" s="1641"/>
      <c r="AW30" s="1641"/>
      <c r="AX30" s="1641"/>
      <c r="AY30" s="1641"/>
      <c r="AZ30" s="1641"/>
      <c r="BA30" s="1642"/>
      <c r="BB30" s="1643"/>
      <c r="BC30" s="1087"/>
      <c r="BD30" s="1088"/>
      <c r="BE30" s="1088"/>
      <c r="BF30" s="1088"/>
      <c r="BG30" s="1088"/>
      <c r="BH30" s="1088"/>
      <c r="BI30" s="1088"/>
      <c r="BJ30" s="1094"/>
      <c r="BK30" s="1087"/>
      <c r="BL30" s="1088"/>
      <c r="BM30" s="1088"/>
      <c r="BN30" s="1089"/>
      <c r="BO30" s="1088"/>
      <c r="BP30" s="1088"/>
      <c r="BQ30" s="1088"/>
      <c r="BR30" s="1094"/>
    </row>
    <row r="31" spans="2:70" ht="18" customHeight="1">
      <c r="B31" s="1593" t="s">
        <v>59</v>
      </c>
      <c r="C31" s="1594"/>
      <c r="D31" s="1595" t="str">
        <f>IF(ISTEXT(IFERROR(VLOOKUP(人物卡!F31,人物卡!BJ18:BR22,1,FALSE),IFERROR(VLOOKUP(人物卡!F31,人物卡!BA18:BC22,1,FALSE),0))),"★",INDEX(本职技能!$A$2:$HX$76,MATCH(人物卡!F31,本职技能!$A$2:$A$75,0),MATCH(人物卡!$M$5,本职技能!$A$1:$HX$1,0)))</f>
        <v>☆</v>
      </c>
      <c r="E31" s="1596"/>
      <c r="F31" s="1569" t="s">
        <v>111</v>
      </c>
      <c r="G31" s="1616"/>
      <c r="H31" s="1617"/>
      <c r="I31" s="1570"/>
      <c r="J31" s="1306">
        <v>10</v>
      </c>
      <c r="K31" s="1307"/>
      <c r="L31" s="1569"/>
      <c r="M31" s="1570"/>
      <c r="N31" s="1569"/>
      <c r="O31" s="1570"/>
      <c r="P31" s="1653"/>
      <c r="Q31" s="1654"/>
      <c r="R31" s="1573">
        <f t="shared" si="7"/>
        <v>10</v>
      </c>
      <c r="S31" s="1574"/>
      <c r="T31" s="1306">
        <f t="shared" si="2"/>
        <v>5</v>
      </c>
      <c r="U31" s="1307"/>
      <c r="V31" s="1306">
        <f t="shared" si="3"/>
        <v>2</v>
      </c>
      <c r="W31" s="1601"/>
      <c r="X31" s="1602" t="s">
        <v>59</v>
      </c>
      <c r="Y31" s="1570"/>
      <c r="Z31" s="1595">
        <f>IF(ISTEXT(IFERROR(VLOOKUP(人物卡!AB31,人物卡!BJ18:BR22,1,FALSE),IFERROR(VLOOKUP(人物卡!AB31,人物卡!BA18:BC22,1,FALSE),0))),"★",INDEX(本职技能!$A$2:$HX$76,MATCH(人物卡!AB31,本职技能!$A$2:$A$75,0),MATCH(人物卡!$M$5,本职技能!$A$1:$HX$1,0)))</f>
        <v>0</v>
      </c>
      <c r="AA31" s="1596"/>
      <c r="AB31" s="1597" t="s">
        <v>112</v>
      </c>
      <c r="AC31" s="1598"/>
      <c r="AD31" s="1628"/>
      <c r="AE31" s="1629"/>
      <c r="AF31" s="1306">
        <f>IF(ISBLANK(AU34),IF(AD31="数学",10,1),IF(AD31=AU34,BA34,1))</f>
        <v>1</v>
      </c>
      <c r="AG31" s="1307"/>
      <c r="AH31" s="1569"/>
      <c r="AI31" s="1570"/>
      <c r="AJ31" s="1569"/>
      <c r="AK31" s="1570"/>
      <c r="AL31" s="1571"/>
      <c r="AM31" s="1572"/>
      <c r="AN31" s="1573">
        <f>AF31+AH31+AL31+AJ31</f>
        <v>1</v>
      </c>
      <c r="AO31" s="1574"/>
      <c r="AP31" s="1573">
        <f t="shared" si="5"/>
        <v>0</v>
      </c>
      <c r="AQ31" s="1574"/>
      <c r="AR31" s="1573">
        <f t="shared" si="6"/>
        <v>0</v>
      </c>
      <c r="AS31" s="1575"/>
      <c r="AU31" s="1649" t="s">
        <v>113</v>
      </c>
      <c r="AV31" s="1650"/>
      <c r="AW31" s="1650"/>
      <c r="AX31" s="1650"/>
      <c r="AY31" s="1650"/>
      <c r="AZ31" s="1650"/>
      <c r="BA31" s="1651" t="s">
        <v>89</v>
      </c>
      <c r="BB31" s="1652"/>
      <c r="BC31" s="1087"/>
      <c r="BD31" s="1088"/>
      <c r="BE31" s="1088"/>
      <c r="BF31" s="1088"/>
      <c r="BG31" s="1088"/>
      <c r="BH31" s="1088"/>
      <c r="BI31" s="1088"/>
      <c r="BJ31" s="1094"/>
      <c r="BK31" s="1087"/>
      <c r="BL31" s="1088"/>
      <c r="BM31" s="1088"/>
      <c r="BN31" s="1089"/>
      <c r="BO31" s="1088"/>
      <c r="BP31" s="1088"/>
      <c r="BQ31" s="1088"/>
      <c r="BR31" s="1094"/>
    </row>
    <row r="32" spans="2:70" ht="18" customHeight="1">
      <c r="B32" s="1576" t="s">
        <v>59</v>
      </c>
      <c r="C32" s="1577"/>
      <c r="D32" s="1578" t="str">
        <f>IF(ISTEXT(IFERROR(VLOOKUP(人物卡!F32,人物卡!BJ18:BR22,1,FALSE),IFERROR(VLOOKUP(人物卡!F32,人物卡!BA18:BC22,1,FALSE),0))),"★",INDEX(本职技能!$A$2:$HX$76,MATCH(人物卡!F32,本职技能!$A$2:$A$75,0),MATCH(人物卡!$M$5,本职技能!$A$1:$HX$1,0)))</f>
        <v>☆</v>
      </c>
      <c r="E32" s="1578"/>
      <c r="F32" s="1169" t="s">
        <v>114</v>
      </c>
      <c r="G32" s="1618"/>
      <c r="H32" s="1619"/>
      <c r="I32" s="1169"/>
      <c r="J32" s="1136">
        <v>1</v>
      </c>
      <c r="K32" s="1136"/>
      <c r="L32" s="1169"/>
      <c r="M32" s="1169"/>
      <c r="N32" s="1169"/>
      <c r="O32" s="1169"/>
      <c r="P32" s="1169"/>
      <c r="Q32" s="1169"/>
      <c r="R32" s="1583">
        <f t="shared" si="7"/>
        <v>1</v>
      </c>
      <c r="S32" s="1583"/>
      <c r="T32" s="1136">
        <f t="shared" si="2"/>
        <v>0</v>
      </c>
      <c r="U32" s="1136"/>
      <c r="V32" s="1136">
        <f t="shared" si="3"/>
        <v>0</v>
      </c>
      <c r="W32" s="1584"/>
      <c r="X32" s="1585" t="s">
        <v>59</v>
      </c>
      <c r="Y32" s="1169"/>
      <c r="Z32" s="1578">
        <f>IF(ISTEXT(IFERROR(VLOOKUP(人物卡!AB32,人物卡!BJ18:BR22,1,FALSE),IFERROR(VLOOKUP(人物卡!AB32,人物卡!BA18:BC22,1,FALSE),0))),"★",INDEX(本职技能!$A$2:$HX$76,MATCH(人物卡!AB32,本职技能!$A$2:$A$75,0),MATCH(人物卡!$M$5,本职技能!$A$1:$HX$1,0)))</f>
        <v>0</v>
      </c>
      <c r="AA32" s="1578"/>
      <c r="AB32" s="1579" t="s">
        <v>115</v>
      </c>
      <c r="AC32" s="1580"/>
      <c r="AD32" s="1647"/>
      <c r="AE32" s="1648"/>
      <c r="AF32" s="1136">
        <f>IF(ISBLANK(AU34),IF(AD32="数学",10,1),IF(AD32=AU34,BA34,1))</f>
        <v>1</v>
      </c>
      <c r="AG32" s="1136"/>
      <c r="AH32" s="1169"/>
      <c r="AI32" s="1169"/>
      <c r="AJ32" s="1169"/>
      <c r="AK32" s="1169"/>
      <c r="AL32" s="1591"/>
      <c r="AM32" s="1591"/>
      <c r="AN32" s="1583">
        <f>AL32+AJ32+AF32+AH32</f>
        <v>1</v>
      </c>
      <c r="AO32" s="1583"/>
      <c r="AP32" s="1583">
        <f t="shared" si="5"/>
        <v>0</v>
      </c>
      <c r="AQ32" s="1583"/>
      <c r="AR32" s="1583">
        <f t="shared" si="6"/>
        <v>0</v>
      </c>
      <c r="AS32" s="1592"/>
      <c r="AU32" s="1640"/>
      <c r="AV32" s="1641"/>
      <c r="AW32" s="1641"/>
      <c r="AX32" s="1641"/>
      <c r="AY32" s="1641"/>
      <c r="AZ32" s="1641"/>
      <c r="BA32" s="1642"/>
      <c r="BB32" s="1643"/>
      <c r="BC32" s="1087"/>
      <c r="BD32" s="1088"/>
      <c r="BE32" s="1088"/>
      <c r="BF32" s="1088"/>
      <c r="BG32" s="1088"/>
      <c r="BH32" s="1088"/>
      <c r="BI32" s="1088"/>
      <c r="BJ32" s="1094"/>
      <c r="BK32" s="1087"/>
      <c r="BL32" s="1088"/>
      <c r="BM32" s="1088"/>
      <c r="BN32" s="1089"/>
      <c r="BO32" s="1088"/>
      <c r="BP32" s="1088"/>
      <c r="BQ32" s="1088"/>
      <c r="BR32" s="1094"/>
    </row>
    <row r="33" spans="1:70" ht="18" customHeight="1">
      <c r="A33" s="1052"/>
      <c r="B33" s="1593" t="s">
        <v>59</v>
      </c>
      <c r="C33" s="1594"/>
      <c r="D33" s="1595" t="str">
        <f>IF(ISTEXT(IFERROR(VLOOKUP(人物卡!F33,人物卡!BJ18:BR22,1,FALSE),IFERROR(VLOOKUP(人物卡!F33,人物卡!BA18:BC22,1,FALSE),0))),"★",INDEX(本职技能!$A$2:$HX$76,MATCH(人物卡!F33,本职技能!$A$2:$A$75,0),MATCH(人物卡!$M$5,本职技能!$A$1:$HX$1,0)))</f>
        <v>☯</v>
      </c>
      <c r="E33" s="1596"/>
      <c r="F33" s="1569" t="s">
        <v>116</v>
      </c>
      <c r="G33" s="1616"/>
      <c r="H33" s="1617"/>
      <c r="I33" s="1570"/>
      <c r="J33" s="1306">
        <v>5</v>
      </c>
      <c r="K33" s="1307"/>
      <c r="L33" s="1569"/>
      <c r="M33" s="1570"/>
      <c r="N33" s="1569"/>
      <c r="O33" s="1570"/>
      <c r="P33" s="1569"/>
      <c r="Q33" s="1570"/>
      <c r="R33" s="1573">
        <f t="shared" si="7"/>
        <v>5</v>
      </c>
      <c r="S33" s="1574"/>
      <c r="T33" s="1306">
        <f t="shared" si="2"/>
        <v>2</v>
      </c>
      <c r="U33" s="1307"/>
      <c r="V33" s="1306">
        <f t="shared" si="3"/>
        <v>1</v>
      </c>
      <c r="W33" s="1601"/>
      <c r="X33" s="1602" t="s">
        <v>59</v>
      </c>
      <c r="Y33" s="1570"/>
      <c r="Z33" s="1595">
        <f>IF(ISTEXT(IFERROR(VLOOKUP(人物卡!AB33,人物卡!BJ18:BR22,1,FALSE),IFERROR(VLOOKUP(人物卡!AB33,人物卡!BA18:BC22,1,FALSE),0))),"★",INDEX(本职技能!$A$2:$HX$76,MATCH(人物卡!AB33,本职技能!$A$2:$A$75,0),MATCH(人物卡!$M$5,本职技能!$A$1:$HX$1,0)))</f>
        <v>0</v>
      </c>
      <c r="AA33" s="1596"/>
      <c r="AB33" s="1597" t="s">
        <v>117</v>
      </c>
      <c r="AC33" s="1598"/>
      <c r="AD33" s="1628"/>
      <c r="AE33" s="1629"/>
      <c r="AF33" s="1306">
        <f>IF(ISBLANK(AU34),IF(AD33="数学",10,1),IF(AD33=AU34,BA34,1))</f>
        <v>1</v>
      </c>
      <c r="AG33" s="1307"/>
      <c r="AH33" s="1569"/>
      <c r="AI33" s="1570"/>
      <c r="AJ33" s="1569"/>
      <c r="AK33" s="1570"/>
      <c r="AL33" s="1571"/>
      <c r="AM33" s="1572"/>
      <c r="AN33" s="1573">
        <f>AF33+AH33+AJ33+AL33</f>
        <v>1</v>
      </c>
      <c r="AO33" s="1574"/>
      <c r="AP33" s="1573">
        <f t="shared" si="5"/>
        <v>0</v>
      </c>
      <c r="AQ33" s="1574"/>
      <c r="AR33" s="1573">
        <f t="shared" si="6"/>
        <v>0</v>
      </c>
      <c r="AS33" s="1575"/>
      <c r="AU33" s="1649" t="s">
        <v>118</v>
      </c>
      <c r="AV33" s="1650"/>
      <c r="AW33" s="1650"/>
      <c r="AX33" s="1650"/>
      <c r="AY33" s="1650"/>
      <c r="AZ33" s="1650"/>
      <c r="BA33" s="1651" t="s">
        <v>89</v>
      </c>
      <c r="BB33" s="1652"/>
      <c r="BC33" s="1087"/>
      <c r="BD33" s="1088"/>
      <c r="BE33" s="1088"/>
      <c r="BF33" s="1088"/>
      <c r="BG33" s="1088"/>
      <c r="BH33" s="1088"/>
      <c r="BI33" s="1088"/>
      <c r="BJ33" s="1094"/>
      <c r="BK33" s="1087"/>
      <c r="BL33" s="1088"/>
      <c r="BM33" s="1088"/>
      <c r="BN33" s="1089"/>
      <c r="BO33" s="1088"/>
      <c r="BP33" s="1088"/>
      <c r="BQ33" s="1088"/>
      <c r="BR33" s="1094"/>
    </row>
    <row r="34" spans="1:70" ht="18" customHeight="1">
      <c r="A34" s="1052"/>
      <c r="B34" s="1576" t="s">
        <v>59</v>
      </c>
      <c r="C34" s="1577"/>
      <c r="D34" s="1578" t="str">
        <f>IF(ISTEXT(IFERROR(VLOOKUP(人物卡!F34,人物卡!BJ18:BR22,1,FALSE),IFERROR(VLOOKUP(人物卡!F34,人物卡!BA18:BC22,1,FALSE),0))),"★",INDEX(本职技能!$A$2:$HX$76,MATCH(人物卡!F34,本职技能!$A$2:$A$75,0),MATCH(人物卡!$M$5,本职技能!$A$1:$HX$1,0)))</f>
        <v>⊙</v>
      </c>
      <c r="E34" s="1578"/>
      <c r="F34" s="1579" t="s">
        <v>119</v>
      </c>
      <c r="G34" s="1580"/>
      <c r="H34" s="1623" t="s">
        <v>120</v>
      </c>
      <c r="I34" s="1624"/>
      <c r="J34" s="1136">
        <v>25</v>
      </c>
      <c r="K34" s="1136"/>
      <c r="L34" s="1169"/>
      <c r="M34" s="1169"/>
      <c r="N34" s="1169">
        <v>21</v>
      </c>
      <c r="O34" s="1169"/>
      <c r="P34" s="1169">
        <v>24</v>
      </c>
      <c r="Q34" s="1169"/>
      <c r="R34" s="1583">
        <f t="shared" si="7"/>
        <v>70</v>
      </c>
      <c r="S34" s="1583"/>
      <c r="T34" s="1136">
        <f t="shared" si="2"/>
        <v>35</v>
      </c>
      <c r="U34" s="1136"/>
      <c r="V34" s="1136">
        <f t="shared" si="3"/>
        <v>14</v>
      </c>
      <c r="W34" s="1584"/>
      <c r="X34" s="1585" t="s">
        <v>59</v>
      </c>
      <c r="Y34" s="1169"/>
      <c r="Z34" s="1578">
        <f>IF(ISTEXT(IFERROR(VLOOKUP(人物卡!AB34,人物卡!BJ18:BR22,1,FALSE),IFERROR(VLOOKUP(人物卡!AB34,人物卡!BA18:BC22,1,FALSE),0))),"★",INDEX(本职技能!$A$2:$HX$76,MATCH(人物卡!AB34,本职技能!$A$2:$A$75,0),MATCH(人物卡!$M$5,本职技能!$A$1:$HX$1,0)))</f>
        <v>0</v>
      </c>
      <c r="AA34" s="1578"/>
      <c r="AB34" s="1169" t="s">
        <v>121</v>
      </c>
      <c r="AC34" s="1169"/>
      <c r="AD34" s="1169"/>
      <c r="AE34" s="1169"/>
      <c r="AF34" s="1136">
        <v>10</v>
      </c>
      <c r="AG34" s="1136"/>
      <c r="AH34" s="1169"/>
      <c r="AI34" s="1169"/>
      <c r="AJ34" s="1169"/>
      <c r="AK34" s="1169"/>
      <c r="AL34" s="1591"/>
      <c r="AM34" s="1591"/>
      <c r="AN34" s="1583">
        <f t="shared" ref="AN34:AN49" si="8">SUM(AF34:AL34)</f>
        <v>10</v>
      </c>
      <c r="AO34" s="1583"/>
      <c r="AP34" s="1583">
        <f t="shared" si="5"/>
        <v>5</v>
      </c>
      <c r="AQ34" s="1583"/>
      <c r="AR34" s="1583">
        <f t="shared" si="6"/>
        <v>2</v>
      </c>
      <c r="AS34" s="1592"/>
      <c r="AU34" s="1640"/>
      <c r="AV34" s="1641"/>
      <c r="AW34" s="1641"/>
      <c r="AX34" s="1641"/>
      <c r="AY34" s="1641"/>
      <c r="AZ34" s="1641"/>
      <c r="BA34" s="1642"/>
      <c r="BB34" s="1643"/>
      <c r="BC34" s="1087"/>
      <c r="BD34" s="1088"/>
      <c r="BE34" s="1088"/>
      <c r="BF34" s="1088"/>
      <c r="BG34" s="1088"/>
      <c r="BH34" s="1088"/>
      <c r="BI34" s="1088"/>
      <c r="BJ34" s="1094"/>
      <c r="BK34" s="1090"/>
      <c r="BL34" s="1091"/>
      <c r="BM34" s="1091"/>
      <c r="BN34" s="1092"/>
      <c r="BO34" s="1091"/>
      <c r="BP34" s="1091"/>
      <c r="BQ34" s="1091"/>
      <c r="BR34" s="1095"/>
    </row>
    <row r="35" spans="1:70" ht="18" customHeight="1">
      <c r="A35" s="1052"/>
      <c r="B35" s="1593" t="s">
        <v>59</v>
      </c>
      <c r="C35" s="1594"/>
      <c r="D35" s="1595" t="str">
        <f>IF(ISTEXT(IFERROR(VLOOKUP(人物卡!F35,人物卡!BJ18:BR22,1,FALSE),IFERROR(VLOOKUP(人物卡!F35,人物卡!BA18:BC22,1,FALSE),0))),"★",INDEX(本职技能!$A$2:$HX$76,MATCH(人物卡!F35,本职技能!$A$2:$A$75,0),MATCH(人物卡!$M$5,本职技能!$A$1:$HX$1,0)))</f>
        <v>⊙</v>
      </c>
      <c r="E35" s="1596"/>
      <c r="F35" s="1597" t="s">
        <v>122</v>
      </c>
      <c r="G35" s="1598"/>
      <c r="H35" s="1599"/>
      <c r="I35" s="1600"/>
      <c r="J35" s="1306">
        <f>附表!C11</f>
        <v>0</v>
      </c>
      <c r="K35" s="1307"/>
      <c r="L35" s="1569"/>
      <c r="M35" s="1570"/>
      <c r="N35" s="1569"/>
      <c r="O35" s="1570"/>
      <c r="P35" s="1569"/>
      <c r="Q35" s="1570"/>
      <c r="R35" s="1573">
        <f>J35+L35+N35+P35</f>
        <v>0</v>
      </c>
      <c r="S35" s="1574"/>
      <c r="T35" s="1306">
        <f t="shared" si="2"/>
        <v>0</v>
      </c>
      <c r="U35" s="1307"/>
      <c r="V35" s="1306">
        <f t="shared" si="3"/>
        <v>0</v>
      </c>
      <c r="W35" s="1601"/>
      <c r="X35" s="1602" t="s">
        <v>59</v>
      </c>
      <c r="Y35" s="1570"/>
      <c r="Z35" s="1595">
        <f>IF(ISTEXT(IFERROR(VLOOKUP(人物卡!AB35,人物卡!BJ18:BR22,1,FALSE),IFERROR(VLOOKUP(人物卡!AB35,人物卡!BA18:BC22,1,FALSE),0))),"★",INDEX(本职技能!$A$2:$HX$76,MATCH(人物卡!AB35,本职技能!$A$2:$A$75,0),MATCH(人物卡!$M$5,本职技能!$A$1:$HX$1,0)))</f>
        <v>0</v>
      </c>
      <c r="AA35" s="1596"/>
      <c r="AB35" s="1569" t="s">
        <v>123</v>
      </c>
      <c r="AC35" s="1570"/>
      <c r="AD35" s="1570"/>
      <c r="AE35" s="1570"/>
      <c r="AF35" s="1306">
        <v>25</v>
      </c>
      <c r="AG35" s="1307"/>
      <c r="AH35" s="1569"/>
      <c r="AI35" s="1570"/>
      <c r="AJ35" s="1569"/>
      <c r="AK35" s="1570"/>
      <c r="AL35" s="1571"/>
      <c r="AM35" s="1572"/>
      <c r="AN35" s="1573">
        <f t="shared" si="8"/>
        <v>25</v>
      </c>
      <c r="AO35" s="1574"/>
      <c r="AP35" s="1573">
        <f t="shared" si="5"/>
        <v>12</v>
      </c>
      <c r="AQ35" s="1574"/>
      <c r="AR35" s="1573">
        <f t="shared" si="6"/>
        <v>5</v>
      </c>
      <c r="AS35" s="1575"/>
      <c r="AU35" s="1644" t="s">
        <v>124</v>
      </c>
      <c r="AV35" s="1645"/>
      <c r="AW35" s="1645"/>
      <c r="AX35" s="1645"/>
      <c r="AY35" s="1645"/>
      <c r="AZ35" s="1645"/>
      <c r="BA35" s="1645"/>
      <c r="BB35" s="1646"/>
      <c r="BC35" s="1087"/>
      <c r="BD35" s="1088"/>
      <c r="BE35" s="1088"/>
      <c r="BF35" s="1088"/>
      <c r="BG35" s="1088"/>
      <c r="BH35" s="1088"/>
      <c r="BI35" s="1088"/>
      <c r="BJ35" s="1094"/>
      <c r="BK35" s="1631" t="s">
        <v>125</v>
      </c>
      <c r="BL35" s="1632"/>
      <c r="BM35" s="1632"/>
      <c r="BN35" s="1632"/>
      <c r="BO35" s="1632"/>
      <c r="BP35" s="1632"/>
      <c r="BQ35" s="1632"/>
      <c r="BR35" s="1633"/>
    </row>
    <row r="36" spans="1:70" ht="18" customHeight="1">
      <c r="A36" s="1052"/>
      <c r="B36" s="1576" t="s">
        <v>59</v>
      </c>
      <c r="C36" s="1577"/>
      <c r="D36" s="1578" t="str">
        <f>IF(ISTEXT(IFERROR(VLOOKUP(F36,人物卡!BJ18:BR22,1,FALSE),IFERROR(VLOOKUP(F36,人物卡!BA18:BC22,1,FALSE),0))),"★",INDEX(本职技能!$A$2:$HX$76,MATCH(F36,本职技能!$A$2:$A$75,0),MATCH(人物卡!$M$5,本职技能!$A$1:$HX$1,0)))</f>
        <v>⊙</v>
      </c>
      <c r="E36" s="1578"/>
      <c r="F36" s="1579" t="s">
        <v>126</v>
      </c>
      <c r="G36" s="1580"/>
      <c r="H36" s="1623"/>
      <c r="I36" s="1624"/>
      <c r="J36" s="1136">
        <f>附表!C12</f>
        <v>0</v>
      </c>
      <c r="K36" s="1136"/>
      <c r="L36" s="1169"/>
      <c r="M36" s="1169"/>
      <c r="N36" s="1169"/>
      <c r="O36" s="1169"/>
      <c r="P36" s="1169"/>
      <c r="Q36" s="1169"/>
      <c r="R36" s="1583">
        <f>J36+L36+P36+N36</f>
        <v>0</v>
      </c>
      <c r="S36" s="1583"/>
      <c r="T36" s="1136">
        <f t="shared" si="2"/>
        <v>0</v>
      </c>
      <c r="U36" s="1136"/>
      <c r="V36" s="1136">
        <f t="shared" si="3"/>
        <v>0</v>
      </c>
      <c r="W36" s="1584"/>
      <c r="X36" s="1585" t="s">
        <v>59</v>
      </c>
      <c r="Y36" s="1169"/>
      <c r="Z36" s="1578" t="str">
        <f>IF(ISTEXT(IFERROR(VLOOKUP(人物卡!AB36,人物卡!BJ18:BR22,1,FALSE),IFERROR(VLOOKUP(人物卡!AB36,人物卡!BA18:BC22,1,FALSE),0))),"★",INDEX(本职技能!$A$2:$HX$76,MATCH(人物卡!AB36,本职技能!$A$2:$A$75,0),MATCH(人物卡!$M$5,本职技能!$A$1:$HX$1,0)))</f>
        <v>★</v>
      </c>
      <c r="AA36" s="1578"/>
      <c r="AB36" s="1169" t="s">
        <v>127</v>
      </c>
      <c r="AC36" s="1169"/>
      <c r="AD36" s="1169"/>
      <c r="AE36" s="1169"/>
      <c r="AF36" s="1136">
        <v>20</v>
      </c>
      <c r="AG36" s="1136"/>
      <c r="AH36" s="1169"/>
      <c r="AI36" s="1169"/>
      <c r="AJ36" s="1169">
        <v>40</v>
      </c>
      <c r="AK36" s="1169"/>
      <c r="AL36" s="1591"/>
      <c r="AM36" s="1591"/>
      <c r="AN36" s="1583">
        <f t="shared" si="8"/>
        <v>60</v>
      </c>
      <c r="AO36" s="1583"/>
      <c r="AP36" s="1583">
        <f t="shared" si="5"/>
        <v>30</v>
      </c>
      <c r="AQ36" s="1583"/>
      <c r="AR36" s="1583">
        <f t="shared" si="6"/>
        <v>12</v>
      </c>
      <c r="AS36" s="1592"/>
      <c r="AU36" s="1634" t="s">
        <v>128</v>
      </c>
      <c r="AV36" s="1635"/>
      <c r="AW36" s="1635"/>
      <c r="AX36" s="1635"/>
      <c r="AY36" s="1635"/>
      <c r="AZ36" s="1635"/>
      <c r="BA36" s="1635"/>
      <c r="BB36" s="1635"/>
      <c r="BC36" s="1087"/>
      <c r="BD36" s="1088"/>
      <c r="BE36" s="1088"/>
      <c r="BF36" s="1088"/>
      <c r="BG36" s="1088"/>
      <c r="BH36" s="1088"/>
      <c r="BI36" s="1088"/>
      <c r="BJ36" s="1094"/>
      <c r="BK36" s="1636" t="s">
        <v>129</v>
      </c>
      <c r="BL36" s="1637"/>
      <c r="BM36" s="1637"/>
      <c r="BN36" s="1637"/>
      <c r="BO36" s="1638" t="s">
        <v>130</v>
      </c>
      <c r="BP36" s="1637"/>
      <c r="BQ36" s="1637"/>
      <c r="BR36" s="1639"/>
    </row>
    <row r="37" spans="1:70" ht="18" customHeight="1">
      <c r="A37" s="1052"/>
      <c r="B37" s="1593" t="s">
        <v>59</v>
      </c>
      <c r="C37" s="1594"/>
      <c r="D37" s="1595" t="str">
        <f>IF(ISTEXT(IFERROR(VLOOKUP(F37,人物卡!BJ18:BR22,1,FALSE),IFERROR(VLOOKUP(F37,人物卡!BA18:BC22,1,FALSE),0))),"★",INDEX(本职技能!$A$2:$HX$76,MATCH(F37,本职技能!$A$2:$A$75,0),MATCH(人物卡!$M$5,本职技能!$A$1:$HX$1,0)))</f>
        <v>⊙</v>
      </c>
      <c r="E37" s="1596"/>
      <c r="F37" s="1597" t="s">
        <v>131</v>
      </c>
      <c r="G37" s="1598"/>
      <c r="H37" s="1599"/>
      <c r="I37" s="1600"/>
      <c r="J37" s="1306">
        <f>附表!C13</f>
        <v>0</v>
      </c>
      <c r="K37" s="1307"/>
      <c r="L37" s="1569"/>
      <c r="M37" s="1570"/>
      <c r="N37" s="1569"/>
      <c r="O37" s="1570"/>
      <c r="P37" s="1569"/>
      <c r="Q37" s="1570"/>
      <c r="R37" s="1573">
        <f>P37+N37+L37+J37</f>
        <v>0</v>
      </c>
      <c r="S37" s="1574"/>
      <c r="T37" s="1306">
        <f t="shared" si="2"/>
        <v>0</v>
      </c>
      <c r="U37" s="1307"/>
      <c r="V37" s="1306">
        <f t="shared" si="3"/>
        <v>0</v>
      </c>
      <c r="W37" s="1601"/>
      <c r="X37" s="1602" t="s">
        <v>59</v>
      </c>
      <c r="Y37" s="1570"/>
      <c r="Z37" s="1595">
        <f>IF(ISTEXT(IFERROR(VLOOKUP(人物卡!AB37,人物卡!BJ18:BR22,1,FALSE),IFERROR(VLOOKUP(人物卡!AB37,人物卡!BA18:BC22,1,FALSE),0))),"★",INDEX(本职技能!$A$2:$HX$76,MATCH(人物卡!AB37,本职技能!$A$2:$A$75,0),MATCH(人物卡!$M$5,本职技能!$A$1:$HX$1,0)))</f>
        <v>0</v>
      </c>
      <c r="AA37" s="1596"/>
      <c r="AB37" s="1597" t="s">
        <v>132</v>
      </c>
      <c r="AC37" s="1598"/>
      <c r="AD37" s="1628"/>
      <c r="AE37" s="1629"/>
      <c r="AF37" s="1306">
        <v>10</v>
      </c>
      <c r="AG37" s="1307"/>
      <c r="AH37" s="1569"/>
      <c r="AI37" s="1570"/>
      <c r="AJ37" s="1569"/>
      <c r="AK37" s="1570"/>
      <c r="AL37" s="1571"/>
      <c r="AM37" s="1572"/>
      <c r="AN37" s="1573">
        <f t="shared" si="8"/>
        <v>10</v>
      </c>
      <c r="AO37" s="1574"/>
      <c r="AP37" s="1573">
        <f t="shared" si="5"/>
        <v>5</v>
      </c>
      <c r="AQ37" s="1574"/>
      <c r="AR37" s="1573">
        <f t="shared" si="6"/>
        <v>2</v>
      </c>
      <c r="AS37" s="1575"/>
      <c r="AT37" s="395"/>
      <c r="AU37" s="1625"/>
      <c r="AV37" s="1626"/>
      <c r="AW37" s="1626"/>
      <c r="AX37" s="1626"/>
      <c r="AY37" s="1626"/>
      <c r="AZ37" s="1626"/>
      <c r="BA37" s="1626"/>
      <c r="BB37" s="1627"/>
      <c r="BC37" s="1090"/>
      <c r="BD37" s="1091"/>
      <c r="BE37" s="1091"/>
      <c r="BF37" s="1091"/>
      <c r="BG37" s="1091"/>
      <c r="BH37" s="1091"/>
      <c r="BI37" s="1091"/>
      <c r="BJ37" s="1095"/>
      <c r="BK37" s="1625"/>
      <c r="BL37" s="1626"/>
      <c r="BM37" s="1626"/>
      <c r="BN37" s="1626"/>
      <c r="BO37" s="1630"/>
      <c r="BP37" s="1626"/>
      <c r="BQ37" s="1626"/>
      <c r="BR37" s="1627"/>
    </row>
    <row r="38" spans="1:70" ht="18" customHeight="1">
      <c r="A38" s="1052"/>
      <c r="B38" s="1576" t="s">
        <v>59</v>
      </c>
      <c r="C38" s="1577"/>
      <c r="D38" s="1578" t="str">
        <f>IF(ISTEXT(IFERROR(VLOOKUP(人物卡!F38,人物卡!BJ18:BR22,1,FALSE),IFERROR(VLOOKUP(人物卡!F38,人物卡!BA18:BC22,1,FALSE),0))),"★",INDEX(本职技能!$A$2:$HX$76,MATCH(人物卡!F38,本职技能!$A$2:$A$75,0),MATCH(人物卡!$M$5,本职技能!$A$1:$HX$1,0)))</f>
        <v>⊙</v>
      </c>
      <c r="E38" s="1578"/>
      <c r="F38" s="1579" t="s">
        <v>133</v>
      </c>
      <c r="G38" s="1580"/>
      <c r="H38" s="1581" t="s">
        <v>134</v>
      </c>
      <c r="I38" s="1582"/>
      <c r="J38" s="1136">
        <v>20</v>
      </c>
      <c r="K38" s="1136"/>
      <c r="L38" s="1169"/>
      <c r="M38" s="1169"/>
      <c r="N38" s="1169">
        <v>50</v>
      </c>
      <c r="O38" s="1169"/>
      <c r="P38" s="1169"/>
      <c r="Q38" s="1169"/>
      <c r="R38" s="1583">
        <f>SUM(J38:P38)</f>
        <v>70</v>
      </c>
      <c r="S38" s="1583"/>
      <c r="T38" s="1136">
        <f t="shared" si="2"/>
        <v>35</v>
      </c>
      <c r="U38" s="1136"/>
      <c r="V38" s="1136">
        <f t="shared" si="3"/>
        <v>14</v>
      </c>
      <c r="W38" s="1584"/>
      <c r="X38" s="1585" t="s">
        <v>59</v>
      </c>
      <c r="Y38" s="1169"/>
      <c r="Z38" s="1578">
        <f>IF(ISTEXT(IFERROR(VLOOKUP(人物卡!AB38,人物卡!BJ18:BR22,1,FALSE),IFERROR(VLOOKUP(人物卡!AB38,人物卡!BA18:BC22,1,FALSE),0))),"★",INDEX(本职技能!$A$2:$HX$76,MATCH(人物卡!AB38,本职技能!$A$2:$A$75,0),MATCH(人物卡!$M$5,本职技能!$A$1:$HX$1,0)))</f>
        <v>0</v>
      </c>
      <c r="AA38" s="1578"/>
      <c r="AB38" s="1169" t="s">
        <v>135</v>
      </c>
      <c r="AC38" s="1618"/>
      <c r="AD38" s="1619"/>
      <c r="AE38" s="1169"/>
      <c r="AF38" s="1136">
        <v>20</v>
      </c>
      <c r="AG38" s="1136"/>
      <c r="AH38" s="1169"/>
      <c r="AI38" s="1169"/>
      <c r="AJ38" s="1169"/>
      <c r="AK38" s="1169"/>
      <c r="AL38" s="1591"/>
      <c r="AM38" s="1591"/>
      <c r="AN38" s="1583">
        <f t="shared" si="8"/>
        <v>20</v>
      </c>
      <c r="AO38" s="1583"/>
      <c r="AP38" s="1583">
        <f t="shared" si="5"/>
        <v>10</v>
      </c>
      <c r="AQ38" s="1583"/>
      <c r="AR38" s="1583">
        <f t="shared" si="6"/>
        <v>4</v>
      </c>
      <c r="AS38" s="1592"/>
      <c r="AT38" s="395"/>
      <c r="AU38" s="1253" t="s">
        <v>136</v>
      </c>
      <c r="AV38" s="1206" t="str">
        <f>IF(M5=0," ",""&amp;LOOKUP(M5,职业列表!A2:A232,职业列表!K2:K232))</f>
        <v>保释业者，本地警察，线人。</v>
      </c>
      <c r="AW38" s="1207"/>
      <c r="AX38" s="1207"/>
      <c r="AY38" s="1207"/>
      <c r="AZ38" s="1207"/>
      <c r="BA38" s="1207"/>
      <c r="BB38" s="1207"/>
      <c r="BC38" s="1207"/>
      <c r="BD38" s="1207"/>
      <c r="BE38" s="1207"/>
      <c r="BF38" s="1207"/>
      <c r="BG38" s="1207"/>
      <c r="BH38" s="1207"/>
      <c r="BI38" s="1207"/>
      <c r="BJ38" s="1207"/>
      <c r="BK38" s="1207"/>
      <c r="BL38" s="1207"/>
      <c r="BM38" s="1207"/>
      <c r="BN38" s="1207"/>
      <c r="BO38" s="1207"/>
      <c r="BP38" s="1207"/>
      <c r="BQ38" s="1207"/>
      <c r="BR38" s="1208"/>
    </row>
    <row r="39" spans="1:70" ht="18" customHeight="1">
      <c r="B39" s="1593" t="s">
        <v>59</v>
      </c>
      <c r="C39" s="1594"/>
      <c r="D39" s="1595" t="str">
        <f>IF(ISTEXT(IFERROR(VLOOKUP(人物卡!F39,人物卡!BJ18:BR22,1,FALSE),IFERROR(VLOOKUP(人物卡!F39,人物卡!BA18:BC22,1,FALSE),0))),"★",INDEX(本职技能!$A$2:$HX$76,MATCH(人物卡!F39,本职技能!$A$2:$A$75,0),MATCH(人物卡!$M$5,本职技能!$A$1:$HX$1,0)))</f>
        <v>⊙</v>
      </c>
      <c r="E39" s="1596"/>
      <c r="F39" s="1597" t="s">
        <v>137</v>
      </c>
      <c r="G39" s="1598"/>
      <c r="H39" s="1599"/>
      <c r="I39" s="1600"/>
      <c r="J39" s="1306">
        <f>附表!E11</f>
        <v>0</v>
      </c>
      <c r="K39" s="1307"/>
      <c r="L39" s="1569"/>
      <c r="M39" s="1570"/>
      <c r="N39" s="1569"/>
      <c r="O39" s="1570"/>
      <c r="P39" s="1569"/>
      <c r="Q39" s="1570"/>
      <c r="R39" s="1573">
        <f>P39+N39+L39+J39</f>
        <v>0</v>
      </c>
      <c r="S39" s="1574"/>
      <c r="T39" s="1306">
        <f t="shared" si="2"/>
        <v>0</v>
      </c>
      <c r="U39" s="1307"/>
      <c r="V39" s="1306">
        <f t="shared" si="3"/>
        <v>0</v>
      </c>
      <c r="W39" s="1601"/>
      <c r="X39" s="1602" t="s">
        <v>59</v>
      </c>
      <c r="Y39" s="1570"/>
      <c r="Z39" s="1595">
        <f>IF(ISTEXT(IFERROR(VLOOKUP(人物卡!AB39,人物卡!BJ18:BR22,1,FALSE),IFERROR(VLOOKUP(人物卡!AB39,人物卡!BA18:BC22,1,FALSE),0))),"★",INDEX(本职技能!$A$2:$HX$76,MATCH(人物卡!AB39,本职技能!$A$2:$A$75,0),MATCH(人物卡!$M$5,本职技能!$A$1:$HX$1,0)))</f>
        <v>0</v>
      </c>
      <c r="AA39" s="1596"/>
      <c r="AB39" s="1569" t="s">
        <v>138</v>
      </c>
      <c r="AC39" s="1616"/>
      <c r="AD39" s="1617"/>
      <c r="AE39" s="1570"/>
      <c r="AF39" s="1306">
        <v>20</v>
      </c>
      <c r="AG39" s="1307"/>
      <c r="AH39" s="1569"/>
      <c r="AI39" s="1570"/>
      <c r="AJ39" s="1569"/>
      <c r="AK39" s="1570"/>
      <c r="AL39" s="1571"/>
      <c r="AM39" s="1572"/>
      <c r="AN39" s="1573">
        <f t="shared" si="8"/>
        <v>20</v>
      </c>
      <c r="AO39" s="1574"/>
      <c r="AP39" s="1573">
        <f t="shared" si="5"/>
        <v>10</v>
      </c>
      <c r="AQ39" s="1574"/>
      <c r="AR39" s="1573">
        <f t="shared" si="6"/>
        <v>4</v>
      </c>
      <c r="AS39" s="1575"/>
      <c r="AT39" s="395"/>
      <c r="AU39" s="1254"/>
      <c r="AV39" s="1209"/>
      <c r="AW39" s="1209"/>
      <c r="AX39" s="1209"/>
      <c r="AY39" s="1209"/>
      <c r="AZ39" s="1209"/>
      <c r="BA39" s="1209"/>
      <c r="BB39" s="1209"/>
      <c r="BC39" s="1209"/>
      <c r="BD39" s="1209"/>
      <c r="BE39" s="1209"/>
      <c r="BF39" s="1209"/>
      <c r="BG39" s="1209"/>
      <c r="BH39" s="1209"/>
      <c r="BI39" s="1209"/>
      <c r="BJ39" s="1209"/>
      <c r="BK39" s="1209"/>
      <c r="BL39" s="1209"/>
      <c r="BM39" s="1209"/>
      <c r="BN39" s="1209"/>
      <c r="BO39" s="1209"/>
      <c r="BP39" s="1209"/>
      <c r="BQ39" s="1209"/>
      <c r="BR39" s="1210"/>
    </row>
    <row r="40" spans="1:70" ht="18" customHeight="1">
      <c r="B40" s="1576" t="s">
        <v>59</v>
      </c>
      <c r="C40" s="1577"/>
      <c r="D40" s="1578" t="str">
        <f>IF(ISTEXT(IFERROR(VLOOKUP(F40,人物卡!BJ18:BR22,1,FALSE),IFERROR(VLOOKUP(F40,人物卡!BA18:BC22,1,FALSE),0))),"★",INDEX(本职技能!$A$2:$HX$76,MATCH(F40,本职技能!$A$2:$A$75,0),MATCH(人物卡!$M$5,本职技能!$A$1:$HX$1,0)))</f>
        <v>⊙</v>
      </c>
      <c r="E40" s="1578"/>
      <c r="F40" s="1579" t="s">
        <v>139</v>
      </c>
      <c r="G40" s="1580"/>
      <c r="H40" s="1623"/>
      <c r="I40" s="1624"/>
      <c r="J40" s="1136">
        <f>附表!E12</f>
        <v>0</v>
      </c>
      <c r="K40" s="1136"/>
      <c r="L40" s="1169"/>
      <c r="M40" s="1169"/>
      <c r="N40" s="1169"/>
      <c r="O40" s="1169"/>
      <c r="P40" s="1169"/>
      <c r="Q40" s="1169"/>
      <c r="R40" s="1583">
        <f>P40+N40+L40+J40</f>
        <v>0</v>
      </c>
      <c r="S40" s="1583"/>
      <c r="T40" s="1136">
        <f t="shared" si="2"/>
        <v>0</v>
      </c>
      <c r="U40" s="1136"/>
      <c r="V40" s="1136">
        <f t="shared" si="3"/>
        <v>0</v>
      </c>
      <c r="W40" s="1584"/>
      <c r="X40" s="1585" t="s">
        <v>59</v>
      </c>
      <c r="Y40" s="1169"/>
      <c r="Z40" s="1578" t="str">
        <f>IF(ISTEXT(IFERROR(VLOOKUP(人物卡!AB40,人物卡!BJ18:BR22,1,FALSE),IFERROR(VLOOKUP(人物卡!AB40,人物卡!BA18:BC22,1,FALSE),0))),"★",INDEX(本职技能!$A$2:$HX$76,MATCH(人物卡!AB40,本职技能!$A$2:$A$75,0),MATCH(人物卡!$M$5,本职技能!$A$1:$HX$1,0)))</f>
        <v>★</v>
      </c>
      <c r="AA40" s="1578"/>
      <c r="AB40" s="1169" t="s">
        <v>140</v>
      </c>
      <c r="AC40" s="1618"/>
      <c r="AD40" s="1619"/>
      <c r="AE40" s="1169"/>
      <c r="AF40" s="1136">
        <v>10</v>
      </c>
      <c r="AG40" s="1136"/>
      <c r="AH40" s="1169"/>
      <c r="AI40" s="1169"/>
      <c r="AJ40" s="1169">
        <v>40</v>
      </c>
      <c r="AK40" s="1169"/>
      <c r="AL40" s="1591"/>
      <c r="AM40" s="1591"/>
      <c r="AN40" s="1583">
        <f t="shared" si="8"/>
        <v>50</v>
      </c>
      <c r="AO40" s="1583"/>
      <c r="AP40" s="1583">
        <f t="shared" si="5"/>
        <v>25</v>
      </c>
      <c r="AQ40" s="1583"/>
      <c r="AR40" s="1583">
        <f t="shared" si="6"/>
        <v>10</v>
      </c>
      <c r="AS40" s="1592"/>
      <c r="AT40" s="395"/>
      <c r="AU40" s="1254"/>
      <c r="AV40" s="1209"/>
      <c r="AW40" s="1209"/>
      <c r="AX40" s="1209"/>
      <c r="AY40" s="1209"/>
      <c r="AZ40" s="1209"/>
      <c r="BA40" s="1209"/>
      <c r="BB40" s="1209"/>
      <c r="BC40" s="1209"/>
      <c r="BD40" s="1209"/>
      <c r="BE40" s="1209"/>
      <c r="BF40" s="1209"/>
      <c r="BG40" s="1209"/>
      <c r="BH40" s="1209"/>
      <c r="BI40" s="1209"/>
      <c r="BJ40" s="1209"/>
      <c r="BK40" s="1209"/>
      <c r="BL40" s="1209"/>
      <c r="BM40" s="1209"/>
      <c r="BN40" s="1209"/>
      <c r="BO40" s="1209"/>
      <c r="BP40" s="1209"/>
      <c r="BQ40" s="1209"/>
      <c r="BR40" s="1210"/>
    </row>
    <row r="41" spans="1:70" ht="18" customHeight="1">
      <c r="B41" s="1593" t="s">
        <v>59</v>
      </c>
      <c r="C41" s="1594"/>
      <c r="D41" s="1595" t="str">
        <f>IF(ISTEXT(IFERROR(VLOOKUP(F41,人物卡!BJ18:BR22,1,FALSE),IFERROR(VLOOKUP(F41,人物卡!BA18:BC22,1,FALSE),0))),"★",INDEX(本职技能!$A$2:$HX$76,MATCH(F41,本职技能!$A$2:$A$75,0),MATCH(人物卡!$M$5,本职技能!$A$1:$HX$1,0)))</f>
        <v>⊙</v>
      </c>
      <c r="E41" s="1596"/>
      <c r="F41" s="1597" t="s">
        <v>141</v>
      </c>
      <c r="G41" s="1598"/>
      <c r="H41" s="1621"/>
      <c r="I41" s="1622"/>
      <c r="J41" s="1306">
        <f>附表!E13</f>
        <v>0</v>
      </c>
      <c r="K41" s="1307"/>
      <c r="L41" s="1569"/>
      <c r="M41" s="1570"/>
      <c r="N41" s="1569"/>
      <c r="O41" s="1570"/>
      <c r="P41" s="1569"/>
      <c r="Q41" s="1570"/>
      <c r="R41" s="1573">
        <f>P41+N41+L41+J41</f>
        <v>0</v>
      </c>
      <c r="S41" s="1574"/>
      <c r="T41" s="1306">
        <f t="shared" si="2"/>
        <v>0</v>
      </c>
      <c r="U41" s="1307"/>
      <c r="V41" s="1306">
        <f t="shared" si="3"/>
        <v>0</v>
      </c>
      <c r="W41" s="1601"/>
      <c r="X41" s="1602" t="s">
        <v>59</v>
      </c>
      <c r="Y41" s="1570"/>
      <c r="Z41" s="1595">
        <f>IF(ISTEXT(IFERROR(VLOOKUP(人物卡!AB41,人物卡!BJ18:BR22,1,FALSE),IFERROR(VLOOKUP(人物卡!AB41,人物卡!BA18:BC22,1,FALSE),0))),"★",INDEX(本职技能!$A$2:$HX$76,MATCH(人物卡!AB41,本职技能!$A$2:$A$75,0),MATCH(人物卡!$M$5,本职技能!$A$1:$HX$1,0)))</f>
        <v>0</v>
      </c>
      <c r="AA41" s="1596"/>
      <c r="AB41" s="1609" t="s">
        <v>142</v>
      </c>
      <c r="AC41" s="1610"/>
      <c r="AD41" s="1611"/>
      <c r="AE41" s="1612"/>
      <c r="AF41" s="1306">
        <v>5</v>
      </c>
      <c r="AG41" s="1307"/>
      <c r="AH41" s="1569"/>
      <c r="AI41" s="1570"/>
      <c r="AJ41" s="1569"/>
      <c r="AK41" s="1570"/>
      <c r="AL41" s="1571"/>
      <c r="AM41" s="1572"/>
      <c r="AN41" s="1573">
        <f t="shared" si="8"/>
        <v>5</v>
      </c>
      <c r="AO41" s="1574"/>
      <c r="AP41" s="1573">
        <f t="shared" si="5"/>
        <v>2</v>
      </c>
      <c r="AQ41" s="1574"/>
      <c r="AR41" s="1573">
        <f t="shared" si="6"/>
        <v>1</v>
      </c>
      <c r="AS41" s="1575"/>
      <c r="AT41" s="395"/>
      <c r="AU41" s="1254"/>
      <c r="AV41" s="1209"/>
      <c r="AW41" s="1209"/>
      <c r="AX41" s="1209"/>
      <c r="AY41" s="1209"/>
      <c r="AZ41" s="1209"/>
      <c r="BA41" s="1209"/>
      <c r="BB41" s="1209"/>
      <c r="BC41" s="1209"/>
      <c r="BD41" s="1209"/>
      <c r="BE41" s="1209"/>
      <c r="BF41" s="1209"/>
      <c r="BG41" s="1209"/>
      <c r="BH41" s="1209"/>
      <c r="BI41" s="1209"/>
      <c r="BJ41" s="1209"/>
      <c r="BK41" s="1209"/>
      <c r="BL41" s="1209"/>
      <c r="BM41" s="1209"/>
      <c r="BN41" s="1209"/>
      <c r="BO41" s="1209"/>
      <c r="BP41" s="1209"/>
      <c r="BQ41" s="1209"/>
      <c r="BR41" s="1210"/>
    </row>
    <row r="42" spans="1:70" ht="18" customHeight="1">
      <c r="B42" s="1576" t="s">
        <v>59</v>
      </c>
      <c r="C42" s="1577"/>
      <c r="D42" s="1578">
        <f>IF(ISTEXT(IFERROR(VLOOKUP(人物卡!F42,人物卡!BJ18:BR22,1,FALSE),IFERROR(VLOOKUP(人物卡!F42,人物卡!BA18:BC22,1,FALSE),0))),"★",INDEX(本职技能!$A$2:$HX$76,MATCH(人物卡!F42,本职技能!$A$2:$A$75,0),MATCH(人物卡!$M$5,本职技能!$A$1:$HX$1,0)))</f>
        <v>0</v>
      </c>
      <c r="E42" s="1578"/>
      <c r="F42" s="1169" t="s">
        <v>143</v>
      </c>
      <c r="G42" s="1618"/>
      <c r="H42" s="1619"/>
      <c r="I42" s="1169"/>
      <c r="J42" s="1620">
        <v>30</v>
      </c>
      <c r="K42" s="1620"/>
      <c r="L42" s="1169"/>
      <c r="M42" s="1169"/>
      <c r="N42" s="1169"/>
      <c r="O42" s="1169"/>
      <c r="P42" s="1169">
        <v>50</v>
      </c>
      <c r="Q42" s="1169"/>
      <c r="R42" s="1583">
        <f t="shared" ref="R42:R49" si="9">SUM(J42:P42)</f>
        <v>80</v>
      </c>
      <c r="S42" s="1583"/>
      <c r="T42" s="1136">
        <f t="shared" si="2"/>
        <v>40</v>
      </c>
      <c r="U42" s="1136"/>
      <c r="V42" s="1136">
        <f t="shared" si="3"/>
        <v>16</v>
      </c>
      <c r="W42" s="1584"/>
      <c r="X42" s="1585" t="s">
        <v>59</v>
      </c>
      <c r="Y42" s="1169"/>
      <c r="Z42" s="1578">
        <f>IF(ISTEXT(IFERROR(VLOOKUP(人物卡!AB42,人物卡!BJ18:BR22,1,FALSE),IFERROR(VLOOKUP(人物卡!AB42,人物卡!BA18:BC22,1,FALSE),0))),"★",INDEX(本职技能!$A$2:$HX$76,MATCH(人物卡!AB42,本职技能!$A$2:$A$75,0),MATCH(人物卡!$M$5,本职技能!$A$1:$HX$1,0)))</f>
        <v>0</v>
      </c>
      <c r="AA42" s="1578"/>
      <c r="AB42" s="1613" t="s">
        <v>144</v>
      </c>
      <c r="AC42" s="1614"/>
      <c r="AD42" s="1615"/>
      <c r="AE42" s="1613"/>
      <c r="AF42" s="1136">
        <v>1</v>
      </c>
      <c r="AG42" s="1136"/>
      <c r="AH42" s="1169"/>
      <c r="AI42" s="1169"/>
      <c r="AJ42" s="1169"/>
      <c r="AK42" s="1169"/>
      <c r="AL42" s="1591"/>
      <c r="AM42" s="1591"/>
      <c r="AN42" s="1583">
        <f t="shared" si="8"/>
        <v>1</v>
      </c>
      <c r="AO42" s="1583"/>
      <c r="AP42" s="1583">
        <f t="shared" si="5"/>
        <v>0</v>
      </c>
      <c r="AQ42" s="1583"/>
      <c r="AR42" s="1583">
        <f t="shared" si="6"/>
        <v>0</v>
      </c>
      <c r="AS42" s="1592"/>
      <c r="AT42" s="395"/>
      <c r="AU42" s="1255"/>
      <c r="AV42" s="1211"/>
      <c r="AW42" s="1211"/>
      <c r="AX42" s="1211"/>
      <c r="AY42" s="1211"/>
      <c r="AZ42" s="1211"/>
      <c r="BA42" s="1211"/>
      <c r="BB42" s="1211"/>
      <c r="BC42" s="1211"/>
      <c r="BD42" s="1211"/>
      <c r="BE42" s="1211"/>
      <c r="BF42" s="1211"/>
      <c r="BG42" s="1211"/>
      <c r="BH42" s="1211"/>
      <c r="BI42" s="1211"/>
      <c r="BJ42" s="1211"/>
      <c r="BK42" s="1211"/>
      <c r="BL42" s="1211"/>
      <c r="BM42" s="1211"/>
      <c r="BN42" s="1211"/>
      <c r="BO42" s="1211"/>
      <c r="BP42" s="1211"/>
      <c r="BQ42" s="1211"/>
      <c r="BR42" s="1212"/>
    </row>
    <row r="43" spans="1:70" ht="18" customHeight="1">
      <c r="B43" s="1593" t="s">
        <v>59</v>
      </c>
      <c r="C43" s="1594"/>
      <c r="D43" s="1595">
        <f>IF(ISTEXT(IFERROR(VLOOKUP(人物卡!F43,人物卡!BJ18:BR22,1,FALSE),IFERROR(VLOOKUP(人物卡!F43,人物卡!BA18:BC22,1,FALSE),0))),"★",INDEX(本职技能!$A$2:$HX$76,MATCH(人物卡!F43,本职技能!$A$2:$A$75,0),MATCH(人物卡!$M$5,本职技能!$A$1:$HX$1,0)))</f>
        <v>0</v>
      </c>
      <c r="E43" s="1596"/>
      <c r="F43" s="1569" t="s">
        <v>145</v>
      </c>
      <c r="G43" s="1616"/>
      <c r="H43" s="1617"/>
      <c r="I43" s="1570"/>
      <c r="J43" s="1306">
        <v>5</v>
      </c>
      <c r="K43" s="1307"/>
      <c r="L43" s="1569"/>
      <c r="M43" s="1570"/>
      <c r="N43" s="1569"/>
      <c r="O43" s="1570"/>
      <c r="P43" s="1569"/>
      <c r="Q43" s="1570"/>
      <c r="R43" s="1573">
        <f t="shared" si="9"/>
        <v>5</v>
      </c>
      <c r="S43" s="1574"/>
      <c r="T43" s="1306">
        <f t="shared" si="2"/>
        <v>2</v>
      </c>
      <c r="U43" s="1307"/>
      <c r="V43" s="1306">
        <f t="shared" si="3"/>
        <v>1</v>
      </c>
      <c r="W43" s="1601"/>
      <c r="X43" s="1602" t="s">
        <v>59</v>
      </c>
      <c r="Y43" s="1570"/>
      <c r="Z43" s="1595">
        <f>IF(ISTEXT(IFERROR(VLOOKUP(人物卡!AB43,人物卡!BJ18:BR22,1,FALSE),IFERROR(VLOOKUP(人物卡!AB43,人物卡!BA18:BC22,1,FALSE),0))),"★",INDEX(本职技能!$A$2:$HX$76,MATCH(人物卡!AB43,本职技能!$A$2:$A$75,0),MATCH(人物卡!$M$5,本职技能!$A$1:$HX$1,0)))</f>
        <v>0</v>
      </c>
      <c r="AA43" s="1596"/>
      <c r="AB43" s="1609" t="s">
        <v>146</v>
      </c>
      <c r="AC43" s="1610"/>
      <c r="AD43" s="1611"/>
      <c r="AE43" s="1612"/>
      <c r="AF43" s="1306">
        <v>1</v>
      </c>
      <c r="AG43" s="1307"/>
      <c r="AH43" s="1569"/>
      <c r="AI43" s="1570"/>
      <c r="AJ43" s="1569"/>
      <c r="AK43" s="1570"/>
      <c r="AL43" s="1571"/>
      <c r="AM43" s="1572"/>
      <c r="AN43" s="1573">
        <f t="shared" si="8"/>
        <v>1</v>
      </c>
      <c r="AO43" s="1574"/>
      <c r="AP43" s="1573">
        <f t="shared" si="5"/>
        <v>0</v>
      </c>
      <c r="AQ43" s="1574"/>
      <c r="AR43" s="1573">
        <f t="shared" si="6"/>
        <v>0</v>
      </c>
      <c r="AS43" s="1575"/>
      <c r="AT43" s="395"/>
      <c r="AU43" s="1509" t="s">
        <v>147</v>
      </c>
      <c r="AV43" s="1510"/>
      <c r="AW43" s="1510"/>
      <c r="AX43" s="1510"/>
      <c r="AY43" s="1510"/>
      <c r="AZ43" s="1510"/>
      <c r="BA43" s="1510"/>
      <c r="BB43" s="1510"/>
      <c r="BC43" s="1510"/>
      <c r="BD43" s="1510"/>
      <c r="BE43" s="1510"/>
      <c r="BF43" s="1510"/>
      <c r="BG43" s="1510"/>
      <c r="BH43" s="1510"/>
      <c r="BI43" s="1510"/>
      <c r="BJ43" s="1510"/>
      <c r="BK43" s="1510"/>
      <c r="BL43" s="1510"/>
      <c r="BM43" s="1510"/>
      <c r="BN43" s="1510"/>
      <c r="BO43" s="1510"/>
      <c r="BP43" s="1510"/>
      <c r="BQ43" s="1510"/>
      <c r="BR43" s="1511"/>
    </row>
    <row r="44" spans="1:70" ht="18" customHeight="1">
      <c r="B44" s="1576" t="s">
        <v>59</v>
      </c>
      <c r="C44" s="1577"/>
      <c r="D44" s="1578" t="str">
        <f>IF(ISTEXT(IFERROR(VLOOKUP(人物卡!F44,人物卡!BJ18:BR22,1,FALSE),IFERROR(VLOOKUP(人物卡!F44,人物卡!BA18:BC22,1,FALSE),0))),"★",INDEX(本职技能!$A$2:$HX$76,MATCH(人物卡!F44,本职技能!$A$2:$A$75,0),MATCH(人物卡!$M$5,本职技能!$A$1:$HX$1,0)))</f>
        <v>☯</v>
      </c>
      <c r="E44" s="1578"/>
      <c r="F44" s="1169" t="s">
        <v>148</v>
      </c>
      <c r="G44" s="1618"/>
      <c r="H44" s="1619"/>
      <c r="I44" s="1169"/>
      <c r="J44" s="1136">
        <v>15</v>
      </c>
      <c r="K44" s="1136"/>
      <c r="L44" s="1169"/>
      <c r="M44" s="1169"/>
      <c r="N44" s="1169"/>
      <c r="O44" s="1169"/>
      <c r="P44" s="1169">
        <v>35</v>
      </c>
      <c r="Q44" s="1169"/>
      <c r="R44" s="1583">
        <f t="shared" si="9"/>
        <v>50</v>
      </c>
      <c r="S44" s="1583"/>
      <c r="T44" s="1136">
        <f t="shared" si="2"/>
        <v>25</v>
      </c>
      <c r="U44" s="1136"/>
      <c r="V44" s="1136">
        <f t="shared" si="3"/>
        <v>10</v>
      </c>
      <c r="W44" s="1584"/>
      <c r="X44" s="1585" t="s">
        <v>59</v>
      </c>
      <c r="Y44" s="1169"/>
      <c r="Z44" s="1578">
        <f>IF(ISTEXT(IFERROR(VLOOKUP(人物卡!AB44,人物卡!BJ18:BR22,1,FALSE),IFERROR(VLOOKUP(人物卡!AB44,人物卡!BA18:BC22,1,FALSE),0))),"★",INDEX(本职技能!$A$2:$HX$76,MATCH(人物卡!AB44,本职技能!$A$2:$A$75,0),MATCH(人物卡!$M$5,本职技能!$A$1:$HX$1,0)))</f>
        <v>0</v>
      </c>
      <c r="AA44" s="1578"/>
      <c r="AB44" s="1613" t="s">
        <v>149</v>
      </c>
      <c r="AC44" s="1614"/>
      <c r="AD44" s="1615"/>
      <c r="AE44" s="1613"/>
      <c r="AF44" s="1136">
        <v>1</v>
      </c>
      <c r="AG44" s="1136"/>
      <c r="AH44" s="1169"/>
      <c r="AI44" s="1169"/>
      <c r="AJ44" s="1169"/>
      <c r="AK44" s="1169"/>
      <c r="AL44" s="1591"/>
      <c r="AM44" s="1591"/>
      <c r="AN44" s="1583">
        <f t="shared" si="8"/>
        <v>1</v>
      </c>
      <c r="AO44" s="1583"/>
      <c r="AP44" s="1583">
        <f t="shared" si="5"/>
        <v>0</v>
      </c>
      <c r="AQ44" s="1583"/>
      <c r="AR44" s="1583">
        <f t="shared" si="6"/>
        <v>0</v>
      </c>
      <c r="AS44" s="1592"/>
      <c r="AT44" s="395"/>
      <c r="AU44" s="1174" t="str">
        <f>IF(M5=0," ",""&amp;LOOKUP(M5,职业列表!A2:A232,职业列表!M2:M232))</f>
        <v>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v>
      </c>
      <c r="AV44" s="1175"/>
      <c r="AW44" s="1175"/>
      <c r="AX44" s="1175"/>
      <c r="AY44" s="1175"/>
      <c r="AZ44" s="1175"/>
      <c r="BA44" s="1175"/>
      <c r="BB44" s="1175"/>
      <c r="BC44" s="1175"/>
      <c r="BD44" s="1175"/>
      <c r="BE44" s="1175"/>
      <c r="BF44" s="1175"/>
      <c r="BG44" s="1175"/>
      <c r="BH44" s="1175"/>
      <c r="BI44" s="1175"/>
      <c r="BJ44" s="1175"/>
      <c r="BK44" s="1175"/>
      <c r="BL44" s="1175"/>
      <c r="BM44" s="1175"/>
      <c r="BN44" s="1175"/>
      <c r="BO44" s="1175"/>
      <c r="BP44" s="1175"/>
      <c r="BQ44" s="1175"/>
      <c r="BR44" s="1176"/>
    </row>
    <row r="45" spans="1:70" ht="18" customHeight="1">
      <c r="B45" s="1593" t="s">
        <v>59</v>
      </c>
      <c r="C45" s="1594"/>
      <c r="D45" s="1595">
        <f>IF(ISTEXT(IFERROR(VLOOKUP(人物卡!F45,人物卡!BJ18:BR22,1,FALSE),IFERROR(VLOOKUP(人物卡!F45,人物卡!BA18:BC22,1,FALSE),0))),"★",INDEX(本职技能!$A$2:$HX$76,MATCH(人物卡!F45,本职技能!$A$2:$A$75,0),MATCH(人物卡!$M$5,本职技能!$A$1:$HX$1,0)))</f>
        <v>0</v>
      </c>
      <c r="E45" s="1596"/>
      <c r="F45" s="1569" t="s">
        <v>150</v>
      </c>
      <c r="G45" s="1616"/>
      <c r="H45" s="1617"/>
      <c r="I45" s="1570"/>
      <c r="J45" s="1306">
        <v>20</v>
      </c>
      <c r="K45" s="1307"/>
      <c r="L45" s="1569"/>
      <c r="M45" s="1570"/>
      <c r="N45" s="1569"/>
      <c r="O45" s="1570"/>
      <c r="P45" s="1569"/>
      <c r="Q45" s="1570"/>
      <c r="R45" s="1573">
        <f t="shared" si="9"/>
        <v>20</v>
      </c>
      <c r="S45" s="1574"/>
      <c r="T45" s="1306">
        <f t="shared" si="2"/>
        <v>10</v>
      </c>
      <c r="U45" s="1307"/>
      <c r="V45" s="1306">
        <f t="shared" si="3"/>
        <v>4</v>
      </c>
      <c r="W45" s="1601"/>
      <c r="X45" s="1602" t="s">
        <v>59</v>
      </c>
      <c r="Y45" s="1570"/>
      <c r="Z45" s="1595">
        <f>IF(ISTEXT(IFERROR(VLOOKUP(人物卡!AB45,人物卡!BJ18:BR22,1,FALSE),IFERROR(VLOOKUP(人物卡!AB45,人物卡!BA18:BC22,1,FALSE),0))),"★",INDEX(本职技能!$A$2:$HX$76,MATCH(人物卡!AB45,本职技能!$A$2:$A$75,0),MATCH(人物卡!$M$5,本职技能!$A$1:$HX$1,0)))</f>
        <v>0</v>
      </c>
      <c r="AA45" s="1596"/>
      <c r="AB45" s="1609" t="s">
        <v>151</v>
      </c>
      <c r="AC45" s="1610"/>
      <c r="AD45" s="1611"/>
      <c r="AE45" s="1612"/>
      <c r="AF45" s="1306">
        <v>1</v>
      </c>
      <c r="AG45" s="1307"/>
      <c r="AH45" s="1569"/>
      <c r="AI45" s="1570"/>
      <c r="AJ45" s="1569"/>
      <c r="AK45" s="1570"/>
      <c r="AL45" s="1571"/>
      <c r="AM45" s="1572"/>
      <c r="AN45" s="1573">
        <f t="shared" si="8"/>
        <v>1</v>
      </c>
      <c r="AO45" s="1574"/>
      <c r="AP45" s="1573">
        <f t="shared" si="5"/>
        <v>0</v>
      </c>
      <c r="AQ45" s="1574"/>
      <c r="AR45" s="1573">
        <f t="shared" si="6"/>
        <v>0</v>
      </c>
      <c r="AS45" s="1575"/>
      <c r="AT45" s="395"/>
      <c r="AU45" s="1177"/>
      <c r="AV45" s="1175"/>
      <c r="AW45" s="1175"/>
      <c r="AX45" s="1175"/>
      <c r="AY45" s="1175"/>
      <c r="AZ45" s="1175"/>
      <c r="BA45" s="1175"/>
      <c r="BB45" s="1175"/>
      <c r="BC45" s="1175"/>
      <c r="BD45" s="1175"/>
      <c r="BE45" s="1175"/>
      <c r="BF45" s="1175"/>
      <c r="BG45" s="1175"/>
      <c r="BH45" s="1175"/>
      <c r="BI45" s="1175"/>
      <c r="BJ45" s="1175"/>
      <c r="BK45" s="1175"/>
      <c r="BL45" s="1175"/>
      <c r="BM45" s="1175"/>
      <c r="BN45" s="1175"/>
      <c r="BO45" s="1175"/>
      <c r="BP45" s="1175"/>
      <c r="BQ45" s="1175"/>
      <c r="BR45" s="1176"/>
    </row>
    <row r="46" spans="1:70" ht="18" customHeight="1">
      <c r="B46" s="1576" t="s">
        <v>59</v>
      </c>
      <c r="C46" s="1577"/>
      <c r="D46" s="1578">
        <f>IF(ISTEXT(IFERROR(VLOOKUP(人物卡!F46,人物卡!BJ18:BR22,1,FALSE),IFERROR(VLOOKUP(人物卡!F46,人物卡!BA18:BC22,1,FALSE),0))),"★",INDEX(本职技能!$A$2:$HX$76,MATCH(人物卡!F46,本职技能!$A$2:$A$75,0),MATCH(人物卡!$M$5,本职技能!$A$1:$HX$1,0)))</f>
        <v>0</v>
      </c>
      <c r="E46" s="1578"/>
      <c r="F46" s="1579" t="s">
        <v>152</v>
      </c>
      <c r="G46" s="1580"/>
      <c r="H46" s="1581"/>
      <c r="I46" s="1582"/>
      <c r="J46" s="1136">
        <v>1</v>
      </c>
      <c r="K46" s="1136"/>
      <c r="L46" s="1169"/>
      <c r="M46" s="1169"/>
      <c r="N46" s="1169"/>
      <c r="O46" s="1169"/>
      <c r="P46" s="1169"/>
      <c r="Q46" s="1169"/>
      <c r="R46" s="1583">
        <f t="shared" si="9"/>
        <v>1</v>
      </c>
      <c r="S46" s="1583"/>
      <c r="T46" s="1136">
        <f t="shared" si="2"/>
        <v>0</v>
      </c>
      <c r="U46" s="1136"/>
      <c r="V46" s="1136">
        <f t="shared" si="3"/>
        <v>0</v>
      </c>
      <c r="W46" s="1584"/>
      <c r="X46" s="1585" t="s">
        <v>59</v>
      </c>
      <c r="Y46" s="1169"/>
      <c r="Z46" s="1578">
        <f>IF(ISTEXT(IFERROR(VLOOKUP(人物卡!AB46,人物卡!BJ18:BR22,1,FALSE),IFERROR(VLOOKUP(人物卡!AB46,人物卡!BA18:BC22,1,FALSE),0))),"★",INDEX(本职技能!$A$2:$HX$76,MATCH(人物卡!AB46,本职技能!$A$2:$A$75,0),MATCH(人物卡!$M$5,本职技能!$A$1:$HX$1,0)))</f>
        <v>0</v>
      </c>
      <c r="AA46" s="1578"/>
      <c r="AB46" s="1613" t="s">
        <v>153</v>
      </c>
      <c r="AC46" s="1614"/>
      <c r="AD46" s="1615"/>
      <c r="AE46" s="1613"/>
      <c r="AF46" s="1136">
        <v>1</v>
      </c>
      <c r="AG46" s="1136"/>
      <c r="AH46" s="1169"/>
      <c r="AI46" s="1169"/>
      <c r="AJ46" s="1169"/>
      <c r="AK46" s="1169"/>
      <c r="AL46" s="1591"/>
      <c r="AM46" s="1591"/>
      <c r="AN46" s="1583">
        <f t="shared" si="8"/>
        <v>1</v>
      </c>
      <c r="AO46" s="1583"/>
      <c r="AP46" s="1583">
        <f t="shared" si="5"/>
        <v>0</v>
      </c>
      <c r="AQ46" s="1583"/>
      <c r="AR46" s="1583">
        <f t="shared" si="6"/>
        <v>0</v>
      </c>
      <c r="AS46" s="1592"/>
      <c r="AT46" s="395"/>
      <c r="AU46" s="1177"/>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6"/>
    </row>
    <row r="47" spans="1:70" ht="18" customHeight="1">
      <c r="B47" s="1593" t="s">
        <v>59</v>
      </c>
      <c r="C47" s="1594"/>
      <c r="D47" s="1595">
        <f>IF(ISTEXT(IFERROR(VLOOKUP(人物卡!F47,人物卡!BJ18:BR22,1,FALSE),IFERROR(VLOOKUP(人物卡!F47,人物卡!BA18:BC22,1,FALSE),0))),"★",INDEX(本职技能!$A$2:$HX$76,MATCH(人物卡!F47,本职技能!$A$2:$A$75,0),MATCH(人物卡!$M$5,本职技能!$A$1:$HX$1,0)))</f>
        <v>0</v>
      </c>
      <c r="E47" s="1596"/>
      <c r="F47" s="1597" t="s">
        <v>154</v>
      </c>
      <c r="G47" s="1598"/>
      <c r="H47" s="1599"/>
      <c r="I47" s="1600"/>
      <c r="J47" s="1306">
        <v>1</v>
      </c>
      <c r="K47" s="1307"/>
      <c r="L47" s="1569"/>
      <c r="M47" s="1570"/>
      <c r="N47" s="1569"/>
      <c r="O47" s="1570"/>
      <c r="P47" s="1569"/>
      <c r="Q47" s="1570"/>
      <c r="R47" s="1573">
        <f t="shared" si="9"/>
        <v>1</v>
      </c>
      <c r="S47" s="1574"/>
      <c r="T47" s="1306">
        <f t="shared" si="2"/>
        <v>0</v>
      </c>
      <c r="U47" s="1307"/>
      <c r="V47" s="1306">
        <f t="shared" si="3"/>
        <v>0</v>
      </c>
      <c r="W47" s="1601"/>
      <c r="X47" s="1602" t="s">
        <v>59</v>
      </c>
      <c r="Y47" s="1570"/>
      <c r="Z47" s="1603">
        <f>IF(ISTEXT(IFERROR(VLOOKUP(人物卡!AB47,人物卡!BJ18:BR22,1,FALSE),IFERROR(VLOOKUP(人物卡!AB47,人物卡!BA18:BC22,1,FALSE),0))),"★",INDEX(本职技能!$A$2:$HX$76,MATCH(人物卡!AB47,本职技能!$A$2:$A$75,0),MATCH(人物卡!$M$5,本职技能!$A$1:$HX$1,0)))</f>
        <v>0</v>
      </c>
      <c r="AA47" s="1604"/>
      <c r="AB47" s="1605" t="s">
        <v>155</v>
      </c>
      <c r="AC47" s="1606"/>
      <c r="AD47" s="1607"/>
      <c r="AE47" s="1608"/>
      <c r="AF47" s="1306">
        <v>1</v>
      </c>
      <c r="AG47" s="1307"/>
      <c r="AH47" s="1569"/>
      <c r="AI47" s="1570"/>
      <c r="AJ47" s="1569"/>
      <c r="AK47" s="1570"/>
      <c r="AL47" s="1571"/>
      <c r="AM47" s="1572"/>
      <c r="AN47" s="1573">
        <f t="shared" si="8"/>
        <v>1</v>
      </c>
      <c r="AO47" s="1574"/>
      <c r="AP47" s="1573">
        <f t="shared" si="5"/>
        <v>0</v>
      </c>
      <c r="AQ47" s="1574"/>
      <c r="AR47" s="1573">
        <f t="shared" si="6"/>
        <v>0</v>
      </c>
      <c r="AS47" s="1575"/>
      <c r="AT47" s="1000"/>
      <c r="AU47" s="1177"/>
      <c r="AV47" s="1175"/>
      <c r="AW47" s="1175"/>
      <c r="AX47" s="1175"/>
      <c r="AY47" s="1175"/>
      <c r="AZ47" s="1175"/>
      <c r="BA47" s="1175"/>
      <c r="BB47" s="1175"/>
      <c r="BC47" s="1175"/>
      <c r="BD47" s="1175"/>
      <c r="BE47" s="1175"/>
      <c r="BF47" s="1175"/>
      <c r="BG47" s="1175"/>
      <c r="BH47" s="1175"/>
      <c r="BI47" s="1175"/>
      <c r="BJ47" s="1175"/>
      <c r="BK47" s="1175"/>
      <c r="BL47" s="1175"/>
      <c r="BM47" s="1175"/>
      <c r="BN47" s="1175"/>
      <c r="BO47" s="1175"/>
      <c r="BP47" s="1175"/>
      <c r="BQ47" s="1175"/>
      <c r="BR47" s="1176"/>
    </row>
    <row r="48" spans="1:70" ht="18" customHeight="1">
      <c r="B48" s="1576" t="s">
        <v>59</v>
      </c>
      <c r="C48" s="1577"/>
      <c r="D48" s="1578">
        <f>IF(ISTEXT(IFERROR(VLOOKUP(F48,人物卡!BJ18:BR22,1,FALSE),IFERROR(VLOOKUP(F48,人物卡!BA18:BC22,1,FALSE),0))),"★",INDEX(本职技能!$A$2:$HX$76,MATCH(F48,本职技能!$A$2:$A$75,0),MATCH(人物卡!$M$5,本职技能!$A$1:$HX$1,0)))</f>
        <v>0</v>
      </c>
      <c r="E48" s="1578"/>
      <c r="F48" s="1579" t="s">
        <v>156</v>
      </c>
      <c r="G48" s="1580"/>
      <c r="H48" s="1581"/>
      <c r="I48" s="1582"/>
      <c r="J48" s="1136">
        <v>1</v>
      </c>
      <c r="K48" s="1136"/>
      <c r="L48" s="1169"/>
      <c r="M48" s="1169"/>
      <c r="N48" s="1169"/>
      <c r="O48" s="1169"/>
      <c r="P48" s="1169"/>
      <c r="Q48" s="1169"/>
      <c r="R48" s="1583">
        <f t="shared" si="9"/>
        <v>1</v>
      </c>
      <c r="S48" s="1583"/>
      <c r="T48" s="1136">
        <f t="shared" si="2"/>
        <v>0</v>
      </c>
      <c r="U48" s="1136"/>
      <c r="V48" s="1136">
        <f t="shared" si="3"/>
        <v>0</v>
      </c>
      <c r="W48" s="1584"/>
      <c r="X48" s="1585" t="s">
        <v>59</v>
      </c>
      <c r="Y48" s="1169"/>
      <c r="Z48" s="1586">
        <f>IF(ISTEXT(IFERROR(VLOOKUP(AB48,人物卡!BJ18:BR22,1,FALSE),IFERROR(VLOOKUP(AB48,人物卡!BA18:BC22,1,FALSE),0))),"★",INDEX(本职技能!$A$2:$HX$76,MATCH(AB48,本职技能!$A$2:$A$75,0),MATCH(人物卡!$M$5,本职技能!$A$1:$HX$1,0)))</f>
        <v>0</v>
      </c>
      <c r="AA48" s="1586"/>
      <c r="AB48" s="1587" t="s">
        <v>157</v>
      </c>
      <c r="AC48" s="1588"/>
      <c r="AD48" s="1589"/>
      <c r="AE48" s="1590"/>
      <c r="AF48" s="1169"/>
      <c r="AG48" s="1169"/>
      <c r="AH48" s="1169"/>
      <c r="AI48" s="1169"/>
      <c r="AJ48" s="1169"/>
      <c r="AK48" s="1169"/>
      <c r="AL48" s="1591"/>
      <c r="AM48" s="1591"/>
      <c r="AN48" s="1583">
        <f t="shared" si="8"/>
        <v>0</v>
      </c>
      <c r="AO48" s="1583"/>
      <c r="AP48" s="1583">
        <f t="shared" si="5"/>
        <v>0</v>
      </c>
      <c r="AQ48" s="1583"/>
      <c r="AR48" s="1583">
        <f t="shared" si="6"/>
        <v>0</v>
      </c>
      <c r="AS48" s="1592"/>
      <c r="AT48" s="1000"/>
      <c r="AU48" s="1177"/>
      <c r="AV48" s="1175"/>
      <c r="AW48" s="1175"/>
      <c r="AX48" s="1175"/>
      <c r="AY48" s="1175"/>
      <c r="AZ48" s="1175"/>
      <c r="BA48" s="1175"/>
      <c r="BB48" s="1175"/>
      <c r="BC48" s="1175"/>
      <c r="BD48" s="1175"/>
      <c r="BE48" s="1175"/>
      <c r="BF48" s="1175"/>
      <c r="BG48" s="1175"/>
      <c r="BH48" s="1175"/>
      <c r="BI48" s="1175"/>
      <c r="BJ48" s="1175"/>
      <c r="BK48" s="1175"/>
      <c r="BL48" s="1175"/>
      <c r="BM48" s="1175"/>
      <c r="BN48" s="1175"/>
      <c r="BO48" s="1175"/>
      <c r="BP48" s="1175"/>
      <c r="BQ48" s="1175"/>
      <c r="BR48" s="1176"/>
    </row>
    <row r="49" spans="2:70" ht="18" customHeight="1">
      <c r="B49" s="1551" t="s">
        <v>59</v>
      </c>
      <c r="C49" s="1552"/>
      <c r="D49" s="1553">
        <f>IF(ISTEXT(IFERROR(VLOOKUP(人物卡!F49,人物卡!BJ18:BR22,1,FALSE),IFERROR(VLOOKUP(人物卡!F49,人物卡!BA18:BC22,1,FALSE),0))),"★",INDEX(本职技能!$A$2:$HX$76,MATCH(人物卡!F49,本职技能!$A$2:$A$75,0),MATCH(人物卡!$M$5,本职技能!$A$1:$HX$1,0)))</f>
        <v>0</v>
      </c>
      <c r="E49" s="1554"/>
      <c r="F49" s="1555" t="s">
        <v>158</v>
      </c>
      <c r="G49" s="1556"/>
      <c r="H49" s="1557"/>
      <c r="I49" s="1558"/>
      <c r="J49" s="1559">
        <f>AG5</f>
        <v>78</v>
      </c>
      <c r="K49" s="1560"/>
      <c r="L49" s="1561"/>
      <c r="M49" s="1562"/>
      <c r="N49" s="1561"/>
      <c r="O49" s="1562"/>
      <c r="P49" s="1561"/>
      <c r="Q49" s="1562"/>
      <c r="R49" s="1540">
        <f t="shared" si="9"/>
        <v>78</v>
      </c>
      <c r="S49" s="1541"/>
      <c r="T49" s="1559">
        <f t="shared" si="2"/>
        <v>39</v>
      </c>
      <c r="U49" s="1560"/>
      <c r="V49" s="1559">
        <f t="shared" si="3"/>
        <v>15</v>
      </c>
      <c r="W49" s="1563"/>
      <c r="X49" s="1564" t="s">
        <v>59</v>
      </c>
      <c r="Y49" s="1562"/>
      <c r="Z49" s="1565">
        <f>IF(ISTEXT(IFERROR(VLOOKUP(AB49,人物卡!BJ18:BR22,1,FALSE),IFERROR(VLOOKUP(AB49,人物卡!BA18:BC22,1,FALSE),0))),"★",INDEX(本职技能!$A$2:$HX$76,MATCH(AB49,本职技能!$A$2:$A$75,0),MATCH(人物卡!$M$5,本职技能!$A$1:$HX$1,0)))</f>
        <v>0</v>
      </c>
      <c r="AA49" s="1566"/>
      <c r="AB49" s="1567"/>
      <c r="AC49" s="1568"/>
      <c r="AD49" s="1568"/>
      <c r="AE49" s="1568"/>
      <c r="AF49" s="1561"/>
      <c r="AG49" s="1562"/>
      <c r="AH49" s="1561"/>
      <c r="AI49" s="1562"/>
      <c r="AJ49" s="1561"/>
      <c r="AK49" s="1562"/>
      <c r="AL49" s="1538"/>
      <c r="AM49" s="1539"/>
      <c r="AN49" s="1540">
        <f t="shared" si="8"/>
        <v>0</v>
      </c>
      <c r="AO49" s="1541"/>
      <c r="AP49" s="1540">
        <f t="shared" si="5"/>
        <v>0</v>
      </c>
      <c r="AQ49" s="1541"/>
      <c r="AR49" s="1540">
        <f t="shared" si="6"/>
        <v>0</v>
      </c>
      <c r="AS49" s="1542"/>
      <c r="AT49" s="1000"/>
      <c r="AU49" s="1177"/>
      <c r="AV49" s="1175"/>
      <c r="AW49" s="1175"/>
      <c r="AX49" s="1175"/>
      <c r="AY49" s="1175"/>
      <c r="AZ49" s="1175"/>
      <c r="BA49" s="1175"/>
      <c r="BB49" s="1175"/>
      <c r="BC49" s="1175"/>
      <c r="BD49" s="1175"/>
      <c r="BE49" s="1175"/>
      <c r="BF49" s="1175"/>
      <c r="BG49" s="1175"/>
      <c r="BH49" s="1175"/>
      <c r="BI49" s="1175"/>
      <c r="BJ49" s="1175"/>
      <c r="BK49" s="1175"/>
      <c r="BL49" s="1175"/>
      <c r="BM49" s="1175"/>
      <c r="BN49" s="1175"/>
      <c r="BO49" s="1175"/>
      <c r="BP49" s="1175"/>
      <c r="BQ49" s="1175"/>
      <c r="BR49" s="1176"/>
    </row>
    <row r="50" spans="2:70" ht="18" customHeight="1">
      <c r="B50" s="1543" t="str">
        <f>IF(M5=0,"","职业信用范围："&amp;LOOKUP(M5,职业列表!A2:A232,职业列表!D2:D232))</f>
        <v>职业信用范围：9-30</v>
      </c>
      <c r="C50" s="1543"/>
      <c r="D50" s="1543"/>
      <c r="E50" s="1543"/>
      <c r="F50" s="1543"/>
      <c r="G50" s="1543"/>
      <c r="H50" s="1543"/>
      <c r="I50" s="524"/>
      <c r="J50" s="1544"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本职属性：[教育×2＋力量或敏捷×2]       </v>
      </c>
      <c r="K50" s="1544"/>
      <c r="L50" s="1544"/>
      <c r="M50" s="1544"/>
      <c r="N50" s="1544"/>
      <c r="O50" s="1544"/>
      <c r="P50" s="1544"/>
      <c r="Q50" s="1544"/>
      <c r="R50" s="1544"/>
      <c r="S50" s="1544"/>
      <c r="T50" s="1544"/>
      <c r="U50" s="1544"/>
      <c r="V50" s="1544"/>
      <c r="W50" s="1544"/>
      <c r="X50" s="1544"/>
      <c r="Y50" s="1544"/>
      <c r="Z50" s="1544"/>
      <c r="AA50" s="1544"/>
      <c r="AB50" s="1544"/>
      <c r="AC50" s="1544"/>
      <c r="AD50" s="1544"/>
      <c r="AE50" s="1544"/>
      <c r="AF50" s="1544"/>
      <c r="AG50" s="1544"/>
      <c r="AH50" s="1544"/>
      <c r="AI50" s="1544"/>
      <c r="AJ50" s="1544"/>
      <c r="AK50" s="1544"/>
      <c r="AL50" s="1544"/>
      <c r="AM50" s="1544"/>
      <c r="AN50" s="1544"/>
      <c r="AO50" s="1544"/>
      <c r="AP50" s="1544"/>
      <c r="AQ50" s="1544"/>
      <c r="AR50" s="1544"/>
      <c r="AS50" s="1544"/>
      <c r="AT50" s="1000"/>
      <c r="AU50" s="1177"/>
      <c r="AV50" s="1175"/>
      <c r="AW50" s="1175"/>
      <c r="AX50" s="1175"/>
      <c r="AY50" s="1175"/>
      <c r="AZ50" s="1175"/>
      <c r="BA50" s="1175"/>
      <c r="BB50" s="1175"/>
      <c r="BC50" s="1175"/>
      <c r="BD50" s="1175"/>
      <c r="BE50" s="1175"/>
      <c r="BF50" s="1175"/>
      <c r="BG50" s="1175"/>
      <c r="BH50" s="1175"/>
      <c r="BI50" s="1175"/>
      <c r="BJ50" s="1175"/>
      <c r="BK50" s="1175"/>
      <c r="BL50" s="1175"/>
      <c r="BM50" s="1175"/>
      <c r="BN50" s="1175"/>
      <c r="BO50" s="1175"/>
      <c r="BP50" s="1175"/>
      <c r="BQ50" s="1175"/>
      <c r="BR50" s="1176"/>
    </row>
    <row r="51" spans="2:70" ht="18" customHeight="1">
      <c r="B51" s="1332" t="s">
        <v>159</v>
      </c>
      <c r="C51" s="1545"/>
      <c r="D51" s="1545"/>
      <c r="E51" s="1545"/>
      <c r="F51" s="1545"/>
      <c r="G51" s="1545"/>
      <c r="H51" s="1545"/>
      <c r="I51" s="1545"/>
      <c r="J51" s="1545"/>
      <c r="K51" s="1545"/>
      <c r="L51" s="1545"/>
      <c r="M51" s="1545"/>
      <c r="N51" s="1545"/>
      <c r="O51" s="1545"/>
      <c r="P51" s="1545"/>
      <c r="Q51" s="1545"/>
      <c r="R51" s="1545"/>
      <c r="S51" s="1545"/>
      <c r="T51" s="1545"/>
      <c r="U51" s="1545"/>
      <c r="V51" s="1545"/>
      <c r="W51" s="1545"/>
      <c r="X51" s="1545"/>
      <c r="Y51" s="1545"/>
      <c r="Z51" s="1545"/>
      <c r="AA51" s="1545"/>
      <c r="AB51" s="1545"/>
      <c r="AC51" s="1545"/>
      <c r="AD51" s="1545"/>
      <c r="AE51" s="1545"/>
      <c r="AF51" s="1545"/>
      <c r="AG51" s="1545"/>
      <c r="AH51" s="1545"/>
      <c r="AI51" s="1545"/>
      <c r="AJ51" s="1545"/>
      <c r="AK51" s="1546"/>
      <c r="AM51" s="1332" t="s">
        <v>160</v>
      </c>
      <c r="AN51" s="1333"/>
      <c r="AO51" s="1333"/>
      <c r="AP51" s="1333"/>
      <c r="AQ51" s="1333"/>
      <c r="AR51" s="1333"/>
      <c r="AS51" s="1334"/>
      <c r="AT51" s="1000"/>
      <c r="AU51" s="1177"/>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6"/>
    </row>
    <row r="52" spans="2:70" ht="18" customHeight="1">
      <c r="B52" s="1495" t="s">
        <v>161</v>
      </c>
      <c r="C52" s="1547"/>
      <c r="D52" s="1547"/>
      <c r="E52" s="1547"/>
      <c r="F52" s="1547"/>
      <c r="G52" s="1497" t="s">
        <v>162</v>
      </c>
      <c r="H52" s="1547"/>
      <c r="I52" s="1547"/>
      <c r="J52" s="1547"/>
      <c r="K52" s="1547"/>
      <c r="L52" s="1547"/>
      <c r="M52" s="1497" t="s">
        <v>163</v>
      </c>
      <c r="N52" s="1547"/>
      <c r="O52" s="1547"/>
      <c r="P52" s="1547"/>
      <c r="Q52" s="1497" t="s">
        <v>164</v>
      </c>
      <c r="R52" s="1547"/>
      <c r="S52" s="1547"/>
      <c r="T52" s="1547"/>
      <c r="U52" s="1547"/>
      <c r="V52" s="1547"/>
      <c r="W52" s="1497" t="s">
        <v>165</v>
      </c>
      <c r="X52" s="1547"/>
      <c r="Y52" s="1547"/>
      <c r="Z52" s="1547"/>
      <c r="AA52" s="1497" t="s">
        <v>166</v>
      </c>
      <c r="AB52" s="1547"/>
      <c r="AC52" s="1497" t="s">
        <v>167</v>
      </c>
      <c r="AD52" s="1547"/>
      <c r="AE52" s="1497" t="s">
        <v>168</v>
      </c>
      <c r="AF52" s="1547"/>
      <c r="AG52" s="1497" t="s">
        <v>169</v>
      </c>
      <c r="AH52" s="1547"/>
      <c r="AI52" s="1547"/>
      <c r="AJ52" s="1497" t="s">
        <v>170</v>
      </c>
      <c r="AK52" s="1548"/>
      <c r="AM52" s="1132" t="s">
        <v>171</v>
      </c>
      <c r="AN52" s="1133"/>
      <c r="AO52" s="1133"/>
      <c r="AP52" s="1549" t="str">
        <f>附表!P9</f>
        <v>0</v>
      </c>
      <c r="AQ52" s="1549"/>
      <c r="AR52" s="1549"/>
      <c r="AS52" s="1550"/>
      <c r="AU52" s="1177"/>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6"/>
    </row>
    <row r="53" spans="2:70" ht="18" customHeight="1">
      <c r="B53" s="1519" t="s">
        <v>172</v>
      </c>
      <c r="C53" s="1505"/>
      <c r="D53" s="1505"/>
      <c r="E53" s="1505"/>
      <c r="F53" s="1505"/>
      <c r="G53" s="1503" t="s">
        <v>173</v>
      </c>
      <c r="H53" s="1502"/>
      <c r="I53" s="1502"/>
      <c r="J53" s="1502"/>
      <c r="K53" s="1502"/>
      <c r="L53" s="1502"/>
      <c r="M53" s="1503" t="s">
        <v>120</v>
      </c>
      <c r="N53" s="1502"/>
      <c r="O53" s="1502"/>
      <c r="P53" s="1502"/>
      <c r="Q53" s="1536">
        <f>R34</f>
        <v>70</v>
      </c>
      <c r="R53" s="1537"/>
      <c r="S53" s="1503">
        <f>INT(Q53/2)</f>
        <v>35</v>
      </c>
      <c r="T53" s="1502"/>
      <c r="U53" s="1503">
        <f>INT(Q53/5)</f>
        <v>14</v>
      </c>
      <c r="V53" s="1502"/>
      <c r="W53" s="1503" t="s">
        <v>174</v>
      </c>
      <c r="X53" s="1502"/>
      <c r="Y53" s="1502"/>
      <c r="Z53" s="1502"/>
      <c r="AA53" s="1503" t="s">
        <v>92</v>
      </c>
      <c r="AB53" s="1502"/>
      <c r="AC53" s="1503" t="s">
        <v>175</v>
      </c>
      <c r="AD53" s="1502"/>
      <c r="AE53" s="1503">
        <v>1</v>
      </c>
      <c r="AF53" s="1502"/>
      <c r="AG53" s="1503" t="s">
        <v>92</v>
      </c>
      <c r="AH53" s="1502"/>
      <c r="AI53" s="1502"/>
      <c r="AJ53" s="1503" t="s">
        <v>92</v>
      </c>
      <c r="AK53" s="1533"/>
      <c r="AM53" s="1132"/>
      <c r="AN53" s="1133"/>
      <c r="AO53" s="1133"/>
      <c r="AP53" s="1549"/>
      <c r="AQ53" s="1549"/>
      <c r="AR53" s="1549"/>
      <c r="AS53" s="1550"/>
      <c r="AU53" s="1177"/>
      <c r="AV53" s="1175"/>
      <c r="AW53" s="1175"/>
      <c r="AX53" s="1175"/>
      <c r="AY53" s="1175"/>
      <c r="AZ53" s="1175"/>
      <c r="BA53" s="1175"/>
      <c r="BB53" s="1175"/>
      <c r="BC53" s="1175"/>
      <c r="BD53" s="1175"/>
      <c r="BE53" s="1175"/>
      <c r="BF53" s="1175"/>
      <c r="BG53" s="1175"/>
      <c r="BH53" s="1175"/>
      <c r="BI53" s="1175"/>
      <c r="BJ53" s="1175"/>
      <c r="BK53" s="1175"/>
      <c r="BL53" s="1175"/>
      <c r="BM53" s="1175"/>
      <c r="BN53" s="1175"/>
      <c r="BO53" s="1175"/>
      <c r="BP53" s="1175"/>
      <c r="BQ53" s="1175"/>
      <c r="BR53" s="1176"/>
    </row>
    <row r="54" spans="2:70" ht="18" customHeight="1">
      <c r="B54" s="1534"/>
      <c r="C54" s="1535"/>
      <c r="D54" s="1535"/>
      <c r="E54" s="1535"/>
      <c r="F54" s="1535"/>
      <c r="G54" s="1535" t="s">
        <v>4717</v>
      </c>
      <c r="H54" s="1535"/>
      <c r="I54" s="1535"/>
      <c r="J54" s="1535"/>
      <c r="K54" s="1535"/>
      <c r="L54" s="1535"/>
      <c r="M54" s="1172" t="str">
        <f>IF($G54=0,"←请选择类型",VLOOKUP($G54,'武器列表 战斗'!$B$2:$I$105,2,FALSE))</f>
        <v>手枪</v>
      </c>
      <c r="N54" s="1172"/>
      <c r="O54" s="1172"/>
      <c r="P54" s="1172"/>
      <c r="Q54" s="1133">
        <f>附表!AV15</f>
        <v>70</v>
      </c>
      <c r="R54" s="1133"/>
      <c r="S54" s="1172">
        <f>IF(Q54="","",INT(Q54/2))</f>
        <v>35</v>
      </c>
      <c r="T54" s="1172"/>
      <c r="U54" s="1172">
        <f>IF(Q54="","",INT(Q54/5))</f>
        <v>14</v>
      </c>
      <c r="V54" s="1172"/>
      <c r="W54" s="1172" t="str">
        <f>IF($G54=0,"",VLOOKUP($G54,'武器列表 战斗'!$B$2:$I$105,3,FALSE))</f>
        <v>1D10</v>
      </c>
      <c r="X54" s="1172"/>
      <c r="Y54" s="1172"/>
      <c r="Z54" s="1172"/>
      <c r="AA54" s="1172" t="str">
        <f>IF($G54=0,"",VLOOKUP($G54,'武器列表 战斗'!$B$2:$I$105,4,FALSE))</f>
        <v>15</v>
      </c>
      <c r="AB54" s="1172"/>
      <c r="AC54" s="1172" t="str">
        <f>IF($G54=0,"",VLOOKUP($G54,'武器列表 战斗'!$B$2:$I$105,5,FALSE))</f>
        <v>√</v>
      </c>
      <c r="AD54" s="1172"/>
      <c r="AE54" s="1172" t="str">
        <f>IF($G54=0,"",VLOOKUP($G54,'武器列表 战斗'!$B$2:$I$105,6,FALSE))</f>
        <v>1(3)</v>
      </c>
      <c r="AF54" s="1172"/>
      <c r="AG54" s="1172" t="str">
        <f>IF($G54=0,"",VLOOKUP($G54,'武器列表 战斗'!$B$2:$I$105,7,FALSE))</f>
        <v>8</v>
      </c>
      <c r="AH54" s="1172"/>
      <c r="AI54" s="1172"/>
      <c r="AJ54" s="1172" t="str">
        <f>IF($G54=0,"",VLOOKUP($G54,'武器列表 战斗'!$B$2:$I$105,8,FALSE))</f>
        <v>99</v>
      </c>
      <c r="AK54" s="1328"/>
      <c r="AM54" s="1132"/>
      <c r="AN54" s="1133"/>
      <c r="AO54" s="1133"/>
      <c r="AP54" s="1549"/>
      <c r="AQ54" s="1549"/>
      <c r="AR54" s="1549"/>
      <c r="AS54" s="1550"/>
      <c r="AU54" s="1177"/>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6"/>
    </row>
    <row r="55" spans="2:70" ht="18" customHeight="1">
      <c r="B55" s="1519"/>
      <c r="C55" s="1505"/>
      <c r="D55" s="1505"/>
      <c r="E55" s="1505"/>
      <c r="F55" s="1505"/>
      <c r="G55" s="1504" t="s">
        <v>4628</v>
      </c>
      <c r="H55" s="1505"/>
      <c r="I55" s="1505"/>
      <c r="J55" s="1505"/>
      <c r="K55" s="1505"/>
      <c r="L55" s="1505"/>
      <c r="M55" s="1503" t="str">
        <f>IF($G55=0,IF(M54="←请选择类型","","←请选择类型"),VLOOKUP($G55,'武器列表 战斗'!$B$2:$I$105,2,FALSE))</f>
        <v>斗殴</v>
      </c>
      <c r="N55" s="1502"/>
      <c r="O55" s="1502"/>
      <c r="P55" s="1502"/>
      <c r="Q55" s="1503">
        <f>附表!AV16</f>
        <v>70</v>
      </c>
      <c r="R55" s="1502"/>
      <c r="S55" s="1503">
        <f>IF(Q55="","",INT(Q55/2))</f>
        <v>35</v>
      </c>
      <c r="T55" s="1502"/>
      <c r="U55" s="1503">
        <f>IF(Q55="","",INT(Q55/5))</f>
        <v>14</v>
      </c>
      <c r="V55" s="1502"/>
      <c r="W55" s="1503" t="str">
        <f>IF($G55=0,"",VLOOKUP($G55,'武器列表 战斗'!$B$2:$I$105,3,FALSE))</f>
        <v>1D4+DB</v>
      </c>
      <c r="X55" s="1502"/>
      <c r="Y55" s="1502"/>
      <c r="Z55" s="1502"/>
      <c r="AA55" s="1503" t="str">
        <f>IF($G55=0,"",VLOOKUP($G55,'武器列表 战斗'!$B$2:$I$105,4,FALSE))</f>
        <v>接触</v>
      </c>
      <c r="AB55" s="1502"/>
      <c r="AC55" s="1503" t="str">
        <f>IF($G55=0,"",VLOOKUP($G55,'武器列表 战斗'!$B$2:$I$105,5,FALSE))</f>
        <v>√</v>
      </c>
      <c r="AD55" s="1502"/>
      <c r="AE55" s="1503" t="str">
        <f>IF($G55=0,"",VLOOKUP($G55,'武器列表 战斗'!$B$2:$I$105,6,FALSE))</f>
        <v>1</v>
      </c>
      <c r="AF55" s="1502"/>
      <c r="AG55" s="1503" t="str">
        <f>IF($G55=0,"",VLOOKUP($G55,'武器列表 战斗'!$B$2:$I$105,7,FALSE))</f>
        <v>——</v>
      </c>
      <c r="AH55" s="1502"/>
      <c r="AI55" s="1502"/>
      <c r="AJ55" s="1503" t="str">
        <f>IF($G55=0,"",VLOOKUP($G55,'武器列表 战斗'!$B$2:$I$105,8,FALSE))</f>
        <v>——</v>
      </c>
      <c r="AK55" s="1533"/>
      <c r="AM55" s="1256" t="s">
        <v>176</v>
      </c>
      <c r="AN55" s="1257"/>
      <c r="AO55" s="1257"/>
      <c r="AP55" s="1267" t="str">
        <f>附表!P7</f>
        <v>0</v>
      </c>
      <c r="AQ55" s="1268"/>
      <c r="AR55" s="1268"/>
      <c r="AS55" s="1269"/>
      <c r="AU55" s="1177"/>
      <c r="AV55" s="1175"/>
      <c r="AW55" s="1175"/>
      <c r="AX55" s="1175"/>
      <c r="AY55" s="1175"/>
      <c r="AZ55" s="1175"/>
      <c r="BA55" s="1175"/>
      <c r="BB55" s="1175"/>
      <c r="BC55" s="1175"/>
      <c r="BD55" s="1175"/>
      <c r="BE55" s="1175"/>
      <c r="BF55" s="1175"/>
      <c r="BG55" s="1175"/>
      <c r="BH55" s="1175"/>
      <c r="BI55" s="1175"/>
      <c r="BJ55" s="1175"/>
      <c r="BK55" s="1175"/>
      <c r="BL55" s="1175"/>
      <c r="BM55" s="1175"/>
      <c r="BN55" s="1175"/>
      <c r="BO55" s="1175"/>
      <c r="BP55" s="1175"/>
      <c r="BQ55" s="1175"/>
      <c r="BR55" s="1176"/>
    </row>
    <row r="56" spans="2:70" ht="18" customHeight="1">
      <c r="B56" s="1534"/>
      <c r="C56" s="1535"/>
      <c r="D56" s="1535"/>
      <c r="E56" s="1535"/>
      <c r="F56" s="1535"/>
      <c r="G56" s="1535"/>
      <c r="H56" s="1535"/>
      <c r="I56" s="1535"/>
      <c r="J56" s="1535"/>
      <c r="K56" s="1535"/>
      <c r="L56" s="1535"/>
      <c r="M56" s="1133" t="str">
        <f>IF($G56=0,IF(OR(M54="←请选择类型",M55="←请选择类型"),"","←请选择类型"),VLOOKUP($G56,'武器列表 战斗'!$B$2:$I$105,2,FALSE))</f>
        <v>←请选择类型</v>
      </c>
      <c r="N56" s="1172"/>
      <c r="O56" s="1172"/>
      <c r="P56" s="1172"/>
      <c r="Q56" s="1172" t="str">
        <f>附表!AV17</f>
        <v/>
      </c>
      <c r="R56" s="1172"/>
      <c r="S56" s="1172" t="str">
        <f>IF(Q56="","",INT(Q56/2))</f>
        <v/>
      </c>
      <c r="T56" s="1172"/>
      <c r="U56" s="1172" t="str">
        <f>IF(Q56="","",INT(Q56/5))</f>
        <v/>
      </c>
      <c r="V56" s="1172"/>
      <c r="W56" s="1172" t="str">
        <f>IF($G56=0,"",VLOOKUP($G56,'武器列表 战斗'!$B$2:$I$105,3,FALSE))</f>
        <v/>
      </c>
      <c r="X56" s="1172"/>
      <c r="Y56" s="1172"/>
      <c r="Z56" s="1172"/>
      <c r="AA56" s="1172" t="str">
        <f>IF($G56=0,"",VLOOKUP($G56,'武器列表 战斗'!$B$2:$I$105,4,FALSE))</f>
        <v/>
      </c>
      <c r="AB56" s="1172"/>
      <c r="AC56" s="1172" t="str">
        <f>IF($G56=0,"",VLOOKUP($G56,'武器列表 战斗'!$B$2:$I$105,5,FALSE))</f>
        <v/>
      </c>
      <c r="AD56" s="1172"/>
      <c r="AE56" s="1172" t="str">
        <f>IF($G56=0,"",VLOOKUP($G56,'武器列表 战斗'!$B$2:$I$105,6,FALSE))</f>
        <v/>
      </c>
      <c r="AF56" s="1172"/>
      <c r="AG56" s="1172" t="str">
        <f>IF($G56=0,"",VLOOKUP($G56,'武器列表 战斗'!$B$2:$I$105,7,FALSE))</f>
        <v/>
      </c>
      <c r="AH56" s="1172"/>
      <c r="AI56" s="1172"/>
      <c r="AJ56" s="1172" t="str">
        <f>IF($G56=0,"",VLOOKUP($G56,'武器列表 战斗'!$B$2:$I$105,8,FALSE))</f>
        <v/>
      </c>
      <c r="AK56" s="1328"/>
      <c r="AM56" s="1258"/>
      <c r="AN56" s="1257"/>
      <c r="AO56" s="1257"/>
      <c r="AP56" s="1268"/>
      <c r="AQ56" s="1268"/>
      <c r="AR56" s="1268"/>
      <c r="AS56" s="1269"/>
      <c r="AU56" s="1177"/>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6"/>
    </row>
    <row r="57" spans="2:70" ht="18" customHeight="1">
      <c r="B57" s="1519"/>
      <c r="C57" s="1505"/>
      <c r="D57" s="1505"/>
      <c r="E57" s="1505"/>
      <c r="F57" s="1505"/>
      <c r="G57" s="1504"/>
      <c r="H57" s="1505"/>
      <c r="I57" s="1505"/>
      <c r="J57" s="1505"/>
      <c r="K57" s="1505"/>
      <c r="L57" s="1505"/>
      <c r="M57" s="1504"/>
      <c r="N57" s="1505"/>
      <c r="O57" s="1505"/>
      <c r="P57" s="1505"/>
      <c r="Q57" s="1504"/>
      <c r="R57" s="1505"/>
      <c r="S57" s="1520"/>
      <c r="T57" s="1521"/>
      <c r="U57" s="1520"/>
      <c r="V57" s="1521"/>
      <c r="W57" s="1504"/>
      <c r="X57" s="1505"/>
      <c r="Y57" s="1505"/>
      <c r="Z57" s="1505"/>
      <c r="AA57" s="1504"/>
      <c r="AB57" s="1505"/>
      <c r="AC57" s="1504"/>
      <c r="AD57" s="1505"/>
      <c r="AE57" s="1504"/>
      <c r="AF57" s="1505"/>
      <c r="AG57" s="1504"/>
      <c r="AH57" s="1505"/>
      <c r="AI57" s="1505"/>
      <c r="AJ57" s="1504"/>
      <c r="AK57" s="1522"/>
      <c r="AM57" s="1132" t="s">
        <v>177</v>
      </c>
      <c r="AN57" s="1133"/>
      <c r="AO57" s="1133"/>
      <c r="AP57" s="1523">
        <f>R29</f>
        <v>40</v>
      </c>
      <c r="AQ57" s="1523"/>
      <c r="AR57" s="1523">
        <f>T29</f>
        <v>20</v>
      </c>
      <c r="AS57" s="1524"/>
      <c r="AU57" s="1177"/>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6"/>
    </row>
    <row r="58" spans="2:70" ht="18" customHeight="1">
      <c r="B58" s="1525"/>
      <c r="C58" s="1526"/>
      <c r="D58" s="1526"/>
      <c r="E58" s="1526"/>
      <c r="F58" s="1526"/>
      <c r="G58" s="1526"/>
      <c r="H58" s="1526"/>
      <c r="I58" s="1526"/>
      <c r="J58" s="1526"/>
      <c r="K58" s="1526"/>
      <c r="L58" s="1526"/>
      <c r="M58" s="1526"/>
      <c r="N58" s="1526"/>
      <c r="O58" s="1526"/>
      <c r="P58" s="1526"/>
      <c r="Q58" s="1526"/>
      <c r="R58" s="1526"/>
      <c r="S58" s="1527"/>
      <c r="T58" s="1527"/>
      <c r="U58" s="1527"/>
      <c r="V58" s="1527"/>
      <c r="W58" s="1526"/>
      <c r="X58" s="1526"/>
      <c r="Y58" s="1526"/>
      <c r="Z58" s="1526"/>
      <c r="AA58" s="1526"/>
      <c r="AB58" s="1526"/>
      <c r="AC58" s="1526"/>
      <c r="AD58" s="1526"/>
      <c r="AE58" s="1526"/>
      <c r="AF58" s="1526"/>
      <c r="AG58" s="1526"/>
      <c r="AH58" s="1526"/>
      <c r="AI58" s="1526"/>
      <c r="AJ58" s="1526"/>
      <c r="AK58" s="1528"/>
      <c r="AM58" s="1531"/>
      <c r="AN58" s="1532"/>
      <c r="AO58" s="1532"/>
      <c r="AP58" s="1529"/>
      <c r="AQ58" s="1529"/>
      <c r="AR58" s="1529">
        <f>V29</f>
        <v>8</v>
      </c>
      <c r="AS58" s="1530"/>
      <c r="AU58" s="1177"/>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6"/>
    </row>
    <row r="59" spans="2:70" ht="18" customHeight="1">
      <c r="B59" s="1000"/>
      <c r="C59" s="1000"/>
      <c r="D59" s="1000"/>
      <c r="E59" s="1000"/>
      <c r="F59" s="1000"/>
      <c r="G59" s="1000"/>
      <c r="H59" s="1000"/>
      <c r="I59" s="1000"/>
      <c r="J59" s="1000"/>
      <c r="K59" s="1000"/>
      <c r="L59" s="1000"/>
      <c r="M59" s="1000"/>
      <c r="N59" s="1000"/>
      <c r="O59" s="1000"/>
      <c r="P59" s="1000"/>
      <c r="Q59" s="1000"/>
      <c r="R59" s="1000"/>
      <c r="AH59" s="727"/>
      <c r="AU59" s="1177"/>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6"/>
    </row>
    <row r="60" spans="2:70" ht="18" customHeight="1">
      <c r="B60" s="1332" t="s">
        <v>178</v>
      </c>
      <c r="C60" s="1333"/>
      <c r="D60" s="1333"/>
      <c r="E60" s="1333"/>
      <c r="F60" s="1333"/>
      <c r="G60" s="1333"/>
      <c r="H60" s="1333"/>
      <c r="I60" s="1333"/>
      <c r="J60" s="1333"/>
      <c r="K60" s="1333"/>
      <c r="L60" s="1333"/>
      <c r="M60" s="1333"/>
      <c r="N60" s="1333"/>
      <c r="O60" s="1333"/>
      <c r="P60" s="1333"/>
      <c r="Q60" s="1333"/>
      <c r="R60" s="1333"/>
      <c r="S60" s="1333"/>
      <c r="T60" s="1333"/>
      <c r="U60" s="1334"/>
      <c r="W60" s="1490" t="s">
        <v>179</v>
      </c>
      <c r="X60" s="1491"/>
      <c r="Y60" s="1491"/>
      <c r="Z60" s="1491"/>
      <c r="AA60" s="1491"/>
      <c r="AB60" s="1491"/>
      <c r="AC60" s="1491"/>
      <c r="AD60" s="1491"/>
      <c r="AE60" s="1491"/>
      <c r="AF60" s="1491"/>
      <c r="AG60" s="1491"/>
      <c r="AH60" s="1491"/>
      <c r="AI60" s="1491"/>
      <c r="AJ60" s="1491"/>
      <c r="AK60" s="1491"/>
      <c r="AL60" s="1491"/>
      <c r="AM60" s="1491"/>
      <c r="AN60" s="1491"/>
      <c r="AO60" s="1491"/>
      <c r="AP60" s="1491"/>
      <c r="AQ60" s="1492"/>
      <c r="AR60" s="1493" t="s">
        <v>180</v>
      </c>
      <c r="AS60" s="1494"/>
      <c r="AU60" s="1177"/>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6"/>
    </row>
    <row r="61" spans="2:70" ht="18" customHeight="1">
      <c r="B61" s="1495" t="s">
        <v>94</v>
      </c>
      <c r="C61" s="1496"/>
      <c r="D61" s="1496"/>
      <c r="E61" s="1496"/>
      <c r="F61" s="1497" t="s">
        <v>181</v>
      </c>
      <c r="G61" s="1496"/>
      <c r="H61" s="1496"/>
      <c r="I61" s="1497" t="s">
        <v>182</v>
      </c>
      <c r="J61" s="1496"/>
      <c r="K61" s="1498"/>
      <c r="L61" s="1499" t="s">
        <v>183</v>
      </c>
      <c r="M61" s="1496"/>
      <c r="N61" s="1496"/>
      <c r="O61" s="1497" t="s">
        <v>184</v>
      </c>
      <c r="P61" s="1496"/>
      <c r="Q61" s="1496"/>
      <c r="R61" s="1496"/>
      <c r="S61" s="1497" t="s">
        <v>185</v>
      </c>
      <c r="T61" s="1496"/>
      <c r="U61" s="1500"/>
      <c r="W61" s="1516" t="s">
        <v>186</v>
      </c>
      <c r="X61" s="1517"/>
      <c r="Y61" s="1517"/>
      <c r="Z61" s="1517"/>
      <c r="AA61" s="1108"/>
      <c r="AB61" s="1147"/>
      <c r="AC61" s="1147"/>
      <c r="AD61" s="1147"/>
      <c r="AE61" s="1147"/>
      <c r="AF61" s="1147"/>
      <c r="AG61" s="1147"/>
      <c r="AH61" s="1147"/>
      <c r="AI61" s="1147"/>
      <c r="AJ61" s="1147"/>
      <c r="AK61" s="1147"/>
      <c r="AL61" s="1147"/>
      <c r="AM61" s="1147"/>
      <c r="AN61" s="1147"/>
      <c r="AO61" s="1147"/>
      <c r="AP61" s="1147"/>
      <c r="AQ61" s="1147"/>
      <c r="AR61" s="1259" t="s">
        <v>59</v>
      </c>
      <c r="AS61" s="1260"/>
      <c r="AU61" s="1178"/>
      <c r="AV61" s="1179"/>
      <c r="AW61" s="1179"/>
      <c r="AX61" s="1179"/>
      <c r="AY61" s="1179"/>
      <c r="AZ61" s="1179"/>
      <c r="BA61" s="1179"/>
      <c r="BB61" s="1179"/>
      <c r="BC61" s="1179"/>
      <c r="BD61" s="1179"/>
      <c r="BE61" s="1179"/>
      <c r="BF61" s="1179"/>
      <c r="BG61" s="1179"/>
      <c r="BH61" s="1179"/>
      <c r="BI61" s="1179"/>
      <c r="BJ61" s="1179"/>
      <c r="BK61" s="1179"/>
      <c r="BL61" s="1179"/>
      <c r="BM61" s="1179"/>
      <c r="BN61" s="1179"/>
      <c r="BO61" s="1179"/>
      <c r="BP61" s="1179"/>
      <c r="BQ61" s="1179"/>
      <c r="BR61" s="1180"/>
    </row>
    <row r="62" spans="2:70" ht="18" customHeight="1">
      <c r="B62" s="1501" t="str">
        <f>附表!Z223</f>
        <v>80%/40%/16%</v>
      </c>
      <c r="C62" s="1502"/>
      <c r="D62" s="1502"/>
      <c r="E62" s="1502"/>
      <c r="F62" s="1503" t="str">
        <f>附表!Z225</f>
        <v>小康</v>
      </c>
      <c r="G62" s="1502"/>
      <c r="H62" s="1502"/>
      <c r="I62" s="1504" t="str">
        <f>附表!AE240</f>
        <v>1000</v>
      </c>
      <c r="J62" s="1505"/>
      <c r="K62" s="1506"/>
      <c r="L62" s="1507" t="str">
        <f>附表!AG240</f>
        <v>80万</v>
      </c>
      <c r="M62" s="1505"/>
      <c r="N62" s="1505"/>
      <c r="O62" s="1504">
        <f>附表!AF240</f>
        <v>8000</v>
      </c>
      <c r="P62" s="1505"/>
      <c r="Q62" s="1505"/>
      <c r="R62" s="1505"/>
      <c r="S62" s="1108" t="s">
        <v>187</v>
      </c>
      <c r="T62" s="1109"/>
      <c r="U62" s="1508"/>
      <c r="W62" s="1518"/>
      <c r="X62" s="1517"/>
      <c r="Y62" s="1517"/>
      <c r="Z62" s="1517"/>
      <c r="AA62" s="1147"/>
      <c r="AB62" s="1147"/>
      <c r="AC62" s="1147"/>
      <c r="AD62" s="1147"/>
      <c r="AE62" s="1147"/>
      <c r="AF62" s="1147"/>
      <c r="AG62" s="1147"/>
      <c r="AH62" s="1147"/>
      <c r="AI62" s="1147"/>
      <c r="AJ62" s="1147"/>
      <c r="AK62" s="1147"/>
      <c r="AL62" s="1147"/>
      <c r="AM62" s="1147"/>
      <c r="AN62" s="1147"/>
      <c r="AO62" s="1147"/>
      <c r="AP62" s="1147"/>
      <c r="AQ62" s="1147"/>
      <c r="AR62" s="1261"/>
      <c r="AS62" s="1262"/>
      <c r="AU62" s="1509" t="str">
        <f>IF(附表!AE22="仅显示1890_2012","时代介绍仅显示1890_2012这段时间","时代介绍")</f>
        <v>时代介绍</v>
      </c>
      <c r="AV62" s="1510"/>
      <c r="AW62" s="1510"/>
      <c r="AX62" s="1510"/>
      <c r="AY62" s="1510"/>
      <c r="AZ62" s="1510"/>
      <c r="BA62" s="1510"/>
      <c r="BB62" s="1510"/>
      <c r="BC62" s="1510"/>
      <c r="BD62" s="1510"/>
      <c r="BE62" s="1510"/>
      <c r="BF62" s="1510"/>
      <c r="BG62" s="1510"/>
      <c r="BH62" s="1510"/>
      <c r="BI62" s="1510"/>
      <c r="BJ62" s="1510"/>
      <c r="BK62" s="1510"/>
      <c r="BL62" s="1510"/>
      <c r="BM62" s="1510"/>
      <c r="BN62" s="1510"/>
      <c r="BO62" s="1510"/>
      <c r="BP62" s="1510"/>
      <c r="BQ62" s="1510"/>
      <c r="BR62" s="1511"/>
    </row>
    <row r="63" spans="2:70" ht="18" customHeight="1">
      <c r="B63" s="1184"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小康级别已经可以享受奢侈品的舒适了。住所：真材实料的住地，也许会有一些仆人（管家，主妇，清洁工，园丁，等等）。乡下估计还有小别墅。会住昂贵的宾馆。旅行：头等舱。会买高档车或同等的交通工具。</v>
      </c>
      <c r="C63" s="1185"/>
      <c r="D63" s="1185"/>
      <c r="E63" s="1185"/>
      <c r="F63" s="1185"/>
      <c r="G63" s="1185"/>
      <c r="H63" s="1185"/>
      <c r="I63" s="1185"/>
      <c r="J63" s="1185"/>
      <c r="K63" s="1186"/>
      <c r="L63" s="1190" t="s">
        <v>188</v>
      </c>
      <c r="M63" s="1191"/>
      <c r="N63" s="1191"/>
      <c r="O63" s="1191"/>
      <c r="P63" s="1191"/>
      <c r="Q63" s="1191"/>
      <c r="R63" s="1191"/>
      <c r="S63" s="1191"/>
      <c r="T63" s="1191"/>
      <c r="U63" s="1192"/>
      <c r="W63" s="1135" t="s">
        <v>189</v>
      </c>
      <c r="X63" s="1136"/>
      <c r="Y63" s="1136"/>
      <c r="Z63" s="1136"/>
      <c r="AA63" s="1111"/>
      <c r="AB63" s="1111"/>
      <c r="AC63" s="1111"/>
      <c r="AD63" s="1111"/>
      <c r="AE63" s="1111"/>
      <c r="AF63" s="1111"/>
      <c r="AG63" s="1111"/>
      <c r="AH63" s="1111"/>
      <c r="AI63" s="1111"/>
      <c r="AJ63" s="1111"/>
      <c r="AK63" s="1111"/>
      <c r="AL63" s="1111"/>
      <c r="AM63" s="1111"/>
      <c r="AN63" s="1111"/>
      <c r="AO63" s="1111"/>
      <c r="AP63" s="1111"/>
      <c r="AQ63" s="1111"/>
      <c r="AR63" s="1484" t="s">
        <v>59</v>
      </c>
      <c r="AS63" s="1485"/>
      <c r="AU63" s="1512" t="s">
        <v>190</v>
      </c>
      <c r="AV63" s="1513"/>
      <c r="AW63" s="1513"/>
      <c r="AX63" s="1513"/>
      <c r="AY63" s="1513"/>
      <c r="AZ63" s="1514" t="s">
        <v>191</v>
      </c>
      <c r="BA63" s="1513"/>
      <c r="BB63" s="1513"/>
      <c r="BC63" s="1513"/>
      <c r="BD63" s="1513"/>
      <c r="BE63" s="1513"/>
      <c r="BF63" s="1514" t="s">
        <v>192</v>
      </c>
      <c r="BG63" s="1513"/>
      <c r="BH63" s="1513"/>
      <c r="BI63" s="1513"/>
      <c r="BJ63" s="1513"/>
      <c r="BK63" s="1513"/>
      <c r="BL63" s="1514" t="s">
        <v>190</v>
      </c>
      <c r="BM63" s="1513"/>
      <c r="BN63" s="1513"/>
      <c r="BO63" s="1513"/>
      <c r="BP63" s="1513"/>
      <c r="BQ63" s="1513"/>
      <c r="BR63" s="1515"/>
    </row>
    <row r="64" spans="2:70" ht="18" customHeight="1">
      <c r="B64" s="1184"/>
      <c r="C64" s="1185"/>
      <c r="D64" s="1185"/>
      <c r="E64" s="1185"/>
      <c r="F64" s="1185"/>
      <c r="G64" s="1185"/>
      <c r="H64" s="1185"/>
      <c r="I64" s="1185"/>
      <c r="J64" s="1185"/>
      <c r="K64" s="1186"/>
      <c r="L64" s="1193"/>
      <c r="M64" s="1191"/>
      <c r="N64" s="1191"/>
      <c r="O64" s="1191"/>
      <c r="P64" s="1191"/>
      <c r="Q64" s="1191"/>
      <c r="R64" s="1191"/>
      <c r="S64" s="1191"/>
      <c r="T64" s="1191"/>
      <c r="U64" s="1192"/>
      <c r="W64" s="1135"/>
      <c r="X64" s="1136"/>
      <c r="Y64" s="1136"/>
      <c r="Z64" s="1136"/>
      <c r="AA64" s="1111"/>
      <c r="AB64" s="1111"/>
      <c r="AC64" s="1111"/>
      <c r="AD64" s="1111"/>
      <c r="AE64" s="1111"/>
      <c r="AF64" s="1111"/>
      <c r="AG64" s="1111"/>
      <c r="AH64" s="1111"/>
      <c r="AI64" s="1111"/>
      <c r="AJ64" s="1111"/>
      <c r="AK64" s="1111"/>
      <c r="AL64" s="1111"/>
      <c r="AM64" s="1111"/>
      <c r="AN64" s="1111"/>
      <c r="AO64" s="1111"/>
      <c r="AP64" s="1111"/>
      <c r="AQ64" s="1111"/>
      <c r="AR64" s="1486"/>
      <c r="AS64" s="1487"/>
      <c r="AU64" s="1263" t="str">
        <f>IF(E8="公元","A.C."&amp;G8,"B.C."&amp;G8)</f>
        <v>A.C.2023</v>
      </c>
      <c r="AV64" s="1264"/>
      <c r="AW64" s="1264"/>
      <c r="AX64" s="1264"/>
      <c r="AY64" s="1264"/>
      <c r="AZ64" s="1466" t="str">
        <f>附表!AF22</f>
        <v>——</v>
      </c>
      <c r="BA64" s="1467"/>
      <c r="BB64" s="1467"/>
      <c r="BC64" s="1467"/>
      <c r="BD64" s="1467"/>
      <c r="BE64" s="1467"/>
      <c r="BF64" s="1468" t="str">
        <f>附表!AI22</f>
        <v>防控政策重大调整</v>
      </c>
      <c r="BG64" s="1469"/>
      <c r="BH64" s="1469"/>
      <c r="BI64" s="1469"/>
      <c r="BJ64" s="1469"/>
      <c r="BK64" s="1469"/>
      <c r="BL64" s="1466" t="str">
        <f>附表!AL22</f>
        <v>二十一世 二十年代</v>
      </c>
      <c r="BM64" s="1467"/>
      <c r="BN64" s="1467"/>
      <c r="BO64" s="1467"/>
      <c r="BP64" s="1467"/>
      <c r="BQ64" s="1467"/>
      <c r="BR64" s="1470"/>
    </row>
    <row r="65" spans="1:70" ht="18" customHeight="1">
      <c r="B65" s="1184"/>
      <c r="C65" s="1185"/>
      <c r="D65" s="1185"/>
      <c r="E65" s="1185"/>
      <c r="F65" s="1185"/>
      <c r="G65" s="1185"/>
      <c r="H65" s="1185"/>
      <c r="I65" s="1185"/>
      <c r="J65" s="1185"/>
      <c r="K65" s="1186"/>
      <c r="L65" s="1193"/>
      <c r="M65" s="1191"/>
      <c r="N65" s="1191"/>
      <c r="O65" s="1191"/>
      <c r="P65" s="1191"/>
      <c r="Q65" s="1191"/>
      <c r="R65" s="1191"/>
      <c r="S65" s="1191"/>
      <c r="T65" s="1191"/>
      <c r="U65" s="1192"/>
      <c r="W65" s="1223" t="s">
        <v>193</v>
      </c>
      <c r="X65" s="1224"/>
      <c r="Y65" s="1224"/>
      <c r="Z65" s="1224"/>
      <c r="AA65" s="1108"/>
      <c r="AB65" s="1109"/>
      <c r="AC65" s="1109"/>
      <c r="AD65" s="1109"/>
      <c r="AE65" s="1109"/>
      <c r="AF65" s="1109"/>
      <c r="AG65" s="1109"/>
      <c r="AH65" s="1109"/>
      <c r="AI65" s="1109"/>
      <c r="AJ65" s="1109"/>
      <c r="AK65" s="1109"/>
      <c r="AL65" s="1109"/>
      <c r="AM65" s="1109"/>
      <c r="AN65" s="1109"/>
      <c r="AO65" s="1109"/>
      <c r="AP65" s="1109"/>
      <c r="AQ65" s="1109"/>
      <c r="AR65" s="1181" t="s">
        <v>59</v>
      </c>
      <c r="AS65" s="1182"/>
      <c r="AU65" s="1263"/>
      <c r="AV65" s="1264"/>
      <c r="AW65" s="1264"/>
      <c r="AX65" s="1265"/>
      <c r="AY65" s="1265"/>
      <c r="AZ65" s="1471">
        <f>附表!AG22</f>
        <v>0</v>
      </c>
      <c r="BA65" s="1471"/>
      <c r="BB65" s="1471"/>
      <c r="BC65" s="1471"/>
      <c r="BD65" s="1471"/>
      <c r="BE65" s="1471"/>
      <c r="BF65" s="1471" t="str">
        <f>附表!AJ22</f>
        <v>第五次全国经济普查</v>
      </c>
      <c r="BG65" s="1471"/>
      <c r="BH65" s="1471"/>
      <c r="BI65" s="1471"/>
      <c r="BJ65" s="1471"/>
      <c r="BK65" s="1471"/>
      <c r="BL65" s="1471" t="str">
        <f>附表!AM22</f>
        <v>癸卯兔年</v>
      </c>
      <c r="BM65" s="1471"/>
      <c r="BN65" s="1471"/>
      <c r="BO65" s="1471"/>
      <c r="BP65" s="1471"/>
      <c r="BQ65" s="1471"/>
      <c r="BR65" s="1472"/>
    </row>
    <row r="66" spans="1:70" ht="18" customHeight="1">
      <c r="B66" s="1184"/>
      <c r="C66" s="1185"/>
      <c r="D66" s="1185"/>
      <c r="E66" s="1185"/>
      <c r="F66" s="1185"/>
      <c r="G66" s="1185"/>
      <c r="H66" s="1185"/>
      <c r="I66" s="1185"/>
      <c r="J66" s="1185"/>
      <c r="K66" s="1186"/>
      <c r="L66" s="1193"/>
      <c r="M66" s="1191"/>
      <c r="N66" s="1191"/>
      <c r="O66" s="1191"/>
      <c r="P66" s="1191"/>
      <c r="Q66" s="1191"/>
      <c r="R66" s="1191"/>
      <c r="S66" s="1191"/>
      <c r="T66" s="1191"/>
      <c r="U66" s="1192"/>
      <c r="W66" s="1225"/>
      <c r="X66" s="1224"/>
      <c r="Y66" s="1224"/>
      <c r="Z66" s="1224"/>
      <c r="AA66" s="1109"/>
      <c r="AB66" s="1109"/>
      <c r="AC66" s="1109"/>
      <c r="AD66" s="1109"/>
      <c r="AE66" s="1109"/>
      <c r="AF66" s="1109"/>
      <c r="AG66" s="1109"/>
      <c r="AH66" s="1109"/>
      <c r="AI66" s="1109"/>
      <c r="AJ66" s="1109"/>
      <c r="AK66" s="1109"/>
      <c r="AL66" s="1109"/>
      <c r="AM66" s="1109"/>
      <c r="AN66" s="1109"/>
      <c r="AO66" s="1109"/>
      <c r="AP66" s="1109"/>
      <c r="AQ66" s="1109"/>
      <c r="AR66" s="1183"/>
      <c r="AS66" s="1182"/>
      <c r="AU66" s="1263"/>
      <c r="AV66" s="1264"/>
      <c r="AW66" s="1264"/>
      <c r="AX66" s="1266"/>
      <c r="AY66" s="1266"/>
      <c r="AZ66" s="1473">
        <f>附表!AH22</f>
        <v>0</v>
      </c>
      <c r="BA66" s="1474"/>
      <c r="BB66" s="1474"/>
      <c r="BC66" s="1474"/>
      <c r="BD66" s="1474"/>
      <c r="BE66" s="1474"/>
      <c r="BF66" s="1473">
        <f>附表!AK22</f>
        <v>0</v>
      </c>
      <c r="BG66" s="1474"/>
      <c r="BH66" s="1474"/>
      <c r="BI66" s="1474"/>
      <c r="BJ66" s="1474"/>
      <c r="BK66" s="1474"/>
      <c r="BL66" s="1473" t="str">
        <f>附表!AN22</f>
        <v>中华人民共和国74周年</v>
      </c>
      <c r="BM66" s="1474"/>
      <c r="BN66" s="1474"/>
      <c r="BO66" s="1474"/>
      <c r="BP66" s="1474"/>
      <c r="BQ66" s="1474"/>
      <c r="BR66" s="1475"/>
    </row>
    <row r="67" spans="1:70" ht="18" customHeight="1">
      <c r="B67" s="1187"/>
      <c r="C67" s="1188"/>
      <c r="D67" s="1188"/>
      <c r="E67" s="1188"/>
      <c r="F67" s="1188"/>
      <c r="G67" s="1188"/>
      <c r="H67" s="1188"/>
      <c r="I67" s="1188"/>
      <c r="J67" s="1188"/>
      <c r="K67" s="1189"/>
      <c r="L67" s="1194"/>
      <c r="M67" s="1195"/>
      <c r="N67" s="1195"/>
      <c r="O67" s="1195"/>
      <c r="P67" s="1195"/>
      <c r="Q67" s="1195"/>
      <c r="R67" s="1195"/>
      <c r="S67" s="1195"/>
      <c r="T67" s="1195"/>
      <c r="U67" s="1196"/>
      <c r="W67" s="1160" t="s">
        <v>194</v>
      </c>
      <c r="X67" s="1106"/>
      <c r="Y67" s="1106"/>
      <c r="Z67" s="1106"/>
      <c r="AA67" s="1111"/>
      <c r="AB67" s="1111"/>
      <c r="AC67" s="1111"/>
      <c r="AD67" s="1111"/>
      <c r="AE67" s="1111"/>
      <c r="AF67" s="1111"/>
      <c r="AG67" s="1111"/>
      <c r="AH67" s="1111"/>
      <c r="AI67" s="1111"/>
      <c r="AJ67" s="1111"/>
      <c r="AK67" s="1111"/>
      <c r="AL67" s="1111"/>
      <c r="AM67" s="1111"/>
      <c r="AN67" s="1111"/>
      <c r="AO67" s="1111"/>
      <c r="AP67" s="1111"/>
      <c r="AQ67" s="1111"/>
      <c r="AR67" s="1163" t="s">
        <v>59</v>
      </c>
      <c r="AS67" s="1164"/>
      <c r="AU67" s="1335" t="s">
        <v>195</v>
      </c>
      <c r="AV67" s="1336"/>
      <c r="AW67" s="1336"/>
      <c r="AX67" s="1336"/>
      <c r="AY67" s="1336"/>
      <c r="AZ67" s="1336"/>
      <c r="BA67" s="1336"/>
      <c r="BB67" s="1336"/>
      <c r="BC67" s="1336"/>
      <c r="BD67" s="1336"/>
      <c r="BE67" s="1336"/>
      <c r="BF67" s="1336"/>
      <c r="BG67" s="1336"/>
      <c r="BH67" s="1336"/>
      <c r="BI67" s="1336"/>
      <c r="BJ67" s="1336"/>
      <c r="BK67" s="1336"/>
      <c r="BL67" s="1336"/>
      <c r="BM67" s="1336"/>
      <c r="BN67" s="1336"/>
      <c r="BO67" s="1336"/>
      <c r="BP67" s="1336"/>
      <c r="BQ67" s="1336"/>
      <c r="BR67" s="1337"/>
    </row>
    <row r="68" spans="1:70" ht="18" customHeight="1">
      <c r="B68" s="1332" t="s">
        <v>196</v>
      </c>
      <c r="C68" s="1333"/>
      <c r="D68" s="1333"/>
      <c r="E68" s="1333"/>
      <c r="F68" s="1333"/>
      <c r="G68" s="1333"/>
      <c r="H68" s="1333"/>
      <c r="I68" s="1333"/>
      <c r="J68" s="1333"/>
      <c r="K68" s="1333"/>
      <c r="L68" s="1333"/>
      <c r="M68" s="1333"/>
      <c r="N68" s="1333"/>
      <c r="O68" s="1333"/>
      <c r="P68" s="1333"/>
      <c r="Q68" s="1333"/>
      <c r="R68" s="1333"/>
      <c r="S68" s="1333"/>
      <c r="T68" s="1333"/>
      <c r="U68" s="1334"/>
      <c r="W68" s="1160"/>
      <c r="X68" s="1106"/>
      <c r="Y68" s="1106"/>
      <c r="Z68" s="1106"/>
      <c r="AA68" s="1111"/>
      <c r="AB68" s="1111"/>
      <c r="AC68" s="1111"/>
      <c r="AD68" s="1111"/>
      <c r="AE68" s="1111"/>
      <c r="AF68" s="1111"/>
      <c r="AG68" s="1111"/>
      <c r="AH68" s="1111"/>
      <c r="AI68" s="1111"/>
      <c r="AJ68" s="1111"/>
      <c r="AK68" s="1111"/>
      <c r="AL68" s="1111"/>
      <c r="AM68" s="1111"/>
      <c r="AN68" s="1111"/>
      <c r="AO68" s="1111"/>
      <c r="AP68" s="1111"/>
      <c r="AQ68" s="1111"/>
      <c r="AR68" s="1163"/>
      <c r="AS68" s="1164"/>
      <c r="AU68" s="1123" t="str">
        <f>附表!AO22</f>
        <v>——</v>
      </c>
      <c r="AV68" s="1124"/>
      <c r="AW68" s="1124"/>
      <c r="AX68" s="1124"/>
      <c r="AY68" s="1124"/>
      <c r="AZ68" s="1124"/>
      <c r="BA68" s="1124"/>
      <c r="BB68" s="1124"/>
      <c r="BC68" s="1124"/>
      <c r="BD68" s="1124"/>
      <c r="BE68" s="1124"/>
      <c r="BF68" s="1124"/>
      <c r="BG68" s="1124"/>
      <c r="BH68" s="1124"/>
      <c r="BI68" s="1124"/>
      <c r="BJ68" s="1124"/>
      <c r="BK68" s="1124"/>
      <c r="BL68" s="1124"/>
      <c r="BM68" s="1124"/>
      <c r="BN68" s="1124"/>
      <c r="BO68" s="1124"/>
      <c r="BP68" s="1124"/>
      <c r="BQ68" s="1124"/>
      <c r="BR68" s="1125"/>
    </row>
    <row r="69" spans="1:70" ht="18" customHeight="1">
      <c r="B69" s="1476" t="s">
        <v>197</v>
      </c>
      <c r="C69" s="1477"/>
      <c r="D69" s="1477"/>
      <c r="E69" s="1477"/>
      <c r="F69" s="1478" t="s">
        <v>198</v>
      </c>
      <c r="G69" s="1477"/>
      <c r="H69" s="1477"/>
      <c r="I69" s="1477"/>
      <c r="J69" s="1478" t="s">
        <v>199</v>
      </c>
      <c r="K69" s="1477"/>
      <c r="L69" s="1477"/>
      <c r="M69" s="1477"/>
      <c r="N69" s="1478" t="s">
        <v>200</v>
      </c>
      <c r="O69" s="1477"/>
      <c r="P69" s="1477"/>
      <c r="Q69" s="1477"/>
      <c r="R69" s="1478" t="s">
        <v>201</v>
      </c>
      <c r="S69" s="1477"/>
      <c r="T69" s="1477"/>
      <c r="U69" s="1479"/>
      <c r="W69" s="1223" t="s">
        <v>202</v>
      </c>
      <c r="X69" s="1224"/>
      <c r="Y69" s="1224"/>
      <c r="Z69" s="1224"/>
      <c r="AA69" s="1108"/>
      <c r="AB69" s="1109"/>
      <c r="AC69" s="1109"/>
      <c r="AD69" s="1109"/>
      <c r="AE69" s="1109"/>
      <c r="AF69" s="1109"/>
      <c r="AG69" s="1109"/>
      <c r="AH69" s="1109"/>
      <c r="AI69" s="1109"/>
      <c r="AJ69" s="1109"/>
      <c r="AK69" s="1109"/>
      <c r="AL69" s="1109"/>
      <c r="AM69" s="1109"/>
      <c r="AN69" s="1109"/>
      <c r="AO69" s="1109"/>
      <c r="AP69" s="1109"/>
      <c r="AQ69" s="1109"/>
      <c r="AR69" s="1181" t="s">
        <v>59</v>
      </c>
      <c r="AS69" s="1182"/>
      <c r="AU69" s="1126"/>
      <c r="AV69" s="1127"/>
      <c r="AW69" s="1127"/>
      <c r="AX69" s="1127"/>
      <c r="AY69" s="1127"/>
      <c r="AZ69" s="1127"/>
      <c r="BA69" s="1127"/>
      <c r="BB69" s="1127"/>
      <c r="BC69" s="1127"/>
      <c r="BD69" s="1127"/>
      <c r="BE69" s="1127"/>
      <c r="BF69" s="1127"/>
      <c r="BG69" s="1127"/>
      <c r="BH69" s="1127"/>
      <c r="BI69" s="1127"/>
      <c r="BJ69" s="1127"/>
      <c r="BK69" s="1127"/>
      <c r="BL69" s="1127"/>
      <c r="BM69" s="1127"/>
      <c r="BN69" s="1127"/>
      <c r="BO69" s="1127"/>
      <c r="BP69" s="1127"/>
      <c r="BQ69" s="1127"/>
      <c r="BR69" s="1128"/>
    </row>
    <row r="70" spans="1:70" ht="18" customHeight="1">
      <c r="B70" s="1167" t="s">
        <v>6008</v>
      </c>
      <c r="C70" s="1168"/>
      <c r="D70" s="1168"/>
      <c r="E70" s="1168"/>
      <c r="F70" s="1168" t="s">
        <v>6009</v>
      </c>
      <c r="G70" s="1168"/>
      <c r="H70" s="1168"/>
      <c r="I70" s="1168"/>
      <c r="J70" s="1168"/>
      <c r="K70" s="1168"/>
      <c r="L70" s="1168"/>
      <c r="M70" s="1168"/>
      <c r="N70" s="1168" t="s">
        <v>6010</v>
      </c>
      <c r="O70" s="1168"/>
      <c r="P70" s="1168"/>
      <c r="Q70" s="1168"/>
      <c r="R70" s="1169" t="s">
        <v>6011</v>
      </c>
      <c r="S70" s="1169"/>
      <c r="T70" s="1169"/>
      <c r="U70" s="1170"/>
      <c r="W70" s="1225"/>
      <c r="X70" s="1224"/>
      <c r="Y70" s="1224"/>
      <c r="Z70" s="1224"/>
      <c r="AA70" s="1109"/>
      <c r="AB70" s="1109"/>
      <c r="AC70" s="1109"/>
      <c r="AD70" s="1109"/>
      <c r="AE70" s="1109"/>
      <c r="AF70" s="1109"/>
      <c r="AG70" s="1109"/>
      <c r="AH70" s="1109"/>
      <c r="AI70" s="1109"/>
      <c r="AJ70" s="1109"/>
      <c r="AK70" s="1109"/>
      <c r="AL70" s="1109"/>
      <c r="AM70" s="1109"/>
      <c r="AN70" s="1109"/>
      <c r="AO70" s="1109"/>
      <c r="AP70" s="1109"/>
      <c r="AQ70" s="1109"/>
      <c r="AR70" s="1183"/>
      <c r="AS70" s="1182"/>
      <c r="AU70" s="1126"/>
      <c r="AV70" s="1127"/>
      <c r="AW70" s="1127"/>
      <c r="AX70" s="1127"/>
      <c r="AY70" s="1127"/>
      <c r="AZ70" s="1127"/>
      <c r="BA70" s="1127"/>
      <c r="BB70" s="1127"/>
      <c r="BC70" s="1127"/>
      <c r="BD70" s="1127"/>
      <c r="BE70" s="1127"/>
      <c r="BF70" s="1127"/>
      <c r="BG70" s="1127"/>
      <c r="BH70" s="1127"/>
      <c r="BI70" s="1127"/>
      <c r="BJ70" s="1127"/>
      <c r="BK70" s="1127"/>
      <c r="BL70" s="1127"/>
      <c r="BM70" s="1127"/>
      <c r="BN70" s="1127"/>
      <c r="BO70" s="1127"/>
      <c r="BP70" s="1127"/>
      <c r="BQ70" s="1127"/>
      <c r="BR70" s="1128"/>
    </row>
    <row r="71" spans="1:70" ht="18" customHeight="1">
      <c r="B71" s="1167"/>
      <c r="C71" s="1168"/>
      <c r="D71" s="1168"/>
      <c r="E71" s="1168"/>
      <c r="F71" s="1168"/>
      <c r="G71" s="1168"/>
      <c r="H71" s="1168"/>
      <c r="I71" s="1168"/>
      <c r="J71" s="1168"/>
      <c r="K71" s="1168"/>
      <c r="L71" s="1168"/>
      <c r="M71" s="1168"/>
      <c r="N71" s="1168"/>
      <c r="O71" s="1168"/>
      <c r="P71" s="1168"/>
      <c r="Q71" s="1168"/>
      <c r="R71" s="1169"/>
      <c r="S71" s="1169"/>
      <c r="T71" s="1169"/>
      <c r="U71" s="1170"/>
      <c r="W71" s="1135" t="s">
        <v>203</v>
      </c>
      <c r="X71" s="1136"/>
      <c r="Y71" s="1136"/>
      <c r="Z71" s="1136"/>
      <c r="AA71" s="1111"/>
      <c r="AB71" s="1111"/>
      <c r="AC71" s="1111"/>
      <c r="AD71" s="1111"/>
      <c r="AE71" s="1111"/>
      <c r="AF71" s="1111"/>
      <c r="AG71" s="1111"/>
      <c r="AH71" s="1111"/>
      <c r="AI71" s="1111"/>
      <c r="AJ71" s="1111"/>
      <c r="AK71" s="1111"/>
      <c r="AL71" s="1111"/>
      <c r="AM71" s="1111"/>
      <c r="AN71" s="1111"/>
      <c r="AO71" s="1111"/>
      <c r="AP71" s="1111"/>
      <c r="AQ71" s="1111"/>
      <c r="AR71" s="1163" t="s">
        <v>59</v>
      </c>
      <c r="AS71" s="1164"/>
      <c r="AU71" s="1126"/>
      <c r="AV71" s="1127"/>
      <c r="AW71" s="1127"/>
      <c r="AX71" s="1127"/>
      <c r="AY71" s="1127"/>
      <c r="AZ71" s="1127"/>
      <c r="BA71" s="1127"/>
      <c r="BB71" s="1127"/>
      <c r="BC71" s="1127"/>
      <c r="BD71" s="1127"/>
      <c r="BE71" s="1127"/>
      <c r="BF71" s="1127"/>
      <c r="BG71" s="1127"/>
      <c r="BH71" s="1127"/>
      <c r="BI71" s="1127"/>
      <c r="BJ71" s="1127"/>
      <c r="BK71" s="1127"/>
      <c r="BL71" s="1127"/>
      <c r="BM71" s="1127"/>
      <c r="BN71" s="1127"/>
      <c r="BO71" s="1127"/>
      <c r="BP71" s="1127"/>
      <c r="BQ71" s="1127"/>
      <c r="BR71" s="1128"/>
    </row>
    <row r="72" spans="1:70" ht="18" customHeight="1">
      <c r="B72" s="1167"/>
      <c r="C72" s="1168"/>
      <c r="D72" s="1168"/>
      <c r="E72" s="1168"/>
      <c r="F72" s="1168"/>
      <c r="G72" s="1168"/>
      <c r="H72" s="1168"/>
      <c r="I72" s="1168"/>
      <c r="J72" s="1168"/>
      <c r="K72" s="1168"/>
      <c r="L72" s="1168"/>
      <c r="M72" s="1168"/>
      <c r="N72" s="1168"/>
      <c r="O72" s="1168"/>
      <c r="P72" s="1168"/>
      <c r="Q72" s="1168"/>
      <c r="R72" s="1169"/>
      <c r="S72" s="1169"/>
      <c r="T72" s="1169"/>
      <c r="U72" s="1170"/>
      <c r="W72" s="1135"/>
      <c r="X72" s="1136"/>
      <c r="Y72" s="1136"/>
      <c r="Z72" s="1136"/>
      <c r="AA72" s="1111"/>
      <c r="AB72" s="1111"/>
      <c r="AC72" s="1111"/>
      <c r="AD72" s="1111"/>
      <c r="AE72" s="1111"/>
      <c r="AF72" s="1111"/>
      <c r="AG72" s="1111"/>
      <c r="AH72" s="1111"/>
      <c r="AI72" s="1111"/>
      <c r="AJ72" s="1111"/>
      <c r="AK72" s="1111"/>
      <c r="AL72" s="1111"/>
      <c r="AM72" s="1111"/>
      <c r="AN72" s="1111"/>
      <c r="AO72" s="1111"/>
      <c r="AP72" s="1111"/>
      <c r="AQ72" s="1111"/>
      <c r="AR72" s="1163"/>
      <c r="AS72" s="1164"/>
      <c r="AU72" s="1126"/>
      <c r="AV72" s="1127"/>
      <c r="AW72" s="1127"/>
      <c r="AX72" s="1127"/>
      <c r="AY72" s="1127"/>
      <c r="AZ72" s="1127"/>
      <c r="BA72" s="1127"/>
      <c r="BB72" s="1127"/>
      <c r="BC72" s="1127"/>
      <c r="BD72" s="1127"/>
      <c r="BE72" s="1127"/>
      <c r="BF72" s="1127"/>
      <c r="BG72" s="1127"/>
      <c r="BH72" s="1127"/>
      <c r="BI72" s="1127"/>
      <c r="BJ72" s="1127"/>
      <c r="BK72" s="1127"/>
      <c r="BL72" s="1127"/>
      <c r="BM72" s="1127"/>
      <c r="BN72" s="1127"/>
      <c r="BO72" s="1127"/>
      <c r="BP72" s="1127"/>
      <c r="BQ72" s="1127"/>
      <c r="BR72" s="1128"/>
    </row>
    <row r="73" spans="1:70" ht="18" customHeight="1">
      <c r="B73" s="1167"/>
      <c r="C73" s="1168"/>
      <c r="D73" s="1168"/>
      <c r="E73" s="1168"/>
      <c r="F73" s="1168"/>
      <c r="G73" s="1168"/>
      <c r="H73" s="1168"/>
      <c r="I73" s="1168"/>
      <c r="J73" s="1168"/>
      <c r="K73" s="1168"/>
      <c r="L73" s="1168"/>
      <c r="M73" s="1168"/>
      <c r="N73" s="1168"/>
      <c r="O73" s="1168"/>
      <c r="P73" s="1168"/>
      <c r="Q73" s="1168"/>
      <c r="R73" s="1169"/>
      <c r="S73" s="1169"/>
      <c r="T73" s="1169"/>
      <c r="U73" s="1170"/>
      <c r="W73" s="1223" t="s">
        <v>204</v>
      </c>
      <c r="X73" s="1224"/>
      <c r="Y73" s="1224"/>
      <c r="Z73" s="1224"/>
      <c r="AA73" s="1108"/>
      <c r="AB73" s="1109"/>
      <c r="AC73" s="1109"/>
      <c r="AD73" s="1109"/>
      <c r="AE73" s="1109"/>
      <c r="AF73" s="1109"/>
      <c r="AG73" s="1109"/>
      <c r="AH73" s="1109"/>
      <c r="AI73" s="1109"/>
      <c r="AJ73" s="1109"/>
      <c r="AK73" s="1109"/>
      <c r="AL73" s="1109"/>
      <c r="AM73" s="1109"/>
      <c r="AN73" s="1109"/>
      <c r="AO73" s="1109"/>
      <c r="AP73" s="1109"/>
      <c r="AQ73" s="1109"/>
      <c r="AR73" s="1181" t="s">
        <v>59</v>
      </c>
      <c r="AS73" s="1182"/>
      <c r="AU73" s="1126"/>
      <c r="AV73" s="1127"/>
      <c r="AW73" s="1127"/>
      <c r="AX73" s="1127"/>
      <c r="AY73" s="1127"/>
      <c r="AZ73" s="1127"/>
      <c r="BA73" s="1127"/>
      <c r="BB73" s="1127"/>
      <c r="BC73" s="1127"/>
      <c r="BD73" s="1127"/>
      <c r="BE73" s="1127"/>
      <c r="BF73" s="1127"/>
      <c r="BG73" s="1127"/>
      <c r="BH73" s="1127"/>
      <c r="BI73" s="1127"/>
      <c r="BJ73" s="1127"/>
      <c r="BK73" s="1127"/>
      <c r="BL73" s="1127"/>
      <c r="BM73" s="1127"/>
      <c r="BN73" s="1127"/>
      <c r="BO73" s="1127"/>
      <c r="BP73" s="1127"/>
      <c r="BQ73" s="1127"/>
      <c r="BR73" s="1128"/>
    </row>
    <row r="74" spans="1:70" ht="18" customHeight="1">
      <c r="B74" s="1167"/>
      <c r="C74" s="1168"/>
      <c r="D74" s="1168"/>
      <c r="E74" s="1168"/>
      <c r="F74" s="1168"/>
      <c r="G74" s="1168"/>
      <c r="H74" s="1168"/>
      <c r="I74" s="1168"/>
      <c r="J74" s="1168"/>
      <c r="K74" s="1168"/>
      <c r="L74" s="1168"/>
      <c r="M74" s="1168"/>
      <c r="N74" s="1168"/>
      <c r="O74" s="1168"/>
      <c r="P74" s="1168"/>
      <c r="Q74" s="1168"/>
      <c r="R74" s="1169"/>
      <c r="S74" s="1169"/>
      <c r="T74" s="1169"/>
      <c r="U74" s="1170"/>
      <c r="W74" s="1225"/>
      <c r="X74" s="1224"/>
      <c r="Y74" s="1224"/>
      <c r="Z74" s="1224"/>
      <c r="AA74" s="1109"/>
      <c r="AB74" s="1109"/>
      <c r="AC74" s="1109"/>
      <c r="AD74" s="1109"/>
      <c r="AE74" s="1109"/>
      <c r="AF74" s="1109"/>
      <c r="AG74" s="1109"/>
      <c r="AH74" s="1109"/>
      <c r="AI74" s="1109"/>
      <c r="AJ74" s="1109"/>
      <c r="AK74" s="1109"/>
      <c r="AL74" s="1109"/>
      <c r="AM74" s="1109"/>
      <c r="AN74" s="1109"/>
      <c r="AO74" s="1109"/>
      <c r="AP74" s="1109"/>
      <c r="AQ74" s="1109"/>
      <c r="AR74" s="1183"/>
      <c r="AS74" s="1182"/>
      <c r="AU74" s="1126"/>
      <c r="AV74" s="1127"/>
      <c r="AW74" s="1127"/>
      <c r="AX74" s="1127"/>
      <c r="AY74" s="1127"/>
      <c r="AZ74" s="1127"/>
      <c r="BA74" s="1127"/>
      <c r="BB74" s="1127"/>
      <c r="BC74" s="1127"/>
      <c r="BD74" s="1127"/>
      <c r="BE74" s="1127"/>
      <c r="BF74" s="1127"/>
      <c r="BG74" s="1127"/>
      <c r="BH74" s="1127"/>
      <c r="BI74" s="1127"/>
      <c r="BJ74" s="1127"/>
      <c r="BK74" s="1127"/>
      <c r="BL74" s="1127"/>
      <c r="BM74" s="1127"/>
      <c r="BN74" s="1127"/>
      <c r="BO74" s="1127"/>
      <c r="BP74" s="1127"/>
      <c r="BQ74" s="1127"/>
      <c r="BR74" s="1128"/>
    </row>
    <row r="75" spans="1:70" ht="18" customHeight="1">
      <c r="B75" s="1480">
        <v>150000</v>
      </c>
      <c r="C75" s="1481"/>
      <c r="D75" s="1481"/>
      <c r="E75" s="1481"/>
      <c r="F75" s="1481">
        <v>500000</v>
      </c>
      <c r="G75" s="1481"/>
      <c r="H75" s="1481"/>
      <c r="I75" s="1481"/>
      <c r="J75" s="1481">
        <v>0</v>
      </c>
      <c r="K75" s="1481"/>
      <c r="L75" s="1481"/>
      <c r="M75" s="1481"/>
      <c r="N75" s="1481">
        <v>300000</v>
      </c>
      <c r="O75" s="1481"/>
      <c r="P75" s="1481"/>
      <c r="Q75" s="1481"/>
      <c r="R75" s="1481">
        <v>-300000</v>
      </c>
      <c r="S75" s="1481"/>
      <c r="T75" s="1481"/>
      <c r="U75" s="1482"/>
      <c r="W75" s="1135" t="s">
        <v>205</v>
      </c>
      <c r="X75" s="1136"/>
      <c r="Y75" s="1136"/>
      <c r="Z75" s="1136"/>
      <c r="AA75" s="1111"/>
      <c r="AB75" s="1111"/>
      <c r="AC75" s="1111"/>
      <c r="AD75" s="1111"/>
      <c r="AE75" s="1111"/>
      <c r="AF75" s="1111"/>
      <c r="AG75" s="1111"/>
      <c r="AH75" s="1111"/>
      <c r="AI75" s="1111"/>
      <c r="AJ75" s="1111"/>
      <c r="AK75" s="1111"/>
      <c r="AL75" s="1111"/>
      <c r="AM75" s="1111"/>
      <c r="AN75" s="1111"/>
      <c r="AO75" s="1111"/>
      <c r="AP75" s="1111"/>
      <c r="AQ75" s="1111"/>
      <c r="AR75" s="1163" t="s">
        <v>59</v>
      </c>
      <c r="AS75" s="1164"/>
      <c r="AU75" s="1126"/>
      <c r="AV75" s="1127"/>
      <c r="AW75" s="1127"/>
      <c r="AX75" s="1127"/>
      <c r="AY75" s="1127"/>
      <c r="AZ75" s="1127"/>
      <c r="BA75" s="1127"/>
      <c r="BB75" s="1127"/>
      <c r="BC75" s="1127"/>
      <c r="BD75" s="1127"/>
      <c r="BE75" s="1127"/>
      <c r="BF75" s="1127"/>
      <c r="BG75" s="1127"/>
      <c r="BH75" s="1127"/>
      <c r="BI75" s="1127"/>
      <c r="BJ75" s="1127"/>
      <c r="BK75" s="1127"/>
      <c r="BL75" s="1127"/>
      <c r="BM75" s="1127"/>
      <c r="BN75" s="1127"/>
      <c r="BO75" s="1127"/>
      <c r="BP75" s="1127"/>
      <c r="BQ75" s="1127"/>
      <c r="BR75" s="1128"/>
    </row>
    <row r="76" spans="1:70" ht="18" customHeight="1">
      <c r="B76" s="1488" t="str">
        <f>"资产总和："&amp;SUM(B75:U75)</f>
        <v>资产总和：650000</v>
      </c>
      <c r="C76" s="1488"/>
      <c r="D76" s="1488"/>
      <c r="E76" s="1488"/>
      <c r="F76" s="1488"/>
      <c r="G76" s="1488"/>
      <c r="H76" s="1488"/>
      <c r="I76" s="1488"/>
      <c r="J76" s="1489"/>
      <c r="K76" s="1489"/>
      <c r="L76" s="1489"/>
      <c r="M76" s="1489"/>
      <c r="N76" s="1488" t="str">
        <f>"剩余资产值："&amp;IF(附表!AG230="没有",0-SUM(B75:U75),附表!AG230-SUM(B75:U75))</f>
        <v>剩余资产值：150000</v>
      </c>
      <c r="O76" s="1488"/>
      <c r="P76" s="1488"/>
      <c r="Q76" s="1488"/>
      <c r="R76" s="1488"/>
      <c r="S76" s="1488"/>
      <c r="T76" s="1488"/>
      <c r="U76" s="1488"/>
      <c r="W76" s="1137"/>
      <c r="X76" s="1138"/>
      <c r="Y76" s="1138"/>
      <c r="Z76" s="1138"/>
      <c r="AA76" s="1483"/>
      <c r="AB76" s="1483"/>
      <c r="AC76" s="1483"/>
      <c r="AD76" s="1483"/>
      <c r="AE76" s="1483"/>
      <c r="AF76" s="1483"/>
      <c r="AG76" s="1483"/>
      <c r="AH76" s="1483"/>
      <c r="AI76" s="1483"/>
      <c r="AJ76" s="1483"/>
      <c r="AK76" s="1483"/>
      <c r="AL76" s="1483"/>
      <c r="AM76" s="1483"/>
      <c r="AN76" s="1483"/>
      <c r="AO76" s="1483"/>
      <c r="AP76" s="1483"/>
      <c r="AQ76" s="1483"/>
      <c r="AR76" s="1165"/>
      <c r="AS76" s="1166"/>
      <c r="AU76" s="1126"/>
      <c r="AV76" s="1127"/>
      <c r="AW76" s="1127"/>
      <c r="AX76" s="1127"/>
      <c r="AY76" s="1127"/>
      <c r="AZ76" s="1127"/>
      <c r="BA76" s="1127"/>
      <c r="BB76" s="1127"/>
      <c r="BC76" s="1127"/>
      <c r="BD76" s="1127"/>
      <c r="BE76" s="1127"/>
      <c r="BF76" s="1127"/>
      <c r="BG76" s="1127"/>
      <c r="BH76" s="1127"/>
      <c r="BI76" s="1127"/>
      <c r="BJ76" s="1127"/>
      <c r="BK76" s="1127"/>
      <c r="BL76" s="1127"/>
      <c r="BM76" s="1127"/>
      <c r="BN76" s="1127"/>
      <c r="BO76" s="1127"/>
      <c r="BP76" s="1127"/>
      <c r="BQ76" s="1127"/>
      <c r="BR76" s="1128"/>
    </row>
    <row r="77" spans="1:70" ht="18" customHeight="1">
      <c r="B77" s="1332" t="s">
        <v>206</v>
      </c>
      <c r="C77" s="1333"/>
      <c r="D77" s="1333"/>
      <c r="E77" s="1333"/>
      <c r="F77" s="1333"/>
      <c r="G77" s="1333"/>
      <c r="H77" s="1333"/>
      <c r="I77" s="1333"/>
      <c r="J77" s="1333"/>
      <c r="K77" s="1333"/>
      <c r="L77" s="1333"/>
      <c r="M77" s="1333"/>
      <c r="N77" s="1333"/>
      <c r="O77" s="1333"/>
      <c r="P77" s="1333"/>
      <c r="Q77" s="1333"/>
      <c r="R77" s="1333"/>
      <c r="S77" s="1333"/>
      <c r="T77" s="1333"/>
      <c r="U77" s="1334"/>
      <c r="W77" s="1287" t="s">
        <v>207</v>
      </c>
      <c r="X77" s="1288"/>
      <c r="Y77" s="1288"/>
      <c r="Z77" s="1288"/>
      <c r="AA77" s="1288"/>
      <c r="AB77" s="1288"/>
      <c r="AC77" s="1288"/>
      <c r="AD77" s="1288"/>
      <c r="AE77" s="1288"/>
      <c r="AF77" s="1288"/>
      <c r="AG77" s="1288"/>
      <c r="AH77" s="1288"/>
      <c r="AI77" s="1288"/>
      <c r="AJ77" s="1288"/>
      <c r="AK77" s="1288"/>
      <c r="AL77" s="1288"/>
      <c r="AM77" s="1288"/>
      <c r="AN77" s="1288"/>
      <c r="AO77" s="1288"/>
      <c r="AP77" s="1288"/>
      <c r="AQ77" s="1288"/>
      <c r="AR77" s="1288"/>
      <c r="AS77" s="1288"/>
      <c r="AT77" s="1000"/>
      <c r="AU77" s="1126"/>
      <c r="AV77" s="1127"/>
      <c r="AW77" s="1127"/>
      <c r="AX77" s="1127"/>
      <c r="AY77" s="1127"/>
      <c r="AZ77" s="1127"/>
      <c r="BA77" s="1127"/>
      <c r="BB77" s="1127"/>
      <c r="BC77" s="1127"/>
      <c r="BD77" s="1127"/>
      <c r="BE77" s="1127"/>
      <c r="BF77" s="1127"/>
      <c r="BG77" s="1127"/>
      <c r="BH77" s="1127"/>
      <c r="BI77" s="1127"/>
      <c r="BJ77" s="1127"/>
      <c r="BK77" s="1127"/>
      <c r="BL77" s="1127"/>
      <c r="BM77" s="1127"/>
      <c r="BN77" s="1127"/>
      <c r="BO77" s="1127"/>
      <c r="BP77" s="1127"/>
      <c r="BQ77" s="1127"/>
      <c r="BR77" s="1128"/>
    </row>
    <row r="78" spans="1:70" ht="18" customHeight="1">
      <c r="A78" s="387"/>
      <c r="B78" s="1461" t="s">
        <v>208</v>
      </c>
      <c r="C78" s="1462"/>
      <c r="D78" s="1463" t="s">
        <v>209</v>
      </c>
      <c r="E78" s="1462"/>
      <c r="F78" s="1463" t="s">
        <v>210</v>
      </c>
      <c r="G78" s="1462"/>
      <c r="H78" s="1462"/>
      <c r="I78" s="1462"/>
      <c r="J78" s="1462"/>
      <c r="K78" s="1462"/>
      <c r="L78" s="1462"/>
      <c r="M78" s="1462"/>
      <c r="N78" s="1464" t="s">
        <v>211</v>
      </c>
      <c r="O78" s="1462"/>
      <c r="P78" s="1462"/>
      <c r="Q78" s="1462"/>
      <c r="R78" s="1462"/>
      <c r="S78" s="1462"/>
      <c r="T78" s="1462"/>
      <c r="U78" s="1465"/>
      <c r="W78" s="1288"/>
      <c r="X78" s="1288"/>
      <c r="Y78" s="1288"/>
      <c r="Z78" s="1288"/>
      <c r="AA78" s="1288"/>
      <c r="AB78" s="1288"/>
      <c r="AC78" s="1288"/>
      <c r="AD78" s="1288"/>
      <c r="AE78" s="1288"/>
      <c r="AF78" s="1288"/>
      <c r="AG78" s="1288"/>
      <c r="AH78" s="1288"/>
      <c r="AI78" s="1288"/>
      <c r="AJ78" s="1288"/>
      <c r="AK78" s="1288"/>
      <c r="AL78" s="1288"/>
      <c r="AM78" s="1288"/>
      <c r="AN78" s="1288"/>
      <c r="AO78" s="1288"/>
      <c r="AP78" s="1288"/>
      <c r="AQ78" s="1288"/>
      <c r="AR78" s="1288"/>
      <c r="AS78" s="1288"/>
      <c r="AT78" s="1000"/>
      <c r="AU78" s="1126"/>
      <c r="AV78" s="1127"/>
      <c r="AW78" s="1127"/>
      <c r="AX78" s="1127"/>
      <c r="AY78" s="1127"/>
      <c r="AZ78" s="1127"/>
      <c r="BA78" s="1127"/>
      <c r="BB78" s="1127"/>
      <c r="BC78" s="1127"/>
      <c r="BD78" s="1127"/>
      <c r="BE78" s="1127"/>
      <c r="BF78" s="1127"/>
      <c r="BG78" s="1127"/>
      <c r="BH78" s="1127"/>
      <c r="BI78" s="1127"/>
      <c r="BJ78" s="1127"/>
      <c r="BK78" s="1127"/>
      <c r="BL78" s="1127"/>
      <c r="BM78" s="1127"/>
      <c r="BN78" s="1127"/>
      <c r="BO78" s="1127"/>
      <c r="BP78" s="1127"/>
      <c r="BQ78" s="1127"/>
      <c r="BR78" s="1128"/>
    </row>
    <row r="79" spans="1:70" ht="18" customHeight="1">
      <c r="A79" s="387"/>
      <c r="B79" s="1445" t="s">
        <v>1512</v>
      </c>
      <c r="C79" s="1446"/>
      <c r="D79" s="1447" t="s">
        <v>1519</v>
      </c>
      <c r="E79" s="1448"/>
      <c r="F79" s="1449" t="s">
        <v>6006</v>
      </c>
      <c r="G79" s="1450"/>
      <c r="H79" s="1450"/>
      <c r="I79" s="1450"/>
      <c r="J79" s="1450"/>
      <c r="K79" s="1450"/>
      <c r="L79" s="1450"/>
      <c r="M79" s="1451"/>
      <c r="N79" s="1450" t="s">
        <v>6007</v>
      </c>
      <c r="O79" s="1450"/>
      <c r="P79" s="1450"/>
      <c r="Q79" s="1450"/>
      <c r="R79" s="1450"/>
      <c r="S79" s="1450"/>
      <c r="T79" s="1450"/>
      <c r="U79" s="1452"/>
      <c r="W79" s="1288"/>
      <c r="X79" s="1288"/>
      <c r="Y79" s="1288"/>
      <c r="Z79" s="1288"/>
      <c r="AA79" s="1288"/>
      <c r="AB79" s="1288"/>
      <c r="AC79" s="1288"/>
      <c r="AD79" s="1288"/>
      <c r="AE79" s="1288"/>
      <c r="AF79" s="1288"/>
      <c r="AG79" s="1288"/>
      <c r="AH79" s="1288"/>
      <c r="AI79" s="1288"/>
      <c r="AJ79" s="1288"/>
      <c r="AK79" s="1288"/>
      <c r="AL79" s="1288"/>
      <c r="AM79" s="1288"/>
      <c r="AN79" s="1288"/>
      <c r="AO79" s="1288"/>
      <c r="AP79" s="1288"/>
      <c r="AQ79" s="1288"/>
      <c r="AR79" s="1288"/>
      <c r="AS79" s="1288"/>
      <c r="AT79" s="1000"/>
      <c r="AU79" s="1126"/>
      <c r="AV79" s="1127"/>
      <c r="AW79" s="1127"/>
      <c r="AX79" s="1127"/>
      <c r="AY79" s="1127"/>
      <c r="AZ79" s="1127"/>
      <c r="BA79" s="1127"/>
      <c r="BB79" s="1127"/>
      <c r="BC79" s="1127"/>
      <c r="BD79" s="1127"/>
      <c r="BE79" s="1127"/>
      <c r="BF79" s="1127"/>
      <c r="BG79" s="1127"/>
      <c r="BH79" s="1127"/>
      <c r="BI79" s="1127"/>
      <c r="BJ79" s="1127"/>
      <c r="BK79" s="1127"/>
      <c r="BL79" s="1127"/>
      <c r="BM79" s="1127"/>
      <c r="BN79" s="1127"/>
      <c r="BO79" s="1127"/>
      <c r="BP79" s="1127"/>
      <c r="BQ79" s="1127"/>
      <c r="BR79" s="1128"/>
    </row>
    <row r="80" spans="1:70" ht="18" customHeight="1">
      <c r="A80" s="387"/>
      <c r="B80" s="1406"/>
      <c r="C80" s="1407"/>
      <c r="D80" s="1408"/>
      <c r="E80" s="1409"/>
      <c r="F80" s="1410"/>
      <c r="G80" s="1411"/>
      <c r="H80" s="1411"/>
      <c r="I80" s="1411"/>
      <c r="J80" s="1411"/>
      <c r="K80" s="1411"/>
      <c r="L80" s="1411"/>
      <c r="M80" s="1412"/>
      <c r="N80" s="1413"/>
      <c r="O80" s="1411"/>
      <c r="P80" s="1411"/>
      <c r="Q80" s="1411"/>
      <c r="R80" s="1411"/>
      <c r="S80" s="1411"/>
      <c r="T80" s="1411"/>
      <c r="U80" s="1414"/>
      <c r="W80" s="1288"/>
      <c r="X80" s="1288"/>
      <c r="Y80" s="1288"/>
      <c r="Z80" s="1288"/>
      <c r="AA80" s="1288"/>
      <c r="AB80" s="1288"/>
      <c r="AC80" s="1288"/>
      <c r="AD80" s="1288"/>
      <c r="AE80" s="1288"/>
      <c r="AF80" s="1288"/>
      <c r="AG80" s="1288"/>
      <c r="AH80" s="1288"/>
      <c r="AI80" s="1288"/>
      <c r="AJ80" s="1288"/>
      <c r="AK80" s="1288"/>
      <c r="AL80" s="1288"/>
      <c r="AM80" s="1288"/>
      <c r="AN80" s="1288"/>
      <c r="AO80" s="1288"/>
      <c r="AP80" s="1288"/>
      <c r="AQ80" s="1288"/>
      <c r="AR80" s="1288"/>
      <c r="AS80" s="1288"/>
      <c r="AT80" s="1000"/>
      <c r="AU80" s="1126"/>
      <c r="AV80" s="1127"/>
      <c r="AW80" s="1127"/>
      <c r="AX80" s="1127"/>
      <c r="AY80" s="1127"/>
      <c r="AZ80" s="1127"/>
      <c r="BA80" s="1127"/>
      <c r="BB80" s="1127"/>
      <c r="BC80" s="1127"/>
      <c r="BD80" s="1127"/>
      <c r="BE80" s="1127"/>
      <c r="BF80" s="1127"/>
      <c r="BG80" s="1127"/>
      <c r="BH80" s="1127"/>
      <c r="BI80" s="1127"/>
      <c r="BJ80" s="1127"/>
      <c r="BK80" s="1127"/>
      <c r="BL80" s="1127"/>
      <c r="BM80" s="1127"/>
      <c r="BN80" s="1127"/>
      <c r="BO80" s="1127"/>
      <c r="BP80" s="1127"/>
      <c r="BQ80" s="1127"/>
      <c r="BR80" s="1128"/>
    </row>
    <row r="81" spans="1:70" ht="18" customHeight="1">
      <c r="A81" s="387"/>
      <c r="B81" s="1445"/>
      <c r="C81" s="1446"/>
      <c r="D81" s="1447"/>
      <c r="E81" s="1448"/>
      <c r="F81" s="1449"/>
      <c r="G81" s="1450"/>
      <c r="H81" s="1450"/>
      <c r="I81" s="1450"/>
      <c r="J81" s="1450"/>
      <c r="K81" s="1450"/>
      <c r="L81" s="1450"/>
      <c r="M81" s="1451"/>
      <c r="N81" s="1450"/>
      <c r="O81" s="1450"/>
      <c r="P81" s="1450"/>
      <c r="Q81" s="1450"/>
      <c r="R81" s="1450"/>
      <c r="S81" s="1450"/>
      <c r="T81" s="1450"/>
      <c r="U81" s="1452"/>
      <c r="W81" s="1288"/>
      <c r="X81" s="1288"/>
      <c r="Y81" s="1288"/>
      <c r="Z81" s="1288"/>
      <c r="AA81" s="1288"/>
      <c r="AB81" s="1288"/>
      <c r="AC81" s="1288"/>
      <c r="AD81" s="1288"/>
      <c r="AE81" s="1288"/>
      <c r="AF81" s="1288"/>
      <c r="AG81" s="1288"/>
      <c r="AH81" s="1288"/>
      <c r="AI81" s="1288"/>
      <c r="AJ81" s="1288"/>
      <c r="AK81" s="1288"/>
      <c r="AL81" s="1288"/>
      <c r="AM81" s="1288"/>
      <c r="AN81" s="1288"/>
      <c r="AO81" s="1288"/>
      <c r="AP81" s="1288"/>
      <c r="AQ81" s="1288"/>
      <c r="AR81" s="1288"/>
      <c r="AS81" s="1288"/>
      <c r="AT81" s="1000"/>
      <c r="AU81" s="1126"/>
      <c r="AV81" s="1127"/>
      <c r="AW81" s="1127"/>
      <c r="AX81" s="1127"/>
      <c r="AY81" s="1127"/>
      <c r="AZ81" s="1127"/>
      <c r="BA81" s="1127"/>
      <c r="BB81" s="1127"/>
      <c r="BC81" s="1127"/>
      <c r="BD81" s="1127"/>
      <c r="BE81" s="1127"/>
      <c r="BF81" s="1127"/>
      <c r="BG81" s="1127"/>
      <c r="BH81" s="1127"/>
      <c r="BI81" s="1127"/>
      <c r="BJ81" s="1127"/>
      <c r="BK81" s="1127"/>
      <c r="BL81" s="1127"/>
      <c r="BM81" s="1127"/>
      <c r="BN81" s="1127"/>
      <c r="BO81" s="1127"/>
      <c r="BP81" s="1127"/>
      <c r="BQ81" s="1127"/>
      <c r="BR81" s="1128"/>
    </row>
    <row r="82" spans="1:70" ht="18" customHeight="1">
      <c r="A82" s="387"/>
      <c r="B82" s="1406"/>
      <c r="C82" s="1407"/>
      <c r="D82" s="1408"/>
      <c r="E82" s="1409"/>
      <c r="F82" s="1410"/>
      <c r="G82" s="1411"/>
      <c r="H82" s="1411"/>
      <c r="I82" s="1411"/>
      <c r="J82" s="1411"/>
      <c r="K82" s="1411"/>
      <c r="L82" s="1411"/>
      <c r="M82" s="1412"/>
      <c r="N82" s="1413"/>
      <c r="O82" s="1411"/>
      <c r="P82" s="1411"/>
      <c r="Q82" s="1411"/>
      <c r="R82" s="1411"/>
      <c r="S82" s="1411"/>
      <c r="T82" s="1411"/>
      <c r="U82" s="1414"/>
      <c r="W82" s="1288"/>
      <c r="X82" s="1288"/>
      <c r="Y82" s="1288"/>
      <c r="Z82" s="1288"/>
      <c r="AA82" s="1288"/>
      <c r="AB82" s="1288"/>
      <c r="AC82" s="1288"/>
      <c r="AD82" s="1288"/>
      <c r="AE82" s="1288"/>
      <c r="AF82" s="1288"/>
      <c r="AG82" s="1288"/>
      <c r="AH82" s="1288"/>
      <c r="AI82" s="1288"/>
      <c r="AJ82" s="1288"/>
      <c r="AK82" s="1288"/>
      <c r="AL82" s="1288"/>
      <c r="AM82" s="1288"/>
      <c r="AN82" s="1288"/>
      <c r="AO82" s="1288"/>
      <c r="AP82" s="1288"/>
      <c r="AQ82" s="1288"/>
      <c r="AR82" s="1288"/>
      <c r="AS82" s="1288"/>
      <c r="AT82" s="1000"/>
      <c r="AU82" s="1126"/>
      <c r="AV82" s="1127"/>
      <c r="AW82" s="1127"/>
      <c r="AX82" s="1127"/>
      <c r="AY82" s="1127"/>
      <c r="AZ82" s="1127"/>
      <c r="BA82" s="1127"/>
      <c r="BB82" s="1127"/>
      <c r="BC82" s="1127"/>
      <c r="BD82" s="1127"/>
      <c r="BE82" s="1127"/>
      <c r="BF82" s="1127"/>
      <c r="BG82" s="1127"/>
      <c r="BH82" s="1127"/>
      <c r="BI82" s="1127"/>
      <c r="BJ82" s="1127"/>
      <c r="BK82" s="1127"/>
      <c r="BL82" s="1127"/>
      <c r="BM82" s="1127"/>
      <c r="BN82" s="1127"/>
      <c r="BO82" s="1127"/>
      <c r="BP82" s="1127"/>
      <c r="BQ82" s="1127"/>
      <c r="BR82" s="1128"/>
    </row>
    <row r="83" spans="1:70" ht="18" customHeight="1">
      <c r="A83" s="387"/>
      <c r="B83" s="1445"/>
      <c r="C83" s="1446"/>
      <c r="D83" s="1447"/>
      <c r="E83" s="1448"/>
      <c r="F83" s="1449"/>
      <c r="G83" s="1450"/>
      <c r="H83" s="1450"/>
      <c r="I83" s="1450"/>
      <c r="J83" s="1450"/>
      <c r="K83" s="1450"/>
      <c r="L83" s="1450"/>
      <c r="M83" s="1451"/>
      <c r="N83" s="1450"/>
      <c r="O83" s="1450"/>
      <c r="P83" s="1450"/>
      <c r="Q83" s="1450"/>
      <c r="R83" s="1450"/>
      <c r="S83" s="1450"/>
      <c r="T83" s="1450"/>
      <c r="U83" s="1452"/>
      <c r="W83" s="1288"/>
      <c r="X83" s="1288"/>
      <c r="Y83" s="1288"/>
      <c r="Z83" s="1288"/>
      <c r="AA83" s="1288"/>
      <c r="AB83" s="1288"/>
      <c r="AC83" s="1288"/>
      <c r="AD83" s="1288"/>
      <c r="AE83" s="1288"/>
      <c r="AF83" s="1288"/>
      <c r="AG83" s="1288"/>
      <c r="AH83" s="1288"/>
      <c r="AI83" s="1288"/>
      <c r="AJ83" s="1288"/>
      <c r="AK83" s="1288"/>
      <c r="AL83" s="1288"/>
      <c r="AM83" s="1288"/>
      <c r="AN83" s="1288"/>
      <c r="AO83" s="1288"/>
      <c r="AP83" s="1288"/>
      <c r="AQ83" s="1288"/>
      <c r="AR83" s="1288"/>
      <c r="AS83" s="1288"/>
      <c r="AT83" s="1000"/>
      <c r="AU83" s="1126"/>
      <c r="AV83" s="1127"/>
      <c r="AW83" s="1127"/>
      <c r="AX83" s="1127"/>
      <c r="AY83" s="1127"/>
      <c r="AZ83" s="1127"/>
      <c r="BA83" s="1127"/>
      <c r="BB83" s="1127"/>
      <c r="BC83" s="1127"/>
      <c r="BD83" s="1127"/>
      <c r="BE83" s="1127"/>
      <c r="BF83" s="1127"/>
      <c r="BG83" s="1127"/>
      <c r="BH83" s="1127"/>
      <c r="BI83" s="1127"/>
      <c r="BJ83" s="1127"/>
      <c r="BK83" s="1127"/>
      <c r="BL83" s="1127"/>
      <c r="BM83" s="1127"/>
      <c r="BN83" s="1127"/>
      <c r="BO83" s="1127"/>
      <c r="BP83" s="1127"/>
      <c r="BQ83" s="1127"/>
      <c r="BR83" s="1128"/>
    </row>
    <row r="84" spans="1:70" ht="18" customHeight="1">
      <c r="A84" s="387"/>
      <c r="B84" s="1406"/>
      <c r="C84" s="1407"/>
      <c r="D84" s="1408"/>
      <c r="E84" s="1409"/>
      <c r="F84" s="1410"/>
      <c r="G84" s="1411"/>
      <c r="H84" s="1411"/>
      <c r="I84" s="1411"/>
      <c r="J84" s="1411"/>
      <c r="K84" s="1411"/>
      <c r="L84" s="1411"/>
      <c r="M84" s="1412"/>
      <c r="N84" s="1413"/>
      <c r="O84" s="1411"/>
      <c r="P84" s="1411"/>
      <c r="Q84" s="1411"/>
      <c r="R84" s="1411"/>
      <c r="S84" s="1411"/>
      <c r="T84" s="1411"/>
      <c r="U84" s="1414"/>
      <c r="W84" s="1288"/>
      <c r="X84" s="1288"/>
      <c r="Y84" s="1288"/>
      <c r="Z84" s="1288"/>
      <c r="AA84" s="1288"/>
      <c r="AB84" s="1288"/>
      <c r="AC84" s="1288"/>
      <c r="AD84" s="1288"/>
      <c r="AE84" s="1288"/>
      <c r="AF84" s="1288"/>
      <c r="AG84" s="1288"/>
      <c r="AH84" s="1288"/>
      <c r="AI84" s="1288"/>
      <c r="AJ84" s="1288"/>
      <c r="AK84" s="1288"/>
      <c r="AL84" s="1288"/>
      <c r="AM84" s="1288"/>
      <c r="AN84" s="1288"/>
      <c r="AO84" s="1288"/>
      <c r="AP84" s="1288"/>
      <c r="AQ84" s="1288"/>
      <c r="AR84" s="1288"/>
      <c r="AS84" s="1288"/>
      <c r="AT84" s="1000"/>
      <c r="AU84" s="1126"/>
      <c r="AV84" s="1127"/>
      <c r="AW84" s="1127"/>
      <c r="AX84" s="1127"/>
      <c r="AY84" s="1127"/>
      <c r="AZ84" s="1127"/>
      <c r="BA84" s="1127"/>
      <c r="BB84" s="1127"/>
      <c r="BC84" s="1127"/>
      <c r="BD84" s="1127"/>
      <c r="BE84" s="1127"/>
      <c r="BF84" s="1127"/>
      <c r="BG84" s="1127"/>
      <c r="BH84" s="1127"/>
      <c r="BI84" s="1127"/>
      <c r="BJ84" s="1127"/>
      <c r="BK84" s="1127"/>
      <c r="BL84" s="1127"/>
      <c r="BM84" s="1127"/>
      <c r="BN84" s="1127"/>
      <c r="BO84" s="1127"/>
      <c r="BP84" s="1127"/>
      <c r="BQ84" s="1127"/>
      <c r="BR84" s="1128"/>
    </row>
    <row r="85" spans="1:70" ht="18" customHeight="1">
      <c r="A85" s="387"/>
      <c r="B85" s="1445"/>
      <c r="C85" s="1446"/>
      <c r="D85" s="1447"/>
      <c r="E85" s="1448"/>
      <c r="F85" s="1449"/>
      <c r="G85" s="1450"/>
      <c r="H85" s="1450"/>
      <c r="I85" s="1450"/>
      <c r="J85" s="1450"/>
      <c r="K85" s="1450"/>
      <c r="L85" s="1450"/>
      <c r="M85" s="1451"/>
      <c r="N85" s="1450"/>
      <c r="O85" s="1450"/>
      <c r="P85" s="1450"/>
      <c r="Q85" s="1450"/>
      <c r="R85" s="1450"/>
      <c r="S85" s="1450"/>
      <c r="T85" s="1450"/>
      <c r="U85" s="1452"/>
      <c r="W85" s="1288"/>
      <c r="X85" s="1288"/>
      <c r="Y85" s="1288"/>
      <c r="Z85" s="1288"/>
      <c r="AA85" s="1288"/>
      <c r="AB85" s="1288"/>
      <c r="AC85" s="1288"/>
      <c r="AD85" s="1288"/>
      <c r="AE85" s="1288"/>
      <c r="AF85" s="1288"/>
      <c r="AG85" s="1288"/>
      <c r="AH85" s="1288"/>
      <c r="AI85" s="1288"/>
      <c r="AJ85" s="1288"/>
      <c r="AK85" s="1288"/>
      <c r="AL85" s="1288"/>
      <c r="AM85" s="1288"/>
      <c r="AN85" s="1288"/>
      <c r="AO85" s="1288"/>
      <c r="AP85" s="1288"/>
      <c r="AQ85" s="1288"/>
      <c r="AR85" s="1288"/>
      <c r="AS85" s="1288"/>
      <c r="AT85" s="1000"/>
      <c r="AU85" s="1126"/>
      <c r="AV85" s="1127"/>
      <c r="AW85" s="1127"/>
      <c r="AX85" s="1127"/>
      <c r="AY85" s="1127"/>
      <c r="AZ85" s="1127"/>
      <c r="BA85" s="1127"/>
      <c r="BB85" s="1127"/>
      <c r="BC85" s="1127"/>
      <c r="BD85" s="1127"/>
      <c r="BE85" s="1127"/>
      <c r="BF85" s="1127"/>
      <c r="BG85" s="1127"/>
      <c r="BH85" s="1127"/>
      <c r="BI85" s="1127"/>
      <c r="BJ85" s="1127"/>
      <c r="BK85" s="1127"/>
      <c r="BL85" s="1127"/>
      <c r="BM85" s="1127"/>
      <c r="BN85" s="1127"/>
      <c r="BO85" s="1127"/>
      <c r="BP85" s="1127"/>
      <c r="BQ85" s="1127"/>
      <c r="BR85" s="1128"/>
    </row>
    <row r="86" spans="1:70" ht="18" customHeight="1">
      <c r="A86" s="387"/>
      <c r="B86" s="1406"/>
      <c r="C86" s="1407"/>
      <c r="D86" s="1408"/>
      <c r="E86" s="1409"/>
      <c r="F86" s="1410"/>
      <c r="G86" s="1411"/>
      <c r="H86" s="1411"/>
      <c r="I86" s="1411"/>
      <c r="J86" s="1411"/>
      <c r="K86" s="1411"/>
      <c r="L86" s="1411"/>
      <c r="M86" s="1412"/>
      <c r="N86" s="1413"/>
      <c r="O86" s="1411"/>
      <c r="P86" s="1411"/>
      <c r="Q86" s="1411"/>
      <c r="R86" s="1411"/>
      <c r="S86" s="1411"/>
      <c r="T86" s="1411"/>
      <c r="U86" s="1414"/>
      <c r="W86" s="1288"/>
      <c r="X86" s="1288"/>
      <c r="Y86" s="1288"/>
      <c r="Z86" s="1288"/>
      <c r="AA86" s="1288"/>
      <c r="AB86" s="1288"/>
      <c r="AC86" s="1288"/>
      <c r="AD86" s="1288"/>
      <c r="AE86" s="1288"/>
      <c r="AF86" s="1288"/>
      <c r="AG86" s="1288"/>
      <c r="AH86" s="1288"/>
      <c r="AI86" s="1288"/>
      <c r="AJ86" s="1288"/>
      <c r="AK86" s="1288"/>
      <c r="AL86" s="1288"/>
      <c r="AM86" s="1288"/>
      <c r="AN86" s="1288"/>
      <c r="AO86" s="1288"/>
      <c r="AP86" s="1288"/>
      <c r="AQ86" s="1288"/>
      <c r="AR86" s="1288"/>
      <c r="AS86" s="1288"/>
      <c r="AT86" s="1000"/>
      <c r="AU86" s="1126"/>
      <c r="AV86" s="1127"/>
      <c r="AW86" s="1127"/>
      <c r="AX86" s="1127"/>
      <c r="AY86" s="1127"/>
      <c r="AZ86" s="1127"/>
      <c r="BA86" s="1127"/>
      <c r="BB86" s="1127"/>
      <c r="BC86" s="1127"/>
      <c r="BD86" s="1127"/>
      <c r="BE86" s="1127"/>
      <c r="BF86" s="1127"/>
      <c r="BG86" s="1127"/>
      <c r="BH86" s="1127"/>
      <c r="BI86" s="1127"/>
      <c r="BJ86" s="1127"/>
      <c r="BK86" s="1127"/>
      <c r="BL86" s="1127"/>
      <c r="BM86" s="1127"/>
      <c r="BN86" s="1127"/>
      <c r="BO86" s="1127"/>
      <c r="BP86" s="1127"/>
      <c r="BQ86" s="1127"/>
      <c r="BR86" s="1128"/>
    </row>
    <row r="87" spans="1:70" ht="18" customHeight="1">
      <c r="A87" s="387"/>
      <c r="B87" s="1445"/>
      <c r="C87" s="1446"/>
      <c r="D87" s="1447"/>
      <c r="E87" s="1448"/>
      <c r="F87" s="1449"/>
      <c r="G87" s="1450"/>
      <c r="H87" s="1450"/>
      <c r="I87" s="1450"/>
      <c r="J87" s="1450"/>
      <c r="K87" s="1450"/>
      <c r="L87" s="1450"/>
      <c r="M87" s="1451"/>
      <c r="N87" s="1450"/>
      <c r="O87" s="1450"/>
      <c r="P87" s="1450"/>
      <c r="Q87" s="1450"/>
      <c r="R87" s="1450"/>
      <c r="S87" s="1450"/>
      <c r="T87" s="1450"/>
      <c r="U87" s="1452"/>
      <c r="W87" s="1288"/>
      <c r="X87" s="1288"/>
      <c r="Y87" s="1288"/>
      <c r="Z87" s="1288"/>
      <c r="AA87" s="1288"/>
      <c r="AB87" s="1288"/>
      <c r="AC87" s="1288"/>
      <c r="AD87" s="1288"/>
      <c r="AE87" s="1288"/>
      <c r="AF87" s="1288"/>
      <c r="AG87" s="1288"/>
      <c r="AH87" s="1288"/>
      <c r="AI87" s="1288"/>
      <c r="AJ87" s="1288"/>
      <c r="AK87" s="1288"/>
      <c r="AL87" s="1288"/>
      <c r="AM87" s="1288"/>
      <c r="AN87" s="1288"/>
      <c r="AO87" s="1288"/>
      <c r="AP87" s="1288"/>
      <c r="AQ87" s="1288"/>
      <c r="AR87" s="1288"/>
      <c r="AS87" s="1288"/>
      <c r="AT87" s="1000"/>
      <c r="AU87" s="1126"/>
      <c r="AV87" s="1127"/>
      <c r="AW87" s="1127"/>
      <c r="AX87" s="1127"/>
      <c r="AY87" s="1127"/>
      <c r="AZ87" s="1127"/>
      <c r="BA87" s="1127"/>
      <c r="BB87" s="1127"/>
      <c r="BC87" s="1127"/>
      <c r="BD87" s="1127"/>
      <c r="BE87" s="1127"/>
      <c r="BF87" s="1127"/>
      <c r="BG87" s="1127"/>
      <c r="BH87" s="1127"/>
      <c r="BI87" s="1127"/>
      <c r="BJ87" s="1127"/>
      <c r="BK87" s="1127"/>
      <c r="BL87" s="1127"/>
      <c r="BM87" s="1127"/>
      <c r="BN87" s="1127"/>
      <c r="BO87" s="1127"/>
      <c r="BP87" s="1127"/>
      <c r="BQ87" s="1127"/>
      <c r="BR87" s="1128"/>
    </row>
    <row r="88" spans="1:70" ht="18" customHeight="1">
      <c r="A88" s="387"/>
      <c r="B88" s="1406"/>
      <c r="C88" s="1407"/>
      <c r="D88" s="1408" t="s">
        <v>212</v>
      </c>
      <c r="E88" s="1409"/>
      <c r="F88" s="1410"/>
      <c r="G88" s="1411"/>
      <c r="H88" s="1411"/>
      <c r="I88" s="1411"/>
      <c r="J88" s="1411"/>
      <c r="K88" s="1411"/>
      <c r="L88" s="1411"/>
      <c r="M88" s="1412"/>
      <c r="N88" s="1413"/>
      <c r="O88" s="1411"/>
      <c r="P88" s="1411"/>
      <c r="Q88" s="1411"/>
      <c r="R88" s="1411"/>
      <c r="S88" s="1411"/>
      <c r="T88" s="1411"/>
      <c r="U88" s="1414"/>
      <c r="W88" s="1288"/>
      <c r="X88" s="1288"/>
      <c r="Y88" s="1288"/>
      <c r="Z88" s="1288"/>
      <c r="AA88" s="1288"/>
      <c r="AB88" s="1288"/>
      <c r="AC88" s="1288"/>
      <c r="AD88" s="1288"/>
      <c r="AE88" s="1288"/>
      <c r="AF88" s="1288"/>
      <c r="AG88" s="1288"/>
      <c r="AH88" s="1288"/>
      <c r="AI88" s="1288"/>
      <c r="AJ88" s="1288"/>
      <c r="AK88" s="1288"/>
      <c r="AL88" s="1288"/>
      <c r="AM88" s="1288"/>
      <c r="AN88" s="1288"/>
      <c r="AO88" s="1288"/>
      <c r="AP88" s="1288"/>
      <c r="AQ88" s="1288"/>
      <c r="AR88" s="1288"/>
      <c r="AS88" s="1288"/>
      <c r="AT88" s="1000"/>
      <c r="AU88" s="1126"/>
      <c r="AV88" s="1127"/>
      <c r="AW88" s="1127"/>
      <c r="AX88" s="1127"/>
      <c r="AY88" s="1127"/>
      <c r="AZ88" s="1127"/>
      <c r="BA88" s="1127"/>
      <c r="BB88" s="1127"/>
      <c r="BC88" s="1127"/>
      <c r="BD88" s="1127"/>
      <c r="BE88" s="1127"/>
      <c r="BF88" s="1127"/>
      <c r="BG88" s="1127"/>
      <c r="BH88" s="1127"/>
      <c r="BI88" s="1127"/>
      <c r="BJ88" s="1127"/>
      <c r="BK88" s="1127"/>
      <c r="BL88" s="1127"/>
      <c r="BM88" s="1127"/>
      <c r="BN88" s="1127"/>
      <c r="BO88" s="1127"/>
      <c r="BP88" s="1127"/>
      <c r="BQ88" s="1127"/>
      <c r="BR88" s="1128"/>
    </row>
    <row r="89" spans="1:70" ht="18" customHeight="1">
      <c r="A89" s="387"/>
      <c r="B89" s="1445"/>
      <c r="C89" s="1446"/>
      <c r="D89" s="1447"/>
      <c r="E89" s="1448"/>
      <c r="F89" s="1449"/>
      <c r="G89" s="1450"/>
      <c r="H89" s="1450"/>
      <c r="I89" s="1450"/>
      <c r="J89" s="1450"/>
      <c r="K89" s="1450"/>
      <c r="L89" s="1450"/>
      <c r="M89" s="1451"/>
      <c r="N89" s="1450"/>
      <c r="O89" s="1450"/>
      <c r="P89" s="1450"/>
      <c r="Q89" s="1450"/>
      <c r="R89" s="1450"/>
      <c r="S89" s="1450"/>
      <c r="T89" s="1450"/>
      <c r="U89" s="1452"/>
      <c r="W89" s="1288"/>
      <c r="X89" s="1288"/>
      <c r="Y89" s="1288"/>
      <c r="Z89" s="1288"/>
      <c r="AA89" s="1288"/>
      <c r="AB89" s="1288"/>
      <c r="AC89" s="1288"/>
      <c r="AD89" s="1288"/>
      <c r="AE89" s="1288"/>
      <c r="AF89" s="1288"/>
      <c r="AG89" s="1288"/>
      <c r="AH89" s="1288"/>
      <c r="AI89" s="1288"/>
      <c r="AJ89" s="1288"/>
      <c r="AK89" s="1288"/>
      <c r="AL89" s="1288"/>
      <c r="AM89" s="1288"/>
      <c r="AN89" s="1288"/>
      <c r="AO89" s="1288"/>
      <c r="AP89" s="1288"/>
      <c r="AQ89" s="1288"/>
      <c r="AR89" s="1288"/>
      <c r="AS89" s="1288"/>
      <c r="AT89" s="1000"/>
      <c r="AU89" s="1126"/>
      <c r="AV89" s="1127"/>
      <c r="AW89" s="1127"/>
      <c r="AX89" s="1127"/>
      <c r="AY89" s="1127"/>
      <c r="AZ89" s="1127"/>
      <c r="BA89" s="1127"/>
      <c r="BB89" s="1127"/>
      <c r="BC89" s="1127"/>
      <c r="BD89" s="1127"/>
      <c r="BE89" s="1127"/>
      <c r="BF89" s="1127"/>
      <c r="BG89" s="1127"/>
      <c r="BH89" s="1127"/>
      <c r="BI89" s="1127"/>
      <c r="BJ89" s="1127"/>
      <c r="BK89" s="1127"/>
      <c r="BL89" s="1127"/>
      <c r="BM89" s="1127"/>
      <c r="BN89" s="1127"/>
      <c r="BO89" s="1127"/>
      <c r="BP89" s="1127"/>
      <c r="BQ89" s="1127"/>
      <c r="BR89" s="1128"/>
    </row>
    <row r="90" spans="1:70" ht="18" customHeight="1">
      <c r="A90" s="387"/>
      <c r="B90" s="1406"/>
      <c r="C90" s="1407"/>
      <c r="D90" s="1408"/>
      <c r="E90" s="1409"/>
      <c r="F90" s="1410"/>
      <c r="G90" s="1411"/>
      <c r="H90" s="1411"/>
      <c r="I90" s="1411"/>
      <c r="J90" s="1411"/>
      <c r="K90" s="1411"/>
      <c r="L90" s="1411"/>
      <c r="M90" s="1412"/>
      <c r="N90" s="1413"/>
      <c r="O90" s="1411"/>
      <c r="P90" s="1411"/>
      <c r="Q90" s="1411"/>
      <c r="R90" s="1411"/>
      <c r="S90" s="1411"/>
      <c r="T90" s="1411"/>
      <c r="U90" s="1414"/>
      <c r="W90" s="1288"/>
      <c r="X90" s="1288"/>
      <c r="Y90" s="1288"/>
      <c r="Z90" s="1288"/>
      <c r="AA90" s="1288"/>
      <c r="AB90" s="1288"/>
      <c r="AC90" s="1288"/>
      <c r="AD90" s="1288"/>
      <c r="AE90" s="1288"/>
      <c r="AF90" s="1288"/>
      <c r="AG90" s="1288"/>
      <c r="AH90" s="1288"/>
      <c r="AI90" s="1288"/>
      <c r="AJ90" s="1288"/>
      <c r="AK90" s="1288"/>
      <c r="AL90" s="1288"/>
      <c r="AM90" s="1288"/>
      <c r="AN90" s="1288"/>
      <c r="AO90" s="1288"/>
      <c r="AP90" s="1288"/>
      <c r="AQ90" s="1288"/>
      <c r="AR90" s="1288"/>
      <c r="AS90" s="1288"/>
      <c r="AT90" s="1000"/>
      <c r="AU90" s="1126"/>
      <c r="AV90" s="1127"/>
      <c r="AW90" s="1127"/>
      <c r="AX90" s="1127"/>
      <c r="AY90" s="1127"/>
      <c r="AZ90" s="1127"/>
      <c r="BA90" s="1127"/>
      <c r="BB90" s="1127"/>
      <c r="BC90" s="1127"/>
      <c r="BD90" s="1127"/>
      <c r="BE90" s="1127"/>
      <c r="BF90" s="1127"/>
      <c r="BG90" s="1127"/>
      <c r="BH90" s="1127"/>
      <c r="BI90" s="1127"/>
      <c r="BJ90" s="1127"/>
      <c r="BK90" s="1127"/>
      <c r="BL90" s="1127"/>
      <c r="BM90" s="1127"/>
      <c r="BN90" s="1127"/>
      <c r="BO90" s="1127"/>
      <c r="BP90" s="1127"/>
      <c r="BQ90" s="1127"/>
      <c r="BR90" s="1128"/>
    </row>
    <row r="91" spans="1:70" ht="18" customHeight="1">
      <c r="A91" s="387"/>
      <c r="B91" s="1453"/>
      <c r="C91" s="1454"/>
      <c r="D91" s="1455"/>
      <c r="E91" s="1456"/>
      <c r="F91" s="1457"/>
      <c r="G91" s="1458"/>
      <c r="H91" s="1458"/>
      <c r="I91" s="1458"/>
      <c r="J91" s="1458"/>
      <c r="K91" s="1458"/>
      <c r="L91" s="1458"/>
      <c r="M91" s="1459"/>
      <c r="N91" s="1458"/>
      <c r="O91" s="1458"/>
      <c r="P91" s="1458"/>
      <c r="Q91" s="1458"/>
      <c r="R91" s="1458"/>
      <c r="S91" s="1458"/>
      <c r="T91" s="1458"/>
      <c r="U91" s="1460"/>
      <c r="W91" s="1288"/>
      <c r="X91" s="1288"/>
      <c r="Y91" s="1288"/>
      <c r="Z91" s="1288"/>
      <c r="AA91" s="1288"/>
      <c r="AB91" s="1288"/>
      <c r="AC91" s="1288"/>
      <c r="AD91" s="1288"/>
      <c r="AE91" s="1288"/>
      <c r="AF91" s="1288"/>
      <c r="AG91" s="1288"/>
      <c r="AH91" s="1288"/>
      <c r="AI91" s="1288"/>
      <c r="AJ91" s="1288"/>
      <c r="AK91" s="1288"/>
      <c r="AL91" s="1288"/>
      <c r="AM91" s="1288"/>
      <c r="AN91" s="1288"/>
      <c r="AO91" s="1288"/>
      <c r="AP91" s="1288"/>
      <c r="AQ91" s="1288"/>
      <c r="AR91" s="1288"/>
      <c r="AS91" s="1288"/>
      <c r="AT91" s="1000"/>
      <c r="AU91" s="1126"/>
      <c r="AV91" s="1127"/>
      <c r="AW91" s="1127"/>
      <c r="AX91" s="1127"/>
      <c r="AY91" s="1127"/>
      <c r="AZ91" s="1127"/>
      <c r="BA91" s="1127"/>
      <c r="BB91" s="1127"/>
      <c r="BC91" s="1127"/>
      <c r="BD91" s="1127"/>
      <c r="BE91" s="1127"/>
      <c r="BF91" s="1127"/>
      <c r="BG91" s="1127"/>
      <c r="BH91" s="1127"/>
      <c r="BI91" s="1127"/>
      <c r="BJ91" s="1127"/>
      <c r="BK91" s="1127"/>
      <c r="BL91" s="1127"/>
      <c r="BM91" s="1127"/>
      <c r="BN91" s="1127"/>
      <c r="BO91" s="1127"/>
      <c r="BP91" s="1127"/>
      <c r="BQ91" s="1127"/>
      <c r="BR91" s="1128"/>
    </row>
    <row r="92" spans="1:70" ht="18" customHeight="1">
      <c r="A92" s="387"/>
      <c r="B92" s="1406"/>
      <c r="C92" s="1407"/>
      <c r="D92" s="1408"/>
      <c r="E92" s="1409"/>
      <c r="F92" s="1410"/>
      <c r="G92" s="1411"/>
      <c r="H92" s="1411"/>
      <c r="I92" s="1411"/>
      <c r="J92" s="1411"/>
      <c r="K92" s="1411"/>
      <c r="L92" s="1411"/>
      <c r="M92" s="1412"/>
      <c r="N92" s="1413"/>
      <c r="O92" s="1411"/>
      <c r="P92" s="1411"/>
      <c r="Q92" s="1411"/>
      <c r="R92" s="1411"/>
      <c r="S92" s="1411"/>
      <c r="T92" s="1411"/>
      <c r="U92" s="1414"/>
      <c r="W92" s="1288"/>
      <c r="X92" s="1288"/>
      <c r="Y92" s="1288"/>
      <c r="Z92" s="1288"/>
      <c r="AA92" s="1288"/>
      <c r="AB92" s="1288"/>
      <c r="AC92" s="1288"/>
      <c r="AD92" s="1288"/>
      <c r="AE92" s="1288"/>
      <c r="AF92" s="1288"/>
      <c r="AG92" s="1288"/>
      <c r="AH92" s="1288"/>
      <c r="AI92" s="1288"/>
      <c r="AJ92" s="1288"/>
      <c r="AK92" s="1288"/>
      <c r="AL92" s="1288"/>
      <c r="AM92" s="1288"/>
      <c r="AN92" s="1288"/>
      <c r="AO92" s="1288"/>
      <c r="AP92" s="1288"/>
      <c r="AQ92" s="1288"/>
      <c r="AR92" s="1288"/>
      <c r="AS92" s="1288"/>
      <c r="AT92" s="1000"/>
      <c r="AU92" s="1126"/>
      <c r="AV92" s="1127"/>
      <c r="AW92" s="1127"/>
      <c r="AX92" s="1127"/>
      <c r="AY92" s="1127"/>
      <c r="AZ92" s="1127"/>
      <c r="BA92" s="1127"/>
      <c r="BB92" s="1127"/>
      <c r="BC92" s="1127"/>
      <c r="BD92" s="1127"/>
      <c r="BE92" s="1127"/>
      <c r="BF92" s="1127"/>
      <c r="BG92" s="1127"/>
      <c r="BH92" s="1127"/>
      <c r="BI92" s="1127"/>
      <c r="BJ92" s="1127"/>
      <c r="BK92" s="1127"/>
      <c r="BL92" s="1127"/>
      <c r="BM92" s="1127"/>
      <c r="BN92" s="1127"/>
      <c r="BO92" s="1127"/>
      <c r="BP92" s="1127"/>
      <c r="BQ92" s="1127"/>
      <c r="BR92" s="1128"/>
    </row>
    <row r="93" spans="1:70" ht="18" customHeight="1">
      <c r="A93" s="387"/>
      <c r="B93" s="1415"/>
      <c r="C93" s="1416"/>
      <c r="D93" s="1417"/>
      <c r="E93" s="1418"/>
      <c r="F93" s="1419"/>
      <c r="G93" s="1420"/>
      <c r="H93" s="1420"/>
      <c r="I93" s="1420"/>
      <c r="J93" s="1420"/>
      <c r="K93" s="1420"/>
      <c r="L93" s="1420"/>
      <c r="M93" s="1421"/>
      <c r="N93" s="1420"/>
      <c r="O93" s="1420"/>
      <c r="P93" s="1420"/>
      <c r="Q93" s="1420"/>
      <c r="R93" s="1420"/>
      <c r="S93" s="1420"/>
      <c r="T93" s="1420"/>
      <c r="U93" s="1422"/>
      <c r="W93" s="1288"/>
      <c r="X93" s="1288"/>
      <c r="Y93" s="1288"/>
      <c r="Z93" s="1288"/>
      <c r="AA93" s="1288"/>
      <c r="AB93" s="1288"/>
      <c r="AC93" s="1288"/>
      <c r="AD93" s="1288"/>
      <c r="AE93" s="1288"/>
      <c r="AF93" s="1288"/>
      <c r="AG93" s="1288"/>
      <c r="AH93" s="1288"/>
      <c r="AI93" s="1288"/>
      <c r="AJ93" s="1288"/>
      <c r="AK93" s="1288"/>
      <c r="AL93" s="1288"/>
      <c r="AM93" s="1288"/>
      <c r="AN93" s="1288"/>
      <c r="AO93" s="1288"/>
      <c r="AP93" s="1288"/>
      <c r="AQ93" s="1288"/>
      <c r="AR93" s="1288"/>
      <c r="AS93" s="1288"/>
      <c r="AT93" s="1000"/>
      <c r="AU93" s="1126"/>
      <c r="AV93" s="1127"/>
      <c r="AW93" s="1127"/>
      <c r="AX93" s="1127"/>
      <c r="AY93" s="1127"/>
      <c r="AZ93" s="1127"/>
      <c r="BA93" s="1127"/>
      <c r="BB93" s="1127"/>
      <c r="BC93" s="1127"/>
      <c r="BD93" s="1127"/>
      <c r="BE93" s="1127"/>
      <c r="BF93" s="1127"/>
      <c r="BG93" s="1127"/>
      <c r="BH93" s="1127"/>
      <c r="BI93" s="1127"/>
      <c r="BJ93" s="1127"/>
      <c r="BK93" s="1127"/>
      <c r="BL93" s="1127"/>
      <c r="BM93" s="1127"/>
      <c r="BN93" s="1127"/>
      <c r="BO93" s="1127"/>
      <c r="BP93" s="1127"/>
      <c r="BQ93" s="1127"/>
      <c r="BR93" s="1128"/>
    </row>
    <row r="94" spans="1:70" ht="18" customHeight="1">
      <c r="AH94" s="1000"/>
      <c r="AS94" s="1000"/>
      <c r="AT94" s="1000"/>
      <c r="AU94" s="1126"/>
      <c r="AV94" s="1127"/>
      <c r="AW94" s="1127"/>
      <c r="AX94" s="1127"/>
      <c r="AY94" s="1127"/>
      <c r="AZ94" s="1127"/>
      <c r="BA94" s="1127"/>
      <c r="BB94" s="1127"/>
      <c r="BC94" s="1127"/>
      <c r="BD94" s="1127"/>
      <c r="BE94" s="1127"/>
      <c r="BF94" s="1127"/>
      <c r="BG94" s="1127"/>
      <c r="BH94" s="1127"/>
      <c r="BI94" s="1127"/>
      <c r="BJ94" s="1127"/>
      <c r="BK94" s="1127"/>
      <c r="BL94" s="1127"/>
      <c r="BM94" s="1127"/>
      <c r="BN94" s="1127"/>
      <c r="BO94" s="1127"/>
      <c r="BP94" s="1127"/>
      <c r="BQ94" s="1127"/>
      <c r="BR94" s="1128"/>
    </row>
    <row r="95" spans="1:70" ht="18" customHeight="1">
      <c r="B95" s="1332" t="s">
        <v>213</v>
      </c>
      <c r="C95" s="1333"/>
      <c r="D95" s="1333"/>
      <c r="E95" s="1333"/>
      <c r="F95" s="1333"/>
      <c r="G95" s="1333"/>
      <c r="H95" s="1333"/>
      <c r="I95" s="1333"/>
      <c r="J95" s="1333"/>
      <c r="K95" s="1333"/>
      <c r="L95" s="1333"/>
      <c r="M95" s="1333"/>
      <c r="N95" s="1333"/>
      <c r="O95" s="1333"/>
      <c r="P95" s="1333"/>
      <c r="Q95" s="1333"/>
      <c r="R95" s="1333"/>
      <c r="S95" s="1333"/>
      <c r="T95" s="1333"/>
      <c r="U95" s="1334"/>
      <c r="W95" s="1423" t="s">
        <v>214</v>
      </c>
      <c r="X95" s="1424"/>
      <c r="Y95" s="1424"/>
      <c r="Z95" s="1424"/>
      <c r="AA95" s="1424"/>
      <c r="AB95" s="1424"/>
      <c r="AC95" s="1424"/>
      <c r="AD95" s="1424"/>
      <c r="AE95" s="1424"/>
      <c r="AF95" s="1424"/>
      <c r="AG95" s="1424"/>
      <c r="AH95" s="1424"/>
      <c r="AI95" s="1424"/>
      <c r="AJ95" s="1424"/>
      <c r="AK95" s="1424"/>
      <c r="AL95" s="1424"/>
      <c r="AM95" s="1424"/>
      <c r="AN95" s="1424"/>
      <c r="AO95" s="1424"/>
      <c r="AP95" s="1424"/>
      <c r="AQ95" s="1424"/>
      <c r="AR95" s="1424"/>
      <c r="AS95" s="1425"/>
      <c r="AT95" s="1000"/>
      <c r="AU95" s="1126"/>
      <c r="AV95" s="1127"/>
      <c r="AW95" s="1127"/>
      <c r="AX95" s="1127"/>
      <c r="AY95" s="1127"/>
      <c r="AZ95" s="1127"/>
      <c r="BA95" s="1127"/>
      <c r="BB95" s="1127"/>
      <c r="BC95" s="1127"/>
      <c r="BD95" s="1127"/>
      <c r="BE95" s="1127"/>
      <c r="BF95" s="1127"/>
      <c r="BG95" s="1127"/>
      <c r="BH95" s="1127"/>
      <c r="BI95" s="1127"/>
      <c r="BJ95" s="1127"/>
      <c r="BK95" s="1127"/>
      <c r="BL95" s="1127"/>
      <c r="BM95" s="1127"/>
      <c r="BN95" s="1127"/>
      <c r="BO95" s="1127"/>
      <c r="BP95" s="1127"/>
      <c r="BQ95" s="1127"/>
      <c r="BR95" s="1128"/>
    </row>
    <row r="96" spans="1:70" ht="18" customHeight="1">
      <c r="B96" s="1426" t="s">
        <v>215</v>
      </c>
      <c r="C96" s="1427"/>
      <c r="D96" s="1427"/>
      <c r="E96" s="1427"/>
      <c r="F96" s="1427"/>
      <c r="G96" s="1427"/>
      <c r="H96" s="1427"/>
      <c r="I96" s="1427"/>
      <c r="J96" s="1428" t="s">
        <v>216</v>
      </c>
      <c r="K96" s="1429"/>
      <c r="L96" s="1429"/>
      <c r="M96" s="1429"/>
      <c r="N96" s="1429"/>
      <c r="O96" s="1429"/>
      <c r="P96" s="1429"/>
      <c r="Q96" s="1429"/>
      <c r="R96" s="1429"/>
      <c r="S96" s="1429"/>
      <c r="T96" s="1429"/>
      <c r="U96" s="1430"/>
      <c r="W96" s="1431" t="s">
        <v>217</v>
      </c>
      <c r="X96" s="1432"/>
      <c r="Y96" s="1432"/>
      <c r="Z96" s="1433"/>
      <c r="AA96" s="1432"/>
      <c r="AB96" s="1432"/>
      <c r="AC96" s="1432"/>
      <c r="AD96" s="1432"/>
      <c r="AE96" s="1432"/>
      <c r="AF96" s="1432"/>
      <c r="AG96" s="1432"/>
      <c r="AH96" s="1432"/>
      <c r="AI96" s="1432"/>
      <c r="AJ96" s="1432"/>
      <c r="AK96" s="1432"/>
      <c r="AL96" s="1432"/>
      <c r="AM96" s="1432"/>
      <c r="AN96" s="1432"/>
      <c r="AO96" s="1432"/>
      <c r="AP96" s="1432"/>
      <c r="AQ96" s="1432"/>
      <c r="AR96" s="1432"/>
      <c r="AS96" s="1434"/>
      <c r="AT96" s="1000"/>
      <c r="AU96" s="1126"/>
      <c r="AV96" s="1127"/>
      <c r="AW96" s="1127"/>
      <c r="AX96" s="1127"/>
      <c r="AY96" s="1127"/>
      <c r="AZ96" s="1127"/>
      <c r="BA96" s="1127"/>
      <c r="BB96" s="1127"/>
      <c r="BC96" s="1127"/>
      <c r="BD96" s="1127"/>
      <c r="BE96" s="1127"/>
      <c r="BF96" s="1127"/>
      <c r="BG96" s="1127"/>
      <c r="BH96" s="1127"/>
      <c r="BI96" s="1127"/>
      <c r="BJ96" s="1127"/>
      <c r="BK96" s="1127"/>
      <c r="BL96" s="1127"/>
      <c r="BM96" s="1127"/>
      <c r="BN96" s="1127"/>
      <c r="BO96" s="1127"/>
      <c r="BP96" s="1127"/>
      <c r="BQ96" s="1127"/>
      <c r="BR96" s="1128"/>
    </row>
    <row r="97" spans="2:70" ht="18" customHeight="1">
      <c r="B97" s="1292" t="s">
        <v>218</v>
      </c>
      <c r="C97" s="1293"/>
      <c r="D97" s="1293"/>
      <c r="E97" s="1293"/>
      <c r="F97" s="1293"/>
      <c r="G97" s="1293"/>
      <c r="H97" s="1293"/>
      <c r="I97" s="1295"/>
      <c r="J97" s="1293" t="s">
        <v>219</v>
      </c>
      <c r="K97" s="1293"/>
      <c r="L97" s="1293"/>
      <c r="M97" s="1293"/>
      <c r="N97" s="1293"/>
      <c r="O97" s="1293"/>
      <c r="P97" s="1293"/>
      <c r="Q97" s="1293"/>
      <c r="R97" s="1293"/>
      <c r="S97" s="1293"/>
      <c r="T97" s="1293"/>
      <c r="U97" s="1296"/>
      <c r="W97" s="1435" t="s">
        <v>220</v>
      </c>
      <c r="X97" s="1436"/>
      <c r="Y97" s="1436"/>
      <c r="Z97" s="1437"/>
      <c r="AA97" s="1438" t="s">
        <v>221</v>
      </c>
      <c r="AB97" s="1436"/>
      <c r="AC97" s="1436"/>
      <c r="AD97" s="1436"/>
      <c r="AE97" s="1436"/>
      <c r="AF97" s="1436"/>
      <c r="AG97" s="1436"/>
      <c r="AH97" s="1436"/>
      <c r="AI97" s="1436"/>
      <c r="AJ97" s="1439"/>
      <c r="AK97" s="1440" t="s">
        <v>108</v>
      </c>
      <c r="AL97" s="1441"/>
      <c r="AM97" s="1441"/>
      <c r="AN97" s="1441"/>
      <c r="AO97" s="1441"/>
      <c r="AP97" s="1441"/>
      <c r="AQ97" s="1442"/>
      <c r="AR97" s="1443" t="s">
        <v>222</v>
      </c>
      <c r="AS97" s="1444"/>
      <c r="AT97" s="1000"/>
      <c r="AU97" s="1126"/>
      <c r="AV97" s="1127"/>
      <c r="AW97" s="1127"/>
      <c r="AX97" s="1127"/>
      <c r="AY97" s="1127"/>
      <c r="AZ97" s="1127"/>
      <c r="BA97" s="1127"/>
      <c r="BB97" s="1127"/>
      <c r="BC97" s="1127"/>
      <c r="BD97" s="1127"/>
      <c r="BE97" s="1127"/>
      <c r="BF97" s="1127"/>
      <c r="BG97" s="1127"/>
      <c r="BH97" s="1127"/>
      <c r="BI97" s="1127"/>
      <c r="BJ97" s="1127"/>
      <c r="BK97" s="1127"/>
      <c r="BL97" s="1127"/>
      <c r="BM97" s="1127"/>
      <c r="BN97" s="1127"/>
      <c r="BO97" s="1127"/>
      <c r="BP97" s="1127"/>
      <c r="BQ97" s="1127"/>
      <c r="BR97" s="1128"/>
    </row>
    <row r="98" spans="2:70" ht="18" customHeight="1">
      <c r="B98" s="1297" t="s">
        <v>223</v>
      </c>
      <c r="C98" s="1298"/>
      <c r="D98" s="1298"/>
      <c r="E98" s="1298"/>
      <c r="F98" s="1298"/>
      <c r="G98" s="1298"/>
      <c r="H98" s="1298"/>
      <c r="I98" s="1300"/>
      <c r="J98" s="1301" t="s">
        <v>224</v>
      </c>
      <c r="K98" s="1298"/>
      <c r="L98" s="1298"/>
      <c r="M98" s="1298"/>
      <c r="N98" s="1298"/>
      <c r="O98" s="1298"/>
      <c r="P98" s="1298"/>
      <c r="Q98" s="1298"/>
      <c r="R98" s="1298"/>
      <c r="S98" s="1298"/>
      <c r="T98" s="1298"/>
      <c r="U98" s="1302"/>
      <c r="W98" s="1297" t="s">
        <v>225</v>
      </c>
      <c r="X98" s="1298"/>
      <c r="Y98" s="1298"/>
      <c r="Z98" s="1300"/>
      <c r="AA98" s="1397" t="s">
        <v>226</v>
      </c>
      <c r="AB98" s="1398"/>
      <c r="AC98" s="1398"/>
      <c r="AD98" s="1398"/>
      <c r="AE98" s="1398"/>
      <c r="AF98" s="1398"/>
      <c r="AG98" s="1398"/>
      <c r="AH98" s="1398"/>
      <c r="AI98" s="1398"/>
      <c r="AJ98" s="1399"/>
      <c r="AK98" s="1400" t="s">
        <v>227</v>
      </c>
      <c r="AL98" s="1398"/>
      <c r="AM98" s="1398"/>
      <c r="AN98" s="1398"/>
      <c r="AO98" s="1398"/>
      <c r="AP98" s="1398"/>
      <c r="AQ98" s="1401"/>
      <c r="AR98" s="1301">
        <v>6</v>
      </c>
      <c r="AS98" s="1302"/>
      <c r="AT98" s="1000"/>
      <c r="AU98" s="1126"/>
      <c r="AV98" s="1127"/>
      <c r="AW98" s="1127"/>
      <c r="AX98" s="1127"/>
      <c r="AY98" s="1127"/>
      <c r="AZ98" s="1127"/>
      <c r="BA98" s="1127"/>
      <c r="BB98" s="1127"/>
      <c r="BC98" s="1127"/>
      <c r="BD98" s="1127"/>
      <c r="BE98" s="1127"/>
      <c r="BF98" s="1127"/>
      <c r="BG98" s="1127"/>
      <c r="BH98" s="1127"/>
      <c r="BI98" s="1127"/>
      <c r="BJ98" s="1127"/>
      <c r="BK98" s="1127"/>
      <c r="BL98" s="1127"/>
      <c r="BM98" s="1127"/>
      <c r="BN98" s="1127"/>
      <c r="BO98" s="1127"/>
      <c r="BP98" s="1127"/>
      <c r="BQ98" s="1127"/>
      <c r="BR98" s="1128"/>
    </row>
    <row r="99" spans="2:70" ht="18" customHeight="1">
      <c r="B99" s="1292"/>
      <c r="C99" s="1293"/>
      <c r="D99" s="1293"/>
      <c r="E99" s="1293"/>
      <c r="F99" s="1293"/>
      <c r="G99" s="1293"/>
      <c r="H99" s="1293"/>
      <c r="I99" s="1295"/>
      <c r="J99" s="1293"/>
      <c r="K99" s="1293"/>
      <c r="L99" s="1293"/>
      <c r="M99" s="1293"/>
      <c r="N99" s="1293"/>
      <c r="O99" s="1293"/>
      <c r="P99" s="1293"/>
      <c r="Q99" s="1293"/>
      <c r="R99" s="1293"/>
      <c r="S99" s="1293"/>
      <c r="T99" s="1293"/>
      <c r="U99" s="1296"/>
      <c r="W99" s="1292" t="s">
        <v>228</v>
      </c>
      <c r="X99" s="1293"/>
      <c r="Y99" s="1293"/>
      <c r="Z99" s="1295"/>
      <c r="AA99" s="1402" t="s">
        <v>229</v>
      </c>
      <c r="AB99" s="1402"/>
      <c r="AC99" s="1402"/>
      <c r="AD99" s="1402"/>
      <c r="AE99" s="1402"/>
      <c r="AF99" s="1402"/>
      <c r="AG99" s="1402"/>
      <c r="AH99" s="1402"/>
      <c r="AI99" s="1402"/>
      <c r="AJ99" s="1403"/>
      <c r="AK99" s="1404" t="s">
        <v>230</v>
      </c>
      <c r="AL99" s="1402"/>
      <c r="AM99" s="1402"/>
      <c r="AN99" s="1402"/>
      <c r="AO99" s="1402"/>
      <c r="AP99" s="1402"/>
      <c r="AQ99" s="1405"/>
      <c r="AR99" s="1293">
        <v>5</v>
      </c>
      <c r="AS99" s="1296"/>
      <c r="AT99" s="1000"/>
      <c r="AU99" s="1126"/>
      <c r="AV99" s="1127"/>
      <c r="AW99" s="1127"/>
      <c r="AX99" s="1127"/>
      <c r="AY99" s="1127"/>
      <c r="AZ99" s="1127"/>
      <c r="BA99" s="1127"/>
      <c r="BB99" s="1127"/>
      <c r="BC99" s="1127"/>
      <c r="BD99" s="1127"/>
      <c r="BE99" s="1127"/>
      <c r="BF99" s="1127"/>
      <c r="BG99" s="1127"/>
      <c r="BH99" s="1127"/>
      <c r="BI99" s="1127"/>
      <c r="BJ99" s="1127"/>
      <c r="BK99" s="1127"/>
      <c r="BL99" s="1127"/>
      <c r="BM99" s="1127"/>
      <c r="BN99" s="1127"/>
      <c r="BO99" s="1127"/>
      <c r="BP99" s="1127"/>
      <c r="BQ99" s="1127"/>
      <c r="BR99" s="1128"/>
    </row>
    <row r="100" spans="2:70" ht="18" customHeight="1">
      <c r="B100" s="1297"/>
      <c r="C100" s="1298"/>
      <c r="D100" s="1298"/>
      <c r="E100" s="1298"/>
      <c r="F100" s="1298"/>
      <c r="G100" s="1298"/>
      <c r="H100" s="1298"/>
      <c r="I100" s="1300"/>
      <c r="J100" s="1301"/>
      <c r="K100" s="1298"/>
      <c r="L100" s="1298"/>
      <c r="M100" s="1298"/>
      <c r="N100" s="1298"/>
      <c r="O100" s="1298"/>
      <c r="P100" s="1298"/>
      <c r="Q100" s="1298"/>
      <c r="R100" s="1298"/>
      <c r="S100" s="1298"/>
      <c r="T100" s="1298"/>
      <c r="U100" s="1302"/>
      <c r="W100" s="1297"/>
      <c r="X100" s="1298"/>
      <c r="Y100" s="1298"/>
      <c r="Z100" s="1300"/>
      <c r="AA100" s="1390"/>
      <c r="AB100" s="1391"/>
      <c r="AC100" s="1391"/>
      <c r="AD100" s="1391"/>
      <c r="AE100" s="1391"/>
      <c r="AF100" s="1391"/>
      <c r="AG100" s="1391"/>
      <c r="AH100" s="1391"/>
      <c r="AI100" s="1391"/>
      <c r="AJ100" s="1392"/>
      <c r="AK100" s="1362"/>
      <c r="AL100" s="1391"/>
      <c r="AM100" s="1391"/>
      <c r="AN100" s="1391"/>
      <c r="AO100" s="1391"/>
      <c r="AP100" s="1391"/>
      <c r="AQ100" s="1393"/>
      <c r="AR100" s="1301"/>
      <c r="AS100" s="1302"/>
      <c r="AT100" s="1000"/>
      <c r="AU100" s="1126"/>
      <c r="AV100" s="1127"/>
      <c r="AW100" s="1127"/>
      <c r="AX100" s="1127"/>
      <c r="AY100" s="1127"/>
      <c r="AZ100" s="1127"/>
      <c r="BA100" s="1127"/>
      <c r="BB100" s="1127"/>
      <c r="BC100" s="1127"/>
      <c r="BD100" s="1127"/>
      <c r="BE100" s="1127"/>
      <c r="BF100" s="1127"/>
      <c r="BG100" s="1127"/>
      <c r="BH100" s="1127"/>
      <c r="BI100" s="1127"/>
      <c r="BJ100" s="1127"/>
      <c r="BK100" s="1127"/>
      <c r="BL100" s="1127"/>
      <c r="BM100" s="1127"/>
      <c r="BN100" s="1127"/>
      <c r="BO100" s="1127"/>
      <c r="BP100" s="1127"/>
      <c r="BQ100" s="1127"/>
      <c r="BR100" s="1128"/>
    </row>
    <row r="101" spans="2:70" ht="18" customHeight="1">
      <c r="B101" s="1292"/>
      <c r="C101" s="1293"/>
      <c r="D101" s="1293"/>
      <c r="E101" s="1293"/>
      <c r="F101" s="1293"/>
      <c r="G101" s="1293"/>
      <c r="H101" s="1293"/>
      <c r="I101" s="1295"/>
      <c r="J101" s="1293"/>
      <c r="K101" s="1293"/>
      <c r="L101" s="1293"/>
      <c r="M101" s="1293"/>
      <c r="N101" s="1293"/>
      <c r="O101" s="1293"/>
      <c r="P101" s="1293"/>
      <c r="Q101" s="1293"/>
      <c r="R101" s="1293"/>
      <c r="S101" s="1293"/>
      <c r="T101" s="1293"/>
      <c r="U101" s="1296"/>
      <c r="W101" s="1292"/>
      <c r="X101" s="1293"/>
      <c r="Y101" s="1293"/>
      <c r="Z101" s="1295"/>
      <c r="AA101" s="1387"/>
      <c r="AB101" s="1387"/>
      <c r="AC101" s="1387"/>
      <c r="AD101" s="1387"/>
      <c r="AE101" s="1387"/>
      <c r="AF101" s="1387"/>
      <c r="AG101" s="1387"/>
      <c r="AH101" s="1387"/>
      <c r="AI101" s="1387"/>
      <c r="AJ101" s="1388"/>
      <c r="AK101" s="1358"/>
      <c r="AL101" s="1387"/>
      <c r="AM101" s="1387"/>
      <c r="AN101" s="1387"/>
      <c r="AO101" s="1387"/>
      <c r="AP101" s="1387"/>
      <c r="AQ101" s="1389"/>
      <c r="AR101" s="1293"/>
      <c r="AS101" s="1296"/>
      <c r="AT101" s="1000"/>
      <c r="AU101" s="1126"/>
      <c r="AV101" s="1127"/>
      <c r="AW101" s="1127"/>
      <c r="AX101" s="1127"/>
      <c r="AY101" s="1127"/>
      <c r="AZ101" s="1127"/>
      <c r="BA101" s="1127"/>
      <c r="BB101" s="1127"/>
      <c r="BC101" s="1127"/>
      <c r="BD101" s="1127"/>
      <c r="BE101" s="1127"/>
      <c r="BF101" s="1127"/>
      <c r="BG101" s="1127"/>
      <c r="BH101" s="1127"/>
      <c r="BI101" s="1127"/>
      <c r="BJ101" s="1127"/>
      <c r="BK101" s="1127"/>
      <c r="BL101" s="1127"/>
      <c r="BM101" s="1127"/>
      <c r="BN101" s="1127"/>
      <c r="BO101" s="1127"/>
      <c r="BP101" s="1127"/>
      <c r="BQ101" s="1127"/>
      <c r="BR101" s="1128"/>
    </row>
    <row r="102" spans="2:70" ht="18" customHeight="1">
      <c r="B102" s="1297"/>
      <c r="C102" s="1298"/>
      <c r="D102" s="1298"/>
      <c r="E102" s="1298"/>
      <c r="F102" s="1298"/>
      <c r="G102" s="1298"/>
      <c r="H102" s="1298"/>
      <c r="I102" s="1300"/>
      <c r="J102" s="1301"/>
      <c r="K102" s="1298"/>
      <c r="L102" s="1298"/>
      <c r="M102" s="1298"/>
      <c r="N102" s="1298"/>
      <c r="O102" s="1298"/>
      <c r="P102" s="1298"/>
      <c r="Q102" s="1298"/>
      <c r="R102" s="1298"/>
      <c r="S102" s="1298"/>
      <c r="T102" s="1298"/>
      <c r="U102" s="1302"/>
      <c r="W102" s="1297"/>
      <c r="X102" s="1298"/>
      <c r="Y102" s="1298"/>
      <c r="Z102" s="1300"/>
      <c r="AA102" s="1390"/>
      <c r="AB102" s="1391"/>
      <c r="AC102" s="1391"/>
      <c r="AD102" s="1391"/>
      <c r="AE102" s="1391"/>
      <c r="AF102" s="1391"/>
      <c r="AG102" s="1391"/>
      <c r="AH102" s="1391"/>
      <c r="AI102" s="1391"/>
      <c r="AJ102" s="1392"/>
      <c r="AK102" s="1362"/>
      <c r="AL102" s="1391"/>
      <c r="AM102" s="1391"/>
      <c r="AN102" s="1391"/>
      <c r="AO102" s="1391"/>
      <c r="AP102" s="1391"/>
      <c r="AQ102" s="1393"/>
      <c r="AR102" s="1301"/>
      <c r="AS102" s="1302"/>
      <c r="AT102" s="1000"/>
      <c r="AU102" s="1126"/>
      <c r="AV102" s="1127"/>
      <c r="AW102" s="1127"/>
      <c r="AX102" s="1127"/>
      <c r="AY102" s="1127"/>
      <c r="AZ102" s="1127"/>
      <c r="BA102" s="1127"/>
      <c r="BB102" s="1127"/>
      <c r="BC102" s="1127"/>
      <c r="BD102" s="1127"/>
      <c r="BE102" s="1127"/>
      <c r="BF102" s="1127"/>
      <c r="BG102" s="1127"/>
      <c r="BH102" s="1127"/>
      <c r="BI102" s="1127"/>
      <c r="BJ102" s="1127"/>
      <c r="BK102" s="1127"/>
      <c r="BL102" s="1127"/>
      <c r="BM102" s="1127"/>
      <c r="BN102" s="1127"/>
      <c r="BO102" s="1127"/>
      <c r="BP102" s="1127"/>
      <c r="BQ102" s="1127"/>
      <c r="BR102" s="1128"/>
    </row>
    <row r="103" spans="2:70" ht="18" customHeight="1">
      <c r="B103" s="1292"/>
      <c r="C103" s="1293"/>
      <c r="D103" s="1293"/>
      <c r="E103" s="1293"/>
      <c r="F103" s="1293"/>
      <c r="G103" s="1293"/>
      <c r="H103" s="1293"/>
      <c r="I103" s="1295"/>
      <c r="J103" s="1293"/>
      <c r="K103" s="1293"/>
      <c r="L103" s="1293"/>
      <c r="M103" s="1293"/>
      <c r="N103" s="1293"/>
      <c r="O103" s="1293"/>
      <c r="P103" s="1293"/>
      <c r="Q103" s="1293"/>
      <c r="R103" s="1293"/>
      <c r="S103" s="1293"/>
      <c r="T103" s="1293"/>
      <c r="U103" s="1296"/>
      <c r="W103" s="1292"/>
      <c r="X103" s="1293"/>
      <c r="Y103" s="1293"/>
      <c r="Z103" s="1295"/>
      <c r="AA103" s="1387"/>
      <c r="AB103" s="1387"/>
      <c r="AC103" s="1387"/>
      <c r="AD103" s="1387"/>
      <c r="AE103" s="1387"/>
      <c r="AF103" s="1387"/>
      <c r="AG103" s="1387"/>
      <c r="AH103" s="1387"/>
      <c r="AI103" s="1387"/>
      <c r="AJ103" s="1388"/>
      <c r="AK103" s="1358"/>
      <c r="AL103" s="1387"/>
      <c r="AM103" s="1387"/>
      <c r="AN103" s="1387"/>
      <c r="AO103" s="1387"/>
      <c r="AP103" s="1387"/>
      <c r="AQ103" s="1389"/>
      <c r="AR103" s="1293"/>
      <c r="AS103" s="1296"/>
      <c r="AU103" s="1129"/>
      <c r="AV103" s="1130"/>
      <c r="AW103" s="1130"/>
      <c r="AX103" s="1130"/>
      <c r="AY103" s="1130"/>
      <c r="AZ103" s="1130"/>
      <c r="BA103" s="1130"/>
      <c r="BB103" s="1130"/>
      <c r="BC103" s="1130"/>
      <c r="BD103" s="1130"/>
      <c r="BE103" s="1130"/>
      <c r="BF103" s="1130"/>
      <c r="BG103" s="1130"/>
      <c r="BH103" s="1130"/>
      <c r="BI103" s="1130"/>
      <c r="BJ103" s="1130"/>
      <c r="BK103" s="1130"/>
      <c r="BL103" s="1130"/>
      <c r="BM103" s="1130"/>
      <c r="BN103" s="1130"/>
      <c r="BO103" s="1130"/>
      <c r="BP103" s="1130"/>
      <c r="BQ103" s="1130"/>
      <c r="BR103" s="1131"/>
    </row>
    <row r="104" spans="2:70" ht="18" customHeight="1">
      <c r="B104" s="1297"/>
      <c r="C104" s="1298"/>
      <c r="D104" s="1298"/>
      <c r="E104" s="1298"/>
      <c r="F104" s="1298"/>
      <c r="G104" s="1298"/>
      <c r="H104" s="1298"/>
      <c r="I104" s="1300"/>
      <c r="J104" s="1301"/>
      <c r="K104" s="1298"/>
      <c r="L104" s="1298"/>
      <c r="M104" s="1298"/>
      <c r="N104" s="1298"/>
      <c r="O104" s="1298"/>
      <c r="P104" s="1298"/>
      <c r="Q104" s="1298"/>
      <c r="R104" s="1298"/>
      <c r="S104" s="1298"/>
      <c r="T104" s="1298"/>
      <c r="U104" s="1302"/>
      <c r="W104" s="1297"/>
      <c r="X104" s="1298"/>
      <c r="Y104" s="1298"/>
      <c r="Z104" s="1300"/>
      <c r="AA104" s="1390"/>
      <c r="AB104" s="1391"/>
      <c r="AC104" s="1391"/>
      <c r="AD104" s="1391"/>
      <c r="AE104" s="1391"/>
      <c r="AF104" s="1391"/>
      <c r="AG104" s="1391"/>
      <c r="AH104" s="1391"/>
      <c r="AI104" s="1391"/>
      <c r="AJ104" s="1392"/>
      <c r="AK104" s="1362"/>
      <c r="AL104" s="1391"/>
      <c r="AM104" s="1391"/>
      <c r="AN104" s="1391"/>
      <c r="AO104" s="1391"/>
      <c r="AP104" s="1391"/>
      <c r="AQ104" s="1393"/>
      <c r="AR104" s="1301"/>
      <c r="AS104" s="1302"/>
      <c r="AU104" s="1394" t="s">
        <v>231</v>
      </c>
      <c r="AV104" s="1395"/>
      <c r="AW104" s="1395"/>
      <c r="AX104" s="1395"/>
      <c r="AY104" s="1395"/>
      <c r="AZ104" s="1395"/>
      <c r="BA104" s="1395"/>
      <c r="BB104" s="1395"/>
      <c r="BC104" s="1395"/>
      <c r="BD104" s="1395"/>
      <c r="BE104" s="1395"/>
      <c r="BF104" s="1395"/>
      <c r="BG104" s="1395"/>
      <c r="BH104" s="1395"/>
      <c r="BI104" s="1395"/>
      <c r="BJ104" s="1395"/>
      <c r="BK104" s="1395"/>
      <c r="BL104" s="1395"/>
      <c r="BM104" s="1395"/>
      <c r="BN104" s="1395"/>
      <c r="BO104" s="1395"/>
      <c r="BP104" s="1395"/>
      <c r="BQ104" s="1395"/>
      <c r="BR104" s="1396"/>
    </row>
    <row r="105" spans="2:70" ht="18" customHeight="1">
      <c r="B105" s="1292"/>
      <c r="C105" s="1293"/>
      <c r="D105" s="1293"/>
      <c r="E105" s="1293"/>
      <c r="F105" s="1293"/>
      <c r="G105" s="1293"/>
      <c r="H105" s="1293"/>
      <c r="I105" s="1295"/>
      <c r="J105" s="1293"/>
      <c r="K105" s="1293"/>
      <c r="L105" s="1293"/>
      <c r="M105" s="1293"/>
      <c r="N105" s="1293"/>
      <c r="O105" s="1293"/>
      <c r="P105" s="1293"/>
      <c r="Q105" s="1293"/>
      <c r="R105" s="1293"/>
      <c r="S105" s="1293"/>
      <c r="T105" s="1293"/>
      <c r="U105" s="1296"/>
      <c r="W105" s="1292"/>
      <c r="X105" s="1293"/>
      <c r="Y105" s="1293"/>
      <c r="Z105" s="1295"/>
      <c r="AA105" s="1387"/>
      <c r="AB105" s="1387"/>
      <c r="AC105" s="1387"/>
      <c r="AD105" s="1387"/>
      <c r="AE105" s="1387"/>
      <c r="AF105" s="1387"/>
      <c r="AG105" s="1387"/>
      <c r="AH105" s="1387"/>
      <c r="AI105" s="1387"/>
      <c r="AJ105" s="1388"/>
      <c r="AK105" s="1358"/>
      <c r="AL105" s="1387"/>
      <c r="AM105" s="1387"/>
      <c r="AN105" s="1387"/>
      <c r="AO105" s="1387"/>
      <c r="AP105" s="1387"/>
      <c r="AQ105" s="1389"/>
      <c r="AR105" s="1293"/>
      <c r="AS105" s="1296"/>
      <c r="AU105" s="1213" t="str">
        <f>附表!AP22</f>
        <v>总统：
   唐纳德·特朗普（共和党）</v>
      </c>
      <c r="AV105" s="1214"/>
      <c r="AW105" s="1214"/>
      <c r="AX105" s="1214"/>
      <c r="AY105" s="1214"/>
      <c r="AZ105" s="1214"/>
      <c r="BA105" s="1214"/>
      <c r="BB105" s="1214"/>
      <c r="BC105" s="1214"/>
      <c r="BD105" s="1214"/>
      <c r="BE105" s="1214"/>
      <c r="BF105" s="1214"/>
      <c r="BG105" s="1214"/>
      <c r="BH105" s="1214"/>
      <c r="BI105" s="1214"/>
      <c r="BJ105" s="1214"/>
      <c r="BK105" s="1214"/>
      <c r="BL105" s="1214"/>
      <c r="BM105" s="1214"/>
      <c r="BN105" s="1214"/>
      <c r="BO105" s="1214"/>
      <c r="BP105" s="1214"/>
      <c r="BQ105" s="1214"/>
      <c r="BR105" s="1215"/>
    </row>
    <row r="106" spans="2:70" ht="18" customHeight="1">
      <c r="B106" s="1297"/>
      <c r="C106" s="1298"/>
      <c r="D106" s="1298"/>
      <c r="E106" s="1298"/>
      <c r="F106" s="1298"/>
      <c r="G106" s="1298"/>
      <c r="H106" s="1298"/>
      <c r="I106" s="1300"/>
      <c r="J106" s="1301"/>
      <c r="K106" s="1298"/>
      <c r="L106" s="1298"/>
      <c r="M106" s="1298"/>
      <c r="N106" s="1298"/>
      <c r="O106" s="1298"/>
      <c r="P106" s="1298"/>
      <c r="Q106" s="1298"/>
      <c r="R106" s="1298"/>
      <c r="S106" s="1298"/>
      <c r="T106" s="1298"/>
      <c r="U106" s="1302"/>
      <c r="W106" s="1297"/>
      <c r="X106" s="1298"/>
      <c r="Y106" s="1298"/>
      <c r="Z106" s="1300"/>
      <c r="AA106" s="1390"/>
      <c r="AB106" s="1391"/>
      <c r="AC106" s="1391"/>
      <c r="AD106" s="1391"/>
      <c r="AE106" s="1391"/>
      <c r="AF106" s="1391"/>
      <c r="AG106" s="1391"/>
      <c r="AH106" s="1391"/>
      <c r="AI106" s="1391"/>
      <c r="AJ106" s="1392"/>
      <c r="AK106" s="1362"/>
      <c r="AL106" s="1391"/>
      <c r="AM106" s="1391"/>
      <c r="AN106" s="1391"/>
      <c r="AO106" s="1391"/>
      <c r="AP106" s="1391"/>
      <c r="AQ106" s="1393"/>
      <c r="AR106" s="1301"/>
      <c r="AS106" s="1302"/>
      <c r="AU106" s="1216"/>
      <c r="AV106" s="1217"/>
      <c r="AW106" s="1217"/>
      <c r="AX106" s="1217"/>
      <c r="AY106" s="1217"/>
      <c r="AZ106" s="1217"/>
      <c r="BA106" s="1217"/>
      <c r="BB106" s="1217"/>
      <c r="BC106" s="1217"/>
      <c r="BD106" s="1217"/>
      <c r="BE106" s="1217"/>
      <c r="BF106" s="1217"/>
      <c r="BG106" s="1217"/>
      <c r="BH106" s="1217"/>
      <c r="BI106" s="1217"/>
      <c r="BJ106" s="1217"/>
      <c r="BK106" s="1217"/>
      <c r="BL106" s="1217"/>
      <c r="BM106" s="1217"/>
      <c r="BN106" s="1217"/>
      <c r="BO106" s="1217"/>
      <c r="BP106" s="1217"/>
      <c r="BQ106" s="1217"/>
      <c r="BR106" s="1218"/>
    </row>
    <row r="107" spans="2:70" ht="18" customHeight="1">
      <c r="B107" s="1292"/>
      <c r="C107" s="1293"/>
      <c r="D107" s="1293"/>
      <c r="E107" s="1293"/>
      <c r="F107" s="1293"/>
      <c r="G107" s="1293"/>
      <c r="H107" s="1293"/>
      <c r="I107" s="1295"/>
      <c r="J107" s="1293"/>
      <c r="K107" s="1293"/>
      <c r="L107" s="1293"/>
      <c r="M107" s="1293"/>
      <c r="N107" s="1293"/>
      <c r="O107" s="1293"/>
      <c r="P107" s="1293"/>
      <c r="Q107" s="1293"/>
      <c r="R107" s="1293"/>
      <c r="S107" s="1293"/>
      <c r="T107" s="1293"/>
      <c r="U107" s="1296"/>
      <c r="W107" s="1292"/>
      <c r="X107" s="1293"/>
      <c r="Y107" s="1293"/>
      <c r="Z107" s="1295"/>
      <c r="AA107" s="1387"/>
      <c r="AB107" s="1387"/>
      <c r="AC107" s="1387"/>
      <c r="AD107" s="1387"/>
      <c r="AE107" s="1387"/>
      <c r="AF107" s="1387"/>
      <c r="AG107" s="1387"/>
      <c r="AH107" s="1387"/>
      <c r="AI107" s="1387"/>
      <c r="AJ107" s="1388"/>
      <c r="AK107" s="1358"/>
      <c r="AL107" s="1387"/>
      <c r="AM107" s="1387"/>
      <c r="AN107" s="1387"/>
      <c r="AO107" s="1387"/>
      <c r="AP107" s="1387"/>
      <c r="AQ107" s="1389"/>
      <c r="AR107" s="1293"/>
      <c r="AS107" s="1296"/>
      <c r="AT107" s="1000"/>
      <c r="AU107" s="1216"/>
      <c r="AV107" s="1217"/>
      <c r="AW107" s="1217"/>
      <c r="AX107" s="1217"/>
      <c r="AY107" s="1217"/>
      <c r="AZ107" s="1217"/>
      <c r="BA107" s="1217"/>
      <c r="BB107" s="1217"/>
      <c r="BC107" s="1217"/>
      <c r="BD107" s="1217"/>
      <c r="BE107" s="1217"/>
      <c r="BF107" s="1217"/>
      <c r="BG107" s="1217"/>
      <c r="BH107" s="1217"/>
      <c r="BI107" s="1217"/>
      <c r="BJ107" s="1217"/>
      <c r="BK107" s="1217"/>
      <c r="BL107" s="1217"/>
      <c r="BM107" s="1217"/>
      <c r="BN107" s="1217"/>
      <c r="BO107" s="1217"/>
      <c r="BP107" s="1217"/>
      <c r="BQ107" s="1217"/>
      <c r="BR107" s="1218"/>
    </row>
    <row r="108" spans="2:70" ht="18" customHeight="1">
      <c r="B108" s="1297"/>
      <c r="C108" s="1298"/>
      <c r="D108" s="1298"/>
      <c r="E108" s="1298"/>
      <c r="F108" s="1298"/>
      <c r="G108" s="1298"/>
      <c r="H108" s="1298"/>
      <c r="I108" s="1300"/>
      <c r="J108" s="1301"/>
      <c r="K108" s="1298"/>
      <c r="L108" s="1298"/>
      <c r="M108" s="1298"/>
      <c r="N108" s="1298"/>
      <c r="O108" s="1298"/>
      <c r="P108" s="1298"/>
      <c r="Q108" s="1298"/>
      <c r="R108" s="1298"/>
      <c r="S108" s="1298"/>
      <c r="T108" s="1298"/>
      <c r="U108" s="1302"/>
      <c r="W108" s="1297"/>
      <c r="X108" s="1298"/>
      <c r="Y108" s="1298"/>
      <c r="Z108" s="1300"/>
      <c r="AA108" s="1390"/>
      <c r="AB108" s="1391"/>
      <c r="AC108" s="1391"/>
      <c r="AD108" s="1391"/>
      <c r="AE108" s="1391"/>
      <c r="AF108" s="1391"/>
      <c r="AG108" s="1391"/>
      <c r="AH108" s="1391"/>
      <c r="AI108" s="1391"/>
      <c r="AJ108" s="1392"/>
      <c r="AK108" s="1362"/>
      <c r="AL108" s="1391"/>
      <c r="AM108" s="1391"/>
      <c r="AN108" s="1391"/>
      <c r="AO108" s="1391"/>
      <c r="AP108" s="1391"/>
      <c r="AQ108" s="1393"/>
      <c r="AR108" s="1301"/>
      <c r="AS108" s="1302"/>
      <c r="AT108" s="1000"/>
      <c r="AU108" s="1216"/>
      <c r="AV108" s="1217"/>
      <c r="AW108" s="1217"/>
      <c r="AX108" s="1217"/>
      <c r="AY108" s="1217"/>
      <c r="AZ108" s="1217"/>
      <c r="BA108" s="1217"/>
      <c r="BB108" s="1217"/>
      <c r="BC108" s="1217"/>
      <c r="BD108" s="1217"/>
      <c r="BE108" s="1217"/>
      <c r="BF108" s="1217"/>
      <c r="BG108" s="1217"/>
      <c r="BH108" s="1217"/>
      <c r="BI108" s="1217"/>
      <c r="BJ108" s="1217"/>
      <c r="BK108" s="1217"/>
      <c r="BL108" s="1217"/>
      <c r="BM108" s="1217"/>
      <c r="BN108" s="1217"/>
      <c r="BO108" s="1217"/>
      <c r="BP108" s="1217"/>
      <c r="BQ108" s="1217"/>
      <c r="BR108" s="1218"/>
    </row>
    <row r="109" spans="2:70" ht="18" customHeight="1">
      <c r="B109" s="1292"/>
      <c r="C109" s="1293"/>
      <c r="D109" s="1293"/>
      <c r="E109" s="1293"/>
      <c r="F109" s="1293"/>
      <c r="G109" s="1293"/>
      <c r="H109" s="1293"/>
      <c r="I109" s="1295"/>
      <c r="J109" s="1293"/>
      <c r="K109" s="1293"/>
      <c r="L109" s="1293"/>
      <c r="M109" s="1293"/>
      <c r="N109" s="1293"/>
      <c r="O109" s="1293"/>
      <c r="P109" s="1293"/>
      <c r="Q109" s="1293"/>
      <c r="R109" s="1293"/>
      <c r="S109" s="1293"/>
      <c r="T109" s="1293"/>
      <c r="U109" s="1296"/>
      <c r="W109" s="1292"/>
      <c r="X109" s="1293"/>
      <c r="Y109" s="1293"/>
      <c r="Z109" s="1295"/>
      <c r="AA109" s="1387"/>
      <c r="AB109" s="1387"/>
      <c r="AC109" s="1387"/>
      <c r="AD109" s="1387"/>
      <c r="AE109" s="1387"/>
      <c r="AF109" s="1387"/>
      <c r="AG109" s="1387"/>
      <c r="AH109" s="1387"/>
      <c r="AI109" s="1387"/>
      <c r="AJ109" s="1388"/>
      <c r="AK109" s="1358"/>
      <c r="AL109" s="1387"/>
      <c r="AM109" s="1387"/>
      <c r="AN109" s="1387"/>
      <c r="AO109" s="1387"/>
      <c r="AP109" s="1387"/>
      <c r="AQ109" s="1389"/>
      <c r="AR109" s="1293"/>
      <c r="AS109" s="1296"/>
      <c r="AU109" s="1216"/>
      <c r="AV109" s="1217"/>
      <c r="AW109" s="1217"/>
      <c r="AX109" s="1217"/>
      <c r="AY109" s="1217"/>
      <c r="AZ109" s="1217"/>
      <c r="BA109" s="1217"/>
      <c r="BB109" s="1217"/>
      <c r="BC109" s="1217"/>
      <c r="BD109" s="1217"/>
      <c r="BE109" s="1217"/>
      <c r="BF109" s="1217"/>
      <c r="BG109" s="1217"/>
      <c r="BH109" s="1217"/>
      <c r="BI109" s="1217"/>
      <c r="BJ109" s="1217"/>
      <c r="BK109" s="1217"/>
      <c r="BL109" s="1217"/>
      <c r="BM109" s="1217"/>
      <c r="BN109" s="1217"/>
      <c r="BO109" s="1217"/>
      <c r="BP109" s="1217"/>
      <c r="BQ109" s="1217"/>
      <c r="BR109" s="1218"/>
    </row>
    <row r="110" spans="2:70" ht="18" customHeight="1">
      <c r="B110" s="1297"/>
      <c r="C110" s="1298"/>
      <c r="D110" s="1298"/>
      <c r="E110" s="1298"/>
      <c r="F110" s="1298"/>
      <c r="G110" s="1298"/>
      <c r="H110" s="1298"/>
      <c r="I110" s="1300"/>
      <c r="J110" s="1301"/>
      <c r="K110" s="1298"/>
      <c r="L110" s="1298"/>
      <c r="M110" s="1298"/>
      <c r="N110" s="1298"/>
      <c r="O110" s="1298"/>
      <c r="P110" s="1298"/>
      <c r="Q110" s="1298"/>
      <c r="R110" s="1298"/>
      <c r="S110" s="1298"/>
      <c r="T110" s="1298"/>
      <c r="U110" s="1302"/>
      <c r="W110" s="1365"/>
      <c r="X110" s="1366"/>
      <c r="Y110" s="1366"/>
      <c r="Z110" s="1367"/>
      <c r="AA110" s="1368"/>
      <c r="AB110" s="1369"/>
      <c r="AC110" s="1369"/>
      <c r="AD110" s="1369"/>
      <c r="AE110" s="1369"/>
      <c r="AF110" s="1369"/>
      <c r="AG110" s="1369"/>
      <c r="AH110" s="1369"/>
      <c r="AI110" s="1369"/>
      <c r="AJ110" s="1369"/>
      <c r="AK110" s="1370"/>
      <c r="AL110" s="1369"/>
      <c r="AM110" s="1369"/>
      <c r="AN110" s="1369"/>
      <c r="AO110" s="1369"/>
      <c r="AP110" s="1369"/>
      <c r="AQ110" s="1371"/>
      <c r="AR110" s="1372"/>
      <c r="AS110" s="1373"/>
      <c r="AU110" s="1216"/>
      <c r="AV110" s="1217"/>
      <c r="AW110" s="1217"/>
      <c r="AX110" s="1217"/>
      <c r="AY110" s="1217"/>
      <c r="AZ110" s="1217"/>
      <c r="BA110" s="1217"/>
      <c r="BB110" s="1217"/>
      <c r="BC110" s="1217"/>
      <c r="BD110" s="1217"/>
      <c r="BE110" s="1217"/>
      <c r="BF110" s="1217"/>
      <c r="BG110" s="1217"/>
      <c r="BH110" s="1217"/>
      <c r="BI110" s="1217"/>
      <c r="BJ110" s="1217"/>
      <c r="BK110" s="1217"/>
      <c r="BL110" s="1217"/>
      <c r="BM110" s="1217"/>
      <c r="BN110" s="1217"/>
      <c r="BO110" s="1217"/>
      <c r="BP110" s="1217"/>
      <c r="BQ110" s="1217"/>
      <c r="BR110" s="1218"/>
    </row>
    <row r="111" spans="2:70" ht="18" customHeight="1">
      <c r="B111" s="1292"/>
      <c r="C111" s="1293"/>
      <c r="D111" s="1293"/>
      <c r="E111" s="1293"/>
      <c r="F111" s="1293"/>
      <c r="G111" s="1293"/>
      <c r="H111" s="1293"/>
      <c r="I111" s="1295"/>
      <c r="J111" s="1293"/>
      <c r="K111" s="1293"/>
      <c r="L111" s="1293"/>
      <c r="M111" s="1293"/>
      <c r="N111" s="1293"/>
      <c r="O111" s="1293"/>
      <c r="P111" s="1293"/>
      <c r="Q111" s="1293"/>
      <c r="R111" s="1293"/>
      <c r="S111" s="1293"/>
      <c r="T111" s="1293"/>
      <c r="U111" s="1296"/>
      <c r="Y111" s="363"/>
      <c r="AU111" s="1216"/>
      <c r="AV111" s="1217"/>
      <c r="AW111" s="1217"/>
      <c r="AX111" s="1217"/>
      <c r="AY111" s="1217"/>
      <c r="AZ111" s="1217"/>
      <c r="BA111" s="1217"/>
      <c r="BB111" s="1217"/>
      <c r="BC111" s="1217"/>
      <c r="BD111" s="1217"/>
      <c r="BE111" s="1217"/>
      <c r="BF111" s="1217"/>
      <c r="BG111" s="1217"/>
      <c r="BH111" s="1217"/>
      <c r="BI111" s="1217"/>
      <c r="BJ111" s="1217"/>
      <c r="BK111" s="1217"/>
      <c r="BL111" s="1217"/>
      <c r="BM111" s="1217"/>
      <c r="BN111" s="1217"/>
      <c r="BO111" s="1217"/>
      <c r="BP111" s="1217"/>
      <c r="BQ111" s="1217"/>
      <c r="BR111" s="1218"/>
    </row>
    <row r="112" spans="2:70" ht="18" customHeight="1">
      <c r="B112" s="1374"/>
      <c r="C112" s="1375"/>
      <c r="D112" s="1375"/>
      <c r="E112" s="1375"/>
      <c r="F112" s="1375"/>
      <c r="G112" s="1375"/>
      <c r="H112" s="1375"/>
      <c r="I112" s="1376"/>
      <c r="J112" s="1377"/>
      <c r="K112" s="1375"/>
      <c r="L112" s="1375"/>
      <c r="M112" s="1375"/>
      <c r="N112" s="1375"/>
      <c r="O112" s="1375"/>
      <c r="P112" s="1375"/>
      <c r="Q112" s="1375"/>
      <c r="R112" s="1375"/>
      <c r="S112" s="1375"/>
      <c r="T112" s="1375"/>
      <c r="U112" s="1378"/>
      <c r="W112" s="1320" t="s">
        <v>232</v>
      </c>
      <c r="X112" s="1321"/>
      <c r="Y112" s="1321"/>
      <c r="Z112" s="1321"/>
      <c r="AA112" s="1321"/>
      <c r="AB112" s="1321"/>
      <c r="AC112" s="1321"/>
      <c r="AD112" s="1321"/>
      <c r="AE112" s="1321"/>
      <c r="AF112" s="1321"/>
      <c r="AG112" s="1321"/>
      <c r="AH112" s="1321"/>
      <c r="AI112" s="1321"/>
      <c r="AJ112" s="1321"/>
      <c r="AK112" s="1321"/>
      <c r="AL112" s="1321"/>
      <c r="AM112" s="1321"/>
      <c r="AN112" s="1321"/>
      <c r="AO112" s="1321"/>
      <c r="AP112" s="1321"/>
      <c r="AQ112" s="1321"/>
      <c r="AR112" s="1321"/>
      <c r="AS112" s="1322"/>
      <c r="AU112" s="1216"/>
      <c r="AV112" s="1217"/>
      <c r="AW112" s="1217"/>
      <c r="AX112" s="1217"/>
      <c r="AY112" s="1217"/>
      <c r="AZ112" s="1217"/>
      <c r="BA112" s="1217"/>
      <c r="BB112" s="1217"/>
      <c r="BC112" s="1217"/>
      <c r="BD112" s="1217"/>
      <c r="BE112" s="1217"/>
      <c r="BF112" s="1217"/>
      <c r="BG112" s="1217"/>
      <c r="BH112" s="1217"/>
      <c r="BI112" s="1217"/>
      <c r="BJ112" s="1217"/>
      <c r="BK112" s="1217"/>
      <c r="BL112" s="1217"/>
      <c r="BM112" s="1217"/>
      <c r="BN112" s="1217"/>
      <c r="BO112" s="1217"/>
      <c r="BP112" s="1217"/>
      <c r="BQ112" s="1217"/>
      <c r="BR112" s="1218"/>
    </row>
    <row r="113" spans="2:70" ht="18" customHeight="1">
      <c r="B113" s="1272" t="s">
        <v>233</v>
      </c>
      <c r="C113" s="1273"/>
      <c r="D113" s="1273"/>
      <c r="E113" s="1274"/>
      <c r="F113" s="1281" t="s">
        <v>172</v>
      </c>
      <c r="G113" s="1282"/>
      <c r="H113" s="1282"/>
      <c r="I113" s="1282"/>
      <c r="J113" s="1226" t="str">
        <f>"SAN值减少"&amp;附表!C34&amp;"        备注："&amp;附表!E34</f>
        <v>SAN值减少        备注：</v>
      </c>
      <c r="K113" s="1227"/>
      <c r="L113" s="1227"/>
      <c r="M113" s="1227"/>
      <c r="N113" s="1227"/>
      <c r="O113" s="1227"/>
      <c r="P113" s="1227"/>
      <c r="Q113" s="1227"/>
      <c r="R113" s="1227"/>
      <c r="S113" s="1227"/>
      <c r="T113" s="1227"/>
      <c r="U113" s="1228"/>
      <c r="W113" s="1379" t="s">
        <v>234</v>
      </c>
      <c r="X113" s="1380"/>
      <c r="Y113" s="1381" t="s">
        <v>235</v>
      </c>
      <c r="Z113" s="1380"/>
      <c r="AA113" s="1380"/>
      <c r="AB113" s="1382"/>
      <c r="AC113" s="1383" t="s">
        <v>236</v>
      </c>
      <c r="AD113" s="1380"/>
      <c r="AE113" s="1380"/>
      <c r="AF113" s="1380"/>
      <c r="AG113" s="1380"/>
      <c r="AH113" s="1384" t="s">
        <v>237</v>
      </c>
      <c r="AI113" s="1385"/>
      <c r="AJ113" s="1385"/>
      <c r="AK113" s="1385"/>
      <c r="AL113" s="1385"/>
      <c r="AM113" s="1385"/>
      <c r="AN113" s="1385"/>
      <c r="AO113" s="1385"/>
      <c r="AP113" s="1385"/>
      <c r="AQ113" s="1385"/>
      <c r="AR113" s="1385"/>
      <c r="AS113" s="1386"/>
      <c r="AU113" s="1216"/>
      <c r="AV113" s="1217"/>
      <c r="AW113" s="1217"/>
      <c r="AX113" s="1217"/>
      <c r="AY113" s="1217"/>
      <c r="AZ113" s="1217"/>
      <c r="BA113" s="1217"/>
      <c r="BB113" s="1217"/>
      <c r="BC113" s="1217"/>
      <c r="BD113" s="1217"/>
      <c r="BE113" s="1217"/>
      <c r="BF113" s="1217"/>
      <c r="BG113" s="1217"/>
      <c r="BH113" s="1217"/>
      <c r="BI113" s="1217"/>
      <c r="BJ113" s="1217"/>
      <c r="BK113" s="1217"/>
      <c r="BL113" s="1217"/>
      <c r="BM113" s="1217"/>
      <c r="BN113" s="1217"/>
      <c r="BO113" s="1217"/>
      <c r="BP113" s="1217"/>
      <c r="BQ113" s="1217"/>
      <c r="BR113" s="1218"/>
    </row>
    <row r="114" spans="2:70" ht="18" customHeight="1">
      <c r="B114" s="1275"/>
      <c r="C114" s="1276"/>
      <c r="D114" s="1276"/>
      <c r="E114" s="1277"/>
      <c r="F114" s="1283"/>
      <c r="G114" s="1284"/>
      <c r="H114" s="1284"/>
      <c r="I114" s="1284"/>
      <c r="J114" s="1229"/>
      <c r="K114" s="1229"/>
      <c r="L114" s="1229"/>
      <c r="M114" s="1229"/>
      <c r="N114" s="1229"/>
      <c r="O114" s="1229"/>
      <c r="P114" s="1229"/>
      <c r="Q114" s="1229"/>
      <c r="R114" s="1229"/>
      <c r="S114" s="1229"/>
      <c r="T114" s="1229"/>
      <c r="U114" s="1230"/>
      <c r="W114" s="1357" t="s">
        <v>238</v>
      </c>
      <c r="X114" s="1358"/>
      <c r="Y114" s="1358" t="s">
        <v>239</v>
      </c>
      <c r="Z114" s="1358"/>
      <c r="AA114" s="1358"/>
      <c r="AB114" s="1358"/>
      <c r="AC114" s="1358" t="s">
        <v>240</v>
      </c>
      <c r="AD114" s="1358"/>
      <c r="AE114" s="1358"/>
      <c r="AF114" s="1358"/>
      <c r="AG114" s="1358"/>
      <c r="AH114" s="1358" t="s">
        <v>241</v>
      </c>
      <c r="AI114" s="1358"/>
      <c r="AJ114" s="1358"/>
      <c r="AK114" s="1358"/>
      <c r="AL114" s="1358"/>
      <c r="AM114" s="1358"/>
      <c r="AN114" s="1358"/>
      <c r="AO114" s="1358"/>
      <c r="AP114" s="1358"/>
      <c r="AQ114" s="1358"/>
      <c r="AR114" s="1358"/>
      <c r="AS114" s="1359"/>
      <c r="AU114" s="1216"/>
      <c r="AV114" s="1217"/>
      <c r="AW114" s="1217"/>
      <c r="AX114" s="1217"/>
      <c r="AY114" s="1217"/>
      <c r="AZ114" s="1217"/>
      <c r="BA114" s="1217"/>
      <c r="BB114" s="1217"/>
      <c r="BC114" s="1217"/>
      <c r="BD114" s="1217"/>
      <c r="BE114" s="1217"/>
      <c r="BF114" s="1217"/>
      <c r="BG114" s="1217"/>
      <c r="BH114" s="1217"/>
      <c r="BI114" s="1217"/>
      <c r="BJ114" s="1217"/>
      <c r="BK114" s="1217"/>
      <c r="BL114" s="1217"/>
      <c r="BM114" s="1217"/>
      <c r="BN114" s="1217"/>
      <c r="BO114" s="1217"/>
      <c r="BP114" s="1217"/>
      <c r="BQ114" s="1217"/>
      <c r="BR114" s="1218"/>
    </row>
    <row r="115" spans="2:70" ht="18" customHeight="1">
      <c r="B115" s="1275"/>
      <c r="C115" s="1276"/>
      <c r="D115" s="1276"/>
      <c r="E115" s="1277"/>
      <c r="F115" s="1283"/>
      <c r="G115" s="1284"/>
      <c r="H115" s="1284"/>
      <c r="I115" s="1284"/>
      <c r="J115" s="1229"/>
      <c r="K115" s="1229"/>
      <c r="L115" s="1229"/>
      <c r="M115" s="1229"/>
      <c r="N115" s="1229"/>
      <c r="O115" s="1229"/>
      <c r="P115" s="1229"/>
      <c r="Q115" s="1229"/>
      <c r="R115" s="1229"/>
      <c r="S115" s="1229"/>
      <c r="T115" s="1229"/>
      <c r="U115" s="1230"/>
      <c r="W115" s="1360"/>
      <c r="X115" s="1361"/>
      <c r="Y115" s="1362"/>
      <c r="Z115" s="1361"/>
      <c r="AA115" s="1361"/>
      <c r="AB115" s="1361"/>
      <c r="AC115" s="1362"/>
      <c r="AD115" s="1361"/>
      <c r="AE115" s="1361"/>
      <c r="AF115" s="1361"/>
      <c r="AG115" s="1361"/>
      <c r="AH115" s="1362"/>
      <c r="AI115" s="1361"/>
      <c r="AJ115" s="1361"/>
      <c r="AK115" s="1361"/>
      <c r="AL115" s="1361"/>
      <c r="AM115" s="1361"/>
      <c r="AN115" s="1361"/>
      <c r="AO115" s="1361"/>
      <c r="AP115" s="1361"/>
      <c r="AQ115" s="1361"/>
      <c r="AR115" s="1361"/>
      <c r="AS115" s="1363"/>
      <c r="AU115" s="1216"/>
      <c r="AV115" s="1217"/>
      <c r="AW115" s="1217"/>
      <c r="AX115" s="1217"/>
      <c r="AY115" s="1217"/>
      <c r="AZ115" s="1217"/>
      <c r="BA115" s="1217"/>
      <c r="BB115" s="1217"/>
      <c r="BC115" s="1217"/>
      <c r="BD115" s="1217"/>
      <c r="BE115" s="1217"/>
      <c r="BF115" s="1217"/>
      <c r="BG115" s="1217"/>
      <c r="BH115" s="1217"/>
      <c r="BI115" s="1217"/>
      <c r="BJ115" s="1217"/>
      <c r="BK115" s="1217"/>
      <c r="BL115" s="1217"/>
      <c r="BM115" s="1217"/>
      <c r="BN115" s="1217"/>
      <c r="BO115" s="1217"/>
      <c r="BP115" s="1217"/>
      <c r="BQ115" s="1217"/>
      <c r="BR115" s="1218"/>
    </row>
    <row r="116" spans="2:70" ht="18" customHeight="1">
      <c r="B116" s="1278"/>
      <c r="C116" s="1279"/>
      <c r="D116" s="1279"/>
      <c r="E116" s="1280"/>
      <c r="F116" s="1285"/>
      <c r="G116" s="1286"/>
      <c r="H116" s="1286"/>
      <c r="I116" s="1286"/>
      <c r="J116" s="1231"/>
      <c r="K116" s="1231"/>
      <c r="L116" s="1231"/>
      <c r="M116" s="1231"/>
      <c r="N116" s="1231"/>
      <c r="O116" s="1231"/>
      <c r="P116" s="1231"/>
      <c r="Q116" s="1231"/>
      <c r="R116" s="1231"/>
      <c r="S116" s="1231"/>
      <c r="T116" s="1231"/>
      <c r="U116" s="1232"/>
      <c r="W116" s="1357"/>
      <c r="X116" s="1358"/>
      <c r="Y116" s="1358"/>
      <c r="Z116" s="1358"/>
      <c r="AA116" s="1358"/>
      <c r="AB116" s="1358"/>
      <c r="AC116" s="1358"/>
      <c r="AD116" s="1358"/>
      <c r="AE116" s="1358"/>
      <c r="AF116" s="1358"/>
      <c r="AG116" s="1358"/>
      <c r="AH116" s="1358"/>
      <c r="AI116" s="1358"/>
      <c r="AJ116" s="1358"/>
      <c r="AK116" s="1358"/>
      <c r="AL116" s="1358"/>
      <c r="AM116" s="1358"/>
      <c r="AN116" s="1358"/>
      <c r="AO116" s="1358"/>
      <c r="AP116" s="1358"/>
      <c r="AQ116" s="1358"/>
      <c r="AR116" s="1358"/>
      <c r="AS116" s="1359"/>
      <c r="AU116" s="1216"/>
      <c r="AV116" s="1217"/>
      <c r="AW116" s="1217"/>
      <c r="AX116" s="1217"/>
      <c r="AY116" s="1217"/>
      <c r="AZ116" s="1217"/>
      <c r="BA116" s="1217"/>
      <c r="BB116" s="1217"/>
      <c r="BC116" s="1217"/>
      <c r="BD116" s="1217"/>
      <c r="BE116" s="1217"/>
      <c r="BF116" s="1217"/>
      <c r="BG116" s="1217"/>
      <c r="BH116" s="1217"/>
      <c r="BI116" s="1217"/>
      <c r="BJ116" s="1217"/>
      <c r="BK116" s="1217"/>
      <c r="BL116" s="1217"/>
      <c r="BM116" s="1217"/>
      <c r="BN116" s="1217"/>
      <c r="BO116" s="1217"/>
      <c r="BP116" s="1217"/>
      <c r="BQ116" s="1217"/>
      <c r="BR116" s="1218"/>
    </row>
    <row r="117" spans="2:70" ht="18" customHeight="1">
      <c r="L117" s="363"/>
      <c r="W117" s="1360"/>
      <c r="X117" s="1361"/>
      <c r="Y117" s="1362"/>
      <c r="Z117" s="1361"/>
      <c r="AA117" s="1361"/>
      <c r="AB117" s="1361"/>
      <c r="AC117" s="1362"/>
      <c r="AD117" s="1361"/>
      <c r="AE117" s="1361"/>
      <c r="AF117" s="1361"/>
      <c r="AG117" s="1361"/>
      <c r="AH117" s="1362"/>
      <c r="AI117" s="1361"/>
      <c r="AJ117" s="1361"/>
      <c r="AK117" s="1361"/>
      <c r="AL117" s="1361"/>
      <c r="AM117" s="1361"/>
      <c r="AN117" s="1361"/>
      <c r="AO117" s="1361"/>
      <c r="AP117" s="1361"/>
      <c r="AQ117" s="1361"/>
      <c r="AR117" s="1361"/>
      <c r="AS117" s="1363"/>
      <c r="AU117" s="1216"/>
      <c r="AV117" s="1217"/>
      <c r="AW117" s="1217"/>
      <c r="AX117" s="1217"/>
      <c r="AY117" s="1217"/>
      <c r="AZ117" s="1217"/>
      <c r="BA117" s="1217"/>
      <c r="BB117" s="1217"/>
      <c r="BC117" s="1217"/>
      <c r="BD117" s="1217"/>
      <c r="BE117" s="1217"/>
      <c r="BF117" s="1217"/>
      <c r="BG117" s="1217"/>
      <c r="BH117" s="1217"/>
      <c r="BI117" s="1217"/>
      <c r="BJ117" s="1217"/>
      <c r="BK117" s="1217"/>
      <c r="BL117" s="1217"/>
      <c r="BM117" s="1217"/>
      <c r="BN117" s="1217"/>
      <c r="BO117" s="1217"/>
      <c r="BP117" s="1217"/>
      <c r="BQ117" s="1217"/>
      <c r="BR117" s="1218"/>
    </row>
    <row r="118" spans="2:70" ht="18" customHeight="1">
      <c r="B118" s="1332" t="s">
        <v>242</v>
      </c>
      <c r="C118" s="1333"/>
      <c r="D118" s="1333"/>
      <c r="E118" s="1333"/>
      <c r="F118" s="1333"/>
      <c r="G118" s="1333"/>
      <c r="H118" s="1333"/>
      <c r="I118" s="1333"/>
      <c r="J118" s="1333"/>
      <c r="K118" s="1333"/>
      <c r="L118" s="1333"/>
      <c r="M118" s="1333"/>
      <c r="N118" s="1333"/>
      <c r="O118" s="1333"/>
      <c r="P118" s="1333"/>
      <c r="Q118" s="1333"/>
      <c r="R118" s="1333"/>
      <c r="S118" s="1333"/>
      <c r="T118" s="1333"/>
      <c r="U118" s="1334"/>
      <c r="W118" s="1357"/>
      <c r="X118" s="1358"/>
      <c r="Y118" s="1358"/>
      <c r="Z118" s="1358"/>
      <c r="AA118" s="1358"/>
      <c r="AB118" s="1358"/>
      <c r="AC118" s="1358"/>
      <c r="AD118" s="1358"/>
      <c r="AE118" s="1358"/>
      <c r="AF118" s="1358"/>
      <c r="AG118" s="1358"/>
      <c r="AH118" s="1358"/>
      <c r="AI118" s="1358"/>
      <c r="AJ118" s="1358"/>
      <c r="AK118" s="1358"/>
      <c r="AL118" s="1358"/>
      <c r="AM118" s="1358"/>
      <c r="AN118" s="1358"/>
      <c r="AO118" s="1358"/>
      <c r="AP118" s="1358"/>
      <c r="AQ118" s="1358"/>
      <c r="AR118" s="1358"/>
      <c r="AS118" s="1359"/>
      <c r="AU118" s="1216"/>
      <c r="AV118" s="1217"/>
      <c r="AW118" s="1217"/>
      <c r="AX118" s="1217"/>
      <c r="AY118" s="1217"/>
      <c r="AZ118" s="1217"/>
      <c r="BA118" s="1217"/>
      <c r="BB118" s="1217"/>
      <c r="BC118" s="1217"/>
      <c r="BD118" s="1217"/>
      <c r="BE118" s="1217"/>
      <c r="BF118" s="1217"/>
      <c r="BG118" s="1217"/>
      <c r="BH118" s="1217"/>
      <c r="BI118" s="1217"/>
      <c r="BJ118" s="1217"/>
      <c r="BK118" s="1217"/>
      <c r="BL118" s="1217"/>
      <c r="BM118" s="1217"/>
      <c r="BN118" s="1217"/>
      <c r="BO118" s="1217"/>
      <c r="BP118" s="1217"/>
      <c r="BQ118" s="1217"/>
      <c r="BR118" s="1218"/>
    </row>
    <row r="119" spans="2:70" ht="18" customHeight="1">
      <c r="B119" s="1132" t="s">
        <v>243</v>
      </c>
      <c r="C119" s="1133"/>
      <c r="D119" s="1133"/>
      <c r="E119" s="1133"/>
      <c r="F119" s="1172" t="s">
        <v>244</v>
      </c>
      <c r="G119" s="1172"/>
      <c r="H119" s="1172"/>
      <c r="I119" s="1172"/>
      <c r="J119" s="1172"/>
      <c r="K119" s="1172"/>
      <c r="L119" s="1172" t="s">
        <v>245</v>
      </c>
      <c r="M119" s="1172"/>
      <c r="N119" s="1172" t="s">
        <v>246</v>
      </c>
      <c r="O119" s="1172"/>
      <c r="P119" s="1172" t="s">
        <v>247</v>
      </c>
      <c r="Q119" s="1172"/>
      <c r="R119" s="1172" t="s">
        <v>248</v>
      </c>
      <c r="S119" s="1172"/>
      <c r="T119" s="1172" t="s">
        <v>249</v>
      </c>
      <c r="U119" s="1364"/>
      <c r="W119" s="1360"/>
      <c r="X119" s="1361"/>
      <c r="Y119" s="1362"/>
      <c r="Z119" s="1361"/>
      <c r="AA119" s="1361"/>
      <c r="AB119" s="1361"/>
      <c r="AC119" s="1362"/>
      <c r="AD119" s="1361"/>
      <c r="AE119" s="1361"/>
      <c r="AF119" s="1361"/>
      <c r="AG119" s="1361"/>
      <c r="AH119" s="1362"/>
      <c r="AI119" s="1361"/>
      <c r="AJ119" s="1361"/>
      <c r="AK119" s="1361"/>
      <c r="AL119" s="1361"/>
      <c r="AM119" s="1361"/>
      <c r="AN119" s="1361"/>
      <c r="AO119" s="1361"/>
      <c r="AP119" s="1361"/>
      <c r="AQ119" s="1361"/>
      <c r="AR119" s="1361"/>
      <c r="AS119" s="1363"/>
      <c r="AU119" s="1216"/>
      <c r="AV119" s="1217"/>
      <c r="AW119" s="1217"/>
      <c r="AX119" s="1217"/>
      <c r="AY119" s="1217"/>
      <c r="AZ119" s="1217"/>
      <c r="BA119" s="1217"/>
      <c r="BB119" s="1217"/>
      <c r="BC119" s="1217"/>
      <c r="BD119" s="1217"/>
      <c r="BE119" s="1217"/>
      <c r="BF119" s="1217"/>
      <c r="BG119" s="1217"/>
      <c r="BH119" s="1217"/>
      <c r="BI119" s="1217"/>
      <c r="BJ119" s="1217"/>
      <c r="BK119" s="1217"/>
      <c r="BL119" s="1217"/>
      <c r="BM119" s="1217"/>
      <c r="BN119" s="1217"/>
      <c r="BO119" s="1217"/>
      <c r="BP119" s="1217"/>
      <c r="BQ119" s="1217"/>
      <c r="BR119" s="1218"/>
    </row>
    <row r="120" spans="2:70" ht="18" customHeight="1">
      <c r="B120" s="1132"/>
      <c r="C120" s="1133"/>
      <c r="D120" s="1133"/>
      <c r="E120" s="1133"/>
      <c r="F120" s="1133" t="s">
        <v>250</v>
      </c>
      <c r="G120" s="1133"/>
      <c r="H120" s="1133"/>
      <c r="I120" s="1133"/>
      <c r="J120" s="1133"/>
      <c r="K120" s="1133"/>
      <c r="L120" s="1136" t="s">
        <v>251</v>
      </c>
      <c r="M120" s="1136"/>
      <c r="N120" s="1136" t="s">
        <v>252</v>
      </c>
      <c r="O120" s="1136"/>
      <c r="P120" s="1136" t="s">
        <v>253</v>
      </c>
      <c r="Q120" s="1136"/>
      <c r="R120" s="1136" t="s">
        <v>254</v>
      </c>
      <c r="S120" s="1136"/>
      <c r="T120" s="1270">
        <v>1</v>
      </c>
      <c r="U120" s="1271"/>
      <c r="W120" s="1357"/>
      <c r="X120" s="1358"/>
      <c r="Y120" s="1358"/>
      <c r="Z120" s="1358"/>
      <c r="AA120" s="1358"/>
      <c r="AB120" s="1358"/>
      <c r="AC120" s="1358"/>
      <c r="AD120" s="1358"/>
      <c r="AE120" s="1358"/>
      <c r="AF120" s="1358"/>
      <c r="AG120" s="1358"/>
      <c r="AH120" s="1358"/>
      <c r="AI120" s="1358"/>
      <c r="AJ120" s="1358"/>
      <c r="AK120" s="1358"/>
      <c r="AL120" s="1358"/>
      <c r="AM120" s="1358"/>
      <c r="AN120" s="1358"/>
      <c r="AO120" s="1358"/>
      <c r="AP120" s="1358"/>
      <c r="AQ120" s="1358"/>
      <c r="AR120" s="1358"/>
      <c r="AS120" s="1359"/>
      <c r="AU120" s="1216"/>
      <c r="AV120" s="1217"/>
      <c r="AW120" s="1217"/>
      <c r="AX120" s="1217"/>
      <c r="AY120" s="1217"/>
      <c r="AZ120" s="1217"/>
      <c r="BA120" s="1217"/>
      <c r="BB120" s="1217"/>
      <c r="BC120" s="1217"/>
      <c r="BD120" s="1217"/>
      <c r="BE120" s="1217"/>
      <c r="BF120" s="1217"/>
      <c r="BG120" s="1217"/>
      <c r="BH120" s="1217"/>
      <c r="BI120" s="1217"/>
      <c r="BJ120" s="1217"/>
      <c r="BK120" s="1217"/>
      <c r="BL120" s="1217"/>
      <c r="BM120" s="1217"/>
      <c r="BN120" s="1217"/>
      <c r="BO120" s="1217"/>
      <c r="BP120" s="1217"/>
      <c r="BQ120" s="1217"/>
      <c r="BR120" s="1218"/>
    </row>
    <row r="121" spans="2:70" ht="18" customHeight="1">
      <c r="B121" s="1132"/>
      <c r="C121" s="1133"/>
      <c r="D121" s="1133"/>
      <c r="E121" s="1133"/>
      <c r="F121" s="1133"/>
      <c r="G121" s="1133"/>
      <c r="H121" s="1133"/>
      <c r="I121" s="1133"/>
      <c r="J121" s="1133"/>
      <c r="K121" s="1133"/>
      <c r="L121" s="1136"/>
      <c r="M121" s="1136"/>
      <c r="N121" s="1136"/>
      <c r="O121" s="1136"/>
      <c r="P121" s="1136"/>
      <c r="Q121" s="1136"/>
      <c r="R121" s="1136"/>
      <c r="S121" s="1136"/>
      <c r="T121" s="1270"/>
      <c r="U121" s="1271"/>
      <c r="W121" s="1360"/>
      <c r="X121" s="1361"/>
      <c r="Y121" s="1362"/>
      <c r="Z121" s="1361"/>
      <c r="AA121" s="1361"/>
      <c r="AB121" s="1361"/>
      <c r="AC121" s="1362"/>
      <c r="AD121" s="1361"/>
      <c r="AE121" s="1361"/>
      <c r="AF121" s="1361"/>
      <c r="AG121" s="1361"/>
      <c r="AH121" s="1362"/>
      <c r="AI121" s="1361"/>
      <c r="AJ121" s="1361"/>
      <c r="AK121" s="1361"/>
      <c r="AL121" s="1361"/>
      <c r="AM121" s="1361"/>
      <c r="AN121" s="1361"/>
      <c r="AO121" s="1361"/>
      <c r="AP121" s="1361"/>
      <c r="AQ121" s="1361"/>
      <c r="AR121" s="1361"/>
      <c r="AS121" s="1363"/>
      <c r="AT121" s="1056"/>
      <c r="AU121" s="1216"/>
      <c r="AV121" s="1217"/>
      <c r="AW121" s="1217"/>
      <c r="AX121" s="1217"/>
      <c r="AY121" s="1217"/>
      <c r="AZ121" s="1217"/>
      <c r="BA121" s="1217"/>
      <c r="BB121" s="1217"/>
      <c r="BC121" s="1217"/>
      <c r="BD121" s="1217"/>
      <c r="BE121" s="1217"/>
      <c r="BF121" s="1217"/>
      <c r="BG121" s="1217"/>
      <c r="BH121" s="1217"/>
      <c r="BI121" s="1217"/>
      <c r="BJ121" s="1217"/>
      <c r="BK121" s="1217"/>
      <c r="BL121" s="1217"/>
      <c r="BM121" s="1217"/>
      <c r="BN121" s="1217"/>
      <c r="BO121" s="1217"/>
      <c r="BP121" s="1217"/>
      <c r="BQ121" s="1217"/>
      <c r="BR121" s="1218"/>
    </row>
    <row r="122" spans="2:70" ht="18" customHeight="1">
      <c r="B122" s="1132" t="s">
        <v>255</v>
      </c>
      <c r="C122" s="1133"/>
      <c r="D122" s="1133"/>
      <c r="E122" s="1133"/>
      <c r="F122" s="1133"/>
      <c r="G122" s="1133"/>
      <c r="H122" s="1133"/>
      <c r="I122" s="1133"/>
      <c r="J122" s="1133"/>
      <c r="K122" s="1133"/>
      <c r="L122" s="1133"/>
      <c r="M122" s="1133"/>
      <c r="N122" s="1133"/>
      <c r="O122" s="1133"/>
      <c r="P122" s="1133"/>
      <c r="Q122" s="1133"/>
      <c r="R122" s="1133"/>
      <c r="S122" s="1133"/>
      <c r="T122" s="1133"/>
      <c r="U122" s="1134"/>
      <c r="W122" s="1357"/>
      <c r="X122" s="1358"/>
      <c r="Y122" s="1358"/>
      <c r="Z122" s="1358"/>
      <c r="AA122" s="1358"/>
      <c r="AB122" s="1358"/>
      <c r="AC122" s="1358"/>
      <c r="AD122" s="1358"/>
      <c r="AE122" s="1358"/>
      <c r="AF122" s="1358"/>
      <c r="AG122" s="1358"/>
      <c r="AH122" s="1358"/>
      <c r="AI122" s="1358"/>
      <c r="AJ122" s="1358"/>
      <c r="AK122" s="1358"/>
      <c r="AL122" s="1358"/>
      <c r="AM122" s="1358"/>
      <c r="AN122" s="1358"/>
      <c r="AO122" s="1358"/>
      <c r="AP122" s="1358"/>
      <c r="AQ122" s="1358"/>
      <c r="AR122" s="1358"/>
      <c r="AS122" s="1359"/>
      <c r="AT122" s="1056"/>
      <c r="AU122" s="1216"/>
      <c r="AV122" s="1217"/>
      <c r="AW122" s="1217"/>
      <c r="AX122" s="1217"/>
      <c r="AY122" s="1217"/>
      <c r="AZ122" s="1217"/>
      <c r="BA122" s="1217"/>
      <c r="BB122" s="1217"/>
      <c r="BC122" s="1217"/>
      <c r="BD122" s="1217"/>
      <c r="BE122" s="1217"/>
      <c r="BF122" s="1217"/>
      <c r="BG122" s="1217"/>
      <c r="BH122" s="1217"/>
      <c r="BI122" s="1217"/>
      <c r="BJ122" s="1217"/>
      <c r="BK122" s="1217"/>
      <c r="BL122" s="1217"/>
      <c r="BM122" s="1217"/>
      <c r="BN122" s="1217"/>
      <c r="BO122" s="1217"/>
      <c r="BP122" s="1217"/>
      <c r="BQ122" s="1217"/>
      <c r="BR122" s="1218"/>
    </row>
    <row r="123" spans="2:70" ht="18" customHeight="1">
      <c r="B123" s="1132"/>
      <c r="C123" s="1133"/>
      <c r="D123" s="1133"/>
      <c r="E123" s="1133"/>
      <c r="F123" s="1133"/>
      <c r="G123" s="1133"/>
      <c r="H123" s="1133"/>
      <c r="I123" s="1133"/>
      <c r="J123" s="1133"/>
      <c r="K123" s="1133"/>
      <c r="L123" s="1133"/>
      <c r="M123" s="1133"/>
      <c r="N123" s="1133"/>
      <c r="O123" s="1133"/>
      <c r="P123" s="1133"/>
      <c r="Q123" s="1133"/>
      <c r="R123" s="1133"/>
      <c r="S123" s="1133"/>
      <c r="T123" s="1133"/>
      <c r="U123" s="1134"/>
      <c r="W123" s="1360"/>
      <c r="X123" s="1361"/>
      <c r="Y123" s="1362"/>
      <c r="Z123" s="1361"/>
      <c r="AA123" s="1361"/>
      <c r="AB123" s="1361"/>
      <c r="AC123" s="1362"/>
      <c r="AD123" s="1361"/>
      <c r="AE123" s="1361"/>
      <c r="AF123" s="1361"/>
      <c r="AG123" s="1361"/>
      <c r="AH123" s="1362"/>
      <c r="AI123" s="1361"/>
      <c r="AJ123" s="1361"/>
      <c r="AK123" s="1361"/>
      <c r="AL123" s="1361"/>
      <c r="AM123" s="1361"/>
      <c r="AN123" s="1361"/>
      <c r="AO123" s="1361"/>
      <c r="AP123" s="1361"/>
      <c r="AQ123" s="1361"/>
      <c r="AR123" s="1361"/>
      <c r="AS123" s="1363"/>
      <c r="AU123" s="1216"/>
      <c r="AV123" s="1217"/>
      <c r="AW123" s="1217"/>
      <c r="AX123" s="1217"/>
      <c r="AY123" s="1217"/>
      <c r="AZ123" s="1217"/>
      <c r="BA123" s="1217"/>
      <c r="BB123" s="1217"/>
      <c r="BC123" s="1217"/>
      <c r="BD123" s="1217"/>
      <c r="BE123" s="1217"/>
      <c r="BF123" s="1217"/>
      <c r="BG123" s="1217"/>
      <c r="BH123" s="1217"/>
      <c r="BI123" s="1217"/>
      <c r="BJ123" s="1217"/>
      <c r="BK123" s="1217"/>
      <c r="BL123" s="1217"/>
      <c r="BM123" s="1217"/>
      <c r="BN123" s="1217"/>
      <c r="BO123" s="1217"/>
      <c r="BP123" s="1217"/>
      <c r="BQ123" s="1217"/>
      <c r="BR123" s="1218"/>
    </row>
    <row r="124" spans="2:70" ht="18" customHeight="1">
      <c r="B124" s="1171" t="s">
        <v>256</v>
      </c>
      <c r="C124" s="1172"/>
      <c r="D124" s="1172"/>
      <c r="E124" s="1172"/>
      <c r="F124" s="1172"/>
      <c r="G124" s="1172"/>
      <c r="H124" s="1172"/>
      <c r="I124" s="1172"/>
      <c r="J124" s="1172"/>
      <c r="K124" s="1172"/>
      <c r="L124" s="1172" t="s">
        <v>257</v>
      </c>
      <c r="M124" s="1172"/>
      <c r="N124" s="1172"/>
      <c r="O124" s="1172"/>
      <c r="P124" s="1172"/>
      <c r="Q124" s="1172"/>
      <c r="R124" s="1172"/>
      <c r="S124" s="1172"/>
      <c r="T124" s="1172"/>
      <c r="U124" s="1328"/>
      <c r="W124" s="1357"/>
      <c r="X124" s="1358"/>
      <c r="Y124" s="1358"/>
      <c r="Z124" s="1358"/>
      <c r="AA124" s="1358"/>
      <c r="AB124" s="1358"/>
      <c r="AC124" s="1358"/>
      <c r="AD124" s="1358"/>
      <c r="AE124" s="1358"/>
      <c r="AF124" s="1358"/>
      <c r="AG124" s="1358"/>
      <c r="AH124" s="1358"/>
      <c r="AI124" s="1358"/>
      <c r="AJ124" s="1358"/>
      <c r="AK124" s="1358"/>
      <c r="AL124" s="1358"/>
      <c r="AM124" s="1358"/>
      <c r="AN124" s="1358"/>
      <c r="AO124" s="1358"/>
      <c r="AP124" s="1358"/>
      <c r="AQ124" s="1358"/>
      <c r="AR124" s="1358"/>
      <c r="AS124" s="1359"/>
      <c r="AU124" s="1216"/>
      <c r="AV124" s="1217"/>
      <c r="AW124" s="1217"/>
      <c r="AX124" s="1217"/>
      <c r="AY124" s="1217"/>
      <c r="AZ124" s="1217"/>
      <c r="BA124" s="1217"/>
      <c r="BB124" s="1217"/>
      <c r="BC124" s="1217"/>
      <c r="BD124" s="1217"/>
      <c r="BE124" s="1217"/>
      <c r="BF124" s="1217"/>
      <c r="BG124" s="1217"/>
      <c r="BH124" s="1217"/>
      <c r="BI124" s="1217"/>
      <c r="BJ124" s="1217"/>
      <c r="BK124" s="1217"/>
      <c r="BL124" s="1217"/>
      <c r="BM124" s="1217"/>
      <c r="BN124" s="1217"/>
      <c r="BO124" s="1217"/>
      <c r="BP124" s="1217"/>
      <c r="BQ124" s="1217"/>
      <c r="BR124" s="1218"/>
    </row>
    <row r="125" spans="2:70" ht="18" customHeight="1">
      <c r="B125" s="1171" t="s">
        <v>258</v>
      </c>
      <c r="C125" s="1172"/>
      <c r="D125" s="1172" t="s">
        <v>259</v>
      </c>
      <c r="E125" s="1172"/>
      <c r="F125" s="1172"/>
      <c r="G125" s="1172"/>
      <c r="H125" s="1172"/>
      <c r="I125" s="1172"/>
      <c r="J125" s="1172"/>
      <c r="K125" s="1172"/>
      <c r="L125" s="1172"/>
      <c r="M125" s="1172"/>
      <c r="N125" s="1172"/>
      <c r="O125" s="1172"/>
      <c r="P125" s="1172"/>
      <c r="Q125" s="1172"/>
      <c r="R125" s="1172"/>
      <c r="S125" s="1172"/>
      <c r="T125" s="1172"/>
      <c r="U125" s="1328"/>
      <c r="W125" s="1360"/>
      <c r="X125" s="1361"/>
      <c r="Y125" s="1362"/>
      <c r="Z125" s="1361"/>
      <c r="AA125" s="1361"/>
      <c r="AB125" s="1361"/>
      <c r="AC125" s="1362"/>
      <c r="AD125" s="1361"/>
      <c r="AE125" s="1361"/>
      <c r="AF125" s="1361"/>
      <c r="AG125" s="1361"/>
      <c r="AH125" s="1362"/>
      <c r="AI125" s="1361"/>
      <c r="AJ125" s="1361"/>
      <c r="AK125" s="1361"/>
      <c r="AL125" s="1361"/>
      <c r="AM125" s="1361"/>
      <c r="AN125" s="1361"/>
      <c r="AO125" s="1361"/>
      <c r="AP125" s="1361"/>
      <c r="AQ125" s="1361"/>
      <c r="AR125" s="1361"/>
      <c r="AS125" s="1363"/>
      <c r="AU125" s="1216"/>
      <c r="AV125" s="1217"/>
      <c r="AW125" s="1217"/>
      <c r="AX125" s="1217"/>
      <c r="AY125" s="1217"/>
      <c r="AZ125" s="1217"/>
      <c r="BA125" s="1217"/>
      <c r="BB125" s="1217"/>
      <c r="BC125" s="1217"/>
      <c r="BD125" s="1217"/>
      <c r="BE125" s="1217"/>
      <c r="BF125" s="1217"/>
      <c r="BG125" s="1217"/>
      <c r="BH125" s="1217"/>
      <c r="BI125" s="1217"/>
      <c r="BJ125" s="1217"/>
      <c r="BK125" s="1217"/>
      <c r="BL125" s="1217"/>
      <c r="BM125" s="1217"/>
      <c r="BN125" s="1217"/>
      <c r="BO125" s="1217"/>
      <c r="BP125" s="1217"/>
      <c r="BQ125" s="1217"/>
      <c r="BR125" s="1218"/>
    </row>
    <row r="126" spans="2:70" ht="18" customHeight="1">
      <c r="B126" s="1171" t="s">
        <v>260</v>
      </c>
      <c r="C126" s="1172"/>
      <c r="D126" s="1172" t="s">
        <v>261</v>
      </c>
      <c r="E126" s="1172"/>
      <c r="F126" s="1172"/>
      <c r="G126" s="1172"/>
      <c r="H126" s="1172"/>
      <c r="I126" s="1172"/>
      <c r="J126" s="1172"/>
      <c r="K126" s="1172"/>
      <c r="L126" s="1172"/>
      <c r="M126" s="1172"/>
      <c r="N126" s="1172"/>
      <c r="O126" s="1172"/>
      <c r="P126" s="1172"/>
      <c r="Q126" s="1172"/>
      <c r="R126" s="1172"/>
      <c r="S126" s="1172"/>
      <c r="T126" s="1172"/>
      <c r="U126" s="1328"/>
      <c r="W126" s="1329"/>
      <c r="X126" s="1330"/>
      <c r="Y126" s="1330"/>
      <c r="Z126" s="1330"/>
      <c r="AA126" s="1330"/>
      <c r="AB126" s="1330"/>
      <c r="AC126" s="1330"/>
      <c r="AD126" s="1330"/>
      <c r="AE126" s="1330"/>
      <c r="AF126" s="1330"/>
      <c r="AG126" s="1330"/>
      <c r="AH126" s="1330"/>
      <c r="AI126" s="1330"/>
      <c r="AJ126" s="1330"/>
      <c r="AK126" s="1330"/>
      <c r="AL126" s="1330"/>
      <c r="AM126" s="1330"/>
      <c r="AN126" s="1330"/>
      <c r="AO126" s="1330"/>
      <c r="AP126" s="1330"/>
      <c r="AQ126" s="1330"/>
      <c r="AR126" s="1330"/>
      <c r="AS126" s="1331"/>
      <c r="AU126" s="1216"/>
      <c r="AV126" s="1217"/>
      <c r="AW126" s="1217"/>
      <c r="AX126" s="1217"/>
      <c r="AY126" s="1217"/>
      <c r="AZ126" s="1217"/>
      <c r="BA126" s="1217"/>
      <c r="BB126" s="1217"/>
      <c r="BC126" s="1217"/>
      <c r="BD126" s="1217"/>
      <c r="BE126" s="1217"/>
      <c r="BF126" s="1217"/>
      <c r="BG126" s="1217"/>
      <c r="BH126" s="1217"/>
      <c r="BI126" s="1217"/>
      <c r="BJ126" s="1217"/>
      <c r="BK126" s="1217"/>
      <c r="BL126" s="1217"/>
      <c r="BM126" s="1217"/>
      <c r="BN126" s="1217"/>
      <c r="BO126" s="1217"/>
      <c r="BP126" s="1217"/>
      <c r="BQ126" s="1217"/>
      <c r="BR126" s="1218"/>
    </row>
    <row r="127" spans="2:70" ht="18" customHeight="1">
      <c r="B127" s="1171" t="s">
        <v>262</v>
      </c>
      <c r="C127" s="1172"/>
      <c r="D127" s="1133" t="s">
        <v>263</v>
      </c>
      <c r="E127" s="1133"/>
      <c r="F127" s="1133"/>
      <c r="G127" s="1133"/>
      <c r="H127" s="1133"/>
      <c r="I127" s="1133"/>
      <c r="J127" s="1133"/>
      <c r="K127" s="1133"/>
      <c r="L127" s="1133"/>
      <c r="M127" s="1133"/>
      <c r="N127" s="1133"/>
      <c r="O127" s="1133"/>
      <c r="P127" s="1133"/>
      <c r="Q127" s="1133"/>
      <c r="R127" s="1133"/>
      <c r="S127" s="1133"/>
      <c r="T127" s="1133"/>
      <c r="U127" s="1134"/>
      <c r="Y127" s="363"/>
      <c r="AM127" s="1000"/>
      <c r="AN127" s="1000"/>
      <c r="AO127" s="1000"/>
      <c r="AP127" s="1000"/>
      <c r="AQ127" s="1000"/>
      <c r="AR127" s="1000"/>
      <c r="AS127" s="1000"/>
      <c r="AU127" s="1219"/>
      <c r="AV127" s="1220"/>
      <c r="AW127" s="1220"/>
      <c r="AX127" s="1220"/>
      <c r="AY127" s="1220"/>
      <c r="AZ127" s="1220"/>
      <c r="BA127" s="1220"/>
      <c r="BB127" s="1220"/>
      <c r="BC127" s="1220"/>
      <c r="BD127" s="1220"/>
      <c r="BE127" s="1220"/>
      <c r="BF127" s="1220"/>
      <c r="BG127" s="1220"/>
      <c r="BH127" s="1220"/>
      <c r="BI127" s="1220"/>
      <c r="BJ127" s="1220"/>
      <c r="BK127" s="1220"/>
      <c r="BL127" s="1220"/>
      <c r="BM127" s="1220"/>
      <c r="BN127" s="1220"/>
      <c r="BO127" s="1220"/>
      <c r="BP127" s="1220"/>
      <c r="BQ127" s="1220"/>
      <c r="BR127" s="1221"/>
    </row>
    <row r="128" spans="2:70" ht="18" customHeight="1">
      <c r="B128" s="1171"/>
      <c r="C128" s="1172"/>
      <c r="D128" s="1133"/>
      <c r="E128" s="1133"/>
      <c r="F128" s="1133"/>
      <c r="G128" s="1133"/>
      <c r="H128" s="1133"/>
      <c r="I128" s="1133"/>
      <c r="J128" s="1133"/>
      <c r="K128" s="1133"/>
      <c r="L128" s="1133"/>
      <c r="M128" s="1133"/>
      <c r="N128" s="1133"/>
      <c r="O128" s="1133"/>
      <c r="P128" s="1133"/>
      <c r="Q128" s="1133"/>
      <c r="R128" s="1133"/>
      <c r="S128" s="1133"/>
      <c r="T128" s="1133"/>
      <c r="U128" s="1134"/>
      <c r="W128" s="1332" t="s">
        <v>264</v>
      </c>
      <c r="X128" s="1333"/>
      <c r="Y128" s="1333"/>
      <c r="Z128" s="1333"/>
      <c r="AA128" s="1333"/>
      <c r="AB128" s="1333"/>
      <c r="AC128" s="1333"/>
      <c r="AD128" s="1333"/>
      <c r="AE128" s="1333"/>
      <c r="AF128" s="1333"/>
      <c r="AG128" s="1333"/>
      <c r="AH128" s="1333"/>
      <c r="AI128" s="1333"/>
      <c r="AJ128" s="1333"/>
      <c r="AK128" s="1333"/>
      <c r="AL128" s="1333"/>
      <c r="AM128" s="1333"/>
      <c r="AN128" s="1333"/>
      <c r="AO128" s="1333"/>
      <c r="AP128" s="1333"/>
      <c r="AQ128" s="1333"/>
      <c r="AR128" s="1333"/>
      <c r="AS128" s="1334"/>
      <c r="AU128" s="1335" t="s">
        <v>265</v>
      </c>
      <c r="AV128" s="1336"/>
      <c r="AW128" s="1336"/>
      <c r="AX128" s="1336"/>
      <c r="AY128" s="1336"/>
      <c r="AZ128" s="1336"/>
      <c r="BA128" s="1336"/>
      <c r="BB128" s="1336"/>
      <c r="BC128" s="1336"/>
      <c r="BD128" s="1336"/>
      <c r="BE128" s="1336"/>
      <c r="BF128" s="1336"/>
      <c r="BG128" s="1336"/>
      <c r="BH128" s="1336"/>
      <c r="BI128" s="1336"/>
      <c r="BJ128" s="1336"/>
      <c r="BK128" s="1336"/>
      <c r="BL128" s="1336"/>
      <c r="BM128" s="1336"/>
      <c r="BN128" s="1336"/>
      <c r="BO128" s="1336"/>
      <c r="BP128" s="1336"/>
      <c r="BQ128" s="1336"/>
      <c r="BR128" s="1337"/>
    </row>
    <row r="129" spans="1:70" ht="18" customHeight="1">
      <c r="B129" s="1338" t="s">
        <v>266</v>
      </c>
      <c r="C129" s="1339"/>
      <c r="D129" s="1339"/>
      <c r="E129" s="1339"/>
      <c r="F129" s="1339"/>
      <c r="G129" s="1339"/>
      <c r="H129" s="1339"/>
      <c r="I129" s="1339"/>
      <c r="J129" s="1339"/>
      <c r="K129" s="1339"/>
      <c r="L129" s="1339" t="s">
        <v>267</v>
      </c>
      <c r="M129" s="1339"/>
      <c r="N129" s="1339"/>
      <c r="O129" s="1339"/>
      <c r="P129" s="1339"/>
      <c r="Q129" s="1339"/>
      <c r="R129" s="1339"/>
      <c r="S129" s="1339"/>
      <c r="T129" s="1339"/>
      <c r="U129" s="1340"/>
      <c r="W129" s="1341" t="s">
        <v>7</v>
      </c>
      <c r="X129" s="1342"/>
      <c r="Y129" s="1342"/>
      <c r="Z129" s="1342"/>
      <c r="AA129" s="1343" t="s">
        <v>11</v>
      </c>
      <c r="AB129" s="1344"/>
      <c r="AC129" s="1344"/>
      <c r="AD129" s="1345" t="s">
        <v>268</v>
      </c>
      <c r="AE129" s="1342"/>
      <c r="AF129" s="1342"/>
      <c r="AG129" s="1342"/>
      <c r="AH129" s="1342"/>
      <c r="AI129" s="1342"/>
      <c r="AJ129" s="1342"/>
      <c r="AK129" s="1342"/>
      <c r="AL129" s="1343" t="s">
        <v>269</v>
      </c>
      <c r="AM129" s="1344"/>
      <c r="AN129" s="1344"/>
      <c r="AO129" s="1344"/>
      <c r="AP129" s="1343" t="s">
        <v>270</v>
      </c>
      <c r="AQ129" s="1344"/>
      <c r="AR129" s="1344"/>
      <c r="AS129" s="1346"/>
      <c r="AU129" s="1347" t="s">
        <v>271</v>
      </c>
      <c r="AV129" s="1348"/>
      <c r="AW129" s="1348"/>
      <c r="AX129" s="1348"/>
      <c r="AY129" s="1349"/>
      <c r="AZ129" s="1350" t="s">
        <v>272</v>
      </c>
      <c r="BA129" s="1351"/>
      <c r="BB129" s="1351"/>
      <c r="BC129" s="1351"/>
      <c r="BD129" s="1351"/>
      <c r="BE129" s="1351"/>
      <c r="BF129" s="1352"/>
      <c r="BG129" s="1353" t="str">
        <f>IF(AZ129=附表!AT29,"要搜索的年份：","当前年份"&amp;G8&amp;"年")</f>
        <v>要搜索的年份：</v>
      </c>
      <c r="BH129" s="1348"/>
      <c r="BI129" s="1348"/>
      <c r="BJ129" s="1348"/>
      <c r="BK129" s="1349"/>
      <c r="BL129" s="1354">
        <v>1920</v>
      </c>
      <c r="BM129" s="1355"/>
      <c r="BN129" s="1355"/>
      <c r="BO129" s="1355"/>
      <c r="BP129" s="1355"/>
      <c r="BQ129" s="1355"/>
      <c r="BR129" s="1356"/>
    </row>
    <row r="130" spans="1:70" ht="18" customHeight="1">
      <c r="A130" s="1000"/>
      <c r="B130" s="1320" t="s">
        <v>273</v>
      </c>
      <c r="C130" s="1321"/>
      <c r="D130" s="1321"/>
      <c r="E130" s="1321"/>
      <c r="F130" s="1321"/>
      <c r="G130" s="1321"/>
      <c r="H130" s="1321"/>
      <c r="I130" s="1321"/>
      <c r="J130" s="1321"/>
      <c r="K130" s="1321"/>
      <c r="L130" s="1321"/>
      <c r="M130" s="1321"/>
      <c r="N130" s="1321"/>
      <c r="O130" s="1321"/>
      <c r="P130" s="1321"/>
      <c r="Q130" s="1321"/>
      <c r="R130" s="1321"/>
      <c r="S130" s="1321"/>
      <c r="T130" s="1321"/>
      <c r="U130" s="1322"/>
      <c r="W130" s="1323" t="s">
        <v>274</v>
      </c>
      <c r="X130" s="1324"/>
      <c r="Y130" s="1324"/>
      <c r="Z130" s="1325"/>
      <c r="AA130" s="1324" t="s">
        <v>275</v>
      </c>
      <c r="AB130" s="1324"/>
      <c r="AC130" s="1324"/>
      <c r="AD130" s="1326" t="s">
        <v>276</v>
      </c>
      <c r="AE130" s="1324"/>
      <c r="AF130" s="1324"/>
      <c r="AG130" s="1324"/>
      <c r="AH130" s="1324"/>
      <c r="AI130" s="1324"/>
      <c r="AJ130" s="1324"/>
      <c r="AK130" s="1325"/>
      <c r="AL130" s="1324" t="s">
        <v>277</v>
      </c>
      <c r="AM130" s="1324"/>
      <c r="AN130" s="1324"/>
      <c r="AO130" s="1324"/>
      <c r="AP130" s="1326" t="s">
        <v>278</v>
      </c>
      <c r="AQ130" s="1324"/>
      <c r="AR130" s="1324"/>
      <c r="AS130" s="1327"/>
      <c r="AU130" s="1197" t="str">
        <f>附表!BA14</f>
        <v>广播电台
茶包</v>
      </c>
      <c r="AV130" s="1198"/>
      <c r="AW130" s="1198"/>
      <c r="AX130" s="1198"/>
      <c r="AY130" s="1198"/>
      <c r="AZ130" s="1198"/>
      <c r="BA130" s="1198"/>
      <c r="BB130" s="1198"/>
      <c r="BC130" s="1198"/>
      <c r="BD130" s="1198"/>
      <c r="BE130" s="1198"/>
      <c r="BF130" s="1198"/>
      <c r="BG130" s="1198"/>
      <c r="BH130" s="1198"/>
      <c r="BI130" s="1198"/>
      <c r="BJ130" s="1198"/>
      <c r="BK130" s="1198"/>
      <c r="BL130" s="1198"/>
      <c r="BM130" s="1198"/>
      <c r="BN130" s="1198"/>
      <c r="BO130" s="1198"/>
      <c r="BP130" s="1198"/>
      <c r="BQ130" s="1198"/>
      <c r="BR130" s="1199"/>
    </row>
    <row r="131" spans="1:70" ht="18" customHeight="1">
      <c r="A131" s="1000"/>
      <c r="B131" s="1160" t="s">
        <v>279</v>
      </c>
      <c r="C131" s="1106"/>
      <c r="D131" s="1106"/>
      <c r="E131" s="1106"/>
      <c r="F131" s="1106"/>
      <c r="G131" s="1172" t="s">
        <v>244</v>
      </c>
      <c r="H131" s="1172"/>
      <c r="I131" s="1172"/>
      <c r="J131" s="1172"/>
      <c r="K131" s="1172"/>
      <c r="L131" s="1172"/>
      <c r="M131" s="1172"/>
      <c r="N131" s="1136" t="s">
        <v>245</v>
      </c>
      <c r="O131" s="1136"/>
      <c r="P131" s="1136"/>
      <c r="Q131" s="1136"/>
      <c r="R131" s="1136" t="s">
        <v>246</v>
      </c>
      <c r="S131" s="1136"/>
      <c r="T131" s="1136"/>
      <c r="U131" s="1145"/>
      <c r="W131" s="1311"/>
      <c r="X131" s="1312"/>
      <c r="Y131" s="1312"/>
      <c r="Z131" s="1313"/>
      <c r="AA131" s="1314"/>
      <c r="AB131" s="1312"/>
      <c r="AC131" s="1312"/>
      <c r="AD131" s="1315"/>
      <c r="AE131" s="1312"/>
      <c r="AF131" s="1312"/>
      <c r="AG131" s="1312"/>
      <c r="AH131" s="1312"/>
      <c r="AI131" s="1312"/>
      <c r="AJ131" s="1312"/>
      <c r="AK131" s="1313"/>
      <c r="AL131" s="1314"/>
      <c r="AM131" s="1312"/>
      <c r="AN131" s="1312"/>
      <c r="AO131" s="1312"/>
      <c r="AP131" s="1315"/>
      <c r="AQ131" s="1312"/>
      <c r="AR131" s="1312"/>
      <c r="AS131" s="1316"/>
      <c r="AU131" s="1200"/>
      <c r="AV131" s="1201"/>
      <c r="AW131" s="1201"/>
      <c r="AX131" s="1201"/>
      <c r="AY131" s="1201"/>
      <c r="AZ131" s="1201"/>
      <c r="BA131" s="1201"/>
      <c r="BB131" s="1201"/>
      <c r="BC131" s="1201"/>
      <c r="BD131" s="1201"/>
      <c r="BE131" s="1201"/>
      <c r="BF131" s="1201"/>
      <c r="BG131" s="1201"/>
      <c r="BH131" s="1201"/>
      <c r="BI131" s="1201"/>
      <c r="BJ131" s="1201"/>
      <c r="BK131" s="1201"/>
      <c r="BL131" s="1201"/>
      <c r="BM131" s="1201"/>
      <c r="BN131" s="1201"/>
      <c r="BO131" s="1201"/>
      <c r="BP131" s="1201"/>
      <c r="BQ131" s="1201"/>
      <c r="BR131" s="1202"/>
    </row>
    <row r="132" spans="1:70" ht="18" customHeight="1">
      <c r="A132" s="1000"/>
      <c r="B132" s="1160"/>
      <c r="C132" s="1106"/>
      <c r="D132" s="1106"/>
      <c r="E132" s="1106"/>
      <c r="F132" s="1106"/>
      <c r="G132" s="1133" t="s">
        <v>280</v>
      </c>
      <c r="H132" s="1133"/>
      <c r="I132" s="1133"/>
      <c r="J132" s="1133"/>
      <c r="K132" s="1133"/>
      <c r="L132" s="1133"/>
      <c r="M132" s="1133"/>
      <c r="N132" s="1136" t="s">
        <v>281</v>
      </c>
      <c r="O132" s="1136"/>
      <c r="P132" s="1136"/>
      <c r="Q132" s="1136"/>
      <c r="R132" s="1136" t="s">
        <v>282</v>
      </c>
      <c r="S132" s="1136"/>
      <c r="T132" s="1136"/>
      <c r="U132" s="1145"/>
      <c r="W132" s="1317"/>
      <c r="X132" s="1318"/>
      <c r="Y132" s="1318"/>
      <c r="Z132" s="1294"/>
      <c r="AA132" s="1318"/>
      <c r="AB132" s="1318"/>
      <c r="AC132" s="1318"/>
      <c r="AD132" s="1295"/>
      <c r="AE132" s="1318"/>
      <c r="AF132" s="1318"/>
      <c r="AG132" s="1318"/>
      <c r="AH132" s="1318"/>
      <c r="AI132" s="1318"/>
      <c r="AJ132" s="1318"/>
      <c r="AK132" s="1294"/>
      <c r="AL132" s="1318"/>
      <c r="AM132" s="1318"/>
      <c r="AN132" s="1318"/>
      <c r="AO132" s="1318"/>
      <c r="AP132" s="1295"/>
      <c r="AQ132" s="1318"/>
      <c r="AR132" s="1318"/>
      <c r="AS132" s="1319"/>
      <c r="AU132" s="1200"/>
      <c r="AV132" s="1201"/>
      <c r="AW132" s="1201"/>
      <c r="AX132" s="1201"/>
      <c r="AY132" s="1201"/>
      <c r="AZ132" s="1201"/>
      <c r="BA132" s="1201"/>
      <c r="BB132" s="1201"/>
      <c r="BC132" s="1201"/>
      <c r="BD132" s="1201"/>
      <c r="BE132" s="1201"/>
      <c r="BF132" s="1201"/>
      <c r="BG132" s="1201"/>
      <c r="BH132" s="1201"/>
      <c r="BI132" s="1201"/>
      <c r="BJ132" s="1201"/>
      <c r="BK132" s="1201"/>
      <c r="BL132" s="1201"/>
      <c r="BM132" s="1201"/>
      <c r="BN132" s="1201"/>
      <c r="BO132" s="1201"/>
      <c r="BP132" s="1201"/>
      <c r="BQ132" s="1201"/>
      <c r="BR132" s="1202"/>
    </row>
    <row r="133" spans="1:70" ht="18" customHeight="1">
      <c r="A133" s="1000"/>
      <c r="B133" s="1160"/>
      <c r="C133" s="1106"/>
      <c r="D133" s="1106"/>
      <c r="E133" s="1106"/>
      <c r="F133" s="1106"/>
      <c r="G133" s="1133"/>
      <c r="H133" s="1133"/>
      <c r="I133" s="1133"/>
      <c r="J133" s="1133"/>
      <c r="K133" s="1133"/>
      <c r="L133" s="1133"/>
      <c r="M133" s="1133"/>
      <c r="N133" s="1136"/>
      <c r="O133" s="1136"/>
      <c r="P133" s="1136"/>
      <c r="Q133" s="1136"/>
      <c r="R133" s="1136"/>
      <c r="S133" s="1136"/>
      <c r="T133" s="1136"/>
      <c r="U133" s="1145"/>
      <c r="W133" s="1311"/>
      <c r="X133" s="1312"/>
      <c r="Y133" s="1312"/>
      <c r="Z133" s="1313"/>
      <c r="AA133" s="1314"/>
      <c r="AB133" s="1312"/>
      <c r="AC133" s="1312"/>
      <c r="AD133" s="1315"/>
      <c r="AE133" s="1312"/>
      <c r="AF133" s="1312"/>
      <c r="AG133" s="1312"/>
      <c r="AH133" s="1312"/>
      <c r="AI133" s="1312"/>
      <c r="AJ133" s="1312"/>
      <c r="AK133" s="1313"/>
      <c r="AL133" s="1314"/>
      <c r="AM133" s="1312"/>
      <c r="AN133" s="1312"/>
      <c r="AO133" s="1312"/>
      <c r="AP133" s="1315"/>
      <c r="AQ133" s="1312"/>
      <c r="AR133" s="1312"/>
      <c r="AS133" s="1316"/>
      <c r="AU133" s="1200"/>
      <c r="AV133" s="1201"/>
      <c r="AW133" s="1201"/>
      <c r="AX133" s="1201"/>
      <c r="AY133" s="1201"/>
      <c r="AZ133" s="1201"/>
      <c r="BA133" s="1201"/>
      <c r="BB133" s="1201"/>
      <c r="BC133" s="1201"/>
      <c r="BD133" s="1201"/>
      <c r="BE133" s="1201"/>
      <c r="BF133" s="1201"/>
      <c r="BG133" s="1201"/>
      <c r="BH133" s="1201"/>
      <c r="BI133" s="1201"/>
      <c r="BJ133" s="1201"/>
      <c r="BK133" s="1201"/>
      <c r="BL133" s="1201"/>
      <c r="BM133" s="1201"/>
      <c r="BN133" s="1201"/>
      <c r="BO133" s="1201"/>
      <c r="BP133" s="1201"/>
      <c r="BQ133" s="1201"/>
      <c r="BR133" s="1202"/>
    </row>
    <row r="134" spans="1:70" ht="18" customHeight="1">
      <c r="A134" s="1000"/>
      <c r="B134" s="1135" t="s">
        <v>283</v>
      </c>
      <c r="C134" s="1136"/>
      <c r="D134" s="1136"/>
      <c r="E134" s="1136"/>
      <c r="F134" s="1136"/>
      <c r="G134" s="1106" t="s">
        <v>284</v>
      </c>
      <c r="H134" s="1106"/>
      <c r="I134" s="1106"/>
      <c r="J134" s="1106"/>
      <c r="K134" s="1106"/>
      <c r="L134" s="1106"/>
      <c r="M134" s="1106"/>
      <c r="N134" s="1106" t="s">
        <v>285</v>
      </c>
      <c r="O134" s="1106"/>
      <c r="P134" s="1106"/>
      <c r="Q134" s="1106"/>
      <c r="R134" s="1106" t="s">
        <v>286</v>
      </c>
      <c r="S134" s="1106"/>
      <c r="T134" s="1106"/>
      <c r="U134" s="1107"/>
      <c r="W134" s="1317"/>
      <c r="X134" s="1318"/>
      <c r="Y134" s="1318"/>
      <c r="Z134" s="1294"/>
      <c r="AA134" s="1318"/>
      <c r="AB134" s="1318"/>
      <c r="AC134" s="1318"/>
      <c r="AD134" s="1295"/>
      <c r="AE134" s="1318"/>
      <c r="AF134" s="1318"/>
      <c r="AG134" s="1318"/>
      <c r="AH134" s="1318"/>
      <c r="AI134" s="1318"/>
      <c r="AJ134" s="1318"/>
      <c r="AK134" s="1294"/>
      <c r="AL134" s="1318"/>
      <c r="AM134" s="1318"/>
      <c r="AN134" s="1318"/>
      <c r="AO134" s="1318"/>
      <c r="AP134" s="1295"/>
      <c r="AQ134" s="1318"/>
      <c r="AR134" s="1318"/>
      <c r="AS134" s="1319"/>
      <c r="AU134" s="1200"/>
      <c r="AV134" s="1201"/>
      <c r="AW134" s="1201"/>
      <c r="AX134" s="1201"/>
      <c r="AY134" s="1201"/>
      <c r="AZ134" s="1201"/>
      <c r="BA134" s="1201"/>
      <c r="BB134" s="1201"/>
      <c r="BC134" s="1201"/>
      <c r="BD134" s="1201"/>
      <c r="BE134" s="1201"/>
      <c r="BF134" s="1201"/>
      <c r="BG134" s="1201"/>
      <c r="BH134" s="1201"/>
      <c r="BI134" s="1201"/>
      <c r="BJ134" s="1201"/>
      <c r="BK134" s="1201"/>
      <c r="BL134" s="1201"/>
      <c r="BM134" s="1201"/>
      <c r="BN134" s="1201"/>
      <c r="BO134" s="1201"/>
      <c r="BP134" s="1201"/>
      <c r="BQ134" s="1201"/>
      <c r="BR134" s="1202"/>
    </row>
    <row r="135" spans="1:70" ht="18" customHeight="1">
      <c r="A135" s="1000"/>
      <c r="B135" s="1135"/>
      <c r="C135" s="1136"/>
      <c r="D135" s="1136"/>
      <c r="E135" s="1136"/>
      <c r="F135" s="1136"/>
      <c r="G135" s="1106"/>
      <c r="H135" s="1106"/>
      <c r="I135" s="1106"/>
      <c r="J135" s="1106"/>
      <c r="K135" s="1106"/>
      <c r="L135" s="1106"/>
      <c r="M135" s="1106"/>
      <c r="N135" s="1106"/>
      <c r="O135" s="1106"/>
      <c r="P135" s="1106"/>
      <c r="Q135" s="1106"/>
      <c r="R135" s="1106"/>
      <c r="S135" s="1106"/>
      <c r="T135" s="1106"/>
      <c r="U135" s="1107"/>
      <c r="W135" s="1311"/>
      <c r="X135" s="1312"/>
      <c r="Y135" s="1312"/>
      <c r="Z135" s="1313"/>
      <c r="AA135" s="1314"/>
      <c r="AB135" s="1312"/>
      <c r="AC135" s="1312"/>
      <c r="AD135" s="1315"/>
      <c r="AE135" s="1312"/>
      <c r="AF135" s="1312"/>
      <c r="AG135" s="1312"/>
      <c r="AH135" s="1312"/>
      <c r="AI135" s="1312"/>
      <c r="AJ135" s="1312"/>
      <c r="AK135" s="1313"/>
      <c r="AL135" s="1314"/>
      <c r="AM135" s="1312"/>
      <c r="AN135" s="1312"/>
      <c r="AO135" s="1312"/>
      <c r="AP135" s="1315"/>
      <c r="AQ135" s="1312"/>
      <c r="AR135" s="1312"/>
      <c r="AS135" s="1316"/>
      <c r="AU135" s="1200"/>
      <c r="AV135" s="1201"/>
      <c r="AW135" s="1201"/>
      <c r="AX135" s="1201"/>
      <c r="AY135" s="1201"/>
      <c r="AZ135" s="1201"/>
      <c r="BA135" s="1201"/>
      <c r="BB135" s="1201"/>
      <c r="BC135" s="1201"/>
      <c r="BD135" s="1201"/>
      <c r="BE135" s="1201"/>
      <c r="BF135" s="1201"/>
      <c r="BG135" s="1201"/>
      <c r="BH135" s="1201"/>
      <c r="BI135" s="1201"/>
      <c r="BJ135" s="1201"/>
      <c r="BK135" s="1201"/>
      <c r="BL135" s="1201"/>
      <c r="BM135" s="1201"/>
      <c r="BN135" s="1201"/>
      <c r="BO135" s="1201"/>
      <c r="BP135" s="1201"/>
      <c r="BQ135" s="1201"/>
      <c r="BR135" s="1202"/>
    </row>
    <row r="136" spans="1:70" ht="18" customHeight="1">
      <c r="A136" s="1000"/>
      <c r="B136" s="1303" t="s">
        <v>287</v>
      </c>
      <c r="C136" s="1304"/>
      <c r="D136" s="1304"/>
      <c r="E136" s="1304" t="s">
        <v>288</v>
      </c>
      <c r="F136" s="1304"/>
      <c r="G136" s="1304"/>
      <c r="H136" s="1304"/>
      <c r="I136" s="1304"/>
      <c r="J136" s="1304"/>
      <c r="K136" s="1304"/>
      <c r="L136" s="1304"/>
      <c r="M136" s="1304"/>
      <c r="N136" s="1304"/>
      <c r="O136" s="1304"/>
      <c r="P136" s="1304"/>
      <c r="Q136" s="1304"/>
      <c r="R136" s="1304"/>
      <c r="S136" s="1304"/>
      <c r="T136" s="1304"/>
      <c r="U136" s="1305"/>
      <c r="W136" s="1292"/>
      <c r="X136" s="1293"/>
      <c r="Y136" s="1293"/>
      <c r="Z136" s="1293"/>
      <c r="AA136" s="1294"/>
      <c r="AB136" s="1293"/>
      <c r="AC136" s="1295"/>
      <c r="AD136" s="1293"/>
      <c r="AE136" s="1293"/>
      <c r="AF136" s="1293"/>
      <c r="AG136" s="1293"/>
      <c r="AH136" s="1293"/>
      <c r="AI136" s="1293"/>
      <c r="AJ136" s="1293"/>
      <c r="AK136" s="1293"/>
      <c r="AL136" s="1294"/>
      <c r="AM136" s="1293"/>
      <c r="AN136" s="1293"/>
      <c r="AO136" s="1295"/>
      <c r="AP136" s="1293"/>
      <c r="AQ136" s="1293"/>
      <c r="AR136" s="1293"/>
      <c r="AS136" s="1296"/>
      <c r="AU136" s="1200"/>
      <c r="AV136" s="1201"/>
      <c r="AW136" s="1201"/>
      <c r="AX136" s="1201"/>
      <c r="AY136" s="1201"/>
      <c r="AZ136" s="1201"/>
      <c r="BA136" s="1201"/>
      <c r="BB136" s="1201"/>
      <c r="BC136" s="1201"/>
      <c r="BD136" s="1201"/>
      <c r="BE136" s="1201"/>
      <c r="BF136" s="1201"/>
      <c r="BG136" s="1201"/>
      <c r="BH136" s="1201"/>
      <c r="BI136" s="1201"/>
      <c r="BJ136" s="1201"/>
      <c r="BK136" s="1201"/>
      <c r="BL136" s="1201"/>
      <c r="BM136" s="1201"/>
      <c r="BN136" s="1201"/>
      <c r="BO136" s="1201"/>
      <c r="BP136" s="1201"/>
      <c r="BQ136" s="1201"/>
      <c r="BR136" s="1202"/>
    </row>
    <row r="137" spans="1:70" ht="18" customHeight="1">
      <c r="A137" s="1000"/>
      <c r="B137" s="1303" t="s">
        <v>289</v>
      </c>
      <c r="C137" s="1304"/>
      <c r="D137" s="1304"/>
      <c r="E137" s="1304" t="s">
        <v>290</v>
      </c>
      <c r="F137" s="1304"/>
      <c r="G137" s="1304"/>
      <c r="H137" s="1304"/>
      <c r="I137" s="1304"/>
      <c r="J137" s="1304"/>
      <c r="K137" s="1304"/>
      <c r="L137" s="1304"/>
      <c r="M137" s="1304"/>
      <c r="N137" s="1304"/>
      <c r="O137" s="1304"/>
      <c r="P137" s="1304"/>
      <c r="Q137" s="1304"/>
      <c r="R137" s="1304"/>
      <c r="S137" s="1304"/>
      <c r="T137" s="1304"/>
      <c r="U137" s="1305"/>
      <c r="W137" s="1297"/>
      <c r="X137" s="1298"/>
      <c r="Y137" s="1298"/>
      <c r="Z137" s="1298"/>
      <c r="AA137" s="1299"/>
      <c r="AB137" s="1298"/>
      <c r="AC137" s="1300"/>
      <c r="AD137" s="1301"/>
      <c r="AE137" s="1298"/>
      <c r="AF137" s="1298"/>
      <c r="AG137" s="1298"/>
      <c r="AH137" s="1298"/>
      <c r="AI137" s="1298"/>
      <c r="AJ137" s="1298"/>
      <c r="AK137" s="1298"/>
      <c r="AL137" s="1299"/>
      <c r="AM137" s="1298"/>
      <c r="AN137" s="1298"/>
      <c r="AO137" s="1300"/>
      <c r="AP137" s="1301"/>
      <c r="AQ137" s="1298"/>
      <c r="AR137" s="1298"/>
      <c r="AS137" s="1302"/>
      <c r="AU137" s="1200"/>
      <c r="AV137" s="1201"/>
      <c r="AW137" s="1201"/>
      <c r="AX137" s="1201"/>
      <c r="AY137" s="1201"/>
      <c r="AZ137" s="1201"/>
      <c r="BA137" s="1201"/>
      <c r="BB137" s="1201"/>
      <c r="BC137" s="1201"/>
      <c r="BD137" s="1201"/>
      <c r="BE137" s="1201"/>
      <c r="BF137" s="1201"/>
      <c r="BG137" s="1201"/>
      <c r="BH137" s="1201"/>
      <c r="BI137" s="1201"/>
      <c r="BJ137" s="1201"/>
      <c r="BK137" s="1201"/>
      <c r="BL137" s="1201"/>
      <c r="BM137" s="1201"/>
      <c r="BN137" s="1201"/>
      <c r="BO137" s="1201"/>
      <c r="BP137" s="1201"/>
      <c r="BQ137" s="1201"/>
      <c r="BR137" s="1202"/>
    </row>
    <row r="138" spans="1:70" ht="18" customHeight="1">
      <c r="A138" s="1000"/>
      <c r="B138" s="1303" t="s">
        <v>291</v>
      </c>
      <c r="C138" s="1304"/>
      <c r="D138" s="1304"/>
      <c r="E138" s="1304" t="s">
        <v>292</v>
      </c>
      <c r="F138" s="1304"/>
      <c r="G138" s="1304"/>
      <c r="H138" s="1304"/>
      <c r="I138" s="1304"/>
      <c r="J138" s="1304"/>
      <c r="K138" s="1304"/>
      <c r="L138" s="1304"/>
      <c r="M138" s="1304"/>
      <c r="N138" s="1304"/>
      <c r="O138" s="1304"/>
      <c r="P138" s="1304"/>
      <c r="Q138" s="1304"/>
      <c r="R138" s="1304"/>
      <c r="S138" s="1304"/>
      <c r="T138" s="1304"/>
      <c r="U138" s="1305"/>
      <c r="W138" s="1292"/>
      <c r="X138" s="1293"/>
      <c r="Y138" s="1293"/>
      <c r="Z138" s="1293"/>
      <c r="AA138" s="1294"/>
      <c r="AB138" s="1293"/>
      <c r="AC138" s="1295"/>
      <c r="AD138" s="1293"/>
      <c r="AE138" s="1293"/>
      <c r="AF138" s="1293"/>
      <c r="AG138" s="1293"/>
      <c r="AH138" s="1293"/>
      <c r="AI138" s="1293"/>
      <c r="AJ138" s="1293"/>
      <c r="AK138" s="1293"/>
      <c r="AL138" s="1294"/>
      <c r="AM138" s="1293"/>
      <c r="AN138" s="1293"/>
      <c r="AO138" s="1295"/>
      <c r="AP138" s="1293"/>
      <c r="AQ138" s="1293"/>
      <c r="AR138" s="1293"/>
      <c r="AS138" s="1296"/>
      <c r="AU138" s="1200"/>
      <c r="AV138" s="1201"/>
      <c r="AW138" s="1201"/>
      <c r="AX138" s="1201"/>
      <c r="AY138" s="1201"/>
      <c r="AZ138" s="1201"/>
      <c r="BA138" s="1201"/>
      <c r="BB138" s="1201"/>
      <c r="BC138" s="1201"/>
      <c r="BD138" s="1201"/>
      <c r="BE138" s="1201"/>
      <c r="BF138" s="1201"/>
      <c r="BG138" s="1201"/>
      <c r="BH138" s="1201"/>
      <c r="BI138" s="1201"/>
      <c r="BJ138" s="1201"/>
      <c r="BK138" s="1201"/>
      <c r="BL138" s="1201"/>
      <c r="BM138" s="1201"/>
      <c r="BN138" s="1201"/>
      <c r="BO138" s="1201"/>
      <c r="BP138" s="1201"/>
      <c r="BQ138" s="1201"/>
      <c r="BR138" s="1202"/>
    </row>
    <row r="139" spans="1:70" ht="18" customHeight="1">
      <c r="A139" s="1000"/>
      <c r="B139" s="1135" t="s">
        <v>293</v>
      </c>
      <c r="C139" s="1136"/>
      <c r="D139" s="1136"/>
      <c r="E139" s="1136"/>
      <c r="F139" s="1136"/>
      <c r="G139" s="1136"/>
      <c r="H139" s="1136" t="s">
        <v>289</v>
      </c>
      <c r="I139" s="1136"/>
      <c r="J139" s="1136"/>
      <c r="K139" s="1136"/>
      <c r="L139" s="1136"/>
      <c r="M139" s="1136" t="s">
        <v>291</v>
      </c>
      <c r="N139" s="1136"/>
      <c r="O139" s="1136"/>
      <c r="P139" s="1136"/>
      <c r="Q139" s="1306" t="s">
        <v>294</v>
      </c>
      <c r="R139" s="1307"/>
      <c r="S139" s="1308">
        <v>1</v>
      </c>
      <c r="T139" s="1309"/>
      <c r="U139" s="1310"/>
      <c r="W139" s="1297"/>
      <c r="X139" s="1298"/>
      <c r="Y139" s="1298"/>
      <c r="Z139" s="1298"/>
      <c r="AA139" s="1299"/>
      <c r="AB139" s="1298"/>
      <c r="AC139" s="1300"/>
      <c r="AD139" s="1301"/>
      <c r="AE139" s="1298"/>
      <c r="AF139" s="1298"/>
      <c r="AG139" s="1298"/>
      <c r="AH139" s="1298"/>
      <c r="AI139" s="1298"/>
      <c r="AJ139" s="1298"/>
      <c r="AK139" s="1298"/>
      <c r="AL139" s="1299"/>
      <c r="AM139" s="1298"/>
      <c r="AN139" s="1298"/>
      <c r="AO139" s="1300"/>
      <c r="AP139" s="1301"/>
      <c r="AQ139" s="1298"/>
      <c r="AR139" s="1298"/>
      <c r="AS139" s="1302"/>
      <c r="AU139" s="1200"/>
      <c r="AV139" s="1201"/>
      <c r="AW139" s="1201"/>
      <c r="AX139" s="1201"/>
      <c r="AY139" s="1201"/>
      <c r="AZ139" s="1201"/>
      <c r="BA139" s="1201"/>
      <c r="BB139" s="1201"/>
      <c r="BC139" s="1201"/>
      <c r="BD139" s="1201"/>
      <c r="BE139" s="1201"/>
      <c r="BF139" s="1201"/>
      <c r="BG139" s="1201"/>
      <c r="BH139" s="1201"/>
      <c r="BI139" s="1201"/>
      <c r="BJ139" s="1201"/>
      <c r="BK139" s="1201"/>
      <c r="BL139" s="1201"/>
      <c r="BM139" s="1201"/>
      <c r="BN139" s="1201"/>
      <c r="BO139" s="1201"/>
      <c r="BP139" s="1201"/>
      <c r="BQ139" s="1201"/>
      <c r="BR139" s="1202"/>
    </row>
    <row r="140" spans="1:70" ht="18" customHeight="1">
      <c r="A140" s="1000"/>
      <c r="B140" s="1222" t="s">
        <v>295</v>
      </c>
      <c r="C140" s="1173"/>
      <c r="D140" s="1173"/>
      <c r="E140" s="1173"/>
      <c r="F140" s="1173"/>
      <c r="G140" s="1173"/>
      <c r="H140" s="1173" t="s">
        <v>296</v>
      </c>
      <c r="I140" s="1173"/>
      <c r="J140" s="1173"/>
      <c r="K140" s="1173"/>
      <c r="L140" s="1173"/>
      <c r="M140" s="1173" t="s">
        <v>297</v>
      </c>
      <c r="N140" s="1173"/>
      <c r="O140" s="1173"/>
      <c r="P140" s="1173"/>
      <c r="Q140" s="1289" t="s">
        <v>298</v>
      </c>
      <c r="R140" s="1290"/>
      <c r="S140" s="1290"/>
      <c r="T140" s="1290"/>
      <c r="U140" s="1291"/>
      <c r="W140" s="1292"/>
      <c r="X140" s="1293"/>
      <c r="Y140" s="1293"/>
      <c r="Z140" s="1293"/>
      <c r="AA140" s="1294"/>
      <c r="AB140" s="1293"/>
      <c r="AC140" s="1295"/>
      <c r="AD140" s="1293"/>
      <c r="AE140" s="1293"/>
      <c r="AF140" s="1293"/>
      <c r="AG140" s="1293"/>
      <c r="AH140" s="1293"/>
      <c r="AI140" s="1293"/>
      <c r="AJ140" s="1293"/>
      <c r="AK140" s="1293"/>
      <c r="AL140" s="1294"/>
      <c r="AM140" s="1293"/>
      <c r="AN140" s="1293"/>
      <c r="AO140" s="1295"/>
      <c r="AP140" s="1293"/>
      <c r="AQ140" s="1293"/>
      <c r="AR140" s="1293"/>
      <c r="AS140" s="1296"/>
      <c r="AU140" s="1200"/>
      <c r="AV140" s="1201"/>
      <c r="AW140" s="1201"/>
      <c r="AX140" s="1201"/>
      <c r="AY140" s="1201"/>
      <c r="AZ140" s="1201"/>
      <c r="BA140" s="1201"/>
      <c r="BB140" s="1201"/>
      <c r="BC140" s="1201"/>
      <c r="BD140" s="1201"/>
      <c r="BE140" s="1201"/>
      <c r="BF140" s="1201"/>
      <c r="BG140" s="1201"/>
      <c r="BH140" s="1201"/>
      <c r="BI140" s="1201"/>
      <c r="BJ140" s="1201"/>
      <c r="BK140" s="1201"/>
      <c r="BL140" s="1201"/>
      <c r="BM140" s="1201"/>
      <c r="BN140" s="1201"/>
      <c r="BO140" s="1201"/>
      <c r="BP140" s="1201"/>
      <c r="BQ140" s="1201"/>
      <c r="BR140" s="1202"/>
    </row>
    <row r="141" spans="1:70" ht="18" customHeight="1">
      <c r="A141" s="1000"/>
      <c r="B141" s="1222"/>
      <c r="C141" s="1173"/>
      <c r="D141" s="1173"/>
      <c r="E141" s="1173"/>
      <c r="F141" s="1173"/>
      <c r="G141" s="1173"/>
      <c r="H141" s="1173"/>
      <c r="I141" s="1173"/>
      <c r="J141" s="1173"/>
      <c r="K141" s="1173"/>
      <c r="L141" s="1173"/>
      <c r="M141" s="1173"/>
      <c r="N141" s="1173"/>
      <c r="O141" s="1173"/>
      <c r="P141" s="1173"/>
      <c r="Q141" s="1148" t="str">
        <f>IF(S139=1,"失忆",IF(S139=2,"假性残疾",IF(S139=3,"暴力倾向",IF(S139=4,"偏执",IF(S139=5,"人际依赖",IF(S139=6,"昏厥",IF(S139=7,"逃避行为",IF(S139=8,"歇斯底里",IF(S139=9,"恐惧",IF(S139=10,"躁狂",))))))))))</f>
        <v>失忆</v>
      </c>
      <c r="R141" s="1149"/>
      <c r="S141" s="1149"/>
      <c r="T141" s="1149"/>
      <c r="U141" s="1150"/>
      <c r="W141" s="1297"/>
      <c r="X141" s="1298"/>
      <c r="Y141" s="1298"/>
      <c r="Z141" s="1298"/>
      <c r="AA141" s="1299"/>
      <c r="AB141" s="1298"/>
      <c r="AC141" s="1300"/>
      <c r="AD141" s="1301"/>
      <c r="AE141" s="1298"/>
      <c r="AF141" s="1298"/>
      <c r="AG141" s="1298"/>
      <c r="AH141" s="1298"/>
      <c r="AI141" s="1298"/>
      <c r="AJ141" s="1298"/>
      <c r="AK141" s="1298"/>
      <c r="AL141" s="1299"/>
      <c r="AM141" s="1298"/>
      <c r="AN141" s="1298"/>
      <c r="AO141" s="1300"/>
      <c r="AP141" s="1301"/>
      <c r="AQ141" s="1298"/>
      <c r="AR141" s="1298"/>
      <c r="AS141" s="1302"/>
      <c r="AU141" s="1200"/>
      <c r="AV141" s="1201"/>
      <c r="AW141" s="1201"/>
      <c r="AX141" s="1201"/>
      <c r="AY141" s="1201"/>
      <c r="AZ141" s="1201"/>
      <c r="BA141" s="1201"/>
      <c r="BB141" s="1201"/>
      <c r="BC141" s="1201"/>
      <c r="BD141" s="1201"/>
      <c r="BE141" s="1201"/>
      <c r="BF141" s="1201"/>
      <c r="BG141" s="1201"/>
      <c r="BH141" s="1201"/>
      <c r="BI141" s="1201"/>
      <c r="BJ141" s="1201"/>
      <c r="BK141" s="1201"/>
      <c r="BL141" s="1201"/>
      <c r="BM141" s="1201"/>
      <c r="BN141" s="1201"/>
      <c r="BO141" s="1201"/>
      <c r="BP141" s="1201"/>
      <c r="BQ141" s="1201"/>
      <c r="BR141" s="1202"/>
    </row>
    <row r="142" spans="1:70" ht="18" customHeight="1">
      <c r="A142" s="1000"/>
      <c r="B142" s="1222"/>
      <c r="C142" s="1173"/>
      <c r="D142" s="1173"/>
      <c r="E142" s="1173"/>
      <c r="F142" s="1173"/>
      <c r="G142" s="1173"/>
      <c r="H142" s="1173"/>
      <c r="I142" s="1173"/>
      <c r="J142" s="1173"/>
      <c r="K142" s="1173"/>
      <c r="L142" s="1173"/>
      <c r="M142" s="1173"/>
      <c r="N142" s="1173"/>
      <c r="O142" s="1173"/>
      <c r="P142" s="1173"/>
      <c r="Q142" s="1149"/>
      <c r="R142" s="1149"/>
      <c r="S142" s="1149"/>
      <c r="T142" s="1149"/>
      <c r="U142" s="1150"/>
      <c r="W142" s="1292"/>
      <c r="X142" s="1293"/>
      <c r="Y142" s="1293"/>
      <c r="Z142" s="1293"/>
      <c r="AA142" s="1294"/>
      <c r="AB142" s="1293"/>
      <c r="AC142" s="1295"/>
      <c r="AD142" s="1293"/>
      <c r="AE142" s="1293"/>
      <c r="AF142" s="1293"/>
      <c r="AG142" s="1293"/>
      <c r="AH142" s="1293"/>
      <c r="AI142" s="1293"/>
      <c r="AJ142" s="1293"/>
      <c r="AK142" s="1293"/>
      <c r="AL142" s="1294"/>
      <c r="AM142" s="1293"/>
      <c r="AN142" s="1293"/>
      <c r="AO142" s="1295"/>
      <c r="AP142" s="1293"/>
      <c r="AQ142" s="1293"/>
      <c r="AR142" s="1293"/>
      <c r="AS142" s="1296"/>
      <c r="AU142" s="1203"/>
      <c r="AV142" s="1204"/>
      <c r="AW142" s="1204"/>
      <c r="AX142" s="1204"/>
      <c r="AY142" s="1204"/>
      <c r="AZ142" s="1204"/>
      <c r="BA142" s="1204"/>
      <c r="BB142" s="1204"/>
      <c r="BC142" s="1204"/>
      <c r="BD142" s="1204"/>
      <c r="BE142" s="1204"/>
      <c r="BF142" s="1204"/>
      <c r="BG142" s="1204"/>
      <c r="BH142" s="1204"/>
      <c r="BI142" s="1204"/>
      <c r="BJ142" s="1204"/>
      <c r="BK142" s="1204"/>
      <c r="BL142" s="1204"/>
      <c r="BM142" s="1204"/>
      <c r="BN142" s="1204"/>
      <c r="BO142" s="1204"/>
      <c r="BP142" s="1204"/>
      <c r="BQ142" s="1204"/>
      <c r="BR142" s="1205"/>
    </row>
    <row r="143" spans="1:70" ht="18" customHeight="1">
      <c r="A143" s="1000"/>
      <c r="B143" s="1222"/>
      <c r="C143" s="1173"/>
      <c r="D143" s="1173"/>
      <c r="E143" s="1173"/>
      <c r="F143" s="1173"/>
      <c r="G143" s="1173"/>
      <c r="H143" s="1173"/>
      <c r="I143" s="1173"/>
      <c r="J143" s="1173"/>
      <c r="K143" s="1173"/>
      <c r="L143" s="1173"/>
      <c r="M143" s="1173"/>
      <c r="N143" s="1173"/>
      <c r="O143" s="1173"/>
      <c r="P143" s="1173"/>
      <c r="Q143" s="1149"/>
      <c r="R143" s="1149"/>
      <c r="S143" s="1149"/>
      <c r="T143" s="1149"/>
      <c r="U143" s="1150"/>
      <c r="W143" s="1297"/>
      <c r="X143" s="1298"/>
      <c r="Y143" s="1298"/>
      <c r="Z143" s="1298"/>
      <c r="AA143" s="1299"/>
      <c r="AB143" s="1298"/>
      <c r="AC143" s="1300"/>
      <c r="AD143" s="1301"/>
      <c r="AE143" s="1298"/>
      <c r="AF143" s="1298"/>
      <c r="AG143" s="1298"/>
      <c r="AH143" s="1298"/>
      <c r="AI143" s="1298"/>
      <c r="AJ143" s="1298"/>
      <c r="AK143" s="1298"/>
      <c r="AL143" s="1299"/>
      <c r="AM143" s="1298"/>
      <c r="AN143" s="1298"/>
      <c r="AO143" s="1300"/>
      <c r="AP143" s="1301"/>
      <c r="AQ143" s="1298"/>
      <c r="AR143" s="1298"/>
      <c r="AS143" s="1302"/>
      <c r="AU143" s="1233" t="s">
        <v>299</v>
      </c>
      <c r="AV143" s="1234"/>
      <c r="AW143" s="1234"/>
      <c r="AX143" s="1234"/>
      <c r="AY143" s="1234"/>
      <c r="AZ143" s="1234"/>
      <c r="BA143" s="1234"/>
      <c r="BB143" s="1235"/>
      <c r="BC143" s="1236" t="s">
        <v>300</v>
      </c>
      <c r="BD143" s="1234"/>
      <c r="BE143" s="1234"/>
      <c r="BF143" s="1234"/>
      <c r="BG143" s="1234"/>
      <c r="BH143" s="1234"/>
      <c r="BI143" s="1234"/>
      <c r="BJ143" s="1235"/>
      <c r="BK143" s="1236" t="s">
        <v>301</v>
      </c>
      <c r="BL143" s="1234"/>
      <c r="BM143" s="1234"/>
      <c r="BN143" s="1234"/>
      <c r="BO143" s="1234"/>
      <c r="BP143" s="1234"/>
      <c r="BQ143" s="1234"/>
      <c r="BR143" s="1237"/>
    </row>
    <row r="144" spans="1:70" ht="18" customHeight="1">
      <c r="B144" s="1238" t="s">
        <v>302</v>
      </c>
      <c r="C144" s="1239"/>
      <c r="D144" s="1239"/>
      <c r="E144" s="1239"/>
      <c r="F144" s="1239"/>
      <c r="G144" s="1239"/>
      <c r="H144" s="1239"/>
      <c r="I144" s="1239"/>
      <c r="J144" s="1239"/>
      <c r="K144" s="1239"/>
      <c r="L144" s="1239"/>
      <c r="M144" s="1239"/>
      <c r="N144" s="1239"/>
      <c r="O144" s="1239"/>
      <c r="P144" s="1239"/>
      <c r="Q144" s="1239"/>
      <c r="R144" s="1239"/>
      <c r="S144" s="1239"/>
      <c r="T144" s="1239"/>
      <c r="U144" s="1240"/>
      <c r="W144" s="1241"/>
      <c r="X144" s="1242"/>
      <c r="Y144" s="1242"/>
      <c r="Z144" s="1242"/>
      <c r="AA144" s="1243"/>
      <c r="AB144" s="1242"/>
      <c r="AC144" s="1244"/>
      <c r="AD144" s="1242"/>
      <c r="AE144" s="1242"/>
      <c r="AF144" s="1242"/>
      <c r="AG144" s="1242"/>
      <c r="AH144" s="1242"/>
      <c r="AI144" s="1242"/>
      <c r="AJ144" s="1242"/>
      <c r="AK144" s="1242"/>
      <c r="AL144" s="1243"/>
      <c r="AM144" s="1242"/>
      <c r="AN144" s="1242"/>
      <c r="AO144" s="1244"/>
      <c r="AP144" s="1242"/>
      <c r="AQ144" s="1242"/>
      <c r="AR144" s="1242"/>
      <c r="AS144" s="1245"/>
      <c r="AU144" s="1246" t="s">
        <v>303</v>
      </c>
      <c r="AV144" s="1247"/>
      <c r="AW144" s="1247"/>
      <c r="AX144" s="1247"/>
      <c r="AY144" s="1247"/>
      <c r="AZ144" s="1247"/>
      <c r="BA144" s="1247"/>
      <c r="BB144" s="1248"/>
      <c r="BC144" s="1249" t="s">
        <v>303</v>
      </c>
      <c r="BD144" s="1247"/>
      <c r="BE144" s="1247"/>
      <c r="BF144" s="1247"/>
      <c r="BG144" s="1247"/>
      <c r="BH144" s="1247"/>
      <c r="BI144" s="1247"/>
      <c r="BJ144" s="1248"/>
      <c r="BK144" s="1249" t="s">
        <v>303</v>
      </c>
      <c r="BL144" s="1247"/>
      <c r="BM144" s="1247"/>
      <c r="BN144" s="1247"/>
      <c r="BO144" s="1247"/>
      <c r="BP144" s="1247"/>
      <c r="BQ144" s="1247"/>
      <c r="BR144" s="1248"/>
    </row>
    <row r="145" spans="2:70" ht="18" customHeight="1">
      <c r="B145" s="1250" t="s">
        <v>304</v>
      </c>
      <c r="C145" s="1250"/>
      <c r="D145" s="1250"/>
      <c r="E145" s="1250"/>
      <c r="F145" s="1250"/>
      <c r="G145" s="1250"/>
      <c r="H145" s="1250"/>
      <c r="I145" s="1250"/>
      <c r="J145" s="1250"/>
      <c r="K145" s="1250"/>
      <c r="L145" s="1251" t="s">
        <v>305</v>
      </c>
      <c r="M145" s="1251"/>
      <c r="N145" s="1251"/>
      <c r="O145" s="1251"/>
      <c r="P145" s="1251"/>
      <c r="Q145" s="1251"/>
      <c r="R145" s="1251"/>
      <c r="S145" s="1251"/>
      <c r="T145" s="1251"/>
      <c r="U145" s="1251"/>
      <c r="AI145" s="1059"/>
      <c r="AJ145" s="1059"/>
      <c r="AK145" s="1059"/>
      <c r="AL145" s="1059"/>
      <c r="AM145" s="1059"/>
      <c r="AN145" s="1059"/>
      <c r="AO145" s="1059"/>
      <c r="AP145" s="1059"/>
      <c r="AU145" s="1252" t="s">
        <v>306</v>
      </c>
      <c r="AV145" s="1252"/>
      <c r="AW145" s="1252"/>
      <c r="AX145" s="1252"/>
      <c r="AY145" s="1252"/>
      <c r="AZ145" s="1252"/>
      <c r="BA145" s="1252"/>
      <c r="BB145" s="1252"/>
      <c r="BC145" s="1252"/>
      <c r="BD145" s="1252"/>
      <c r="BE145" s="1252"/>
      <c r="BF145" s="1252"/>
      <c r="BG145" s="1252"/>
      <c r="BH145" s="1252"/>
      <c r="BI145" s="1252"/>
      <c r="BJ145" s="1252"/>
      <c r="BK145" s="1252"/>
      <c r="BL145" s="1252"/>
      <c r="BM145" s="1252"/>
      <c r="BN145" s="1252"/>
      <c r="BO145" s="1252"/>
      <c r="BP145" s="1252"/>
      <c r="BQ145" s="1252"/>
      <c r="BR145" s="1252"/>
    </row>
    <row r="146" spans="2:70" ht="18" customHeight="1">
      <c r="AN146" s="1059"/>
      <c r="AO146" s="1059"/>
      <c r="AP146" s="1059"/>
    </row>
    <row r="147" spans="2:70" ht="18" customHeight="1">
      <c r="B147" s="1146" t="s">
        <v>307</v>
      </c>
      <c r="C147" s="1146"/>
      <c r="D147" s="1146"/>
      <c r="E147" s="1146"/>
      <c r="F147" s="1146"/>
      <c r="G147" s="1146"/>
      <c r="H147" s="1146"/>
      <c r="I147" s="1146"/>
      <c r="J147" s="1146"/>
      <c r="K147" s="1146"/>
      <c r="L147" s="1146"/>
      <c r="M147" s="1146"/>
      <c r="O147" s="1144" t="s">
        <v>308</v>
      </c>
      <c r="P147" s="1144"/>
      <c r="Q147" s="1144"/>
      <c r="R147" s="1144"/>
      <c r="S147" s="1144"/>
      <c r="T147" s="1144"/>
      <c r="U147" s="1144"/>
      <c r="V147" s="1144"/>
      <c r="W147" s="1144"/>
      <c r="X147" s="1144"/>
      <c r="Y147" s="1144"/>
      <c r="AB147" s="1110" t="s">
        <v>309</v>
      </c>
      <c r="AC147" s="1110"/>
      <c r="AD147" s="1110"/>
      <c r="AE147" s="1110"/>
      <c r="AF147" s="1110"/>
      <c r="AG147" s="1110"/>
      <c r="AH147" s="1110"/>
      <c r="AI147" s="1110"/>
      <c r="AJ147" s="1110"/>
      <c r="AK147" s="1110"/>
      <c r="AL147" s="1110"/>
      <c r="AP147" s="1110" t="s">
        <v>310</v>
      </c>
      <c r="AQ147" s="1110"/>
      <c r="AR147" s="1110"/>
      <c r="AS147" s="1110"/>
      <c r="AT147" s="1110"/>
      <c r="AU147" s="1110"/>
      <c r="AV147" s="1110"/>
      <c r="AW147" s="1110"/>
      <c r="AX147" s="1110"/>
      <c r="AY147" s="1110"/>
      <c r="AZ147" s="1110"/>
      <c r="BA147" s="1110"/>
      <c r="BB147" s="1110"/>
      <c r="BC147" s="1110"/>
      <c r="BD147" s="1110"/>
    </row>
    <row r="148" spans="2:70" ht="18" customHeight="1">
      <c r="B148" s="1146"/>
      <c r="C148" s="1146"/>
      <c r="D148" s="1146"/>
      <c r="E148" s="1146"/>
      <c r="F148" s="1146"/>
      <c r="G148" s="1146"/>
      <c r="H148" s="1146"/>
      <c r="I148" s="1146"/>
      <c r="J148" s="1146"/>
      <c r="K148" s="1146"/>
      <c r="L148" s="1146"/>
      <c r="M148" s="1146"/>
      <c r="O148" s="1144"/>
      <c r="P148" s="1144"/>
      <c r="Q148" s="1144"/>
      <c r="R148" s="1144"/>
      <c r="S148" s="1144"/>
      <c r="T148" s="1144"/>
      <c r="U148" s="1144"/>
      <c r="V148" s="1144"/>
      <c r="W148" s="1144"/>
      <c r="X148" s="1144"/>
      <c r="Y148" s="1144"/>
      <c r="AB148" s="1110"/>
      <c r="AC148" s="1110"/>
      <c r="AD148" s="1110"/>
      <c r="AE148" s="1110"/>
      <c r="AF148" s="1110"/>
      <c r="AG148" s="1110"/>
      <c r="AH148" s="1110"/>
      <c r="AI148" s="1110"/>
      <c r="AJ148" s="1110"/>
      <c r="AK148" s="1110"/>
      <c r="AL148" s="1110"/>
      <c r="AP148" s="1110"/>
      <c r="AQ148" s="1110"/>
      <c r="AR148" s="1110"/>
      <c r="AS148" s="1110"/>
      <c r="AT148" s="1110"/>
      <c r="AU148" s="1110"/>
      <c r="AV148" s="1110"/>
      <c r="AW148" s="1110"/>
      <c r="AX148" s="1110"/>
      <c r="AY148" s="1110"/>
      <c r="AZ148" s="1110"/>
      <c r="BA148" s="1110"/>
      <c r="BB148" s="1110"/>
      <c r="BC148" s="1110"/>
      <c r="BD148" s="1110"/>
    </row>
    <row r="149" spans="2:70" ht="18" customHeight="1">
      <c r="D149" s="1057" t="s">
        <v>311</v>
      </c>
      <c r="E149" s="1057"/>
      <c r="F149" s="1057"/>
      <c r="G149" s="1057"/>
      <c r="H149" s="1057"/>
      <c r="I149" s="1057"/>
      <c r="J149" s="1057"/>
      <c r="K149" s="1057"/>
      <c r="L149" s="1057"/>
      <c r="M149" s="1000"/>
      <c r="N149" s="1000"/>
      <c r="O149" s="1000"/>
    </row>
    <row r="150" spans="2:70" ht="18" customHeight="1">
      <c r="B150" s="1000"/>
      <c r="C150" s="1000"/>
      <c r="D150" s="1000"/>
      <c r="E150" s="1000"/>
      <c r="F150" s="1000"/>
      <c r="G150" s="1000"/>
      <c r="H150" s="1000"/>
      <c r="I150" s="1000"/>
      <c r="J150" s="1000"/>
      <c r="K150" s="1000"/>
      <c r="L150" s="1000"/>
      <c r="M150" s="1000"/>
      <c r="N150" s="1000"/>
      <c r="O150" s="1000"/>
      <c r="R150" s="1000"/>
      <c r="S150" s="1000"/>
      <c r="T150" s="1000"/>
      <c r="U150" s="1000"/>
      <c r="V150" s="1000"/>
      <c r="W150" s="1000"/>
      <c r="X150" s="1000"/>
      <c r="Y150" s="1000"/>
    </row>
    <row r="151" spans="2:70" ht="18" customHeight="1">
      <c r="AE151" s="1056"/>
    </row>
    <row r="158" spans="2:70" ht="18" customHeight="1">
      <c r="E158" s="1058"/>
      <c r="F158" s="1058"/>
    </row>
    <row r="164" spans="34:51" ht="18" customHeight="1">
      <c r="AX164" s="1000"/>
      <c r="AY164" s="1000"/>
    </row>
    <row r="165" spans="34:51" ht="18" customHeight="1">
      <c r="AX165" s="1000"/>
      <c r="AY165" s="1000"/>
    </row>
    <row r="166" spans="34:51" ht="18" customHeight="1">
      <c r="AX166" s="1000"/>
      <c r="AY166" s="1000"/>
    </row>
    <row r="167" spans="34:51" ht="18" customHeight="1">
      <c r="AX167" s="1000"/>
      <c r="AY167" s="1000"/>
    </row>
    <row r="168" spans="34:51" ht="18" customHeight="1">
      <c r="AX168" s="1000"/>
      <c r="AY168" s="1000"/>
    </row>
    <row r="169" spans="34:51" ht="18" customHeight="1">
      <c r="AX169" s="1000"/>
      <c r="AY169" s="1000"/>
    </row>
    <row r="170" spans="34:51" ht="18" customHeight="1">
      <c r="AX170" s="1000"/>
      <c r="AY170" s="1000"/>
    </row>
    <row r="171" spans="34:51" ht="18" customHeight="1">
      <c r="AX171" s="1000"/>
      <c r="AY171" s="1000"/>
    </row>
    <row r="172" spans="34:51" ht="18" customHeight="1">
      <c r="AH172" s="1000"/>
      <c r="AI172" s="1000"/>
      <c r="AJ172" s="1000"/>
      <c r="AK172" s="1000"/>
      <c r="AL172" s="1000"/>
      <c r="AM172" s="1000"/>
      <c r="AN172" s="1000"/>
      <c r="AO172" s="1000"/>
      <c r="AP172" s="1000"/>
      <c r="AQ172" s="1000"/>
      <c r="AR172" s="1000"/>
      <c r="AS172" s="1000"/>
      <c r="AT172" s="1000"/>
      <c r="AV172" s="1000"/>
      <c r="AW172" s="1000"/>
      <c r="AX172" s="1000"/>
      <c r="AY172" s="1000"/>
    </row>
    <row r="173" spans="34:51" ht="18" customHeight="1">
      <c r="AH173" s="1000"/>
      <c r="AI173" s="1000"/>
      <c r="AJ173" s="1000"/>
      <c r="AK173" s="1000"/>
      <c r="AL173" s="1000"/>
      <c r="AM173" s="1000"/>
      <c r="AN173" s="1000"/>
      <c r="AO173" s="1000"/>
      <c r="AP173" s="1000"/>
      <c r="AQ173" s="1000"/>
      <c r="AR173" s="1000"/>
      <c r="AS173" s="1000"/>
      <c r="AT173" s="1000"/>
      <c r="AV173" s="1000"/>
      <c r="AW173" s="1000"/>
      <c r="AX173" s="1000"/>
      <c r="AY173" s="1000"/>
    </row>
    <row r="174" spans="34:51" ht="18" customHeight="1">
      <c r="AH174" s="1000"/>
      <c r="AI174" s="1000"/>
      <c r="AJ174" s="1000"/>
      <c r="AK174" s="1000"/>
      <c r="AL174" s="1000"/>
      <c r="AM174" s="1000"/>
      <c r="AN174" s="1000"/>
      <c r="AO174" s="1000"/>
      <c r="AP174" s="1000"/>
      <c r="AQ174" s="1000"/>
      <c r="AR174" s="1000"/>
      <c r="AS174" s="1000"/>
      <c r="AT174" s="1000"/>
      <c r="AV174" s="1000"/>
      <c r="AW174" s="1000"/>
      <c r="AX174" s="1000"/>
      <c r="AY174" s="1000"/>
    </row>
    <row r="175" spans="34:51" ht="18" customHeight="1">
      <c r="AH175" s="1000"/>
      <c r="AI175" s="1000"/>
      <c r="AJ175" s="1000"/>
      <c r="AK175" s="1000"/>
      <c r="AL175" s="1000"/>
      <c r="AM175" s="1000"/>
      <c r="AN175" s="1000"/>
      <c r="AO175" s="1000"/>
      <c r="AP175" s="1000"/>
      <c r="AQ175" s="1000"/>
      <c r="AR175" s="1000"/>
      <c r="AS175" s="1000"/>
      <c r="AT175" s="1000"/>
      <c r="AV175" s="1000"/>
      <c r="AW175" s="1000"/>
      <c r="AX175" s="1000"/>
      <c r="AY175" s="1000"/>
    </row>
    <row r="176" spans="34:51" ht="18" customHeight="1">
      <c r="AH176" s="1000"/>
      <c r="AI176" s="1000"/>
      <c r="AJ176" s="1000"/>
      <c r="AK176" s="1000"/>
      <c r="AL176" s="1000"/>
      <c r="AM176" s="1000"/>
      <c r="AN176" s="1000"/>
      <c r="AO176" s="1000"/>
      <c r="AP176" s="1000"/>
      <c r="AQ176" s="1000"/>
      <c r="AR176" s="1000"/>
      <c r="AS176" s="1000"/>
      <c r="AT176" s="1000"/>
      <c r="AV176" s="1000"/>
      <c r="AW176" s="1000"/>
      <c r="AX176" s="1000"/>
      <c r="AY176" s="1000"/>
    </row>
    <row r="177" spans="34:51" ht="18" customHeight="1">
      <c r="AH177" s="1000"/>
      <c r="AI177" s="1000"/>
      <c r="AJ177" s="1000"/>
      <c r="AK177" s="1000"/>
      <c r="AL177" s="1000"/>
      <c r="AM177" s="1000"/>
      <c r="AN177" s="1000"/>
      <c r="AO177" s="1000"/>
      <c r="AP177" s="1000"/>
      <c r="AQ177" s="1000"/>
      <c r="AR177" s="1000"/>
      <c r="AS177" s="1000"/>
      <c r="AT177" s="1000"/>
      <c r="AV177" s="1000"/>
      <c r="AW177" s="1000"/>
      <c r="AX177" s="1000"/>
      <c r="AY177" s="1000"/>
    </row>
    <row r="178" spans="34:51" ht="18" customHeight="1">
      <c r="AH178" s="1000"/>
      <c r="AI178" s="1000"/>
      <c r="AJ178" s="1000"/>
      <c r="AK178" s="1000"/>
      <c r="AL178" s="1000"/>
      <c r="AM178" s="1000"/>
      <c r="AN178" s="1000"/>
      <c r="AO178" s="1000"/>
      <c r="AP178" s="1000"/>
      <c r="AQ178" s="1000"/>
      <c r="AR178" s="1000"/>
      <c r="AS178" s="1000"/>
      <c r="AT178" s="1000"/>
    </row>
    <row r="179" spans="34:51" ht="18" customHeight="1">
      <c r="AH179" s="1000"/>
      <c r="AI179" s="1000"/>
      <c r="AJ179" s="1000"/>
      <c r="AK179" s="1000"/>
      <c r="AL179" s="1000"/>
      <c r="AM179" s="1000"/>
      <c r="AN179" s="1000"/>
      <c r="AO179" s="1000"/>
      <c r="AP179" s="1000"/>
      <c r="AQ179" s="1000"/>
      <c r="AR179" s="1000"/>
      <c r="AS179" s="1000"/>
      <c r="AT179" s="1000"/>
    </row>
    <row r="180" spans="34:51" ht="18" customHeight="1">
      <c r="AH180" s="1000"/>
      <c r="AI180" s="1000"/>
      <c r="AJ180" s="1000"/>
      <c r="AK180" s="1000"/>
      <c r="AL180" s="1000"/>
      <c r="AM180" s="1000"/>
      <c r="AN180" s="1000"/>
      <c r="AO180" s="1000"/>
      <c r="AP180" s="1000"/>
      <c r="AQ180" s="1000"/>
      <c r="AR180" s="1000"/>
      <c r="AS180" s="1000"/>
      <c r="AT180" s="1000"/>
    </row>
    <row r="181" spans="34:51" ht="18" customHeight="1">
      <c r="AH181" s="1000"/>
      <c r="AI181" s="1000"/>
      <c r="AJ181" s="1000"/>
      <c r="AK181" s="1000"/>
      <c r="AL181" s="1000"/>
      <c r="AM181" s="1000"/>
      <c r="AN181" s="1000"/>
      <c r="AO181" s="1000"/>
      <c r="AP181" s="1000"/>
      <c r="AQ181" s="1000"/>
      <c r="AR181" s="1000"/>
      <c r="AS181" s="1000"/>
      <c r="AT181" s="1000"/>
    </row>
  </sheetData>
  <sheetProtection sheet="1" selectLockedCells="1"/>
  <protectedRanges>
    <protectedRange sqref="AB37 AB34:AC36 AB31:AB33 AB28:AC30 AB27 AB16:AC26 L27:P27 F46:F49 F42:G45 H34 H38 F23:G33 F20:F22 F16:G19 Q10:S11 I10:S10 B10 AA3:AH8 W3:Y8 K4:K6 AB2:AB8 B1:B8 K12:R12 Y10:Y11 B13:X14 B15:L15 R15:AE15 AN15:AS15 J42:J49 F34:F41 AG12:AI12 T12:AD12 J38 J16:J34 AB38:AC40 AF16:AF40 AF44:AF46 T37:V37 U38:W40 U16:W36 T41:V41 U42:W49 AQ16:AS46 AJ3:AJ6 AJ7:AK8" name="技能表以上"/>
    <protectedRange sqref="B50:AS50 AM51:AS51 AM58 W60 B77 B101 W119 AH95:AM96 W128 X61:Y78 C60:K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5">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P10:AS10"/>
    <mergeCell ref="S7:T8"/>
    <mergeCell ref="U7:V8"/>
    <mergeCell ref="Y7:Z8"/>
    <mergeCell ref="AA7:AB8"/>
    <mergeCell ref="AE7:AF8"/>
    <mergeCell ref="AG7:AH8"/>
    <mergeCell ref="AL2:AS8"/>
    <mergeCell ref="B5:D5"/>
    <mergeCell ref="E5:I5"/>
    <mergeCell ref="J5:L5"/>
    <mergeCell ref="M5:Q5"/>
    <mergeCell ref="W5:X5"/>
    <mergeCell ref="I11:J11"/>
    <mergeCell ref="R11:S11"/>
    <mergeCell ref="AA11:AB11"/>
    <mergeCell ref="AI11:AJ11"/>
    <mergeCell ref="AP11:AS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S12"/>
    <mergeCell ref="AK10:AM11"/>
    <mergeCell ref="G10:H11"/>
    <mergeCell ref="W10:X11"/>
    <mergeCell ref="Y10:Z11"/>
    <mergeCell ref="B10:D11"/>
    <mergeCell ref="K10:M11"/>
    <mergeCell ref="T10:V11"/>
    <mergeCell ref="AC10:AE11"/>
    <mergeCell ref="AF10:AH11"/>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AU22:AZ22"/>
    <mergeCell ref="BA22:BI22"/>
    <mergeCell ref="BJ22:BR22"/>
    <mergeCell ref="AU19:AZ21"/>
    <mergeCell ref="B21:C21"/>
    <mergeCell ref="D21:E21"/>
    <mergeCell ref="F21:G21"/>
    <mergeCell ref="H21:I21"/>
    <mergeCell ref="J21:K21"/>
    <mergeCell ref="L21:M21"/>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N21:O21"/>
    <mergeCell ref="P21:Q21"/>
    <mergeCell ref="R21:S21"/>
    <mergeCell ref="T21:U21"/>
    <mergeCell ref="V21:W21"/>
    <mergeCell ref="X21:Y21"/>
    <mergeCell ref="Z21:AA21"/>
    <mergeCell ref="AB21:AE21"/>
    <mergeCell ref="AF21:AG21"/>
    <mergeCell ref="AH21:AI21"/>
    <mergeCell ref="AJ21:AK21"/>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AM57:AO58"/>
    <mergeCell ref="AP57:AQ58"/>
    <mergeCell ref="B60:U60"/>
    <mergeCell ref="W60:AQ60"/>
    <mergeCell ref="AR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W61:Z62"/>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R67:AS68"/>
    <mergeCell ref="AA63:AQ64"/>
    <mergeCell ref="AA71:AQ72"/>
    <mergeCell ref="AA75:AQ76"/>
    <mergeCell ref="AR63:AS64"/>
    <mergeCell ref="W69:Z70"/>
    <mergeCell ref="AR73:AS74"/>
    <mergeCell ref="B76:I76"/>
    <mergeCell ref="J76:M76"/>
    <mergeCell ref="N76:U7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AU143:BB143"/>
    <mergeCell ref="BC143:BJ143"/>
    <mergeCell ref="BK143:BR143"/>
    <mergeCell ref="B144:U144"/>
    <mergeCell ref="W144:Z144"/>
    <mergeCell ref="AA144:AC144"/>
    <mergeCell ref="AD144:AK144"/>
    <mergeCell ref="AL144:AO144"/>
    <mergeCell ref="AP144:AS144"/>
    <mergeCell ref="AU144:BB144"/>
    <mergeCell ref="BC144:BJ144"/>
    <mergeCell ref="BK144:BR144"/>
    <mergeCell ref="B145:K145"/>
    <mergeCell ref="L145:U145"/>
    <mergeCell ref="AU145:BR145"/>
    <mergeCell ref="AU38:AU42"/>
    <mergeCell ref="AM55:AO56"/>
    <mergeCell ref="AR61:AS62"/>
    <mergeCell ref="AU64:AY66"/>
    <mergeCell ref="AP55:AS56"/>
    <mergeCell ref="W67:Z68"/>
    <mergeCell ref="G134:M135"/>
    <mergeCell ref="L120:M121"/>
    <mergeCell ref="N120:O121"/>
    <mergeCell ref="P120:Q121"/>
    <mergeCell ref="R120:S121"/>
    <mergeCell ref="T120:U121"/>
    <mergeCell ref="B113:E116"/>
    <mergeCell ref="F113:I116"/>
    <mergeCell ref="W77:AS93"/>
    <mergeCell ref="AA69:AQ70"/>
    <mergeCell ref="AA65:AQ66"/>
    <mergeCell ref="AU7:BB8"/>
    <mergeCell ref="BC7:BJ8"/>
    <mergeCell ref="BK7:BR8"/>
    <mergeCell ref="B119:E121"/>
    <mergeCell ref="B131:F133"/>
    <mergeCell ref="BX9:BY10"/>
    <mergeCell ref="AR75:AS76"/>
    <mergeCell ref="B70:E74"/>
    <mergeCell ref="F70:I74"/>
    <mergeCell ref="J70:M74"/>
    <mergeCell ref="N70:Q74"/>
    <mergeCell ref="R70:U74"/>
    <mergeCell ref="B127:C128"/>
    <mergeCell ref="M140:P143"/>
    <mergeCell ref="D127:U128"/>
    <mergeCell ref="B134:F135"/>
    <mergeCell ref="AU44:BR61"/>
    <mergeCell ref="W63:Z64"/>
    <mergeCell ref="AR69:AS70"/>
    <mergeCell ref="AR65:AS66"/>
    <mergeCell ref="B63:K67"/>
    <mergeCell ref="L63:U67"/>
    <mergeCell ref="AU130:BR142"/>
    <mergeCell ref="AV38:BR42"/>
    <mergeCell ref="AU105:BR127"/>
    <mergeCell ref="G132:M133"/>
    <mergeCell ref="H140:L143"/>
    <mergeCell ref="B140:G143"/>
    <mergeCell ref="W73:Z74"/>
    <mergeCell ref="AR71:AS72"/>
    <mergeCell ref="W65:Z66"/>
    <mergeCell ref="J113:U116"/>
    <mergeCell ref="BK28:BN34"/>
    <mergeCell ref="BO28:BR34"/>
    <mergeCell ref="N10:O11"/>
    <mergeCell ref="P10:Q11"/>
    <mergeCell ref="AN10:AO11"/>
    <mergeCell ref="N134:Q135"/>
    <mergeCell ref="R134:U135"/>
    <mergeCell ref="AA73:AQ74"/>
    <mergeCell ref="AP147:BD148"/>
    <mergeCell ref="AA67:AQ68"/>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E10:F11"/>
  </mergeCells>
  <phoneticPr fontId="203" type="noConversion"/>
  <conditionalFormatting sqref="D16:D25">
    <cfRule type="cellIs" dxfId="20" priority="39" operator="equal">
      <formula>"×"</formula>
    </cfRule>
    <cfRule type="cellIs" dxfId="19" priority="40" operator="equal">
      <formula>"※"</formula>
    </cfRule>
    <cfRule type="cellIs" dxfId="18" priority="41" operator="equal">
      <formula>"⊙"</formula>
    </cfRule>
    <cfRule type="cellIs" dxfId="17" priority="42" operator="equal">
      <formula>"☆"</formula>
    </cfRule>
  </conditionalFormatting>
  <conditionalFormatting sqref="D16:D49">
    <cfRule type="cellIs" dxfId="16" priority="43" operator="equal">
      <formula>"★"</formula>
    </cfRule>
  </conditionalFormatting>
  <conditionalFormatting sqref="D27:D49">
    <cfRule type="cellIs" dxfId="15" priority="29" operator="equal">
      <formula>"×"</formula>
    </cfRule>
    <cfRule type="cellIs" dxfId="14" priority="30" operator="equal">
      <formula>"※"</formula>
    </cfRule>
    <cfRule type="cellIs" dxfId="13" priority="31" operator="equal">
      <formula>"⊙"</formula>
    </cfRule>
    <cfRule type="cellIs" dxfId="12" priority="32" operator="equal">
      <formula>"☆"</formula>
    </cfRule>
  </conditionalFormatting>
  <conditionalFormatting sqref="Z16:Z49">
    <cfRule type="cellIs" dxfId="11" priority="1" operator="equal">
      <formula>"×"</formula>
    </cfRule>
    <cfRule type="cellIs" dxfId="10" priority="2" operator="equal">
      <formula>"※"</formula>
    </cfRule>
    <cfRule type="cellIs" dxfId="9" priority="3" operator="equal">
      <formula>"⊙"</formula>
    </cfRule>
    <cfRule type="cellIs" dxfId="8" priority="4" operator="equal">
      <formula>"☆"</formula>
    </cfRule>
    <cfRule type="cellIs" dxfId="7" priority="5" operator="equal">
      <formula>"★"</formula>
    </cfRule>
  </conditionalFormatting>
  <dataValidations count="92">
    <dataValidation type="list" allowBlank="1" showInputMessage="1" showErrorMessage="1" sqref="M4:N4" xr:uid="{00000000-0002-0000-0000-000000000000}">
      <formula1>"1920s,现代,其他"</formula1>
    </dataValidation>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6" xr:uid="{00000000-0002-0000-0000-000002000000}">
      <formula1>1</formula1>
      <formula2>120</formula2>
    </dataValidation>
    <dataValidation type="list" allowBlank="1" showInputMessage="1" showErrorMessage="1" sqref="E8" xr:uid="{00000000-0002-0000-0000-000003000000}">
      <formula1>"公元,公元前"</formula1>
    </dataValidation>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4000000}">
      <formula1>32767</formula1>
    </dataValidation>
    <dataValidation allowBlank="1" showInputMessage="1" showErrorMessage="1" sqref="J8 L8 N8 Q8 AG12 AU25 BC25 BK25 AU27 BC27 AU29 AU31 AD33 AU33 H37 AD37 H41 AD47 BQ117:BR117 AU122:AW122 Q140 T140:U140 B26:B27 B90:B93 D90:D93 Z48:Z49" xr:uid="{00000000-0002-0000-0000-000005000000}"/>
    <dataValidation type="list" allowBlank="1" showInputMessage="1" showErrorMessage="1" sqref="CH8" xr:uid="{00000000-0002-0000-0000-000006000000}">
      <formula1>"未启用,启用"</formula1>
    </dataValidation>
    <dataValidation allowBlank="1" showInputMessage="1" showErrorMessage="1" promptTitle="提示" prompt="MP是每小时恢复一次的_x000a_人类一般来说都会一小时恢复1点_x000a_但是有极少数人可以达到一小时恢复2点" sqref="AA10" xr:uid="{00000000-0002-0000-0000-000007000000}"/>
    <dataValidation allowBlank="1" showErrorMessage="1" sqref="AI10 H49 L61 N61:O61 R61:S61 B68:K68" xr:uid="{00000000-0002-0000-0000-000008000000}"/>
    <dataValidation type="list" allowBlank="1" showInputMessage="1" showErrorMessage="1" sqref="R11:S11" xr:uid="{00000000-0002-0000-0000-00000A000000}">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xr:uid="{00000000-0002-0000-0000-00000B000000}"/>
    <dataValidation type="list" allowBlank="1" showInputMessage="1" showErrorMessage="1" sqref="AE12" xr:uid="{00000000-0002-0000-0000-00000C000000}">
      <formula1>"步式,轮式,履带,滑行,飞行,游泳,潜水,其他"</formula1>
    </dataValidation>
    <dataValidation type="list" allowBlank="1" showInputMessage="1" showErrorMessage="1" sqref="AI12" xr:uid="{00000000-0002-0000-0000-00000D000000}">
      <formula1>"开,关"</formula1>
    </dataValidation>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xr:uid="{00000000-0002-0000-0000-00000F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xr:uid="{00000000-0002-0000-0000-000010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xr:uid="{00000000-0002-0000-0000-000011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xr:uid="{00000000-0002-0000-0000-000012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xr:uid="{00000000-0002-0000-0000-000013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xr:uid="{00000000-0002-0000-0000-000014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xr:uid="{00000000-0002-0000-0000-000015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xr:uid="{00000000-0002-0000-0000-000016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G20" xr:uid="{00000000-0002-0000-0000-000017000000}"/>
    <dataValidation type="list" allowBlank="1" showInputMessage="1" sqref="H20:I20" xr:uid="{00000000-0002-0000-0000-000018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xr:uid="{00000000-0002-0000-0000-000019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1A000000}"/>
    <dataValidation type="list" allowBlank="1" showInputMessage="1" sqref="H21:I21" xr:uid="{00000000-0002-0000-0000-00001B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xr:uid="{00000000-0002-0000-0000-00001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xr:uid="{00000000-0002-0000-0000-00001D000000}"/>
    <dataValidation type="list" allowBlank="1" showInputMessage="1" showErrorMessage="1" sqref="AU22" xr:uid="{00000000-0002-0000-0000-00001E000000}">
      <formula1>"提示当前职业,停用提示(用于更改职业的角色)"</formula1>
    </dataValidation>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xr:uid="{00000000-0002-0000-0000-00001F000000}"/>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xr:uid="{00000000-0002-0000-0000-000020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xr:uid="{00000000-0002-0000-0000-000021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xr:uid="{00000000-0002-0000-0000-000022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xr:uid="{00000000-0002-0000-0000-000023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xr:uid="{00000000-0002-0000-0000-000024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xr:uid="{00000000-0002-0000-0000-000025000000}"/>
    <dataValidation allowBlank="1" showInputMessage="1" showErrorMessage="1" promptTitle="提示" prompt="信用评级至少要用职业点点至信用范围最低值才能使用兴趣点增加信用评级" sqref="P26" xr:uid="{00000000-0002-0000-0000-000026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xr:uid="{00000000-0002-0000-0000-000027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xr:uid="{00000000-0002-0000-0000-000028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xr:uid="{00000000-0002-0000-0000-000029000000}"/>
    <dataValidation type="list" allowBlank="1" showInputMessage="1" sqref="AD27:AE27" xr:uid="{00000000-0002-0000-0000-00002A000000}">
      <formula1>"飞行器,船,"</formula1>
    </dataValidation>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xr:uid="{00000000-0002-0000-0000-00002B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2C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xr:uid="{00000000-0002-0000-0000-00002D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2E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xr:uid="{00000000-0002-0000-0000-00002F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xr:uid="{00000000-0002-0000-0000-000030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xr:uid="{00000000-0002-0000-0000-000031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xr:uid="{00000000-0002-0000-0000-000032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33000000}"/>
    <dataValidation allowBlank="1" showInputMessage="1" showErrorMessage="1" promptTitle="Sleight of Hand (10%)" prompt="- 使技能使用者能够利用杂物、布、其他遮蔽物或是使人产生错觉的道具如使用暗板或隔层来对某件或某些物体进行视觉上的遮挡、藏匿或掩盖。_x000a_- 任何种类的巨大物件应当增加藏匿的难度。_x000a_- 妙手包括偷窃，卡牌魔术，以及秘密使用手机。" sqref="AB34:AE34" xr:uid="{00000000-0002-0000-0000-000034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xr:uid="{00000000-0002-0000-0000-000035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xr:uid="{00000000-0002-0000-0000-000036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xr:uid="{00000000-0002-0000-0000-000037000000}"/>
    <dataValidation allowBlank="1" showInputMessage="1" showErrorMessage="1" promptTitle="Swim (20%)" prompt="- 有能力在水或者其他液体中漂浮以及移动。_x000a_- 只有在遭遇危险的时候需要进行游泳技能检定，或者当 KP认为合适的时候。" sqref="AB38:AC38" xr:uid="{00000000-0002-0000-0000-000038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xr:uid="{00000000-0002-0000-0000-000039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xr:uid="{00000000-0002-0000-0000-00003A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xr:uid="{00000000-0002-0000-0000-00003B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xr:uid="{00000000-0002-0000-0000-00003C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xr:uid="{00000000-0002-0000-0000-00003D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xr:uid="{00000000-0002-0000-0000-00003E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xr:uid="{00000000-0002-0000-0000-00003F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xr:uid="{00000000-0002-0000-0000-000040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xr:uid="{00000000-0002-0000-0000-000041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xr:uid="{00000000-0002-0000-0000-000042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xr:uid="{00000000-0002-0000-0000-000043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xr:uid="{00000000-0002-0000-0000-000044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xr:uid="{00000000-0002-0000-0000-000045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xr:uid="{00000000-0002-0000-0000-000046000000}"/>
    <dataValidation allowBlank="1" showInputMessage="1" showErrorMessage="1" promptTitle="关键连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0:AS60" xr:uid="{00000000-0002-0000-0000-000047000000}"/>
    <dataValidation type="list" allowBlank="1" showErrorMessage="1" sqref="AR61" xr:uid="{00000000-0002-0000-0000-000048000000}">
      <formula1>"☐,☑"</formula1>
    </dataValidation>
    <dataValidation type="list" allowBlank="1" showInputMessage="1" showErrorMessage="1" sqref="AR63 AR65:AR67 AR69:AR71 AR73:AR76" xr:uid="{00000000-0002-0000-0000-00004A000000}">
      <formula1>"☐,☑"</formula1>
    </dataValidation>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4B000000}"/>
    <dataValidation allowBlank="1" showInputMessage="1" showErrorMessage="1" promptTitle="编号" prompt="编号用于属性栏内的“使用过的魔法”。" sqref="W113" xr:uid="{00000000-0002-0000-0000-00004C000000}"/>
    <dataValidation type="whole" allowBlank="1" showInputMessage="1" showErrorMessage="1" sqref="BL129:BR129" xr:uid="{00000000-0002-0000-0000-00004E000000}">
      <formula1>1890</formula1>
      <formula2>2023</formula2>
    </dataValidation>
    <dataValidation type="list" allowBlank="1" showInputMessage="1" showErrorMessage="1" sqref="S139 U139" xr:uid="{00000000-0002-0000-0000-00004F000000}">
      <formula1>"1,2,3,4,5,6,7,8,9,10"</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6:B25 B28:B49 X16:X49" xr:uid="{00000000-0002-0000-0000-000053000000}">
      <formula1>"☐,☑"</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56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xr:uid="{00000000-0002-0000-0000-000057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xr:uid="{00000000-0002-0000-0000-000058000000}"/>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xr:uid="{00000000-0002-0000-0000-00005A000000}"/>
    <dataValidation type="whole" errorStyle="warning" allowBlank="1" showErrorMessage="1" errorTitle="警告" error="人类力量范围为0~99" sqref="U3:U4" xr:uid="{00000000-0002-0000-0000-00005B000000}">
      <formula1>1</formula1>
      <formula2>99</formula2>
    </dataValidation>
    <dataValidation type="whole" errorStyle="warning" allowBlank="1" showInputMessage="1" showErrorMessage="1" errorTitle="警告" error="人类体质范围为0~99" sqref="U5:U6" xr:uid="{00000000-0002-0000-0000-00005C000000}">
      <formula1>0</formula1>
      <formula2>99</formula2>
    </dataValidation>
    <dataValidation type="whole" errorStyle="warning" operator="greaterThanOrEqual" allowBlank="1" showInputMessage="1" promptTitle="提示" prompt="部分人类体型可以超99" sqref="U7:U8" xr:uid="{00000000-0002-0000-0000-00005D000000}">
      <formula1>9</formula1>
    </dataValidation>
    <dataValidation type="whole" errorStyle="warning" allowBlank="1" showInputMessage="1" showErrorMessage="1" errorTitle="警告" error="人类敏捷范围为0~99" sqref="AA3:AA4" xr:uid="{00000000-0002-0000-0000-00005E000000}">
      <formula1>0</formula1>
      <formula2>99</formula2>
    </dataValidation>
    <dataValidation type="whole" errorStyle="warning" allowBlank="1" showInputMessage="1" showErrorMessage="1" errorTitle="警告" error="人类外貌范围为0~99" sqref="AA5:AA6" xr:uid="{00000000-0002-0000-0000-00005F000000}">
      <formula1>0</formula1>
      <formula2>99</formula2>
    </dataValidation>
    <dataValidation type="whole" errorStyle="warning" allowBlank="1" showInputMessage="1" showErrorMessage="1" errorTitle="警告" error="人类智力范围为0~99" sqref="AA7:AA8" xr:uid="{00000000-0002-0000-0000-000060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xr:uid="{00000000-0002-0000-0000-000061000000}"/>
    <dataValidation type="whole" operator="greaterThanOrEqual" allowBlank="1" showInputMessage="1" showErrorMessage="1" promptTitle="提示" prompt="人类意志可以超越100，但这是特例" sqref="AG3:AG4" xr:uid="{00000000-0002-0000-0000-000062000000}">
      <formula1>0</formula1>
    </dataValidation>
    <dataValidation type="whole" errorStyle="warning" allowBlank="1" showInputMessage="1" showErrorMessage="1" errorTitle="警告" error="人类教育范围为0~99" sqref="AG5:AG6" xr:uid="{00000000-0002-0000-0000-000063000000}">
      <formula1>0</formula1>
      <formula2>99</formula2>
    </dataValidation>
    <dataValidation type="list" allowBlank="1" showInputMessage="1" sqref="AD31:AE32" xr:uid="{00000000-0002-0000-0000-000064000000}">
      <formula1>"地质学,化学,生物学,数学,天文学,物理学,药学,植物学,动物学,密码学,工程学,气象学,司法科学,"</formula1>
    </dataValidation>
    <dataValidation type="list" allowBlank="1" showInputMessage="1" sqref="H35:I36" xr:uid="{00000000-0002-0000-0000-000065000000}">
      <formula1>"鞭子,电锯,链枷,绞具,斧,剑,矛,"</formula1>
    </dataValidation>
    <dataValidation type="list" allowBlank="1" showInputMessage="1" sqref="H39:I40" xr:uid="{00000000-0002-0000-0000-000066000000}">
      <formula1>"步枪/霰弹枪,冲锋枪,弓术,喷射器,机枪,重武器,"</formula1>
    </dataValidation>
  </dataValidations>
  <pageMargins left="0.75" right="0.75" top="1" bottom="1" header="0.50902777777777797" footer="0.50902777777777797"/>
  <ignoredErrors>
    <ignoredError sqref="AI6 AI4 AC6 AC4 W4 W6" formula="1"/>
  </ignoredErrors>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1000000}">
          <x14:formula1>
            <xm:f>职业列表!$A$2:$A$232</xm:f>
          </x14:formula1>
          <xm:sqref>M5:N5</xm:sqref>
        </x14:dataValidation>
        <x14:dataValidation type="list" allowBlank="1" showInputMessage="1" showErrorMessage="1" xr:uid="{00000000-0002-0000-0000-000009000000}">
          <x14:formula1>
            <xm:f>附表!$R$17:$R$21</xm:f>
          </x14:formula1>
          <xm:sqref>I11:J11</xm:sqref>
        </x14:dataValidation>
        <x14:dataValidation type="list" allowBlank="1" showInputMessage="1" showErrorMessage="1" xr:uid="{00000000-0002-0000-0000-00000E000000}">
          <x14:formula1>
            <xm:f>'防具表 载具表'!$B$2:$B$82</xm:f>
          </x14:formula1>
          <xm:sqref>AN12</xm:sqref>
        </x14:dataValidation>
        <x14:dataValidation type="list" allowBlank="1" showInputMessage="1" showErrorMessage="1" xr:uid="{00000000-0002-0000-0000-000049000000}">
          <x14:formula1>
            <xm:f>附表!$Z$243:$Z$263</xm:f>
          </x14:formula1>
          <xm:sqref>S62:U62</xm:sqref>
        </x14:dataValidation>
        <x14:dataValidation type="list" allowBlank="1" showInputMessage="1" showErrorMessage="1" xr:uid="{00000000-0002-0000-0000-00004D000000}">
          <x14:formula1>
            <xm:f>附表!$AT$25:$AT$30</xm:f>
          </x14:formula1>
          <xm:sqref>AZ129</xm:sqref>
        </x14:dataValidation>
        <x14:dataValidation type="list" allowBlank="1" showInputMessage="1" showErrorMessage="1" xr:uid="{00000000-0002-0000-0000-000050000000}">
          <x14:formula1>
            <xm:f>附表!$AX$166:$AX$188</xm:f>
          </x14:formula1>
          <xm:sqref>AU144:BB144</xm:sqref>
        </x14:dataValidation>
        <x14:dataValidation type="list" allowBlank="1" showInputMessage="1" showErrorMessage="1" xr:uid="{00000000-0002-0000-0000-000051000000}">
          <x14:formula1>
            <xm:f>附表!$BA$166:$BA$211</xm:f>
          </x14:formula1>
          <xm:sqref>BC144:BJ144</xm:sqref>
        </x14:dataValidation>
        <x14:dataValidation type="list" allowBlank="1" showInputMessage="1" showErrorMessage="1" xr:uid="{00000000-0002-0000-0000-000052000000}">
          <x14:formula1>
            <xm:f>附表!$BC$166:$BC$491</xm:f>
          </x14:formula1>
          <xm:sqref>BK144:BR144</xm:sqref>
        </x14:dataValidation>
        <x14:dataValidation type="list" allowBlank="1" showInputMessage="1" showErrorMessage="1" xr:uid="{00000000-0002-0000-0000-000054000000}">
          <x14:formula1>
            <xm:f>附表!$Q$23:$Q$25</xm:f>
          </x14:formula1>
          <xm:sqref>B79:B89</xm:sqref>
        </x14:dataValidation>
        <x14:dataValidation type="list" allowBlank="1" showInputMessage="1" showErrorMessage="1" xr:uid="{00000000-0002-0000-0000-000055000000}">
          <x14:formula1>
            <xm:f>附表!$O$16:$O$58</xm:f>
          </x14:formula1>
          <xm:sqref>D79:D89</xm:sqref>
        </x14:dataValidation>
        <x14:dataValidation type="list" allowBlank="1" showInputMessage="1" showErrorMessage="1" xr:uid="{00000000-0002-0000-0000-000059000000}">
          <x14:formula1>
            <xm:f>'武器列表 战斗'!$B$2:$B$106</xm:f>
          </x14:formula1>
          <xm:sqref>G54:G56</xm:sqref>
        </x14:dataValidation>
        <x14:dataValidation type="list" allowBlank="1" showInputMessage="1" showErrorMessage="1" xr:uid="{00000000-0002-0000-0000-000067000000}">
          <x14:formula1>
            <xm:f>附表!$B$20:$B$26</xm:f>
          </x14:formula1>
          <xm:sqref>F113:I116</xm:sqref>
        </x14:dataValidation>
        <x14:dataValidation type="list" allowBlank="1" showInputMessage="1" showErrorMessage="1" xr:uid="{00000000-0002-0000-0000-000068000000}">
          <x14:formula1>
            <xm:f>附表!$X$25:$X$93</xm:f>
          </x14:formula1>
          <xm:sqref>BA18:BR22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showRowColHeaders="0" workbookViewId="0">
      <pane ySplit="1" topLeftCell="A97" activePane="bottomLeft" state="frozen"/>
      <selection pane="bottomLeft" activeCell="A102" sqref="A102"/>
    </sheetView>
  </sheetViews>
  <sheetFormatPr defaultColWidth="8.875" defaultRowHeight="14.25"/>
  <cols>
    <col min="1" max="1" width="20.75" style="31" customWidth="1"/>
    <col min="2" max="2" width="30" style="31" customWidth="1"/>
    <col min="3" max="3" width="12.125" style="31" customWidth="1"/>
    <col min="4" max="4" width="14.75" style="31" customWidth="1"/>
    <col min="5" max="5" width="8.75" style="31" customWidth="1"/>
    <col min="6" max="6" width="4.625" style="31" customWidth="1"/>
    <col min="7" max="7" width="10.75" style="31" customWidth="1"/>
    <col min="8" max="8" width="8" style="31" customWidth="1"/>
    <col min="9" max="9" width="7.75" style="31" customWidth="1"/>
    <col min="10" max="10" width="9.625" style="31" customWidth="1"/>
    <col min="11" max="12" width="13" style="32" customWidth="1"/>
    <col min="13" max="13" width="8.625" style="32" customWidth="1"/>
    <col min="14" max="14" width="9.125" style="32" customWidth="1"/>
    <col min="15" max="17" width="8.875" style="32" customWidth="1"/>
    <col min="18" max="18" width="10.25" style="32" customWidth="1"/>
    <col min="19" max="20" width="8.875" style="32" customWidth="1"/>
    <col min="21" max="22" width="39.25" style="32" hidden="1" customWidth="1"/>
    <col min="23" max="23" width="12.125" style="32" customWidth="1"/>
    <col min="24" max="24" width="14.75" style="32" customWidth="1"/>
    <col min="25" max="25" width="8.75" style="32" customWidth="1"/>
    <col min="26" max="26" width="4.625" style="32" customWidth="1"/>
    <col min="27" max="27" width="15.25" style="32" customWidth="1"/>
    <col min="28" max="29" width="7.75" style="32" customWidth="1"/>
    <col min="30" max="30" width="9.625" style="32" customWidth="1"/>
    <col min="31" max="31" width="13" style="32" customWidth="1"/>
    <col min="32" max="36" width="8.875" style="32" customWidth="1"/>
    <col min="37" max="37" width="9.625" style="32" customWidth="1"/>
    <col min="38" max="38" width="8.875" style="32" customWidth="1"/>
    <col min="39" max="16384" width="8.875" style="32"/>
  </cols>
  <sheetData>
    <row r="1" spans="1:37" ht="21" customHeight="1">
      <c r="B1" s="222" t="s">
        <v>4560</v>
      </c>
      <c r="C1" s="222" t="s">
        <v>312</v>
      </c>
      <c r="D1" s="222" t="s">
        <v>165</v>
      </c>
      <c r="E1" s="222" t="s">
        <v>4561</v>
      </c>
      <c r="F1" s="222" t="s">
        <v>167</v>
      </c>
      <c r="G1" s="222" t="s">
        <v>4562</v>
      </c>
      <c r="H1" s="222" t="s">
        <v>169</v>
      </c>
      <c r="I1" s="222" t="s">
        <v>170</v>
      </c>
      <c r="J1" s="222" t="s">
        <v>4563</v>
      </c>
      <c r="K1" s="267" t="s">
        <v>4564</v>
      </c>
      <c r="L1" s="267" t="s">
        <v>4565</v>
      </c>
      <c r="M1" s="268" t="s">
        <v>162</v>
      </c>
      <c r="N1" s="3205" t="s">
        <v>268</v>
      </c>
      <c r="O1" s="3206"/>
      <c r="P1" s="3206"/>
      <c r="Q1" s="3206"/>
      <c r="R1" s="3206"/>
      <c r="S1" s="73"/>
      <c r="T1" s="73"/>
      <c r="U1" s="32" t="str">
        <f>人物卡!M4</f>
        <v>现代</v>
      </c>
      <c r="V1" s="287"/>
      <c r="W1" s="148"/>
      <c r="X1" s="148"/>
      <c r="Y1" s="148"/>
      <c r="Z1" s="148"/>
      <c r="AA1" s="148"/>
      <c r="AB1" s="148"/>
      <c r="AC1" s="148"/>
      <c r="AD1" s="148"/>
      <c r="AE1" s="293"/>
      <c r="AF1" s="148"/>
      <c r="AG1" s="148"/>
      <c r="AH1" s="148"/>
      <c r="AI1" s="148"/>
      <c r="AJ1" s="148"/>
      <c r="AK1" s="148"/>
    </row>
    <row r="2" spans="1:37" ht="14.25" customHeight="1">
      <c r="A2" s="3143" t="s">
        <v>4566</v>
      </c>
      <c r="B2" s="223" t="str">
        <f t="shared" ref="B2:B65" si="0">IF(OR(J2="1920s,现代",$U$1="其他",J2=$U$1,J2="罕见"),U2,"-"&amp;U2)</f>
        <v>弓箭</v>
      </c>
      <c r="C2" s="224" t="s">
        <v>4567</v>
      </c>
      <c r="D2" s="225" t="s">
        <v>4568</v>
      </c>
      <c r="E2" s="225" t="s">
        <v>4569</v>
      </c>
      <c r="F2" s="225" t="s">
        <v>175</v>
      </c>
      <c r="G2" s="225" t="s">
        <v>4570</v>
      </c>
      <c r="H2" s="225" t="s">
        <v>4570</v>
      </c>
      <c r="I2" s="225" t="s">
        <v>4571</v>
      </c>
      <c r="J2" s="225" t="s">
        <v>4572</v>
      </c>
      <c r="K2" s="225" t="s">
        <v>4573</v>
      </c>
      <c r="L2" s="269" t="s">
        <v>92</v>
      </c>
      <c r="M2" s="3094" t="s">
        <v>4574</v>
      </c>
      <c r="N2" s="3227" t="s">
        <v>4575</v>
      </c>
      <c r="O2" s="3228"/>
      <c r="P2" s="3228"/>
      <c r="Q2" s="3228"/>
      <c r="R2" s="3229"/>
      <c r="S2" s="73"/>
      <c r="T2" s="288" t="s">
        <v>4576</v>
      </c>
      <c r="U2" s="32" t="s">
        <v>4577</v>
      </c>
      <c r="V2" s="32" t="str">
        <f t="shared" ref="V2:V21" si="1">IF(OR(J2="1920s,现代",$U$1="其他",J2=$U$1,AND(J2="1920s,罕见",$U$1="1920s"),J2="罕见"),U2,"-"&amp;U2)</f>
        <v>弓箭</v>
      </c>
      <c r="W2" s="289"/>
      <c r="X2" s="290"/>
      <c r="Y2" s="290"/>
      <c r="Z2" s="290"/>
      <c r="AA2" s="290"/>
      <c r="AB2" s="290"/>
      <c r="AC2" s="290"/>
      <c r="AD2" s="290"/>
      <c r="AE2" s="294"/>
      <c r="AF2" s="295"/>
      <c r="AG2" s="149"/>
      <c r="AH2" s="149"/>
      <c r="AI2" s="149"/>
      <c r="AJ2" s="149"/>
      <c r="AK2" s="149"/>
    </row>
    <row r="3" spans="1:37" ht="14.25" customHeight="1">
      <c r="A3" s="3144"/>
      <c r="B3" s="226" t="str">
        <f t="shared" si="0"/>
        <v>黄铜指虎</v>
      </c>
      <c r="C3" s="227" t="s">
        <v>120</v>
      </c>
      <c r="D3" s="228" t="s">
        <v>4578</v>
      </c>
      <c r="E3" s="228" t="s">
        <v>4579</v>
      </c>
      <c r="F3" s="228" t="s">
        <v>175</v>
      </c>
      <c r="G3" s="228" t="s">
        <v>4570</v>
      </c>
      <c r="H3" s="228" t="s">
        <v>92</v>
      </c>
      <c r="I3" s="228" t="s">
        <v>92</v>
      </c>
      <c r="J3" s="228" t="s">
        <v>4572</v>
      </c>
      <c r="K3" s="228" t="s">
        <v>4580</v>
      </c>
      <c r="L3" s="270">
        <v>1870</v>
      </c>
      <c r="M3" s="3095"/>
      <c r="N3" s="3230"/>
      <c r="O3" s="3231"/>
      <c r="P3" s="3231"/>
      <c r="Q3" s="3231"/>
      <c r="R3" s="3232"/>
      <c r="S3" s="73"/>
      <c r="T3" s="288" t="s">
        <v>4581</v>
      </c>
      <c r="U3" s="31" t="s">
        <v>4582</v>
      </c>
      <c r="V3" s="32" t="str">
        <f t="shared" si="1"/>
        <v>黄铜指虎</v>
      </c>
      <c r="W3" s="289"/>
      <c r="X3" s="290"/>
      <c r="Y3" s="290"/>
      <c r="Z3" s="290"/>
      <c r="AA3" s="290"/>
      <c r="AB3" s="290"/>
      <c r="AC3" s="290"/>
      <c r="AD3" s="290"/>
      <c r="AE3" s="296"/>
      <c r="AF3" s="295"/>
      <c r="AG3" s="149"/>
      <c r="AH3" s="149"/>
      <c r="AI3" s="149"/>
      <c r="AJ3" s="149"/>
      <c r="AK3" s="149"/>
    </row>
    <row r="4" spans="1:37" ht="14.25" customHeight="1">
      <c r="A4" s="3144"/>
      <c r="B4" s="229" t="str">
        <f t="shared" si="0"/>
        <v>-长鞭</v>
      </c>
      <c r="C4" s="230" t="s">
        <v>2624</v>
      </c>
      <c r="D4" s="231" t="s">
        <v>4583</v>
      </c>
      <c r="E4" s="231" t="s">
        <v>4584</v>
      </c>
      <c r="F4" s="231" t="s">
        <v>175</v>
      </c>
      <c r="G4" s="231" t="s">
        <v>4570</v>
      </c>
      <c r="H4" s="231" t="s">
        <v>92</v>
      </c>
      <c r="I4" s="231" t="s">
        <v>92</v>
      </c>
      <c r="J4" s="231" t="s">
        <v>13</v>
      </c>
      <c r="K4" s="231" t="s">
        <v>4585</v>
      </c>
      <c r="L4" s="271" t="s">
        <v>92</v>
      </c>
      <c r="M4" s="3095"/>
      <c r="N4" s="3230"/>
      <c r="O4" s="3231"/>
      <c r="P4" s="3231"/>
      <c r="Q4" s="3231"/>
      <c r="R4" s="3232"/>
      <c r="S4" s="73"/>
      <c r="T4" s="288" t="s">
        <v>4586</v>
      </c>
      <c r="U4" s="32" t="s">
        <v>4587</v>
      </c>
      <c r="V4" s="32" t="str">
        <f t="shared" si="1"/>
        <v>-长鞭</v>
      </c>
      <c r="W4" s="289"/>
      <c r="X4" s="290"/>
      <c r="Y4" s="290"/>
      <c r="Z4" s="290"/>
      <c r="AA4" s="290"/>
      <c r="AB4" s="290"/>
      <c r="AC4" s="290"/>
      <c r="AD4" s="290"/>
      <c r="AE4" s="290"/>
      <c r="AF4" s="295"/>
      <c r="AG4" s="149"/>
      <c r="AH4" s="149"/>
      <c r="AI4" s="149"/>
      <c r="AJ4" s="149"/>
      <c r="AK4" s="149"/>
    </row>
    <row r="5" spans="1:37" ht="14.25" customHeight="1">
      <c r="A5" s="3144"/>
      <c r="B5" s="226" t="str">
        <f t="shared" si="0"/>
        <v>燃烧的火把</v>
      </c>
      <c r="C5" s="227" t="s">
        <v>120</v>
      </c>
      <c r="D5" s="228" t="s">
        <v>4588</v>
      </c>
      <c r="E5" s="228" t="s">
        <v>4579</v>
      </c>
      <c r="F5" s="228" t="s">
        <v>175</v>
      </c>
      <c r="G5" s="228" t="s">
        <v>4570</v>
      </c>
      <c r="H5" s="228" t="s">
        <v>92</v>
      </c>
      <c r="I5" s="228" t="s">
        <v>92</v>
      </c>
      <c r="J5" s="228" t="s">
        <v>4572</v>
      </c>
      <c r="K5" s="228" t="s">
        <v>4589</v>
      </c>
      <c r="L5" s="270" t="s">
        <v>92</v>
      </c>
      <c r="M5" s="3095"/>
      <c r="N5" s="3230"/>
      <c r="O5" s="3231"/>
      <c r="P5" s="3231"/>
      <c r="Q5" s="3231"/>
      <c r="R5" s="3232"/>
      <c r="S5" s="73"/>
      <c r="T5" s="288" t="s">
        <v>4590</v>
      </c>
      <c r="U5" s="32" t="s">
        <v>4591</v>
      </c>
      <c r="V5" s="32" t="str">
        <f t="shared" si="1"/>
        <v>燃烧的火把</v>
      </c>
      <c r="W5" s="289"/>
      <c r="X5" s="290"/>
      <c r="Y5" s="290"/>
      <c r="Z5" s="290"/>
      <c r="AA5" s="290"/>
      <c r="AB5" s="290"/>
      <c r="AC5" s="290"/>
      <c r="AD5" s="290"/>
      <c r="AE5" s="290"/>
      <c r="AF5" s="295"/>
      <c r="AG5" s="149"/>
      <c r="AH5" s="149"/>
      <c r="AI5" s="149"/>
      <c r="AJ5" s="149"/>
      <c r="AK5" s="149"/>
    </row>
    <row r="6" spans="1:37" ht="14.25" customHeight="1">
      <c r="A6" s="3144"/>
      <c r="B6" s="232" t="str">
        <f>IF(OR(J6="1920s,现代",$U$1="其他",J6=$U$1,J6="罕见"),U6,"-"&amp;U6)</f>
        <v>电锯</v>
      </c>
      <c r="C6" s="233" t="s">
        <v>2635</v>
      </c>
      <c r="D6" s="234" t="s">
        <v>4592</v>
      </c>
      <c r="E6" s="234" t="s">
        <v>4579</v>
      </c>
      <c r="F6" s="234" t="s">
        <v>516</v>
      </c>
      <c r="G6" s="234" t="s">
        <v>4570</v>
      </c>
      <c r="H6" s="234" t="s">
        <v>92</v>
      </c>
      <c r="I6" s="234" t="s">
        <v>4593</v>
      </c>
      <c r="J6" s="234" t="s">
        <v>3276</v>
      </c>
      <c r="K6" s="234" t="s">
        <v>4594</v>
      </c>
      <c r="L6" s="272" t="s">
        <v>4595</v>
      </c>
      <c r="M6" s="3095"/>
      <c r="N6" s="3230"/>
      <c r="O6" s="3231"/>
      <c r="P6" s="3231"/>
      <c r="Q6" s="3231"/>
      <c r="R6" s="3232"/>
      <c r="S6" s="73"/>
      <c r="T6" s="288" t="s">
        <v>4592</v>
      </c>
      <c r="U6" s="32" t="s">
        <v>2635</v>
      </c>
      <c r="V6" s="32" t="str">
        <f t="shared" si="1"/>
        <v>电锯</v>
      </c>
      <c r="W6" s="289"/>
      <c r="X6" s="290"/>
      <c r="Y6" s="290"/>
      <c r="Z6" s="290"/>
      <c r="AA6" s="290"/>
      <c r="AB6" s="290"/>
      <c r="AC6" s="290"/>
      <c r="AD6" s="290"/>
      <c r="AE6" s="296"/>
      <c r="AF6" s="295"/>
      <c r="AG6" s="149"/>
      <c r="AH6" s="149"/>
      <c r="AI6" s="149"/>
      <c r="AJ6" s="149"/>
      <c r="AK6" s="149"/>
    </row>
    <row r="7" spans="1:37" ht="14.25" customHeight="1">
      <c r="A7" s="3144"/>
      <c r="B7" s="235" t="str">
        <f t="shared" si="0"/>
        <v>包皮铁棍(甩棍、大头棍、护身棒)</v>
      </c>
      <c r="C7" s="236" t="s">
        <v>120</v>
      </c>
      <c r="D7" s="237" t="s">
        <v>4596</v>
      </c>
      <c r="E7" s="237" t="s">
        <v>4579</v>
      </c>
      <c r="F7" s="237" t="s">
        <v>175</v>
      </c>
      <c r="G7" s="237" t="s">
        <v>4570</v>
      </c>
      <c r="H7" s="237" t="s">
        <v>92</v>
      </c>
      <c r="I7" s="237" t="s">
        <v>92</v>
      </c>
      <c r="J7" s="237" t="s">
        <v>4572</v>
      </c>
      <c r="K7" s="237" t="s">
        <v>4597</v>
      </c>
      <c r="L7" s="273" t="s">
        <v>4598</v>
      </c>
      <c r="M7" s="3095"/>
      <c r="N7" s="3230"/>
      <c r="O7" s="3231"/>
      <c r="P7" s="3231"/>
      <c r="Q7" s="3231"/>
      <c r="R7" s="3232"/>
      <c r="S7" s="73"/>
      <c r="T7" s="288" t="s">
        <v>4599</v>
      </c>
      <c r="U7" s="32" t="s">
        <v>4600</v>
      </c>
      <c r="V7" s="32" t="str">
        <f t="shared" si="1"/>
        <v>包皮铁棍(甩棍、大头棍、护身棒)</v>
      </c>
      <c r="W7" s="289"/>
      <c r="X7" s="290"/>
      <c r="Y7" s="290"/>
      <c r="Z7" s="290"/>
      <c r="AA7" s="290"/>
      <c r="AB7" s="290"/>
      <c r="AC7" s="290"/>
      <c r="AD7" s="290"/>
      <c r="AE7" s="290"/>
      <c r="AF7" s="295"/>
      <c r="AG7" s="149"/>
      <c r="AH7" s="149"/>
      <c r="AI7" s="149"/>
      <c r="AJ7" s="149"/>
      <c r="AK7" s="149"/>
    </row>
    <row r="8" spans="1:37" ht="14.25" customHeight="1">
      <c r="A8" s="3144"/>
      <c r="B8" s="229" t="str">
        <f t="shared" si="0"/>
        <v>大型棍状物(棒球棍、板球棒、拨火棍等)</v>
      </c>
      <c r="C8" s="230" t="s">
        <v>120</v>
      </c>
      <c r="D8" s="231" t="s">
        <v>4596</v>
      </c>
      <c r="E8" s="231" t="s">
        <v>4579</v>
      </c>
      <c r="F8" s="231" t="s">
        <v>175</v>
      </c>
      <c r="G8" s="231" t="s">
        <v>4570</v>
      </c>
      <c r="H8" s="231" t="s">
        <v>92</v>
      </c>
      <c r="I8" s="231" t="s">
        <v>92</v>
      </c>
      <c r="J8" s="231" t="s">
        <v>4572</v>
      </c>
      <c r="K8" s="231" t="s">
        <v>4601</v>
      </c>
      <c r="L8" s="271" t="s">
        <v>92</v>
      </c>
      <c r="M8" s="3095"/>
      <c r="N8" s="3230"/>
      <c r="O8" s="3231"/>
      <c r="P8" s="3231"/>
      <c r="Q8" s="3231"/>
      <c r="R8" s="3232"/>
      <c r="S8" s="73"/>
      <c r="T8" s="288" t="s">
        <v>4599</v>
      </c>
      <c r="U8" s="32" t="s">
        <v>4602</v>
      </c>
      <c r="V8" s="32" t="str">
        <f t="shared" si="1"/>
        <v>大型棍状物(棒球棍、板球棒、拨火棍等)</v>
      </c>
      <c r="W8" s="289"/>
      <c r="X8" s="290"/>
      <c r="Y8" s="290"/>
      <c r="Z8" s="290"/>
      <c r="AA8" s="290"/>
      <c r="AB8" s="290"/>
      <c r="AC8" s="290"/>
      <c r="AD8" s="290"/>
      <c r="AE8" s="290"/>
      <c r="AF8" s="295"/>
      <c r="AG8" s="149"/>
      <c r="AH8" s="149"/>
      <c r="AI8" s="149"/>
      <c r="AJ8" s="149"/>
      <c r="AK8" s="149"/>
    </row>
    <row r="9" spans="1:37" ht="14.25" customHeight="1">
      <c r="A9" s="3144"/>
      <c r="B9" s="226" t="str">
        <f>IF(OR(J9="1920s,现代",$U$1="其他",J9=$U$1,J9="罕见"),U9,"-"&amp;U9)</f>
        <v>小型棍状物(警棍等)</v>
      </c>
      <c r="C9" s="227" t="s">
        <v>120</v>
      </c>
      <c r="D9" s="228" t="s">
        <v>4603</v>
      </c>
      <c r="E9" s="228" t="s">
        <v>4579</v>
      </c>
      <c r="F9" s="228" t="s">
        <v>175</v>
      </c>
      <c r="G9" s="228" t="s">
        <v>4570</v>
      </c>
      <c r="H9" s="228" t="s">
        <v>92</v>
      </c>
      <c r="I9" s="228" t="s">
        <v>92</v>
      </c>
      <c r="J9" s="228" t="s">
        <v>4572</v>
      </c>
      <c r="K9" s="228" t="s">
        <v>4601</v>
      </c>
      <c r="L9" s="270" t="s">
        <v>92</v>
      </c>
      <c r="M9" s="3095"/>
      <c r="N9" s="3230"/>
      <c r="O9" s="3231"/>
      <c r="P9" s="3231"/>
      <c r="Q9" s="3231"/>
      <c r="R9" s="3232"/>
      <c r="S9" s="73"/>
      <c r="T9" s="288" t="s">
        <v>4604</v>
      </c>
      <c r="U9" s="32" t="s">
        <v>4605</v>
      </c>
      <c r="V9" s="32" t="str">
        <f t="shared" si="1"/>
        <v>小型棍状物(警棍等)</v>
      </c>
      <c r="W9" s="289"/>
      <c r="X9" s="290"/>
      <c r="Y9" s="290"/>
      <c r="Z9" s="290"/>
      <c r="AA9" s="290"/>
      <c r="AB9" s="290"/>
      <c r="AC9" s="290"/>
      <c r="AD9" s="290"/>
      <c r="AE9" s="290"/>
      <c r="AF9" s="295"/>
      <c r="AG9" s="149"/>
      <c r="AH9" s="149"/>
      <c r="AI9" s="149"/>
      <c r="AJ9" s="149"/>
      <c r="AK9" s="149"/>
    </row>
    <row r="10" spans="1:37" ht="14.25" customHeight="1">
      <c r="A10" s="3144"/>
      <c r="B10" s="229" t="str">
        <f t="shared" si="0"/>
        <v>弩</v>
      </c>
      <c r="C10" s="230" t="s">
        <v>4567</v>
      </c>
      <c r="D10" s="231" t="s">
        <v>4606</v>
      </c>
      <c r="E10" s="231" t="s">
        <v>4607</v>
      </c>
      <c r="F10" s="231" t="s">
        <v>516</v>
      </c>
      <c r="G10" s="231" t="s">
        <v>4608</v>
      </c>
      <c r="H10" s="231" t="s">
        <v>4570</v>
      </c>
      <c r="I10" s="231" t="s">
        <v>4609</v>
      </c>
      <c r="J10" s="231" t="s">
        <v>4572</v>
      </c>
      <c r="K10" s="231" t="s">
        <v>4610</v>
      </c>
      <c r="L10" s="271" t="s">
        <v>4611</v>
      </c>
      <c r="M10" s="3095"/>
      <c r="N10" s="3233"/>
      <c r="O10" s="3234"/>
      <c r="P10" s="3234"/>
      <c r="Q10" s="3234"/>
      <c r="R10" s="3235"/>
      <c r="S10" s="73"/>
      <c r="T10" s="288" t="s">
        <v>4606</v>
      </c>
      <c r="U10" s="32" t="s">
        <v>4612</v>
      </c>
      <c r="V10" s="32" t="str">
        <f t="shared" si="1"/>
        <v>弩</v>
      </c>
      <c r="W10" s="289"/>
      <c r="X10" s="290"/>
      <c r="Y10" s="290"/>
      <c r="Z10" s="290"/>
      <c r="AA10" s="290"/>
      <c r="AB10" s="290"/>
      <c r="AC10" s="290"/>
      <c r="AD10" s="290"/>
      <c r="AE10" s="290"/>
      <c r="AF10" s="295"/>
    </row>
    <row r="11" spans="1:37" ht="14.25" customHeight="1">
      <c r="A11" s="3144"/>
      <c r="B11" s="238" t="str">
        <f t="shared" si="0"/>
        <v>绞具</v>
      </c>
      <c r="C11" s="239" t="s">
        <v>2663</v>
      </c>
      <c r="D11" s="240" t="s">
        <v>4603</v>
      </c>
      <c r="E11" s="240" t="s">
        <v>4579</v>
      </c>
      <c r="F11" s="240" t="s">
        <v>516</v>
      </c>
      <c r="G11" s="240" t="s">
        <v>4570</v>
      </c>
      <c r="H11" s="240" t="s">
        <v>92</v>
      </c>
      <c r="I11" s="240" t="s">
        <v>92</v>
      </c>
      <c r="J11" s="240" t="s">
        <v>4572</v>
      </c>
      <c r="K11" s="240" t="s">
        <v>4613</v>
      </c>
      <c r="L11" s="274" t="s">
        <v>92</v>
      </c>
      <c r="M11" s="3095"/>
      <c r="N11" s="3236" t="s">
        <v>4614</v>
      </c>
      <c r="O11" s="3237"/>
      <c r="P11" s="3237"/>
      <c r="Q11" s="3237"/>
      <c r="R11" s="3238"/>
      <c r="S11" s="73"/>
      <c r="T11" s="288" t="s">
        <v>4604</v>
      </c>
      <c r="U11" s="32" t="s">
        <v>2663</v>
      </c>
      <c r="V11" s="32" t="str">
        <f t="shared" si="1"/>
        <v>绞具</v>
      </c>
      <c r="W11" s="289"/>
      <c r="X11" s="290"/>
      <c r="Y11" s="290"/>
      <c r="Z11" s="290"/>
      <c r="AA11" s="290"/>
      <c r="AB11" s="290"/>
      <c r="AC11" s="290"/>
      <c r="AD11" s="290"/>
      <c r="AE11" s="290"/>
      <c r="AF11" s="295"/>
    </row>
    <row r="12" spans="1:37" ht="14.25" customHeight="1">
      <c r="A12" s="3144"/>
      <c r="B12" s="229" t="str">
        <f t="shared" si="0"/>
        <v>手斧/镰刀</v>
      </c>
      <c r="C12" s="230" t="s">
        <v>2646</v>
      </c>
      <c r="D12" s="231" t="s">
        <v>4615</v>
      </c>
      <c r="E12" s="231" t="s">
        <v>4579</v>
      </c>
      <c r="F12" s="231" t="s">
        <v>516</v>
      </c>
      <c r="G12" s="231" t="s">
        <v>4570</v>
      </c>
      <c r="H12" s="231" t="s">
        <v>92</v>
      </c>
      <c r="I12" s="231" t="s">
        <v>92</v>
      </c>
      <c r="J12" s="231" t="s">
        <v>4572</v>
      </c>
      <c r="K12" s="231" t="s">
        <v>4616</v>
      </c>
      <c r="L12" s="271" t="s">
        <v>92</v>
      </c>
      <c r="M12" s="3095"/>
      <c r="N12" s="3239"/>
      <c r="O12" s="3240"/>
      <c r="P12" s="3240"/>
      <c r="Q12" s="3240"/>
      <c r="R12" s="3241"/>
      <c r="S12" s="73"/>
      <c r="T12" s="288" t="s">
        <v>4617</v>
      </c>
      <c r="U12" s="32" t="s">
        <v>4618</v>
      </c>
      <c r="V12" s="32" t="str">
        <f t="shared" si="1"/>
        <v>手斧/镰刀</v>
      </c>
      <c r="W12" s="289"/>
      <c r="X12" s="290"/>
      <c r="Y12" s="290"/>
      <c r="Z12" s="290"/>
      <c r="AA12" s="290"/>
      <c r="AB12" s="290"/>
      <c r="AC12" s="290"/>
      <c r="AD12" s="290"/>
      <c r="AE12" s="290"/>
      <c r="AF12" s="295"/>
    </row>
    <row r="13" spans="1:37" ht="14.25" customHeight="1">
      <c r="A13" s="3144"/>
      <c r="B13" s="226" t="str">
        <f t="shared" si="0"/>
        <v>大型刀具(甘蔗刀等)</v>
      </c>
      <c r="C13" s="227" t="s">
        <v>120</v>
      </c>
      <c r="D13" s="228" t="s">
        <v>4596</v>
      </c>
      <c r="E13" s="228" t="s">
        <v>4579</v>
      </c>
      <c r="F13" s="228" t="s">
        <v>516</v>
      </c>
      <c r="G13" s="228" t="s">
        <v>4570</v>
      </c>
      <c r="H13" s="228" t="s">
        <v>92</v>
      </c>
      <c r="I13" s="228" t="s">
        <v>92</v>
      </c>
      <c r="J13" s="228" t="s">
        <v>4572</v>
      </c>
      <c r="K13" s="228" t="s">
        <v>4619</v>
      </c>
      <c r="L13" s="270" t="s">
        <v>92</v>
      </c>
      <c r="M13" s="3095"/>
      <c r="N13" s="3239"/>
      <c r="O13" s="3240"/>
      <c r="P13" s="3240"/>
      <c r="Q13" s="3240"/>
      <c r="R13" s="3241"/>
      <c r="S13" s="73"/>
      <c r="T13" s="288" t="s">
        <v>4599</v>
      </c>
      <c r="U13" s="32" t="s">
        <v>4620</v>
      </c>
      <c r="V13" s="32" t="str">
        <f t="shared" si="1"/>
        <v>大型刀具(甘蔗刀等)</v>
      </c>
      <c r="W13" s="289"/>
      <c r="X13" s="290"/>
      <c r="Y13" s="290"/>
      <c r="Z13" s="290"/>
      <c r="AA13" s="290"/>
      <c r="AB13" s="290"/>
      <c r="AC13" s="290"/>
      <c r="AD13" s="290"/>
      <c r="AE13" s="290"/>
      <c r="AF13" s="295"/>
    </row>
    <row r="14" spans="1:37" ht="14.25" customHeight="1">
      <c r="A14" s="3144"/>
      <c r="B14" s="229" t="str">
        <f t="shared" si="0"/>
        <v>中型刀具(切肉菜刀等)</v>
      </c>
      <c r="C14" s="230" t="s">
        <v>120</v>
      </c>
      <c r="D14" s="231" t="s">
        <v>4621</v>
      </c>
      <c r="E14" s="231" t="s">
        <v>4579</v>
      </c>
      <c r="F14" s="231" t="s">
        <v>516</v>
      </c>
      <c r="G14" s="231" t="s">
        <v>4570</v>
      </c>
      <c r="H14" s="231" t="s">
        <v>92</v>
      </c>
      <c r="I14" s="231" t="s">
        <v>92</v>
      </c>
      <c r="J14" s="231" t="s">
        <v>4572</v>
      </c>
      <c r="K14" s="231" t="s">
        <v>4597</v>
      </c>
      <c r="L14" s="271" t="s">
        <v>92</v>
      </c>
      <c r="M14" s="3095"/>
      <c r="N14" s="3239"/>
      <c r="O14" s="3240"/>
      <c r="P14" s="3240"/>
      <c r="Q14" s="3240"/>
      <c r="R14" s="3241"/>
      <c r="S14" s="73"/>
      <c r="T14" s="288" t="s">
        <v>4622</v>
      </c>
      <c r="U14" s="32" t="s">
        <v>4623</v>
      </c>
      <c r="V14" s="32" t="str">
        <f t="shared" si="1"/>
        <v>中型刀具(切肉菜刀等)</v>
      </c>
      <c r="W14" s="289"/>
      <c r="X14" s="290"/>
      <c r="Y14" s="290"/>
      <c r="Z14" s="290"/>
      <c r="AA14" s="290"/>
      <c r="AB14" s="290"/>
      <c r="AC14" s="290"/>
      <c r="AD14" s="290"/>
      <c r="AE14" s="290"/>
      <c r="AF14" s="295"/>
    </row>
    <row r="15" spans="1:37" ht="14.25" customHeight="1">
      <c r="A15" s="3144"/>
      <c r="B15" s="226" t="str">
        <f t="shared" si="0"/>
        <v>小型刀具(弹簧折叠刀等)</v>
      </c>
      <c r="C15" s="227" t="s">
        <v>120</v>
      </c>
      <c r="D15" s="228" t="s">
        <v>4624</v>
      </c>
      <c r="E15" s="228" t="s">
        <v>4579</v>
      </c>
      <c r="F15" s="228" t="s">
        <v>516</v>
      </c>
      <c r="G15" s="228" t="s">
        <v>4570</v>
      </c>
      <c r="H15" s="228" t="s">
        <v>92</v>
      </c>
      <c r="I15" s="228" t="s">
        <v>92</v>
      </c>
      <c r="J15" s="228" t="s">
        <v>4572</v>
      </c>
      <c r="K15" s="228" t="s">
        <v>4625</v>
      </c>
      <c r="L15" s="270" t="s">
        <v>92</v>
      </c>
      <c r="M15" s="3095"/>
      <c r="N15" s="3239" t="s">
        <v>4626</v>
      </c>
      <c r="O15" s="3240"/>
      <c r="P15" s="3240"/>
      <c r="Q15" s="3240"/>
      <c r="R15" s="3241"/>
      <c r="S15" s="73"/>
      <c r="T15" s="288" t="s">
        <v>4627</v>
      </c>
      <c r="U15" s="32" t="s">
        <v>4628</v>
      </c>
      <c r="V15" s="32" t="str">
        <f t="shared" si="1"/>
        <v>小型刀具(弹簧折叠刀等)</v>
      </c>
      <c r="W15" s="289"/>
      <c r="X15" s="290"/>
      <c r="Y15" s="290"/>
      <c r="Z15" s="290"/>
      <c r="AA15" s="296"/>
      <c r="AB15" s="290"/>
      <c r="AC15" s="290"/>
      <c r="AD15" s="290"/>
      <c r="AE15" s="290"/>
      <c r="AF15" s="295"/>
    </row>
    <row r="16" spans="1:37" ht="14.25" customHeight="1">
      <c r="A16" s="3144"/>
      <c r="B16" s="229" t="str">
        <f t="shared" si="0"/>
        <v>220v通电导线</v>
      </c>
      <c r="C16" s="230" t="s">
        <v>120</v>
      </c>
      <c r="D16" s="231" t="s">
        <v>4629</v>
      </c>
      <c r="E16" s="231" t="s">
        <v>4579</v>
      </c>
      <c r="F16" s="231" t="s">
        <v>175</v>
      </c>
      <c r="G16" s="231" t="s">
        <v>4570</v>
      </c>
      <c r="H16" s="231" t="s">
        <v>92</v>
      </c>
      <c r="I16" s="231" t="s">
        <v>4593</v>
      </c>
      <c r="J16" s="231" t="s">
        <v>3276</v>
      </c>
      <c r="K16" s="231" t="s">
        <v>92</v>
      </c>
      <c r="L16" s="271" t="s">
        <v>4630</v>
      </c>
      <c r="M16" s="3095"/>
      <c r="N16" s="3239"/>
      <c r="O16" s="3240"/>
      <c r="P16" s="3240"/>
      <c r="Q16" s="3240"/>
      <c r="R16" s="3241"/>
      <c r="S16" s="73"/>
      <c r="T16" s="288" t="s">
        <v>4592</v>
      </c>
      <c r="U16" s="32" t="s">
        <v>4631</v>
      </c>
      <c r="V16" s="32" t="str">
        <f t="shared" si="1"/>
        <v>220v通电导线</v>
      </c>
      <c r="W16" s="289"/>
      <c r="X16" s="290"/>
      <c r="Y16" s="290"/>
      <c r="Z16" s="290"/>
      <c r="AA16" s="290"/>
      <c r="AB16" s="290"/>
      <c r="AC16" s="290"/>
      <c r="AD16" s="290"/>
      <c r="AE16" s="290"/>
      <c r="AF16" s="295"/>
    </row>
    <row r="17" spans="1:37" ht="14.25" customHeight="1">
      <c r="A17" s="3143" t="s">
        <v>4632</v>
      </c>
      <c r="B17" s="241" t="str">
        <f t="shared" si="0"/>
        <v>催泪瓦斯</v>
      </c>
      <c r="C17" s="242" t="s">
        <v>120</v>
      </c>
      <c r="D17" s="243" t="s">
        <v>4633</v>
      </c>
      <c r="E17" s="243" t="s">
        <v>4634</v>
      </c>
      <c r="F17" s="243" t="s">
        <v>175</v>
      </c>
      <c r="G17" s="243" t="s">
        <v>4570</v>
      </c>
      <c r="H17" s="243" t="s">
        <v>4635</v>
      </c>
      <c r="I17" s="243" t="s">
        <v>92</v>
      </c>
      <c r="J17" s="243" t="s">
        <v>4572</v>
      </c>
      <c r="K17" s="243" t="s">
        <v>4636</v>
      </c>
      <c r="L17" s="275" t="s">
        <v>4637</v>
      </c>
      <c r="M17" s="3095"/>
      <c r="N17" s="3242"/>
      <c r="O17" s="3243"/>
      <c r="P17" s="3243"/>
      <c r="Q17" s="3243"/>
      <c r="R17" s="3244"/>
      <c r="S17" s="73"/>
      <c r="T17" s="288"/>
      <c r="U17" s="32" t="s">
        <v>4638</v>
      </c>
      <c r="V17" s="32" t="str">
        <f>IF(OR(J17="1920s,现代",$U$1="其他",J17=$U$1,AND(J17="1920s,罕见",$U$1="1920s"),J17="罕见"),U17,"-"&amp;U17)</f>
        <v>催泪瓦斯</v>
      </c>
      <c r="W17" s="289"/>
      <c r="X17" s="290"/>
      <c r="Y17" s="290"/>
      <c r="Z17" s="290"/>
      <c r="AA17" s="290"/>
      <c r="AB17" s="290"/>
      <c r="AC17" s="290"/>
      <c r="AD17" s="290"/>
      <c r="AE17" s="290"/>
      <c r="AF17" s="295"/>
    </row>
    <row r="18" spans="1:37" ht="14.25" customHeight="1">
      <c r="A18" s="3143"/>
      <c r="B18" s="229" t="str">
        <f t="shared" si="0"/>
        <v>双节棍</v>
      </c>
      <c r="C18" s="230" t="s">
        <v>2669</v>
      </c>
      <c r="D18" s="231" t="s">
        <v>4596</v>
      </c>
      <c r="E18" s="231" t="s">
        <v>4579</v>
      </c>
      <c r="F18" s="231" t="s">
        <v>175</v>
      </c>
      <c r="G18" s="231" t="s">
        <v>4570</v>
      </c>
      <c r="H18" s="231" t="s">
        <v>92</v>
      </c>
      <c r="I18" s="231" t="s">
        <v>92</v>
      </c>
      <c r="J18" s="231" t="s">
        <v>4572</v>
      </c>
      <c r="K18" s="231" t="s">
        <v>4580</v>
      </c>
      <c r="L18" s="271" t="s">
        <v>4639</v>
      </c>
      <c r="M18" s="3095"/>
      <c r="N18" s="3245" t="s">
        <v>4640</v>
      </c>
      <c r="O18" s="3246"/>
      <c r="P18" s="3246"/>
      <c r="Q18" s="3246"/>
      <c r="R18" s="3247"/>
      <c r="S18" s="73"/>
      <c r="T18" s="288" t="s">
        <v>4599</v>
      </c>
      <c r="U18" s="32" t="s">
        <v>4048</v>
      </c>
      <c r="V18" s="32" t="str">
        <f t="shared" si="1"/>
        <v>双节棍</v>
      </c>
      <c r="W18" s="289"/>
      <c r="X18" s="290"/>
      <c r="Y18" s="290"/>
      <c r="Z18" s="290"/>
      <c r="AA18" s="290"/>
      <c r="AB18" s="290"/>
      <c r="AC18" s="290"/>
      <c r="AD18" s="290"/>
      <c r="AE18" s="290"/>
      <c r="AF18" s="295"/>
    </row>
    <row r="19" spans="1:37" ht="14.25" customHeight="1">
      <c r="A19" s="3143"/>
      <c r="B19" s="226" t="str">
        <f t="shared" si="0"/>
        <v>投石</v>
      </c>
      <c r="C19" s="227" t="s">
        <v>138</v>
      </c>
      <c r="D19" s="228" t="s">
        <v>4641</v>
      </c>
      <c r="E19" s="228" t="s">
        <v>4642</v>
      </c>
      <c r="F19" s="228" t="s">
        <v>175</v>
      </c>
      <c r="G19" s="228" t="s">
        <v>4570</v>
      </c>
      <c r="H19" s="228" t="s">
        <v>92</v>
      </c>
      <c r="I19" s="228" t="s">
        <v>92</v>
      </c>
      <c r="J19" s="228" t="s">
        <v>4572</v>
      </c>
      <c r="K19" s="228" t="s">
        <v>92</v>
      </c>
      <c r="L19" s="270" t="s">
        <v>92</v>
      </c>
      <c r="M19" s="3095"/>
      <c r="N19" s="3248"/>
      <c r="O19" s="3249"/>
      <c r="P19" s="3249"/>
      <c r="Q19" s="3249"/>
      <c r="R19" s="3250"/>
      <c r="S19" s="73"/>
      <c r="T19" s="288" t="s">
        <v>4643</v>
      </c>
      <c r="U19" s="32" t="s">
        <v>4644</v>
      </c>
      <c r="V19" s="32" t="str">
        <f t="shared" si="1"/>
        <v>投石</v>
      </c>
      <c r="W19" s="290"/>
      <c r="X19" s="290"/>
      <c r="Y19" s="290"/>
      <c r="Z19" s="290"/>
      <c r="AA19" s="290"/>
      <c r="AB19" s="290"/>
      <c r="AC19" s="290"/>
      <c r="AD19" s="290"/>
      <c r="AE19" s="290"/>
      <c r="AF19" s="295"/>
    </row>
    <row r="20" spans="1:37" ht="14.25" customHeight="1">
      <c r="A20" s="3143"/>
      <c r="B20" s="229" t="str">
        <f t="shared" si="0"/>
        <v>手里剑</v>
      </c>
      <c r="C20" s="230" t="s">
        <v>138</v>
      </c>
      <c r="D20" s="231" t="s">
        <v>4583</v>
      </c>
      <c r="E20" s="231" t="s">
        <v>4645</v>
      </c>
      <c r="F20" s="231" t="s">
        <v>516</v>
      </c>
      <c r="G20" s="231" t="s">
        <v>4646</v>
      </c>
      <c r="H20" s="231" t="s">
        <v>4647</v>
      </c>
      <c r="I20" s="231" t="s">
        <v>3549</v>
      </c>
      <c r="J20" s="231" t="s">
        <v>4572</v>
      </c>
      <c r="K20" s="231" t="s">
        <v>4613</v>
      </c>
      <c r="L20" s="271" t="s">
        <v>92</v>
      </c>
      <c r="M20" s="3095"/>
      <c r="N20" s="3248"/>
      <c r="O20" s="3249"/>
      <c r="P20" s="3249"/>
      <c r="Q20" s="3249"/>
      <c r="R20" s="3250"/>
      <c r="S20" s="73"/>
      <c r="T20" s="288" t="s">
        <v>4586</v>
      </c>
      <c r="U20" s="32" t="s">
        <v>4648</v>
      </c>
      <c r="V20" s="32" t="str">
        <f t="shared" si="1"/>
        <v>手里剑</v>
      </c>
      <c r="W20" s="290"/>
      <c r="X20" s="290"/>
      <c r="Y20" s="290"/>
      <c r="Z20" s="290"/>
      <c r="AA20" s="290"/>
      <c r="AB20" s="290"/>
      <c r="AC20" s="290"/>
      <c r="AD20" s="290"/>
      <c r="AE20" s="290"/>
      <c r="AF20" s="295"/>
    </row>
    <row r="21" spans="1:37" ht="14.25" customHeight="1">
      <c r="A21" s="3143"/>
      <c r="B21" s="226" t="str">
        <f t="shared" si="0"/>
        <v>矛、骑士长枪</v>
      </c>
      <c r="C21" s="227" t="s">
        <v>1400</v>
      </c>
      <c r="D21" s="228" t="s">
        <v>4649</v>
      </c>
      <c r="E21" s="228" t="s">
        <v>4579</v>
      </c>
      <c r="F21" s="228" t="s">
        <v>516</v>
      </c>
      <c r="G21" s="228" t="s">
        <v>4570</v>
      </c>
      <c r="H21" s="228" t="s">
        <v>92</v>
      </c>
      <c r="I21" s="228" t="s">
        <v>92</v>
      </c>
      <c r="J21" s="228" t="s">
        <v>4572</v>
      </c>
      <c r="K21" s="228" t="s">
        <v>4650</v>
      </c>
      <c r="L21" s="270" t="s">
        <v>92</v>
      </c>
      <c r="M21" s="3095"/>
      <c r="N21" s="3251"/>
      <c r="O21" s="3252"/>
      <c r="P21" s="3252"/>
      <c r="Q21" s="3252"/>
      <c r="R21" s="3253"/>
      <c r="S21" s="73"/>
      <c r="T21" s="288" t="s">
        <v>4649</v>
      </c>
      <c r="U21" s="32" t="s">
        <v>4651</v>
      </c>
      <c r="V21" s="32" t="str">
        <f t="shared" si="1"/>
        <v>矛、骑士长枪</v>
      </c>
      <c r="X21" s="290"/>
      <c r="Y21" s="290"/>
      <c r="Z21" s="290"/>
      <c r="AA21" s="290"/>
      <c r="AB21" s="290"/>
      <c r="AC21" s="290"/>
      <c r="AD21" s="290"/>
      <c r="AE21" s="290"/>
      <c r="AF21" s="295"/>
    </row>
    <row r="22" spans="1:37" ht="14.25" customHeight="1">
      <c r="A22" s="3143"/>
      <c r="B22" s="229" t="str">
        <f t="shared" si="0"/>
        <v>*掷矛</v>
      </c>
      <c r="C22" s="230" t="s">
        <v>138</v>
      </c>
      <c r="D22" s="231" t="s">
        <v>4652</v>
      </c>
      <c r="E22" s="231" t="s">
        <v>4653</v>
      </c>
      <c r="F22" s="231" t="s">
        <v>516</v>
      </c>
      <c r="G22" s="231" t="s">
        <v>4570</v>
      </c>
      <c r="H22" s="231" t="s">
        <v>92</v>
      </c>
      <c r="I22" s="231" t="s">
        <v>92</v>
      </c>
      <c r="J22" s="231" t="s">
        <v>4654</v>
      </c>
      <c r="K22" s="231" t="s">
        <v>4655</v>
      </c>
      <c r="L22" s="271" t="s">
        <v>92</v>
      </c>
      <c r="M22" s="3095"/>
      <c r="N22" s="3254" t="s">
        <v>4656</v>
      </c>
      <c r="O22" s="3255"/>
      <c r="P22" s="3255"/>
      <c r="Q22" s="3255"/>
      <c r="R22" s="3256"/>
      <c r="S22" s="73"/>
      <c r="T22" s="288" t="s">
        <v>4657</v>
      </c>
      <c r="U22" s="32" t="s">
        <v>4658</v>
      </c>
      <c r="V22" s="32" t="s">
        <v>4658</v>
      </c>
      <c r="X22" s="290"/>
      <c r="Y22" s="290"/>
      <c r="Z22" s="290"/>
      <c r="AA22" s="290"/>
      <c r="AB22" s="290"/>
      <c r="AC22" s="290"/>
      <c r="AD22" s="290"/>
      <c r="AE22" s="290"/>
      <c r="AF22" s="295"/>
    </row>
    <row r="23" spans="1:37" ht="14.25" customHeight="1">
      <c r="A23" s="3143"/>
      <c r="B23" s="226" t="str">
        <f t="shared" si="0"/>
        <v>大型剑（马刀）</v>
      </c>
      <c r="C23" s="227" t="s">
        <v>1401</v>
      </c>
      <c r="D23" s="228" t="s">
        <v>4659</v>
      </c>
      <c r="E23" s="228" t="s">
        <v>4579</v>
      </c>
      <c r="F23" s="228" t="s">
        <v>516</v>
      </c>
      <c r="G23" s="228" t="s">
        <v>4570</v>
      </c>
      <c r="H23" s="228" t="s">
        <v>92</v>
      </c>
      <c r="I23" s="228" t="s">
        <v>92</v>
      </c>
      <c r="J23" s="228" t="s">
        <v>4572</v>
      </c>
      <c r="K23" s="228" t="s">
        <v>4660</v>
      </c>
      <c r="L23" s="270" t="s">
        <v>92</v>
      </c>
      <c r="M23" s="3095"/>
      <c r="N23" s="3257"/>
      <c r="O23" s="3258"/>
      <c r="P23" s="3258"/>
      <c r="Q23" s="3258"/>
      <c r="R23" s="3259"/>
      <c r="S23" s="73"/>
      <c r="T23" s="288" t="s">
        <v>4661</v>
      </c>
      <c r="U23" s="32" t="s">
        <v>4662</v>
      </c>
      <c r="V23" s="32" t="str">
        <f>IF(OR(J23="1920s,现代",$U$1="其他",J23=$U$1,AND(J23="1920s,罕见",$U$1="1920s"),J23="罕见"),U23,"-"&amp;U23)</f>
        <v>大型剑（马刀）</v>
      </c>
      <c r="X23" s="290"/>
      <c r="Y23" s="290"/>
      <c r="Z23" s="290"/>
      <c r="AA23" s="290"/>
      <c r="AB23" s="290"/>
      <c r="AC23" s="290"/>
      <c r="AD23" s="290"/>
      <c r="AE23" s="290"/>
      <c r="AF23" s="295"/>
    </row>
    <row r="24" spans="1:37" ht="14.25" customHeight="1">
      <c r="A24" s="3143"/>
      <c r="B24" s="229" t="str">
        <f t="shared" si="0"/>
        <v>中型剑（佩剑、重剑）</v>
      </c>
      <c r="C24" s="230" t="s">
        <v>1401</v>
      </c>
      <c r="D24" s="231" t="s">
        <v>4615</v>
      </c>
      <c r="E24" s="231" t="s">
        <v>4579</v>
      </c>
      <c r="F24" s="231" t="s">
        <v>516</v>
      </c>
      <c r="G24" s="231" t="s">
        <v>4570</v>
      </c>
      <c r="H24" s="231" t="s">
        <v>92</v>
      </c>
      <c r="I24" s="231" t="s">
        <v>92</v>
      </c>
      <c r="J24" s="231" t="s">
        <v>4572</v>
      </c>
      <c r="K24" s="231" t="s">
        <v>4663</v>
      </c>
      <c r="L24" s="271" t="s">
        <v>92</v>
      </c>
      <c r="M24" s="3095"/>
      <c r="N24" s="3257"/>
      <c r="O24" s="3258"/>
      <c r="P24" s="3258"/>
      <c r="Q24" s="3258"/>
      <c r="R24" s="3259"/>
      <c r="S24" s="73"/>
      <c r="T24" s="288" t="s">
        <v>4617</v>
      </c>
      <c r="U24" s="32" t="s">
        <v>4664</v>
      </c>
      <c r="V24" s="32" t="str">
        <f>IF(OR(J24="1920s,现代",$U$1="其他",J24=$U$1,AND(J24="1920s,罕见",$U$1="1920s"),J24="罕见"),U24,"-"&amp;U24)</f>
        <v>中型剑（佩剑、重剑）</v>
      </c>
      <c r="X24" s="290"/>
      <c r="Y24" s="290"/>
      <c r="Z24" s="290"/>
      <c r="AA24" s="290"/>
      <c r="AB24" s="290"/>
      <c r="AC24" s="290"/>
      <c r="AD24" s="290"/>
      <c r="AE24" s="290"/>
      <c r="AF24" s="295"/>
    </row>
    <row r="25" spans="1:37" ht="14.25" customHeight="1">
      <c r="A25" s="3143"/>
      <c r="B25" s="226" t="str">
        <f t="shared" si="0"/>
        <v>轻型剑（花剑、剑杖）</v>
      </c>
      <c r="C25" s="227" t="s">
        <v>1401</v>
      </c>
      <c r="D25" s="228" t="s">
        <v>4603</v>
      </c>
      <c r="E25" s="228" t="s">
        <v>4579</v>
      </c>
      <c r="F25" s="228" t="s">
        <v>516</v>
      </c>
      <c r="G25" s="228" t="s">
        <v>4570</v>
      </c>
      <c r="H25" s="228" t="s">
        <v>92</v>
      </c>
      <c r="I25" s="228" t="s">
        <v>92</v>
      </c>
      <c r="J25" s="228" t="s">
        <v>4572</v>
      </c>
      <c r="K25" s="228" t="s">
        <v>4665</v>
      </c>
      <c r="L25" s="270" t="s">
        <v>92</v>
      </c>
      <c r="M25" s="3095"/>
      <c r="N25" s="3260"/>
      <c r="O25" s="3261"/>
      <c r="P25" s="3261"/>
      <c r="Q25" s="3261"/>
      <c r="R25" s="3262"/>
      <c r="S25" s="73"/>
      <c r="T25" s="288" t="s">
        <v>4604</v>
      </c>
      <c r="U25" s="32" t="s">
        <v>4666</v>
      </c>
      <c r="V25" s="32" t="str">
        <f>IF(OR(J25="1920s,现代",$U$1="其他",J25=$U$1,AND(J25="1920s,罕见",$U$1="1920s"),J25="罕见"),U25,"-"&amp;U25)</f>
        <v>轻型剑（花剑、剑杖）</v>
      </c>
      <c r="X25" s="290"/>
      <c r="Y25" s="290"/>
      <c r="Z25" s="290"/>
      <c r="AA25" s="290"/>
      <c r="AB25" s="290"/>
      <c r="AC25" s="290"/>
      <c r="AD25" s="290"/>
      <c r="AE25" s="290"/>
      <c r="AF25" s="295"/>
    </row>
    <row r="26" spans="1:37" ht="14.25" customHeight="1">
      <c r="A26" s="3143"/>
      <c r="B26" s="244" t="str">
        <f>IF(OR(J26="1920s,现代",$U$1="其他",J26=$U$1,J26="罕见"),U26,"-"&amp;U26)</f>
        <v>电棍、电击枪(接触)</v>
      </c>
      <c r="C26" s="245" t="s">
        <v>120</v>
      </c>
      <c r="D26" s="246" t="s">
        <v>4667</v>
      </c>
      <c r="E26" s="246" t="s">
        <v>4579</v>
      </c>
      <c r="F26" s="246" t="s">
        <v>175</v>
      </c>
      <c r="G26" s="246" t="s">
        <v>4570</v>
      </c>
      <c r="H26" s="246" t="s">
        <v>92</v>
      </c>
      <c r="I26" s="246" t="s">
        <v>4571</v>
      </c>
      <c r="J26" s="246" t="s">
        <v>3276</v>
      </c>
      <c r="K26" s="246" t="s">
        <v>4668</v>
      </c>
      <c r="L26" s="276" t="s">
        <v>4669</v>
      </c>
      <c r="M26" s="3095"/>
      <c r="N26" s="73"/>
      <c r="O26" s="73"/>
      <c r="P26" s="73"/>
      <c r="Q26" s="73"/>
      <c r="R26" s="73"/>
      <c r="S26" s="73"/>
      <c r="T26" s="288" t="s">
        <v>4670</v>
      </c>
      <c r="U26" s="32" t="s">
        <v>4671</v>
      </c>
      <c r="V26" s="32" t="str">
        <f>IF(OR(J26="1920s,现代",$U$1="其他",J26=$U$1,AND(J26="1920s,罕见",$U$1="1920s"),J26="罕见"),U26,"-"&amp;U26)</f>
        <v>电棍、电击枪(接触)</v>
      </c>
      <c r="Y26" s="290"/>
      <c r="Z26" s="290"/>
      <c r="AA26" s="290"/>
      <c r="AB26" s="290"/>
      <c r="AC26" s="290"/>
      <c r="AD26" s="290"/>
      <c r="AE26" s="290"/>
      <c r="AF26" s="295"/>
    </row>
    <row r="27" spans="1:37" ht="14.25" customHeight="1">
      <c r="A27" s="3143"/>
      <c r="B27" s="244" t="str">
        <f>IF(OR(J27="1920s,现代",$U$1="其他",J27=$U$1,J27="罕见"),U27,"-"&amp;U27)</f>
        <v>电击枪(远程)</v>
      </c>
      <c r="C27" s="245" t="s">
        <v>134</v>
      </c>
      <c r="D27" s="246" t="s">
        <v>4667</v>
      </c>
      <c r="E27" s="246" t="s">
        <v>4672</v>
      </c>
      <c r="F27" s="246" t="s">
        <v>175</v>
      </c>
      <c r="G27" s="246" t="s">
        <v>4570</v>
      </c>
      <c r="H27" s="246" t="s">
        <v>4673</v>
      </c>
      <c r="I27" s="246" t="s">
        <v>4593</v>
      </c>
      <c r="J27" s="246" t="s">
        <v>3276</v>
      </c>
      <c r="K27" s="246" t="s">
        <v>4674</v>
      </c>
      <c r="L27" s="276" t="s">
        <v>4675</v>
      </c>
      <c r="M27" s="3095"/>
      <c r="N27" s="73"/>
      <c r="O27" s="73"/>
      <c r="P27" s="73"/>
      <c r="Q27" s="73"/>
      <c r="R27" s="73"/>
      <c r="S27" s="73"/>
      <c r="T27" s="288" t="s">
        <v>4670</v>
      </c>
      <c r="U27" s="32" t="s">
        <v>4676</v>
      </c>
      <c r="V27" s="32" t="str">
        <f>IF(OR(J27="1920s,现代",$U$1="其他",J27=$U$1,AND(J27="1920s,罕见",$U$1="1920s"),J27="罕见"),U27,"-"&amp;U27)</f>
        <v>电击枪(远程)</v>
      </c>
      <c r="Y27" s="290"/>
      <c r="Z27" s="290"/>
      <c r="AA27" s="290"/>
      <c r="AB27" s="290"/>
      <c r="AC27" s="290"/>
      <c r="AD27" s="290"/>
      <c r="AE27" s="290"/>
      <c r="AF27" s="295"/>
    </row>
    <row r="28" spans="1:37" ht="14.25" customHeight="1">
      <c r="A28" s="3143"/>
      <c r="B28" s="229" t="str">
        <f t="shared" si="0"/>
        <v>*战斗回力镖</v>
      </c>
      <c r="C28" s="230" t="s">
        <v>138</v>
      </c>
      <c r="D28" s="231" t="s">
        <v>4652</v>
      </c>
      <c r="E28" s="231" t="s">
        <v>4645</v>
      </c>
      <c r="F28" s="231" t="s">
        <v>175</v>
      </c>
      <c r="G28" s="231" t="s">
        <v>4570</v>
      </c>
      <c r="H28" s="231" t="s">
        <v>92</v>
      </c>
      <c r="I28" s="231" t="s">
        <v>92</v>
      </c>
      <c r="J28" s="231" t="s">
        <v>4654</v>
      </c>
      <c r="K28" s="231" t="s">
        <v>4677</v>
      </c>
      <c r="L28" s="271" t="s">
        <v>92</v>
      </c>
      <c r="M28" s="3095"/>
      <c r="N28" s="73"/>
      <c r="O28" s="73"/>
      <c r="P28" s="73"/>
      <c r="Q28" s="73"/>
      <c r="R28" s="73"/>
      <c r="S28" s="73"/>
      <c r="T28" s="288" t="s">
        <v>4657</v>
      </c>
      <c r="U28" s="32" t="s">
        <v>4678</v>
      </c>
      <c r="V28" s="32" t="s">
        <v>4678</v>
      </c>
      <c r="AF28" s="295"/>
    </row>
    <row r="29" spans="1:37" ht="14.25" customHeight="1">
      <c r="A29" s="3143"/>
      <c r="B29" s="247" t="str">
        <f t="shared" si="0"/>
        <v>伐木斧</v>
      </c>
      <c r="C29" s="248" t="s">
        <v>2646</v>
      </c>
      <c r="D29" s="249" t="s">
        <v>4679</v>
      </c>
      <c r="E29" s="249" t="s">
        <v>4579</v>
      </c>
      <c r="F29" s="249" t="s">
        <v>516</v>
      </c>
      <c r="G29" s="249" t="s">
        <v>4570</v>
      </c>
      <c r="H29" s="249" t="s">
        <v>92</v>
      </c>
      <c r="I29" s="249" t="s">
        <v>92</v>
      </c>
      <c r="J29" s="249" t="s">
        <v>4572</v>
      </c>
      <c r="K29" s="249" t="s">
        <v>4680</v>
      </c>
      <c r="L29" s="277" t="s">
        <v>92</v>
      </c>
      <c r="M29" s="3095"/>
      <c r="N29" s="73"/>
      <c r="O29" s="73"/>
      <c r="P29" s="73"/>
      <c r="Q29" s="73"/>
      <c r="R29" s="73"/>
      <c r="S29" s="73"/>
      <c r="T29" s="288" t="s">
        <v>4681</v>
      </c>
      <c r="U29" s="32" t="s">
        <v>4682</v>
      </c>
      <c r="V29" s="32" t="str">
        <f>IF(OR(J29="1920s,现代",$U$1="其他",J29=$U$1,AND(J29="1920s,罕见",$U$1="1920s"),J29="罕见"),U29,"-"&amp;U29)</f>
        <v>伐木斧</v>
      </c>
      <c r="Y29" s="129"/>
      <c r="Z29" s="290"/>
      <c r="AA29" s="290"/>
      <c r="AB29" s="290"/>
      <c r="AC29" s="290"/>
      <c r="AD29" s="290"/>
      <c r="AE29" s="290"/>
      <c r="AF29" s="295"/>
    </row>
    <row r="30" spans="1:37" ht="14.25" customHeight="1">
      <c r="A30" s="163"/>
      <c r="B30" s="250" t="str">
        <f t="shared" si="0"/>
        <v>*遂发枪</v>
      </c>
      <c r="C30" s="251" t="s">
        <v>134</v>
      </c>
      <c r="D30" s="252" t="s">
        <v>4683</v>
      </c>
      <c r="E30" s="252" t="s">
        <v>4684</v>
      </c>
      <c r="F30" s="252" t="s">
        <v>516</v>
      </c>
      <c r="G30" s="252" t="s">
        <v>4685</v>
      </c>
      <c r="H30" s="252" t="s">
        <v>4570</v>
      </c>
      <c r="I30" s="252" t="s">
        <v>4593</v>
      </c>
      <c r="J30" s="252" t="s">
        <v>4654</v>
      </c>
      <c r="K30" s="252" t="s">
        <v>4686</v>
      </c>
      <c r="L30" s="278" t="s">
        <v>4687</v>
      </c>
      <c r="M30" s="3096" t="s">
        <v>4688</v>
      </c>
      <c r="N30" s="3263" t="s">
        <v>4689</v>
      </c>
      <c r="O30" s="3221" t="s">
        <v>4690</v>
      </c>
      <c r="P30" s="3222"/>
      <c r="Q30" s="73"/>
      <c r="R30" s="291"/>
      <c r="S30" s="73"/>
      <c r="T30" s="288" t="s">
        <v>4683</v>
      </c>
      <c r="U30" s="32" t="s">
        <v>4691</v>
      </c>
      <c r="V30" s="32" t="s">
        <v>4691</v>
      </c>
      <c r="Y30" s="290"/>
      <c r="Z30" s="290"/>
      <c r="AA30" s="290"/>
      <c r="AB30" s="290"/>
      <c r="AC30" s="290"/>
      <c r="AD30" s="290"/>
      <c r="AE30" s="290"/>
      <c r="AF30" s="295"/>
    </row>
    <row r="31" spans="1:37" ht="14.25" customHeight="1">
      <c r="A31" s="163"/>
      <c r="B31" s="229" t="str">
        <f t="shared" si="0"/>
        <v>.22(5.6mm)小型自动手枪</v>
      </c>
      <c r="C31" s="230" t="s">
        <v>134</v>
      </c>
      <c r="D31" s="231" t="s">
        <v>4590</v>
      </c>
      <c r="E31" s="231" t="s">
        <v>4684</v>
      </c>
      <c r="F31" s="231" t="s">
        <v>516</v>
      </c>
      <c r="G31" s="231" t="s">
        <v>4692</v>
      </c>
      <c r="H31" s="231" t="s">
        <v>4693</v>
      </c>
      <c r="I31" s="231" t="s">
        <v>3549</v>
      </c>
      <c r="J31" s="231" t="s">
        <v>4572</v>
      </c>
      <c r="K31" s="231" t="s">
        <v>4694</v>
      </c>
      <c r="L31" s="271" t="s">
        <v>4695</v>
      </c>
      <c r="M31" s="3097"/>
      <c r="N31" s="3264"/>
      <c r="O31" s="3223"/>
      <c r="P31" s="3224"/>
      <c r="Q31" s="291"/>
      <c r="R31" s="291"/>
      <c r="S31" s="73"/>
      <c r="T31" s="288" t="s">
        <v>4590</v>
      </c>
      <c r="U31" s="32" t="s">
        <v>4696</v>
      </c>
      <c r="V31" s="32" t="str">
        <f t="shared" ref="V31:V45" si="2">IF(OR(J31="1920s,现代",$U$1="其他",J31=$U$1,AND(J31="1920s,罕见",$U$1="1920s"),J31="罕见"),U31,"-"&amp;U31)</f>
        <v>.22(5.6mm)小型自动手枪</v>
      </c>
      <c r="Y31" s="290"/>
      <c r="Z31" s="290"/>
      <c r="AA31" s="290"/>
      <c r="AB31" s="290"/>
      <c r="AC31" s="290"/>
      <c r="AD31" s="290"/>
      <c r="AE31" s="290"/>
      <c r="AF31" s="295"/>
      <c r="AG31" s="149"/>
      <c r="AH31" s="149"/>
      <c r="AI31" s="149"/>
      <c r="AJ31" s="149"/>
      <c r="AK31" s="149"/>
    </row>
    <row r="32" spans="1:37" ht="14.25" customHeight="1">
      <c r="A32" s="163"/>
      <c r="B32" s="253" t="str">
        <f t="shared" si="0"/>
        <v>-.25(6.35mm)短口手枪(单管)</v>
      </c>
      <c r="C32" s="254" t="s">
        <v>134</v>
      </c>
      <c r="D32" s="255" t="s">
        <v>4590</v>
      </c>
      <c r="E32" s="255" t="s">
        <v>4673</v>
      </c>
      <c r="F32" s="255" t="s">
        <v>516</v>
      </c>
      <c r="G32" s="255" t="s">
        <v>4570</v>
      </c>
      <c r="H32" s="255">
        <v>1</v>
      </c>
      <c r="I32" s="255" t="s">
        <v>3549</v>
      </c>
      <c r="J32" s="255" t="s">
        <v>13</v>
      </c>
      <c r="K32" s="255" t="s">
        <v>4697</v>
      </c>
      <c r="L32" s="279" t="s">
        <v>4698</v>
      </c>
      <c r="M32" s="3097"/>
      <c r="N32" s="3264"/>
      <c r="O32" s="3223"/>
      <c r="P32" s="3224"/>
      <c r="Q32" s="291"/>
      <c r="R32" s="291"/>
      <c r="S32" s="73"/>
      <c r="T32" s="288" t="s">
        <v>4590</v>
      </c>
      <c r="U32" s="32" t="s">
        <v>4699</v>
      </c>
      <c r="V32" s="32" t="str">
        <f t="shared" si="2"/>
        <v>-.25(6.35mm)短口手枪(单管)</v>
      </c>
      <c r="W32" s="129"/>
      <c r="X32" s="290"/>
      <c r="Y32" s="290"/>
      <c r="Z32" s="290"/>
      <c r="AA32" s="290"/>
      <c r="AB32" s="290"/>
      <c r="AC32" s="290"/>
      <c r="AD32" s="290"/>
      <c r="AE32" s="290"/>
      <c r="AF32" s="295"/>
      <c r="AG32" s="149"/>
      <c r="AH32" s="149"/>
      <c r="AI32" s="149"/>
      <c r="AJ32" s="149"/>
      <c r="AK32" s="149"/>
    </row>
    <row r="33" spans="1:37" ht="14.25" customHeight="1">
      <c r="A33" s="163"/>
      <c r="B33" s="229" t="str">
        <f t="shared" si="0"/>
        <v>.32(7.65mm)左轮手枪</v>
      </c>
      <c r="C33" s="230" t="s">
        <v>134</v>
      </c>
      <c r="D33" s="231" t="s">
        <v>4700</v>
      </c>
      <c r="E33" s="231" t="s">
        <v>4701</v>
      </c>
      <c r="F33" s="231" t="s">
        <v>516</v>
      </c>
      <c r="G33" s="231" t="s">
        <v>4692</v>
      </c>
      <c r="H33" s="231" t="s">
        <v>4693</v>
      </c>
      <c r="I33" s="231" t="s">
        <v>3549</v>
      </c>
      <c r="J33" s="231" t="s">
        <v>4572</v>
      </c>
      <c r="K33" s="231" t="s">
        <v>4702</v>
      </c>
      <c r="L33" s="271" t="s">
        <v>4703</v>
      </c>
      <c r="M33" s="3097"/>
      <c r="N33" s="3264"/>
      <c r="O33" s="3223"/>
      <c r="P33" s="3224"/>
      <c r="Q33" s="291"/>
      <c r="R33" s="291"/>
      <c r="S33" s="73"/>
      <c r="T33" s="288" t="s">
        <v>4700</v>
      </c>
      <c r="U33" s="32" t="s">
        <v>4704</v>
      </c>
      <c r="V33" s="32" t="str">
        <f t="shared" si="2"/>
        <v>.32(7.65mm)左轮手枪</v>
      </c>
      <c r="W33" s="129"/>
      <c r="X33" s="290"/>
      <c r="Y33" s="290"/>
      <c r="Z33" s="290"/>
      <c r="AA33" s="290"/>
      <c r="AB33" s="290"/>
      <c r="AC33" s="290"/>
      <c r="AD33" s="290"/>
      <c r="AE33" s="290"/>
      <c r="AF33" s="295"/>
      <c r="AG33" s="149"/>
      <c r="AH33" s="149"/>
      <c r="AI33" s="149"/>
      <c r="AJ33" s="149"/>
      <c r="AK33" s="149"/>
    </row>
    <row r="34" spans="1:37" ht="14.25" customHeight="1">
      <c r="A34" s="163"/>
      <c r="B34" s="253" t="str">
        <f t="shared" si="0"/>
        <v>.32(7.65mm)自动手枪</v>
      </c>
      <c r="C34" s="254" t="s">
        <v>134</v>
      </c>
      <c r="D34" s="255" t="s">
        <v>4700</v>
      </c>
      <c r="E34" s="255" t="s">
        <v>4701</v>
      </c>
      <c r="F34" s="255" t="s">
        <v>516</v>
      </c>
      <c r="G34" s="255" t="s">
        <v>4692</v>
      </c>
      <c r="H34" s="255" t="s">
        <v>4705</v>
      </c>
      <c r="I34" s="255" t="s">
        <v>4706</v>
      </c>
      <c r="J34" s="255" t="s">
        <v>4572</v>
      </c>
      <c r="K34" s="255" t="s">
        <v>4707</v>
      </c>
      <c r="L34" s="279" t="s">
        <v>4703</v>
      </c>
      <c r="M34" s="3097"/>
      <c r="N34" s="3264"/>
      <c r="O34" s="3223"/>
      <c r="P34" s="3224"/>
      <c r="Q34" s="291"/>
      <c r="R34" s="291"/>
      <c r="S34" s="73"/>
      <c r="T34" s="288" t="s">
        <v>4700</v>
      </c>
      <c r="U34" s="32" t="s">
        <v>4708</v>
      </c>
      <c r="V34" s="32" t="str">
        <f t="shared" si="2"/>
        <v>.32(7.65mm)自动手枪</v>
      </c>
      <c r="W34" s="129"/>
      <c r="X34" s="290"/>
      <c r="Y34" s="290"/>
      <c r="Z34" s="290"/>
      <c r="AA34" s="290"/>
      <c r="AB34" s="290"/>
      <c r="AC34" s="290"/>
      <c r="AD34" s="290"/>
      <c r="AE34" s="290"/>
      <c r="AF34" s="295"/>
      <c r="AG34" s="149"/>
      <c r="AH34" s="149"/>
      <c r="AI34" s="149"/>
      <c r="AJ34" s="149"/>
      <c r="AK34" s="149"/>
    </row>
    <row r="35" spans="1:37" ht="14.25" customHeight="1">
      <c r="A35" s="163"/>
      <c r="B35" s="229" t="str">
        <f>IF(OR(J35="1920s,现代",$U$1="其他",J35=$U$1,J35="罕见"),U35,"-"&amp;U35)</f>
        <v>.357 马格南左轮</v>
      </c>
      <c r="C35" s="230" t="s">
        <v>134</v>
      </c>
      <c r="D35" s="231" t="s">
        <v>4709</v>
      </c>
      <c r="E35" s="231" t="s">
        <v>4701</v>
      </c>
      <c r="F35" s="231" t="s">
        <v>516</v>
      </c>
      <c r="G35" s="231" t="s">
        <v>4692</v>
      </c>
      <c r="H35" s="231" t="s">
        <v>4693</v>
      </c>
      <c r="I35" s="231" t="s">
        <v>3549</v>
      </c>
      <c r="J35" s="231" t="s">
        <v>3276</v>
      </c>
      <c r="K35" s="231" t="s">
        <v>4710</v>
      </c>
      <c r="L35" s="271" t="s">
        <v>4711</v>
      </c>
      <c r="M35" s="3097"/>
      <c r="N35" s="3264"/>
      <c r="O35" s="3223"/>
      <c r="P35" s="3224"/>
      <c r="Q35" s="291"/>
      <c r="R35" s="291"/>
      <c r="S35" s="73"/>
      <c r="T35" s="288" t="s">
        <v>4709</v>
      </c>
      <c r="U35" s="32" t="s">
        <v>4712</v>
      </c>
      <c r="V35" s="32" t="str">
        <f t="shared" si="2"/>
        <v>.357 马格南左轮</v>
      </c>
      <c r="W35" s="129"/>
      <c r="X35" s="290"/>
      <c r="Y35" s="290"/>
      <c r="Z35" s="290"/>
      <c r="AA35" s="290"/>
      <c r="AB35" s="290"/>
      <c r="AC35" s="290"/>
      <c r="AD35" s="290"/>
      <c r="AE35" s="290"/>
      <c r="AF35" s="295"/>
      <c r="AG35" s="149"/>
      <c r="AH35" s="149"/>
      <c r="AI35" s="149"/>
      <c r="AJ35" s="149"/>
      <c r="AK35" s="149"/>
    </row>
    <row r="36" spans="1:37" ht="14.25" customHeight="1">
      <c r="A36" s="163"/>
      <c r="B36" s="253" t="str">
        <f t="shared" si="0"/>
        <v>.38(9mm)左轮手枪</v>
      </c>
      <c r="C36" s="254" t="s">
        <v>134</v>
      </c>
      <c r="D36" s="255" t="s">
        <v>401</v>
      </c>
      <c r="E36" s="255" t="s">
        <v>4701</v>
      </c>
      <c r="F36" s="255" t="s">
        <v>516</v>
      </c>
      <c r="G36" s="255" t="s">
        <v>4692</v>
      </c>
      <c r="H36" s="255" t="s">
        <v>4693</v>
      </c>
      <c r="I36" s="255" t="s">
        <v>3549</v>
      </c>
      <c r="J36" s="255" t="s">
        <v>4572</v>
      </c>
      <c r="K36" s="255" t="s">
        <v>4713</v>
      </c>
      <c r="L36" s="279" t="s">
        <v>4714</v>
      </c>
      <c r="M36" s="3097"/>
      <c r="N36" s="3264"/>
      <c r="O36" s="3223"/>
      <c r="P36" s="3224"/>
      <c r="Q36" s="291"/>
      <c r="R36" s="291"/>
      <c r="S36" s="73"/>
      <c r="T36" s="288" t="s">
        <v>401</v>
      </c>
      <c r="U36" s="32" t="s">
        <v>4715</v>
      </c>
      <c r="V36" s="32" t="str">
        <f t="shared" si="2"/>
        <v>.38(9mm)左轮手枪</v>
      </c>
      <c r="X36" s="290"/>
      <c r="Y36" s="290"/>
      <c r="Z36" s="290"/>
      <c r="AA36" s="290"/>
      <c r="AB36" s="290"/>
      <c r="AC36" s="290"/>
      <c r="AD36" s="290"/>
      <c r="AE36" s="290"/>
      <c r="AF36" s="295"/>
      <c r="AG36" s="149"/>
      <c r="AH36" s="149"/>
      <c r="AI36" s="149"/>
      <c r="AJ36" s="149"/>
      <c r="AK36" s="149"/>
    </row>
    <row r="37" spans="1:37" ht="14.25" customHeight="1">
      <c r="A37" s="163"/>
      <c r="B37" s="229" t="str">
        <f t="shared" si="0"/>
        <v>.38(9mm)自动手枪</v>
      </c>
      <c r="C37" s="230" t="s">
        <v>134</v>
      </c>
      <c r="D37" s="231" t="s">
        <v>401</v>
      </c>
      <c r="E37" s="231" t="s">
        <v>4701</v>
      </c>
      <c r="F37" s="231" t="s">
        <v>516</v>
      </c>
      <c r="G37" s="231" t="s">
        <v>4692</v>
      </c>
      <c r="H37" s="231" t="s">
        <v>4705</v>
      </c>
      <c r="I37" s="231" t="s">
        <v>4706</v>
      </c>
      <c r="J37" s="231" t="s">
        <v>4572</v>
      </c>
      <c r="K37" s="231" t="s">
        <v>4716</v>
      </c>
      <c r="L37" s="271" t="s">
        <v>4714</v>
      </c>
      <c r="M37" s="3097"/>
      <c r="N37" s="3264"/>
      <c r="O37" s="3223"/>
      <c r="P37" s="3224"/>
      <c r="Q37" s="291"/>
      <c r="R37" s="291"/>
      <c r="S37" s="73"/>
      <c r="T37" s="288" t="s">
        <v>401</v>
      </c>
      <c r="U37" s="32" t="s">
        <v>4717</v>
      </c>
      <c r="V37" s="32" t="str">
        <f t="shared" si="2"/>
        <v>.38(9mm)自动手枪</v>
      </c>
      <c r="X37" s="290"/>
      <c r="Y37" s="290"/>
      <c r="Z37" s="290"/>
      <c r="AA37" s="290"/>
      <c r="AB37" s="290"/>
      <c r="AC37" s="290"/>
      <c r="AD37" s="290"/>
      <c r="AE37" s="290"/>
      <c r="AF37" s="295"/>
      <c r="AG37" s="149"/>
      <c r="AH37" s="149"/>
      <c r="AI37" s="149"/>
      <c r="AJ37" s="149"/>
      <c r="AK37" s="149"/>
    </row>
    <row r="38" spans="1:37" ht="14.25" customHeight="1">
      <c r="A38" s="163"/>
      <c r="B38" s="253" t="str">
        <f t="shared" si="0"/>
        <v>贝瑞塔 M9</v>
      </c>
      <c r="C38" s="254" t="s">
        <v>134</v>
      </c>
      <c r="D38" s="255" t="s">
        <v>401</v>
      </c>
      <c r="E38" s="255" t="s">
        <v>4701</v>
      </c>
      <c r="F38" s="255" t="s">
        <v>516</v>
      </c>
      <c r="G38" s="255" t="s">
        <v>4692</v>
      </c>
      <c r="H38" s="255" t="s">
        <v>4701</v>
      </c>
      <c r="I38" s="255" t="s">
        <v>4718</v>
      </c>
      <c r="J38" s="255" t="s">
        <v>3276</v>
      </c>
      <c r="K38" s="255" t="s">
        <v>4719</v>
      </c>
      <c r="L38" s="279" t="s">
        <v>4720</v>
      </c>
      <c r="M38" s="3097"/>
      <c r="N38" s="3264" t="s">
        <v>4721</v>
      </c>
      <c r="O38" s="3223"/>
      <c r="P38" s="3224"/>
      <c r="Q38" s="291"/>
      <c r="R38" s="291"/>
      <c r="S38" s="73"/>
      <c r="T38" s="288" t="s">
        <v>401</v>
      </c>
      <c r="U38" s="32" t="s">
        <v>4722</v>
      </c>
      <c r="V38" s="32" t="str">
        <f t="shared" si="2"/>
        <v>贝瑞塔 M9</v>
      </c>
      <c r="X38" s="290"/>
      <c r="Y38" s="290"/>
      <c r="Z38" s="290"/>
      <c r="AA38" s="290"/>
      <c r="AB38" s="290"/>
      <c r="AC38" s="290"/>
      <c r="AD38" s="290"/>
      <c r="AE38" s="290"/>
      <c r="AF38" s="295"/>
      <c r="AG38" s="149"/>
      <c r="AH38" s="149"/>
      <c r="AI38" s="149"/>
      <c r="AJ38" s="149"/>
      <c r="AK38" s="149"/>
    </row>
    <row r="39" spans="1:37" ht="14.25" customHeight="1">
      <c r="A39" s="163"/>
      <c r="B39" s="229" t="str">
        <f t="shared" si="0"/>
        <v>9mm 格洛克 17</v>
      </c>
      <c r="C39" s="230" t="s">
        <v>134</v>
      </c>
      <c r="D39" s="231" t="s">
        <v>401</v>
      </c>
      <c r="E39" s="231" t="s">
        <v>4701</v>
      </c>
      <c r="F39" s="231" t="s">
        <v>516</v>
      </c>
      <c r="G39" s="231" t="s">
        <v>4692</v>
      </c>
      <c r="H39" s="231" t="s">
        <v>4723</v>
      </c>
      <c r="I39" s="231" t="s">
        <v>4718</v>
      </c>
      <c r="J39" s="231" t="s">
        <v>3276</v>
      </c>
      <c r="K39" s="231" t="s">
        <v>4719</v>
      </c>
      <c r="L39" s="271" t="s">
        <v>4724</v>
      </c>
      <c r="M39" s="3097"/>
      <c r="N39" s="3264"/>
      <c r="O39" s="3223"/>
      <c r="P39" s="3224"/>
      <c r="Q39" s="291"/>
      <c r="R39" s="291"/>
      <c r="S39" s="73"/>
      <c r="T39" s="288" t="s">
        <v>401</v>
      </c>
      <c r="U39" s="32" t="s">
        <v>4725</v>
      </c>
      <c r="V39" s="32" t="str">
        <f t="shared" si="2"/>
        <v>9mm 格洛克 17</v>
      </c>
      <c r="W39" s="129"/>
      <c r="X39" s="290"/>
      <c r="Y39" s="290"/>
      <c r="Z39" s="290"/>
      <c r="AA39" s="290"/>
      <c r="AB39" s="290"/>
      <c r="AC39" s="290"/>
      <c r="AD39" s="290"/>
      <c r="AE39" s="290"/>
      <c r="AF39" s="295"/>
      <c r="AG39" s="149"/>
      <c r="AH39" s="149"/>
      <c r="AI39" s="149"/>
      <c r="AJ39" s="149"/>
      <c r="AK39" s="149"/>
    </row>
    <row r="40" spans="1:37" ht="14.25" customHeight="1">
      <c r="A40" s="163"/>
      <c r="B40" s="253" t="str">
        <f t="shared" si="0"/>
        <v>9mm 鲁格 P08</v>
      </c>
      <c r="C40" s="254" t="s">
        <v>134</v>
      </c>
      <c r="D40" s="255" t="s">
        <v>401</v>
      </c>
      <c r="E40" s="255" t="s">
        <v>4701</v>
      </c>
      <c r="F40" s="255" t="s">
        <v>516</v>
      </c>
      <c r="G40" s="255" t="s">
        <v>4692</v>
      </c>
      <c r="H40" s="255" t="s">
        <v>4705</v>
      </c>
      <c r="I40" s="255" t="s">
        <v>4706</v>
      </c>
      <c r="J40" s="255" t="s">
        <v>4572</v>
      </c>
      <c r="K40" s="255" t="s">
        <v>4726</v>
      </c>
      <c r="L40" s="279" t="s">
        <v>4727</v>
      </c>
      <c r="M40" s="3097"/>
      <c r="N40" s="3264"/>
      <c r="O40" s="3223"/>
      <c r="P40" s="3224"/>
      <c r="Q40" s="291"/>
      <c r="R40" s="291"/>
      <c r="S40" s="73"/>
      <c r="T40" s="288" t="s">
        <v>401</v>
      </c>
      <c r="U40" s="32" t="s">
        <v>4728</v>
      </c>
      <c r="V40" s="32" t="str">
        <f t="shared" si="2"/>
        <v>9mm 鲁格 P08</v>
      </c>
      <c r="W40" s="129"/>
      <c r="X40" s="290"/>
      <c r="Y40" s="290"/>
      <c r="Z40" s="290"/>
      <c r="AA40" s="290"/>
      <c r="AB40" s="290"/>
      <c r="AC40" s="290"/>
      <c r="AD40" s="290"/>
      <c r="AE40" s="290"/>
      <c r="AF40" s="295"/>
      <c r="AG40" s="149"/>
    </row>
    <row r="41" spans="1:37" ht="14.25" customHeight="1">
      <c r="A41" s="163"/>
      <c r="B41" s="229" t="str">
        <f t="shared" si="0"/>
        <v>-*.41(10.4mm) 左轮手枪</v>
      </c>
      <c r="C41" s="230" t="s">
        <v>134</v>
      </c>
      <c r="D41" s="231" t="s">
        <v>401</v>
      </c>
      <c r="E41" s="231" t="s">
        <v>4701</v>
      </c>
      <c r="F41" s="231" t="s">
        <v>516</v>
      </c>
      <c r="G41" s="231" t="s">
        <v>4692</v>
      </c>
      <c r="H41" s="231" t="s">
        <v>4705</v>
      </c>
      <c r="I41" s="231" t="s">
        <v>3549</v>
      </c>
      <c r="J41" s="280" t="s">
        <v>4729</v>
      </c>
      <c r="K41" s="231" t="s">
        <v>4730</v>
      </c>
      <c r="L41" s="271" t="s">
        <v>4731</v>
      </c>
      <c r="M41" s="3097"/>
      <c r="N41" s="3264"/>
      <c r="O41" s="3223"/>
      <c r="P41" s="3224"/>
      <c r="Q41" s="291"/>
      <c r="R41" s="291"/>
      <c r="S41" s="73"/>
      <c r="T41" s="288" t="s">
        <v>401</v>
      </c>
      <c r="U41" s="32" t="s">
        <v>4732</v>
      </c>
      <c r="V41" s="32" t="str">
        <f t="shared" si="2"/>
        <v>-*.41(10.4mm) 左轮手枪</v>
      </c>
      <c r="W41" s="129"/>
      <c r="X41" s="290"/>
      <c r="Y41" s="290"/>
      <c r="Z41" s="290"/>
      <c r="AA41" s="290"/>
      <c r="AB41" s="290"/>
      <c r="AC41" s="290"/>
      <c r="AD41" s="290"/>
      <c r="AE41" s="290"/>
      <c r="AF41" s="295"/>
      <c r="AG41" s="149"/>
    </row>
    <row r="42" spans="1:37" ht="14.25" customHeight="1">
      <c r="A42" s="163"/>
      <c r="B42" s="253" t="str">
        <f t="shared" si="0"/>
        <v>.44(11.2mm) 马格南左轮手枪</v>
      </c>
      <c r="C42" s="254" t="s">
        <v>134</v>
      </c>
      <c r="D42" s="255" t="s">
        <v>4733</v>
      </c>
      <c r="E42" s="255" t="s">
        <v>4701</v>
      </c>
      <c r="F42" s="255" t="s">
        <v>516</v>
      </c>
      <c r="G42" s="255" t="s">
        <v>4692</v>
      </c>
      <c r="H42" s="255" t="s">
        <v>4693</v>
      </c>
      <c r="I42" s="255" t="s">
        <v>3549</v>
      </c>
      <c r="J42" s="255" t="s">
        <v>3276</v>
      </c>
      <c r="K42" s="255">
        <v>475</v>
      </c>
      <c r="L42" s="279" t="s">
        <v>4734</v>
      </c>
      <c r="M42" s="3097"/>
      <c r="N42" s="3264"/>
      <c r="O42" s="3223"/>
      <c r="P42" s="3224"/>
      <c r="Q42" s="291"/>
      <c r="R42" s="291"/>
      <c r="S42" s="73"/>
      <c r="T42" s="288" t="s">
        <v>4733</v>
      </c>
      <c r="U42" s="32" t="s">
        <v>4735</v>
      </c>
      <c r="V42" s="32" t="str">
        <f t="shared" si="2"/>
        <v>.44(11.2mm) 马格南左轮手枪</v>
      </c>
      <c r="W42" s="129"/>
      <c r="X42" s="290"/>
      <c r="Y42" s="290"/>
      <c r="Z42" s="290"/>
      <c r="AA42" s="290"/>
      <c r="AB42" s="290"/>
      <c r="AC42" s="290"/>
      <c r="AD42" s="290"/>
      <c r="AE42" s="290"/>
      <c r="AF42" s="295"/>
      <c r="AG42" s="149"/>
    </row>
    <row r="43" spans="1:37" ht="14.25" customHeight="1">
      <c r="A43" s="163"/>
      <c r="B43" s="229" t="str">
        <f t="shared" si="0"/>
        <v>.45(11.43mm) 左轮手枪</v>
      </c>
      <c r="C43" s="230" t="s">
        <v>134</v>
      </c>
      <c r="D43" s="231" t="s">
        <v>4736</v>
      </c>
      <c r="E43" s="231" t="s">
        <v>4701</v>
      </c>
      <c r="F43" s="231" t="s">
        <v>516</v>
      </c>
      <c r="G43" s="231" t="s">
        <v>4692</v>
      </c>
      <c r="H43" s="231" t="s">
        <v>4693</v>
      </c>
      <c r="I43" s="231" t="s">
        <v>3549</v>
      </c>
      <c r="J43" s="231" t="s">
        <v>4572</v>
      </c>
      <c r="K43" s="231" t="s">
        <v>4686</v>
      </c>
      <c r="L43" s="271" t="s">
        <v>4737</v>
      </c>
      <c r="M43" s="3097"/>
      <c r="N43" s="3264"/>
      <c r="O43" s="3223"/>
      <c r="P43" s="3224"/>
      <c r="Q43" s="291"/>
      <c r="R43" s="291"/>
      <c r="S43" s="73"/>
      <c r="T43" s="288" t="s">
        <v>4736</v>
      </c>
      <c r="U43" s="32" t="s">
        <v>4738</v>
      </c>
      <c r="V43" s="32" t="str">
        <f t="shared" si="2"/>
        <v>.45(11.43mm) 左轮手枪</v>
      </c>
      <c r="W43" s="129"/>
      <c r="X43" s="290"/>
      <c r="Y43" s="290"/>
      <c r="Z43" s="290"/>
      <c r="AA43" s="290"/>
      <c r="AB43" s="290"/>
      <c r="AC43" s="290"/>
      <c r="AD43" s="290"/>
      <c r="AE43" s="290"/>
      <c r="AF43" s="295"/>
      <c r="AG43" s="149"/>
    </row>
    <row r="44" spans="1:37" ht="14.25" customHeight="1">
      <c r="A44" s="163"/>
      <c r="B44" s="253" t="str">
        <f t="shared" si="0"/>
        <v>.45(11.43mm) 自动手枪</v>
      </c>
      <c r="C44" s="254" t="s">
        <v>134</v>
      </c>
      <c r="D44" s="255" t="s">
        <v>4736</v>
      </c>
      <c r="E44" s="255" t="s">
        <v>4701</v>
      </c>
      <c r="F44" s="255" t="s">
        <v>516</v>
      </c>
      <c r="G44" s="255" t="s">
        <v>4692</v>
      </c>
      <c r="H44" s="255" t="s">
        <v>4739</v>
      </c>
      <c r="I44" s="255" t="s">
        <v>3549</v>
      </c>
      <c r="J44" s="255" t="s">
        <v>4572</v>
      </c>
      <c r="K44" s="255" t="s">
        <v>4740</v>
      </c>
      <c r="L44" s="279" t="s">
        <v>4737</v>
      </c>
      <c r="M44" s="3097"/>
      <c r="N44" s="3264"/>
      <c r="O44" s="3223"/>
      <c r="P44" s="3224"/>
      <c r="Q44" s="291"/>
      <c r="R44" s="291"/>
      <c r="S44" s="73"/>
      <c r="T44" s="288" t="s">
        <v>4736</v>
      </c>
      <c r="U44" s="32" t="s">
        <v>4741</v>
      </c>
      <c r="V44" s="32" t="str">
        <f t="shared" si="2"/>
        <v>.45(11.43mm) 自动手枪</v>
      </c>
      <c r="W44" s="129"/>
      <c r="X44" s="290"/>
      <c r="Y44" s="290"/>
      <c r="Z44" s="290"/>
      <c r="AA44" s="290"/>
      <c r="AB44" s="290"/>
      <c r="AC44" s="290"/>
      <c r="AD44" s="290"/>
      <c r="AE44" s="290"/>
      <c r="AF44" s="295"/>
      <c r="AG44" s="149"/>
    </row>
    <row r="45" spans="1:37" ht="14.25" customHeight="1">
      <c r="A45" s="163"/>
      <c r="B45" s="256" t="str">
        <f t="shared" si="0"/>
        <v>IMI 沙漠之鹰</v>
      </c>
      <c r="C45" s="257" t="s">
        <v>134</v>
      </c>
      <c r="D45" s="258" t="s">
        <v>4742</v>
      </c>
      <c r="E45" s="258" t="s">
        <v>4701</v>
      </c>
      <c r="F45" s="258" t="s">
        <v>516</v>
      </c>
      <c r="G45" s="258" t="s">
        <v>4692</v>
      </c>
      <c r="H45" s="258" t="s">
        <v>4739</v>
      </c>
      <c r="I45" s="258" t="s">
        <v>4743</v>
      </c>
      <c r="J45" s="258" t="s">
        <v>3276</v>
      </c>
      <c r="K45" s="258">
        <v>650</v>
      </c>
      <c r="L45" s="281" t="s">
        <v>4744</v>
      </c>
      <c r="M45" s="3098"/>
      <c r="N45" s="3265"/>
      <c r="O45" s="3225"/>
      <c r="P45" s="3226"/>
      <c r="Q45" s="291"/>
      <c r="R45" s="291"/>
      <c r="S45" s="73"/>
      <c r="T45" s="288" t="s">
        <v>4742</v>
      </c>
      <c r="U45" s="32" t="s">
        <v>4745</v>
      </c>
      <c r="V45" s="32" t="str">
        <f t="shared" si="2"/>
        <v>IMI 沙漠之鹰</v>
      </c>
      <c r="W45" s="129"/>
      <c r="X45" s="290"/>
      <c r="Y45" s="290"/>
      <c r="Z45" s="290"/>
      <c r="AA45" s="290"/>
      <c r="AB45" s="290"/>
      <c r="AC45" s="290"/>
      <c r="AD45" s="290"/>
      <c r="AE45" s="290"/>
      <c r="AF45" s="295"/>
      <c r="AG45" s="149"/>
    </row>
    <row r="46" spans="1:37" ht="14.25" customHeight="1">
      <c r="A46" s="163"/>
      <c r="B46" s="259" t="str">
        <f t="shared" si="0"/>
        <v>*.58 (14.7mm)1855 年式春田步枪</v>
      </c>
      <c r="C46" s="260" t="s">
        <v>370</v>
      </c>
      <c r="D46" s="261" t="s">
        <v>4746</v>
      </c>
      <c r="E46" s="261" t="s">
        <v>4747</v>
      </c>
      <c r="F46" s="261" t="s">
        <v>516</v>
      </c>
      <c r="G46" s="261" t="s">
        <v>4685</v>
      </c>
      <c r="H46" s="261" t="s">
        <v>4570</v>
      </c>
      <c r="I46" s="261" t="s">
        <v>4593</v>
      </c>
      <c r="J46" s="261" t="s">
        <v>4654</v>
      </c>
      <c r="K46" s="261" t="s">
        <v>4748</v>
      </c>
      <c r="L46" s="282" t="s">
        <v>4749</v>
      </c>
      <c r="M46" s="3099" t="s">
        <v>4750</v>
      </c>
      <c r="N46" s="3266" t="s">
        <v>4751</v>
      </c>
      <c r="O46" s="2832" t="s">
        <v>4752</v>
      </c>
      <c r="P46" s="2833"/>
      <c r="Q46" s="292"/>
      <c r="R46" s="291"/>
      <c r="S46" s="73"/>
      <c r="T46" s="288" t="s">
        <v>4746</v>
      </c>
      <c r="U46" s="32" t="s">
        <v>4753</v>
      </c>
      <c r="V46" s="32" t="s">
        <v>4753</v>
      </c>
      <c r="W46" s="129"/>
      <c r="X46" s="290"/>
      <c r="Y46" s="290"/>
      <c r="Z46" s="290"/>
      <c r="AA46" s="290"/>
      <c r="AB46" s="290"/>
      <c r="AC46" s="290"/>
      <c r="AD46" s="290"/>
      <c r="AE46" s="290"/>
      <c r="AF46" s="295"/>
      <c r="AG46" s="149"/>
    </row>
    <row r="47" spans="1:37" ht="14.25" customHeight="1">
      <c r="A47" s="163"/>
      <c r="B47" s="229" t="str">
        <f t="shared" si="0"/>
        <v>.22 (5.6mm)栓式枪机步枪</v>
      </c>
      <c r="C47" s="230" t="s">
        <v>370</v>
      </c>
      <c r="D47" s="231" t="s">
        <v>4683</v>
      </c>
      <c r="E47" s="231" t="s">
        <v>4754</v>
      </c>
      <c r="F47" s="231" t="s">
        <v>516</v>
      </c>
      <c r="G47" s="231" t="s">
        <v>4570</v>
      </c>
      <c r="H47" s="231" t="s">
        <v>4693</v>
      </c>
      <c r="I47" s="231" t="s">
        <v>4706</v>
      </c>
      <c r="J47" s="231" t="s">
        <v>4572</v>
      </c>
      <c r="K47" s="231" t="s">
        <v>4755</v>
      </c>
      <c r="L47" s="271" t="s">
        <v>4695</v>
      </c>
      <c r="M47" s="3100"/>
      <c r="N47" s="3267"/>
      <c r="O47" s="2834"/>
      <c r="P47" s="2835"/>
      <c r="Q47" s="292"/>
      <c r="R47" s="291"/>
      <c r="S47" s="73"/>
      <c r="T47" s="288" t="s">
        <v>4683</v>
      </c>
      <c r="U47" s="32" t="s">
        <v>4756</v>
      </c>
      <c r="V47" s="32" t="str">
        <f t="shared" ref="V47:V105" si="3">IF(OR(J47="1920s,现代",$U$1="其他",J47=$U$1,AND(J47="1920s,罕见",$U$1="1920s"),J47="罕见"),U47,"-"&amp;U47)</f>
        <v>.22 (5.6mm)栓式枪机步枪</v>
      </c>
      <c r="W47" s="129"/>
      <c r="X47" s="290"/>
      <c r="Y47" s="290"/>
      <c r="Z47" s="290"/>
      <c r="AA47" s="290"/>
      <c r="AB47" s="290"/>
      <c r="AC47" s="290"/>
      <c r="AD47" s="290"/>
      <c r="AE47" s="290"/>
      <c r="AF47" s="295"/>
      <c r="AG47" s="149"/>
    </row>
    <row r="48" spans="1:37" ht="14.25" customHeight="1">
      <c r="A48" s="163"/>
      <c r="B48" s="226" t="str">
        <f t="shared" si="0"/>
        <v>.30 (7.62mm)杠杆式枪机步枪</v>
      </c>
      <c r="C48" s="227" t="s">
        <v>370</v>
      </c>
      <c r="D48" s="228" t="s">
        <v>4757</v>
      </c>
      <c r="E48" s="228" t="s">
        <v>3539</v>
      </c>
      <c r="F48" s="228" t="s">
        <v>516</v>
      </c>
      <c r="G48" s="228" t="s">
        <v>4570</v>
      </c>
      <c r="H48" s="228" t="s">
        <v>4693</v>
      </c>
      <c r="I48" s="228" t="s">
        <v>4718</v>
      </c>
      <c r="J48" s="228" t="s">
        <v>4572</v>
      </c>
      <c r="K48" s="228" t="s">
        <v>4758</v>
      </c>
      <c r="L48" s="270" t="s">
        <v>4759</v>
      </c>
      <c r="M48" s="3100"/>
      <c r="N48" s="3267"/>
      <c r="O48" s="2834"/>
      <c r="P48" s="2835"/>
      <c r="Q48" s="292"/>
      <c r="R48" s="291"/>
      <c r="S48" s="73"/>
      <c r="T48" s="288" t="s">
        <v>4757</v>
      </c>
      <c r="U48" s="32" t="s">
        <v>4760</v>
      </c>
      <c r="V48" s="32" t="str">
        <f t="shared" si="3"/>
        <v>.30 (7.62mm)杠杆式枪机步枪</v>
      </c>
      <c r="W48" s="129"/>
      <c r="X48" s="290"/>
      <c r="Y48" s="290"/>
      <c r="Z48" s="290"/>
      <c r="AA48" s="290"/>
      <c r="AB48" s="290"/>
      <c r="AC48" s="290"/>
      <c r="AD48" s="290"/>
      <c r="AE48" s="290"/>
      <c r="AF48" s="295"/>
      <c r="AG48" s="149"/>
    </row>
    <row r="49" spans="1:34" ht="14.25" customHeight="1">
      <c r="A49" s="163"/>
      <c r="B49" s="229" t="str">
        <f t="shared" si="0"/>
        <v>-.45 马提尼·亨利步枪</v>
      </c>
      <c r="C49" s="230" t="s">
        <v>370</v>
      </c>
      <c r="D49" s="231" t="s">
        <v>4761</v>
      </c>
      <c r="E49" s="231" t="s">
        <v>4762</v>
      </c>
      <c r="F49" s="231" t="s">
        <v>516</v>
      </c>
      <c r="G49" s="231" t="s">
        <v>4763</v>
      </c>
      <c r="H49" s="231" t="s">
        <v>4570</v>
      </c>
      <c r="I49" s="231" t="s">
        <v>3549</v>
      </c>
      <c r="J49" s="231" t="s">
        <v>13</v>
      </c>
      <c r="K49" s="231" t="s">
        <v>4764</v>
      </c>
      <c r="L49" s="271" t="s">
        <v>4765</v>
      </c>
      <c r="M49" s="3100"/>
      <c r="N49" s="3267"/>
      <c r="O49" s="2834"/>
      <c r="P49" s="2835"/>
      <c r="Q49" s="292"/>
      <c r="R49" s="291"/>
      <c r="S49" s="73"/>
      <c r="T49" s="288" t="s">
        <v>4761</v>
      </c>
      <c r="U49" s="32" t="s">
        <v>4766</v>
      </c>
      <c r="V49" s="32" t="str">
        <f t="shared" si="3"/>
        <v>-.45 马提尼·亨利步枪</v>
      </c>
      <c r="W49" s="129"/>
      <c r="X49" s="290"/>
      <c r="Y49" s="290"/>
      <c r="Z49" s="290"/>
      <c r="AA49" s="290"/>
      <c r="AB49" s="290"/>
      <c r="AC49" s="290"/>
      <c r="AD49" s="290"/>
      <c r="AE49" s="290"/>
      <c r="AF49" s="295"/>
      <c r="AG49" s="149"/>
    </row>
    <row r="50" spans="1:34" ht="14.25" customHeight="1">
      <c r="A50" s="163"/>
      <c r="B50" s="262" t="str">
        <f t="shared" si="0"/>
        <v>-莫兰上校的气动步枪</v>
      </c>
      <c r="C50" s="263" t="s">
        <v>370</v>
      </c>
      <c r="D50" s="264" t="s">
        <v>4767</v>
      </c>
      <c r="E50" s="264" t="s">
        <v>4768</v>
      </c>
      <c r="F50" s="264" t="s">
        <v>516</v>
      </c>
      <c r="G50" s="264" t="s">
        <v>4763</v>
      </c>
      <c r="H50" s="264" t="s">
        <v>4570</v>
      </c>
      <c r="I50" s="264" t="s">
        <v>4769</v>
      </c>
      <c r="J50" s="264" t="s">
        <v>13</v>
      </c>
      <c r="K50" s="264" t="s">
        <v>4770</v>
      </c>
      <c r="L50" s="283" t="s">
        <v>4737</v>
      </c>
      <c r="M50" s="3100"/>
      <c r="N50" s="3267"/>
      <c r="O50" s="2834"/>
      <c r="P50" s="2835"/>
      <c r="Q50" s="292"/>
      <c r="R50" s="291"/>
      <c r="S50" s="73"/>
      <c r="T50" s="288" t="s">
        <v>4767</v>
      </c>
      <c r="U50" s="32" t="s">
        <v>4771</v>
      </c>
      <c r="V50" s="32" t="str">
        <f t="shared" si="3"/>
        <v>-莫兰上校的气动步枪</v>
      </c>
      <c r="W50" s="129"/>
      <c r="X50" s="290"/>
      <c r="Y50" s="290"/>
      <c r="Z50" s="290"/>
      <c r="AA50" s="290"/>
      <c r="AB50" s="290"/>
      <c r="AC50" s="290"/>
      <c r="AD50" s="290"/>
      <c r="AE50" s="290"/>
      <c r="AF50" s="295"/>
      <c r="AG50" s="149"/>
    </row>
    <row r="51" spans="1:34" ht="14.25" customHeight="1">
      <c r="A51" s="163"/>
      <c r="B51" s="226" t="str">
        <f t="shared" si="0"/>
        <v>加兰德M1、M2步枪</v>
      </c>
      <c r="C51" s="227" t="s">
        <v>370</v>
      </c>
      <c r="D51" s="228" t="s">
        <v>4772</v>
      </c>
      <c r="E51" s="228" t="s">
        <v>4773</v>
      </c>
      <c r="F51" s="228" t="s">
        <v>516</v>
      </c>
      <c r="G51" s="228" t="s">
        <v>4570</v>
      </c>
      <c r="H51" s="228" t="s">
        <v>4705</v>
      </c>
      <c r="I51" s="228" t="s">
        <v>3549</v>
      </c>
      <c r="J51" s="228" t="s">
        <v>4572</v>
      </c>
      <c r="K51" s="228" t="s">
        <v>4774</v>
      </c>
      <c r="L51" s="270" t="s">
        <v>4775</v>
      </c>
      <c r="M51" s="3100"/>
      <c r="N51" s="3267"/>
      <c r="O51" s="2834"/>
      <c r="P51" s="2835"/>
      <c r="Q51" s="292"/>
      <c r="R51" s="291"/>
      <c r="S51" s="73"/>
      <c r="T51" s="288" t="s">
        <v>4772</v>
      </c>
      <c r="U51" s="32" t="s">
        <v>4776</v>
      </c>
      <c r="V51" s="32" t="str">
        <f t="shared" si="3"/>
        <v>加兰德M1、M2步枪</v>
      </c>
      <c r="AF51" s="295"/>
      <c r="AG51" s="149"/>
    </row>
    <row r="52" spans="1:34" ht="14.25" customHeight="1">
      <c r="A52" s="163"/>
      <c r="B52" s="229" t="str">
        <f t="shared" si="0"/>
        <v>SKS 半自动步枪(56 半)</v>
      </c>
      <c r="C52" s="265" t="s">
        <v>370</v>
      </c>
      <c r="D52" s="266" t="s">
        <v>4767</v>
      </c>
      <c r="E52" s="266" t="s">
        <v>4777</v>
      </c>
      <c r="F52" s="266" t="s">
        <v>516</v>
      </c>
      <c r="G52" s="266" t="s">
        <v>4778</v>
      </c>
      <c r="H52" s="266" t="s">
        <v>4684</v>
      </c>
      <c r="I52" s="266" t="s">
        <v>4571</v>
      </c>
      <c r="J52" s="266" t="s">
        <v>3276</v>
      </c>
      <c r="K52" s="266" t="s">
        <v>3558</v>
      </c>
      <c r="L52" s="284" t="s">
        <v>4779</v>
      </c>
      <c r="M52" s="3100"/>
      <c r="N52" s="3267"/>
      <c r="O52" s="2834"/>
      <c r="P52" s="2835"/>
      <c r="Q52" s="292"/>
      <c r="R52" s="291"/>
      <c r="S52" s="73"/>
      <c r="T52" s="288" t="s">
        <v>4767</v>
      </c>
      <c r="U52" s="32" t="s">
        <v>4780</v>
      </c>
      <c r="V52" s="32" t="str">
        <f t="shared" si="3"/>
        <v>SKS 半自动步枪(56 半)</v>
      </c>
      <c r="W52" s="129"/>
      <c r="X52" s="290"/>
      <c r="Y52" s="290"/>
      <c r="Z52" s="290"/>
      <c r="AA52" s="290"/>
      <c r="AB52" s="290"/>
      <c r="AC52" s="290"/>
      <c r="AD52" s="290"/>
      <c r="AE52" s="290"/>
      <c r="AF52" s="295"/>
      <c r="AG52" s="299"/>
      <c r="AH52" s="299"/>
    </row>
    <row r="53" spans="1:34" ht="14.25" customHeight="1">
      <c r="A53" s="163"/>
      <c r="B53" s="226" t="str">
        <f t="shared" si="0"/>
        <v>.303 (7.7mm) 李·恩菲尔德</v>
      </c>
      <c r="C53" s="227" t="s">
        <v>370</v>
      </c>
      <c r="D53" s="228" t="s">
        <v>4772</v>
      </c>
      <c r="E53" s="228" t="s">
        <v>4773</v>
      </c>
      <c r="F53" s="228" t="s">
        <v>516</v>
      </c>
      <c r="G53" s="228" t="s">
        <v>4570</v>
      </c>
      <c r="H53" s="228">
        <v>10</v>
      </c>
      <c r="I53" s="228" t="s">
        <v>3549</v>
      </c>
      <c r="J53" s="228" t="s">
        <v>4572</v>
      </c>
      <c r="K53" s="228" t="s">
        <v>4781</v>
      </c>
      <c r="L53" s="270" t="s">
        <v>4782</v>
      </c>
      <c r="M53" s="3100"/>
      <c r="N53" s="3267"/>
      <c r="O53" s="2834"/>
      <c r="P53" s="2835"/>
      <c r="Q53" s="292"/>
      <c r="R53" s="291"/>
      <c r="S53" s="73"/>
      <c r="T53" s="288" t="s">
        <v>4772</v>
      </c>
      <c r="U53" s="32" t="s">
        <v>4783</v>
      </c>
      <c r="V53" s="32" t="str">
        <f t="shared" si="3"/>
        <v>.303 (7.7mm) 李·恩菲尔德</v>
      </c>
      <c r="W53" s="129"/>
      <c r="X53" s="290"/>
      <c r="Y53" s="290"/>
      <c r="Z53" s="290"/>
      <c r="AA53" s="290"/>
      <c r="AB53" s="290"/>
      <c r="AC53" s="290"/>
      <c r="AD53" s="290"/>
      <c r="AE53" s="290"/>
      <c r="AF53" s="297"/>
      <c r="AG53" s="299"/>
      <c r="AH53" s="299"/>
    </row>
    <row r="54" spans="1:34" ht="14.25" customHeight="1">
      <c r="A54" s="163"/>
      <c r="B54" s="229" t="str">
        <f t="shared" si="0"/>
        <v>.30——06 (7.62mm) 栓式枪机步枪</v>
      </c>
      <c r="C54" s="265" t="s">
        <v>370</v>
      </c>
      <c r="D54" s="266" t="s">
        <v>4772</v>
      </c>
      <c r="E54" s="266" t="s">
        <v>4773</v>
      </c>
      <c r="F54" s="266" t="s">
        <v>516</v>
      </c>
      <c r="G54" s="266" t="s">
        <v>4570</v>
      </c>
      <c r="H54" s="266" t="s">
        <v>4784</v>
      </c>
      <c r="I54" s="266" t="s">
        <v>3549</v>
      </c>
      <c r="J54" s="266" t="s">
        <v>4572</v>
      </c>
      <c r="K54" s="266" t="s">
        <v>4785</v>
      </c>
      <c r="L54" s="284" t="s">
        <v>4759</v>
      </c>
      <c r="M54" s="3100"/>
      <c r="N54" s="3267"/>
      <c r="O54" s="2834"/>
      <c r="P54" s="2835"/>
      <c r="Q54" s="292"/>
      <c r="R54" s="291"/>
      <c r="S54" s="73"/>
      <c r="T54" s="288" t="s">
        <v>4772</v>
      </c>
      <c r="U54" s="32" t="s">
        <v>4786</v>
      </c>
      <c r="V54" s="32" t="str">
        <f t="shared" si="3"/>
        <v>.30——06 (7.62mm) 栓式枪机步枪</v>
      </c>
      <c r="W54" s="129"/>
      <c r="X54" s="290"/>
      <c r="Y54" s="290"/>
      <c r="Z54" s="290"/>
      <c r="AA54" s="290"/>
      <c r="AB54" s="290"/>
      <c r="AC54" s="290"/>
      <c r="AD54" s="290"/>
      <c r="AE54" s="290"/>
      <c r="AF54" s="297"/>
      <c r="AG54" s="299"/>
      <c r="AH54" s="299"/>
    </row>
    <row r="55" spans="1:34" ht="14.25" customHeight="1">
      <c r="A55" s="163"/>
      <c r="B55" s="226" t="str">
        <f t="shared" si="0"/>
        <v>.30——06 (7.62mm) 半自动步枪</v>
      </c>
      <c r="C55" s="227" t="s">
        <v>370</v>
      </c>
      <c r="D55" s="228" t="s">
        <v>4772</v>
      </c>
      <c r="E55" s="228" t="s">
        <v>4773</v>
      </c>
      <c r="F55" s="228" t="s">
        <v>516</v>
      </c>
      <c r="G55" s="228" t="s">
        <v>4570</v>
      </c>
      <c r="H55" s="228" t="s">
        <v>4784</v>
      </c>
      <c r="I55" s="228" t="s">
        <v>3549</v>
      </c>
      <c r="J55" s="228" t="s">
        <v>3276</v>
      </c>
      <c r="K55" s="228" t="s">
        <v>4787</v>
      </c>
      <c r="L55" s="270" t="s">
        <v>4788</v>
      </c>
      <c r="M55" s="3100"/>
      <c r="N55" s="3267"/>
      <c r="O55" s="2834"/>
      <c r="P55" s="2835"/>
      <c r="Q55" s="292"/>
      <c r="R55" s="291"/>
      <c r="S55" s="73"/>
      <c r="T55" s="288" t="s">
        <v>4772</v>
      </c>
      <c r="U55" s="32" t="s">
        <v>4789</v>
      </c>
      <c r="V55" s="32" t="str">
        <f t="shared" si="3"/>
        <v>.30——06 (7.62mm) 半自动步枪</v>
      </c>
      <c r="W55" s="129"/>
      <c r="X55" s="290"/>
      <c r="Y55" s="290"/>
      <c r="Z55" s="290"/>
      <c r="AA55" s="290"/>
      <c r="AB55" s="290"/>
      <c r="AC55" s="290"/>
      <c r="AD55" s="290"/>
      <c r="AE55" s="290"/>
      <c r="AF55" s="297"/>
      <c r="AG55" s="149"/>
      <c r="AH55" s="299"/>
    </row>
    <row r="56" spans="1:34" ht="14.25" customHeight="1">
      <c r="A56" s="163"/>
      <c r="B56" s="229" t="str">
        <f t="shared" si="0"/>
        <v>.444 (11.28mm) 马林步枪</v>
      </c>
      <c r="C56" s="265" t="s">
        <v>370</v>
      </c>
      <c r="D56" s="266" t="s">
        <v>4790</v>
      </c>
      <c r="E56" s="266" t="s">
        <v>4773</v>
      </c>
      <c r="F56" s="266" t="s">
        <v>516</v>
      </c>
      <c r="G56" s="266" t="s">
        <v>4570</v>
      </c>
      <c r="H56" s="266" t="s">
        <v>4784</v>
      </c>
      <c r="I56" s="266" t="s">
        <v>4718</v>
      </c>
      <c r="J56" s="266" t="s">
        <v>3276</v>
      </c>
      <c r="K56" s="266">
        <v>400</v>
      </c>
      <c r="L56" s="284" t="s">
        <v>4630</v>
      </c>
      <c r="M56" s="3100"/>
      <c r="N56" s="3267"/>
      <c r="O56" s="2834"/>
      <c r="P56" s="2835"/>
      <c r="Q56" s="292"/>
      <c r="R56" s="291"/>
      <c r="S56" s="73"/>
      <c r="T56" s="288" t="s">
        <v>4790</v>
      </c>
      <c r="U56" s="32" t="s">
        <v>4791</v>
      </c>
      <c r="V56" s="32" t="str">
        <f t="shared" si="3"/>
        <v>.444 (11.28mm) 马林步枪</v>
      </c>
      <c r="W56" s="129"/>
      <c r="X56" s="290"/>
      <c r="Y56" s="290"/>
      <c r="Z56" s="290"/>
      <c r="AA56" s="290"/>
      <c r="AB56" s="290"/>
      <c r="AC56" s="290"/>
      <c r="AD56" s="290"/>
      <c r="AE56" s="290"/>
      <c r="AF56" s="297"/>
      <c r="AG56" s="149"/>
      <c r="AH56" s="299"/>
    </row>
    <row r="57" spans="1:34" ht="14.25" customHeight="1">
      <c r="A57" s="163"/>
      <c r="B57" s="226" t="str">
        <f t="shared" si="0"/>
        <v>猎象枪(双管)</v>
      </c>
      <c r="C57" s="227" t="s">
        <v>370</v>
      </c>
      <c r="D57" s="228" t="s">
        <v>4792</v>
      </c>
      <c r="E57" s="228" t="s">
        <v>3549</v>
      </c>
      <c r="F57" s="228" t="s">
        <v>516</v>
      </c>
      <c r="G57" s="228" t="s">
        <v>4793</v>
      </c>
      <c r="H57" s="228" t="s">
        <v>4646</v>
      </c>
      <c r="I57" s="228" t="s">
        <v>3549</v>
      </c>
      <c r="J57" s="228" t="s">
        <v>4572</v>
      </c>
      <c r="K57" s="228" t="s">
        <v>4794</v>
      </c>
      <c r="L57" s="270" t="s">
        <v>4795</v>
      </c>
      <c r="M57" s="3101" t="s">
        <v>4796</v>
      </c>
      <c r="N57" s="3047" t="s">
        <v>4797</v>
      </c>
      <c r="O57" s="3045" t="s">
        <v>4798</v>
      </c>
      <c r="P57" s="3047" t="s">
        <v>4799</v>
      </c>
      <c r="Q57" s="292"/>
      <c r="R57" s="291"/>
      <c r="S57" s="73"/>
      <c r="T57" s="288" t="s">
        <v>4792</v>
      </c>
      <c r="U57" s="32" t="s">
        <v>4800</v>
      </c>
      <c r="V57" s="32" t="str">
        <f t="shared" si="3"/>
        <v>猎象枪(双管)</v>
      </c>
      <c r="W57" s="129"/>
      <c r="X57" s="290"/>
      <c r="Y57" s="290"/>
      <c r="Z57" s="290"/>
      <c r="AA57" s="290"/>
      <c r="AB57" s="290"/>
      <c r="AC57" s="290"/>
      <c r="AD57" s="290"/>
      <c r="AE57" s="290"/>
      <c r="AF57" s="297"/>
      <c r="AG57" s="149"/>
      <c r="AH57" s="299"/>
    </row>
    <row r="58" spans="1:34" ht="14.25" customHeight="1">
      <c r="A58" s="163"/>
      <c r="B58" s="226" t="str">
        <f t="shared" si="0"/>
        <v>-20 号霰弹枪(双管)</v>
      </c>
      <c r="C58" s="227" t="s">
        <v>370</v>
      </c>
      <c r="D58" s="228" t="s">
        <v>4801</v>
      </c>
      <c r="E58" s="228" t="s">
        <v>4802</v>
      </c>
      <c r="F58" s="228" t="s">
        <v>175</v>
      </c>
      <c r="G58" s="228" t="s">
        <v>4793</v>
      </c>
      <c r="H58" s="228" t="s">
        <v>4646</v>
      </c>
      <c r="I58" s="228" t="s">
        <v>3549</v>
      </c>
      <c r="J58" s="228" t="s">
        <v>13</v>
      </c>
      <c r="K58" s="228" t="s">
        <v>4803</v>
      </c>
      <c r="L58" s="285" t="s">
        <v>4804</v>
      </c>
      <c r="M58" s="3102"/>
      <c r="N58" s="3048"/>
      <c r="O58" s="3046"/>
      <c r="P58" s="3048"/>
      <c r="Q58" s="292"/>
      <c r="R58" s="291"/>
      <c r="S58" s="73"/>
      <c r="T58" s="288" t="s">
        <v>4757</v>
      </c>
      <c r="U58" s="32" t="s">
        <v>4805</v>
      </c>
      <c r="V58" s="32" t="str">
        <f t="shared" si="3"/>
        <v>-20 号霰弹枪(双管)</v>
      </c>
      <c r="W58" s="129"/>
      <c r="X58" s="290"/>
      <c r="Y58" s="290"/>
      <c r="Z58" s="290"/>
      <c r="AA58" s="290"/>
      <c r="AB58" s="290"/>
      <c r="AC58" s="290"/>
      <c r="AD58" s="290"/>
      <c r="AE58" s="290"/>
      <c r="AF58" s="297"/>
      <c r="AG58" s="149"/>
      <c r="AH58" s="299"/>
    </row>
    <row r="59" spans="1:34" ht="14.25" customHeight="1">
      <c r="A59" s="163"/>
      <c r="B59" s="229" t="str">
        <f t="shared" si="0"/>
        <v>-16 号霰弹枪(双管)</v>
      </c>
      <c r="C59" s="230" t="s">
        <v>370</v>
      </c>
      <c r="D59" s="231" t="s">
        <v>4806</v>
      </c>
      <c r="E59" s="231" t="s">
        <v>4802</v>
      </c>
      <c r="F59" s="231" t="s">
        <v>175</v>
      </c>
      <c r="G59" s="231" t="s">
        <v>4793</v>
      </c>
      <c r="H59" s="231" t="s">
        <v>4646</v>
      </c>
      <c r="I59" s="231" t="s">
        <v>3549</v>
      </c>
      <c r="J59" s="231" t="s">
        <v>13</v>
      </c>
      <c r="K59" s="231" t="s">
        <v>4807</v>
      </c>
      <c r="L59" s="286" t="s">
        <v>4804</v>
      </c>
      <c r="M59" s="3102"/>
      <c r="N59" s="3048"/>
      <c r="O59" s="3046"/>
      <c r="P59" s="3048"/>
      <c r="Q59" s="292"/>
      <c r="R59" s="291"/>
      <c r="S59" s="73"/>
      <c r="T59" s="288" t="s">
        <v>4808</v>
      </c>
      <c r="U59" s="32" t="s">
        <v>4809</v>
      </c>
      <c r="V59" s="32" t="str">
        <f t="shared" si="3"/>
        <v>-16 号霰弹枪(双管)</v>
      </c>
      <c r="W59" s="129"/>
      <c r="X59" s="290"/>
      <c r="Y59" s="290"/>
      <c r="Z59" s="290"/>
      <c r="AA59" s="290"/>
      <c r="AB59" s="290"/>
      <c r="AC59" s="290"/>
      <c r="AD59" s="290"/>
      <c r="AE59" s="290"/>
      <c r="AF59" s="297"/>
      <c r="AG59" s="149"/>
    </row>
    <row r="60" spans="1:34" ht="14.25" customHeight="1">
      <c r="A60" s="163"/>
      <c r="B60" s="226" t="str">
        <f t="shared" si="0"/>
        <v>12 号霰弹枪(双管)</v>
      </c>
      <c r="C60" s="227" t="s">
        <v>370</v>
      </c>
      <c r="D60" s="228" t="s">
        <v>4810</v>
      </c>
      <c r="E60" s="228" t="s">
        <v>4802</v>
      </c>
      <c r="F60" s="228" t="s">
        <v>175</v>
      </c>
      <c r="G60" s="228" t="s">
        <v>4793</v>
      </c>
      <c r="H60" s="228" t="s">
        <v>4646</v>
      </c>
      <c r="I60" s="228" t="s">
        <v>3549</v>
      </c>
      <c r="J60" s="228" t="s">
        <v>4572</v>
      </c>
      <c r="K60" s="228" t="s">
        <v>4811</v>
      </c>
      <c r="L60" s="285" t="s">
        <v>4804</v>
      </c>
      <c r="M60" s="3102"/>
      <c r="N60" s="3048"/>
      <c r="O60" s="3046"/>
      <c r="P60" s="3048"/>
      <c r="Q60" s="292"/>
      <c r="R60" s="291"/>
      <c r="S60" s="73"/>
      <c r="T60" s="288" t="s">
        <v>4812</v>
      </c>
      <c r="U60" s="32" t="s">
        <v>4813</v>
      </c>
      <c r="V60" s="32" t="str">
        <f t="shared" si="3"/>
        <v>12 号霰弹枪(双管)</v>
      </c>
      <c r="W60" s="129"/>
      <c r="X60" s="290"/>
      <c r="Y60" s="290"/>
      <c r="Z60" s="290"/>
      <c r="AA60" s="290"/>
      <c r="AB60" s="290"/>
      <c r="AC60" s="290"/>
      <c r="AD60" s="290"/>
      <c r="AE60" s="290"/>
      <c r="AF60" s="297"/>
      <c r="AG60" s="149"/>
    </row>
    <row r="61" spans="1:34" ht="14.25" customHeight="1">
      <c r="A61" s="163"/>
      <c r="B61" s="229" t="str">
        <f t="shared" si="0"/>
        <v>12 号霰弹枪(泵动)</v>
      </c>
      <c r="C61" s="230" t="s">
        <v>370</v>
      </c>
      <c r="D61" s="231" t="s">
        <v>4810</v>
      </c>
      <c r="E61" s="231" t="s">
        <v>4802</v>
      </c>
      <c r="F61" s="231" t="s">
        <v>175</v>
      </c>
      <c r="G61" s="231" t="s">
        <v>4570</v>
      </c>
      <c r="H61" s="231" t="s">
        <v>4784</v>
      </c>
      <c r="I61" s="231" t="s">
        <v>3549</v>
      </c>
      <c r="J61" s="231" t="s">
        <v>4572</v>
      </c>
      <c r="K61" s="231" t="s">
        <v>4814</v>
      </c>
      <c r="L61" s="286" t="s">
        <v>4815</v>
      </c>
      <c r="M61" s="3102"/>
      <c r="N61" s="3048"/>
      <c r="O61" s="3046"/>
      <c r="P61" s="3048"/>
      <c r="Q61" s="292"/>
      <c r="R61" s="291"/>
      <c r="S61" s="73"/>
      <c r="T61" s="288" t="s">
        <v>4812</v>
      </c>
      <c r="U61" s="32" t="s">
        <v>4816</v>
      </c>
      <c r="V61" s="32" t="str">
        <f t="shared" si="3"/>
        <v>12 号霰弹枪(泵动)</v>
      </c>
      <c r="AF61" s="297"/>
      <c r="AG61" s="149"/>
    </row>
    <row r="62" spans="1:34" ht="14.25" customHeight="1">
      <c r="A62" s="163"/>
      <c r="B62" s="226" t="str">
        <f t="shared" si="0"/>
        <v>12 号霰弹枪(半自动)</v>
      </c>
      <c r="C62" s="227" t="s">
        <v>370</v>
      </c>
      <c r="D62" s="228" t="s">
        <v>4810</v>
      </c>
      <c r="E62" s="228" t="s">
        <v>4802</v>
      </c>
      <c r="F62" s="228" t="s">
        <v>175</v>
      </c>
      <c r="G62" s="228" t="s">
        <v>4778</v>
      </c>
      <c r="H62" s="228" t="s">
        <v>4784</v>
      </c>
      <c r="I62" s="228" t="s">
        <v>3549</v>
      </c>
      <c r="J62" s="228" t="s">
        <v>3276</v>
      </c>
      <c r="K62" s="228" t="s">
        <v>4814</v>
      </c>
      <c r="L62" s="285" t="s">
        <v>4727</v>
      </c>
      <c r="M62" s="3102"/>
      <c r="N62" s="3048"/>
      <c r="O62" s="3046"/>
      <c r="P62" s="3048"/>
      <c r="Q62" s="292"/>
      <c r="R62" s="291"/>
      <c r="S62" s="73"/>
      <c r="T62" s="288" t="s">
        <v>4812</v>
      </c>
      <c r="U62" s="32" t="s">
        <v>4817</v>
      </c>
      <c r="V62" s="32" t="str">
        <f t="shared" si="3"/>
        <v>12 号霰弹枪(半自动)</v>
      </c>
      <c r="W62" s="129"/>
      <c r="X62" s="290"/>
      <c r="Y62" s="290"/>
      <c r="Z62" s="290"/>
      <c r="AA62" s="290"/>
      <c r="AB62" s="290"/>
      <c r="AC62" s="290"/>
      <c r="AD62" s="290"/>
      <c r="AE62" s="290"/>
      <c r="AF62" s="297"/>
      <c r="AG62" s="149"/>
    </row>
    <row r="63" spans="1:34" ht="14.25" customHeight="1">
      <c r="A63" s="163"/>
      <c r="B63" s="229" t="str">
        <f t="shared" si="0"/>
        <v>-12 号霰弹枪(双管,锯短)</v>
      </c>
      <c r="C63" s="230" t="s">
        <v>370</v>
      </c>
      <c r="D63" s="231" t="s">
        <v>4818</v>
      </c>
      <c r="E63" s="231" t="s">
        <v>4680</v>
      </c>
      <c r="F63" s="231" t="s">
        <v>175</v>
      </c>
      <c r="G63" s="231" t="s">
        <v>4793</v>
      </c>
      <c r="H63" s="231" t="s">
        <v>4646</v>
      </c>
      <c r="I63" s="231" t="s">
        <v>3549</v>
      </c>
      <c r="J63" s="231" t="s">
        <v>13</v>
      </c>
      <c r="K63" s="231" t="s">
        <v>4819</v>
      </c>
      <c r="L63" s="286" t="s">
        <v>4820</v>
      </c>
      <c r="M63" s="3102"/>
      <c r="N63" s="3048"/>
      <c r="O63" s="3046"/>
      <c r="P63" s="3048"/>
      <c r="Q63" s="292"/>
      <c r="R63" s="291"/>
      <c r="S63" s="73"/>
      <c r="T63" s="288" t="s">
        <v>4812</v>
      </c>
      <c r="U63" s="32" t="s">
        <v>4821</v>
      </c>
      <c r="V63" s="32" t="str">
        <f t="shared" si="3"/>
        <v>-12 号霰弹枪(双管,锯短)</v>
      </c>
      <c r="AF63" s="298"/>
      <c r="AG63" s="149"/>
    </row>
    <row r="64" spans="1:34" ht="14.25" customHeight="1">
      <c r="A64" s="163"/>
      <c r="B64" s="226" t="str">
        <f>IF(OR(J64="1920s,现代",$U$1="其他",J64=$U$1,J64="罕见"),U64,"-"&amp;U64)</f>
        <v>-*10 号霰弹枪(双管)</v>
      </c>
      <c r="C64" s="227" t="s">
        <v>370</v>
      </c>
      <c r="D64" s="228" t="s">
        <v>4822</v>
      </c>
      <c r="E64" s="228" t="s">
        <v>4802</v>
      </c>
      <c r="F64" s="228" t="s">
        <v>175</v>
      </c>
      <c r="G64" s="228" t="s">
        <v>4793</v>
      </c>
      <c r="H64" s="228" t="s">
        <v>4646</v>
      </c>
      <c r="I64" s="228" t="s">
        <v>3549</v>
      </c>
      <c r="J64" s="228" t="s">
        <v>4729</v>
      </c>
      <c r="K64" s="228" t="s">
        <v>4823</v>
      </c>
      <c r="L64" s="285" t="s">
        <v>4820</v>
      </c>
      <c r="M64" s="3102"/>
      <c r="N64" s="3048"/>
      <c r="O64" s="3046"/>
      <c r="P64" s="3048"/>
      <c r="Q64" s="292"/>
      <c r="R64" s="291"/>
      <c r="S64" s="73"/>
      <c r="T64" s="288" t="s">
        <v>4824</v>
      </c>
      <c r="U64" s="32" t="s">
        <v>4825</v>
      </c>
      <c r="V64" s="32" t="str">
        <f t="shared" si="3"/>
        <v>-*10 号霰弹枪(双管)</v>
      </c>
      <c r="AF64" s="298"/>
      <c r="AG64" s="149"/>
    </row>
    <row r="65" spans="1:37" ht="14.25" customHeight="1">
      <c r="A65" s="163"/>
      <c r="B65" s="229" t="str">
        <f t="shared" si="0"/>
        <v>12 号贝里尼 M3(折叠式枪托)</v>
      </c>
      <c r="C65" s="230" t="s">
        <v>370</v>
      </c>
      <c r="D65" s="231" t="s">
        <v>4810</v>
      </c>
      <c r="E65" s="231" t="s">
        <v>4802</v>
      </c>
      <c r="F65" s="231" t="s">
        <v>175</v>
      </c>
      <c r="G65" s="231" t="s">
        <v>4778</v>
      </c>
      <c r="H65" s="231" t="s">
        <v>4739</v>
      </c>
      <c r="I65" s="231" t="s">
        <v>3549</v>
      </c>
      <c r="J65" s="231" t="s">
        <v>3276</v>
      </c>
      <c r="K65" s="231" t="s">
        <v>4826</v>
      </c>
      <c r="L65" s="286" t="s">
        <v>4827</v>
      </c>
      <c r="M65" s="3102"/>
      <c r="N65" s="3048"/>
      <c r="O65" s="3046"/>
      <c r="P65" s="3048"/>
      <c r="Q65" s="292"/>
      <c r="R65" s="291"/>
      <c r="S65" s="73"/>
      <c r="T65" s="288" t="s">
        <v>4812</v>
      </c>
      <c r="U65" s="32" t="s">
        <v>4828</v>
      </c>
      <c r="V65" s="32" t="str">
        <f t="shared" si="3"/>
        <v>12 号贝里尼 M3(折叠式枪托)</v>
      </c>
      <c r="AF65" s="298"/>
      <c r="AG65" s="149"/>
      <c r="AH65" s="149"/>
      <c r="AI65" s="149"/>
      <c r="AJ65" s="149"/>
      <c r="AK65" s="149"/>
    </row>
    <row r="66" spans="1:37" ht="14.25" customHeight="1">
      <c r="A66" s="163"/>
      <c r="B66" s="247" t="str">
        <f t="shared" ref="B66:B105" si="4">IF(OR(J66="1920s,现代",$U$1="其他",J66=$U$1,J66="罕见"),U66,"-"&amp;U66)</f>
        <v>12 号 SPAS (折叠式枪托)</v>
      </c>
      <c r="C66" s="248" t="s">
        <v>370</v>
      </c>
      <c r="D66" s="249" t="s">
        <v>4810</v>
      </c>
      <c r="E66" s="249" t="s">
        <v>4802</v>
      </c>
      <c r="F66" s="249" t="s">
        <v>175</v>
      </c>
      <c r="G66" s="249" t="s">
        <v>4570</v>
      </c>
      <c r="H66" s="249" t="s">
        <v>4705</v>
      </c>
      <c r="I66" s="249" t="s">
        <v>4718</v>
      </c>
      <c r="J66" s="249" t="s">
        <v>3276</v>
      </c>
      <c r="K66" s="249" t="s">
        <v>4829</v>
      </c>
      <c r="L66" s="277" t="s">
        <v>4830</v>
      </c>
      <c r="M66" s="3103"/>
      <c r="N66" s="3268"/>
      <c r="O66" s="3046"/>
      <c r="P66" s="3048"/>
      <c r="Q66" s="292"/>
      <c r="R66" s="291"/>
      <c r="S66" s="73"/>
      <c r="T66" s="288" t="s">
        <v>4812</v>
      </c>
      <c r="U66" s="32" t="s">
        <v>4831</v>
      </c>
      <c r="V66" s="32" t="str">
        <f t="shared" si="3"/>
        <v>12 号 SPAS (折叠式枪托)</v>
      </c>
      <c r="AF66" s="298"/>
      <c r="AG66" s="149"/>
      <c r="AH66" s="149"/>
      <c r="AI66" s="149"/>
      <c r="AJ66" s="149"/>
      <c r="AK66" s="149"/>
    </row>
    <row r="67" spans="1:37" ht="14.25" customHeight="1">
      <c r="A67" s="163"/>
      <c r="B67" s="300" t="str">
        <f t="shared" si="4"/>
        <v>AK-47 或 AKM</v>
      </c>
      <c r="C67" s="301" t="s">
        <v>370</v>
      </c>
      <c r="D67" s="302" t="s">
        <v>4767</v>
      </c>
      <c r="E67" s="302" t="s">
        <v>3549</v>
      </c>
      <c r="F67" s="302" t="s">
        <v>516</v>
      </c>
      <c r="G67" s="302" t="s">
        <v>4832</v>
      </c>
      <c r="H67" s="302" t="s">
        <v>4754</v>
      </c>
      <c r="I67" s="302" t="s">
        <v>3549</v>
      </c>
      <c r="J67" s="302" t="s">
        <v>3276</v>
      </c>
      <c r="K67" s="302" t="s">
        <v>4668</v>
      </c>
      <c r="L67" s="322" t="s">
        <v>4833</v>
      </c>
      <c r="M67" s="3104" t="s">
        <v>4834</v>
      </c>
      <c r="N67" s="3269" t="s">
        <v>4835</v>
      </c>
      <c r="O67" s="3207" t="s">
        <v>4836</v>
      </c>
      <c r="P67" s="3208"/>
      <c r="Q67" s="2841" t="s">
        <v>4837</v>
      </c>
      <c r="R67" s="2842"/>
      <c r="S67" s="73"/>
      <c r="T67" s="288" t="s">
        <v>4767</v>
      </c>
      <c r="U67" s="32" t="s">
        <v>4838</v>
      </c>
      <c r="V67" s="32" t="str">
        <f t="shared" si="3"/>
        <v>AK-47 或 AKM</v>
      </c>
      <c r="AF67" s="298"/>
      <c r="AH67" s="149"/>
      <c r="AI67" s="149"/>
      <c r="AJ67" s="149"/>
      <c r="AK67" s="149"/>
    </row>
    <row r="68" spans="1:37" ht="14.25" customHeight="1">
      <c r="A68" s="163"/>
      <c r="B68" s="303" t="str">
        <f t="shared" si="4"/>
        <v>AK-74</v>
      </c>
      <c r="C68" s="265" t="s">
        <v>370</v>
      </c>
      <c r="D68" s="266" t="s">
        <v>4767</v>
      </c>
      <c r="E68" s="266" t="s">
        <v>4773</v>
      </c>
      <c r="F68" s="266" t="s">
        <v>516</v>
      </c>
      <c r="G68" s="266" t="s">
        <v>4832</v>
      </c>
      <c r="H68" s="266" t="s">
        <v>4754</v>
      </c>
      <c r="I68" s="266" t="s">
        <v>4571</v>
      </c>
      <c r="J68" s="266" t="s">
        <v>3276</v>
      </c>
      <c r="K68" s="266" t="s">
        <v>4839</v>
      </c>
      <c r="L68" s="284" t="s">
        <v>4675</v>
      </c>
      <c r="M68" s="3105"/>
      <c r="N68" s="2845"/>
      <c r="O68" s="2848" t="s">
        <v>4840</v>
      </c>
      <c r="P68" s="2849"/>
      <c r="Q68" s="2843"/>
      <c r="R68" s="2844"/>
      <c r="S68" s="73"/>
      <c r="T68" s="288" t="s">
        <v>4757</v>
      </c>
      <c r="U68" s="32" t="s">
        <v>4841</v>
      </c>
      <c r="V68" s="32" t="str">
        <f t="shared" si="3"/>
        <v>AK-74</v>
      </c>
      <c r="AF68" s="298"/>
    </row>
    <row r="69" spans="1:37" ht="14.25" customHeight="1">
      <c r="A69" s="163"/>
      <c r="B69" s="304" t="str">
        <f t="shared" si="4"/>
        <v>巴雷特M82</v>
      </c>
      <c r="C69" s="305" t="s">
        <v>370</v>
      </c>
      <c r="D69" s="306" t="s">
        <v>4842</v>
      </c>
      <c r="E69" s="306" t="s">
        <v>4843</v>
      </c>
      <c r="F69" s="306" t="s">
        <v>516</v>
      </c>
      <c r="G69" s="306" t="s">
        <v>4570</v>
      </c>
      <c r="H69" s="306" t="s">
        <v>4844</v>
      </c>
      <c r="I69" s="306" t="s">
        <v>4609</v>
      </c>
      <c r="J69" s="306" t="s">
        <v>3276</v>
      </c>
      <c r="K69" s="306" t="s">
        <v>4845</v>
      </c>
      <c r="L69" s="323" t="s">
        <v>4846</v>
      </c>
      <c r="M69" s="3105"/>
      <c r="N69" s="2845"/>
      <c r="O69" s="2848"/>
      <c r="P69" s="2849"/>
      <c r="Q69" s="2843"/>
      <c r="R69" s="2844"/>
      <c r="S69" s="73"/>
      <c r="T69" s="288" t="s">
        <v>4842</v>
      </c>
      <c r="U69" s="32" t="s">
        <v>4847</v>
      </c>
      <c r="V69" s="32" t="str">
        <f t="shared" si="3"/>
        <v>巴雷特M82</v>
      </c>
      <c r="AF69" s="298"/>
    </row>
    <row r="70" spans="1:37" ht="14.25" customHeight="1">
      <c r="A70" s="163"/>
      <c r="B70" s="303" t="str">
        <f t="shared" si="4"/>
        <v>FN FAL</v>
      </c>
      <c r="C70" s="265" t="s">
        <v>370</v>
      </c>
      <c r="D70" s="266" t="s">
        <v>4772</v>
      </c>
      <c r="E70" s="266" t="s">
        <v>4773</v>
      </c>
      <c r="F70" s="266" t="s">
        <v>516</v>
      </c>
      <c r="G70" s="266" t="s">
        <v>4848</v>
      </c>
      <c r="H70" s="266" t="s">
        <v>4768</v>
      </c>
      <c r="I70" s="266" t="s">
        <v>4571</v>
      </c>
      <c r="J70" s="266" t="s">
        <v>3276</v>
      </c>
      <c r="K70" s="266" t="s">
        <v>4849</v>
      </c>
      <c r="L70" s="284" t="s">
        <v>4850</v>
      </c>
      <c r="M70" s="3105"/>
      <c r="N70" s="2845"/>
      <c r="O70" s="2848"/>
      <c r="P70" s="2849"/>
      <c r="Q70" s="2843"/>
      <c r="R70" s="2844"/>
      <c r="S70" s="73"/>
      <c r="T70" s="288" t="s">
        <v>4772</v>
      </c>
      <c r="U70" s="32" t="s">
        <v>4851</v>
      </c>
      <c r="V70" s="32" t="str">
        <f t="shared" si="3"/>
        <v>FN FAL</v>
      </c>
      <c r="AF70" s="298"/>
    </row>
    <row r="71" spans="1:37" ht="14.25" customHeight="1">
      <c r="A71" s="163"/>
      <c r="B71" s="304" t="str">
        <f t="shared" si="4"/>
        <v>加利尔突击步枪</v>
      </c>
      <c r="C71" s="305" t="s">
        <v>370</v>
      </c>
      <c r="D71" s="306" t="s">
        <v>4757</v>
      </c>
      <c r="E71" s="306" t="s">
        <v>4773</v>
      </c>
      <c r="F71" s="306" t="s">
        <v>516</v>
      </c>
      <c r="G71" s="306" t="s">
        <v>4852</v>
      </c>
      <c r="H71" s="306" t="s">
        <v>4768</v>
      </c>
      <c r="I71" s="306" t="s">
        <v>4718</v>
      </c>
      <c r="J71" s="306" t="s">
        <v>3276</v>
      </c>
      <c r="K71" s="306" t="s">
        <v>4853</v>
      </c>
      <c r="L71" s="323" t="s">
        <v>4854</v>
      </c>
      <c r="M71" s="3105"/>
      <c r="N71" s="2845"/>
      <c r="O71" s="2848"/>
      <c r="P71" s="2849"/>
      <c r="Q71" s="2843"/>
      <c r="R71" s="2844"/>
      <c r="S71" s="73"/>
      <c r="T71" s="288" t="s">
        <v>4757</v>
      </c>
      <c r="U71" s="32" t="s">
        <v>4855</v>
      </c>
      <c r="V71" s="32" t="str">
        <f t="shared" si="3"/>
        <v>加利尔突击步枪</v>
      </c>
      <c r="AF71" s="298"/>
      <c r="AG71" s="149"/>
    </row>
    <row r="72" spans="1:37" ht="14.25" customHeight="1">
      <c r="A72" s="163"/>
      <c r="B72" s="303" t="str">
        <f t="shared" si="4"/>
        <v>M16A2</v>
      </c>
      <c r="C72" s="265" t="s">
        <v>370</v>
      </c>
      <c r="D72" s="266" t="s">
        <v>4757</v>
      </c>
      <c r="E72" s="266" t="s">
        <v>4773</v>
      </c>
      <c r="F72" s="266" t="s">
        <v>516</v>
      </c>
      <c r="G72" s="266" t="s">
        <v>4848</v>
      </c>
      <c r="H72" s="266" t="s">
        <v>4754</v>
      </c>
      <c r="I72" s="266" t="s">
        <v>4571</v>
      </c>
      <c r="J72" s="266" t="s">
        <v>3276</v>
      </c>
      <c r="K72" s="266" t="s">
        <v>4819</v>
      </c>
      <c r="L72" s="284" t="s">
        <v>4856</v>
      </c>
      <c r="M72" s="3105"/>
      <c r="N72" s="2845"/>
      <c r="O72" s="2848"/>
      <c r="P72" s="2849"/>
      <c r="Q72" s="2843"/>
      <c r="R72" s="2844"/>
      <c r="S72" s="73"/>
      <c r="T72" s="288" t="s">
        <v>4757</v>
      </c>
      <c r="U72" s="32" t="s">
        <v>4857</v>
      </c>
      <c r="V72" s="32" t="str">
        <f t="shared" si="3"/>
        <v>M16A2</v>
      </c>
      <c r="AF72" s="298"/>
      <c r="AG72" s="149"/>
    </row>
    <row r="73" spans="1:37" ht="14.25" customHeight="1">
      <c r="A73" s="163"/>
      <c r="B73" s="304" t="str">
        <f t="shared" si="4"/>
        <v>M4</v>
      </c>
      <c r="C73" s="305" t="s">
        <v>370</v>
      </c>
      <c r="D73" s="306" t="s">
        <v>4757</v>
      </c>
      <c r="E73" s="306" t="s">
        <v>4777</v>
      </c>
      <c r="F73" s="306" t="s">
        <v>516</v>
      </c>
      <c r="G73" s="306" t="s">
        <v>4858</v>
      </c>
      <c r="H73" s="306" t="s">
        <v>4754</v>
      </c>
      <c r="I73" s="306" t="s">
        <v>4571</v>
      </c>
      <c r="J73" s="306" t="s">
        <v>3276</v>
      </c>
      <c r="K73" s="306" t="s">
        <v>4819</v>
      </c>
      <c r="L73" s="323" t="s">
        <v>4859</v>
      </c>
      <c r="M73" s="3105"/>
      <c r="N73" s="2845"/>
      <c r="O73" s="2848"/>
      <c r="P73" s="2849"/>
      <c r="Q73" s="2843"/>
      <c r="R73" s="2844"/>
      <c r="S73" s="73"/>
      <c r="T73" s="288" t="s">
        <v>4757</v>
      </c>
      <c r="U73" s="32" t="s">
        <v>4860</v>
      </c>
      <c r="V73" s="32" t="str">
        <f t="shared" si="3"/>
        <v>M4</v>
      </c>
      <c r="AF73" s="298"/>
      <c r="AG73" s="149"/>
    </row>
    <row r="74" spans="1:37" ht="14.25" customHeight="1">
      <c r="A74" s="163"/>
      <c r="B74" s="303" t="str">
        <f t="shared" si="4"/>
        <v>斯泰尔 AUG</v>
      </c>
      <c r="C74" s="265" t="s">
        <v>370</v>
      </c>
      <c r="D74" s="266" t="s">
        <v>4757</v>
      </c>
      <c r="E74" s="266" t="s">
        <v>4773</v>
      </c>
      <c r="F74" s="266" t="s">
        <v>516</v>
      </c>
      <c r="G74" s="266" t="s">
        <v>4832</v>
      </c>
      <c r="H74" s="266" t="s">
        <v>4754</v>
      </c>
      <c r="I74" s="266" t="s">
        <v>4706</v>
      </c>
      <c r="J74" s="266" t="s">
        <v>3276</v>
      </c>
      <c r="K74" s="266" t="s">
        <v>4861</v>
      </c>
      <c r="L74" s="284" t="s">
        <v>4862</v>
      </c>
      <c r="M74" s="3105"/>
      <c r="N74" s="2845"/>
      <c r="O74" s="2848"/>
      <c r="P74" s="2849"/>
      <c r="Q74" s="2843"/>
      <c r="R74" s="2844"/>
      <c r="S74" s="73"/>
      <c r="T74" s="288" t="s">
        <v>4757</v>
      </c>
      <c r="U74" s="32" t="s">
        <v>4863</v>
      </c>
      <c r="V74" s="32" t="str">
        <f t="shared" si="3"/>
        <v>斯泰尔 AUG</v>
      </c>
      <c r="AF74" s="298"/>
      <c r="AG74" s="149"/>
    </row>
    <row r="75" spans="1:37" ht="14.25" customHeight="1">
      <c r="A75" s="163"/>
      <c r="B75" s="304" t="str">
        <f t="shared" si="4"/>
        <v>贝雷塔 M70/90</v>
      </c>
      <c r="C75" s="305" t="s">
        <v>370</v>
      </c>
      <c r="D75" s="306" t="s">
        <v>4757</v>
      </c>
      <c r="E75" s="306" t="s">
        <v>4773</v>
      </c>
      <c r="F75" s="306" t="s">
        <v>516</v>
      </c>
      <c r="G75" s="306" t="s">
        <v>4864</v>
      </c>
      <c r="H75" s="306" t="s">
        <v>4754</v>
      </c>
      <c r="I75" s="306" t="s">
        <v>4706</v>
      </c>
      <c r="J75" s="306" t="s">
        <v>3276</v>
      </c>
      <c r="K75" s="306" t="s">
        <v>4865</v>
      </c>
      <c r="L75" s="323" t="s">
        <v>4866</v>
      </c>
      <c r="M75" s="3106"/>
      <c r="N75" s="2845"/>
      <c r="O75" s="2848"/>
      <c r="P75" s="2849"/>
      <c r="Q75" s="2843"/>
      <c r="R75" s="2844"/>
      <c r="S75" s="73"/>
      <c r="T75" s="288" t="s">
        <v>4757</v>
      </c>
      <c r="U75" s="32" t="s">
        <v>4867</v>
      </c>
      <c r="V75" s="32" t="str">
        <f t="shared" si="3"/>
        <v>贝雷塔 M70/90</v>
      </c>
      <c r="W75" s="129"/>
      <c r="X75" s="290"/>
      <c r="Y75" s="290"/>
      <c r="Z75" s="290"/>
      <c r="AA75" s="337"/>
      <c r="AB75" s="290"/>
      <c r="AC75" s="290"/>
      <c r="AD75" s="290"/>
      <c r="AE75" s="290"/>
      <c r="AF75" s="298"/>
      <c r="AG75" s="149"/>
      <c r="AH75" s="149"/>
      <c r="AI75" s="149"/>
      <c r="AJ75" s="149"/>
      <c r="AK75" s="149"/>
    </row>
    <row r="76" spans="1:37" ht="14.25" customHeight="1">
      <c r="A76" s="163"/>
      <c r="B76" s="303" t="str">
        <f t="shared" si="4"/>
        <v>-MP18I/MP28II</v>
      </c>
      <c r="C76" s="265" t="s">
        <v>2713</v>
      </c>
      <c r="D76" s="266" t="s">
        <v>401</v>
      </c>
      <c r="E76" s="266" t="s">
        <v>4768</v>
      </c>
      <c r="F76" s="266" t="s">
        <v>516</v>
      </c>
      <c r="G76" s="266" t="s">
        <v>4832</v>
      </c>
      <c r="H76" s="266" t="s">
        <v>4868</v>
      </c>
      <c r="I76" s="266" t="s">
        <v>4609</v>
      </c>
      <c r="J76" s="266" t="s">
        <v>13</v>
      </c>
      <c r="K76" s="266" t="s">
        <v>4869</v>
      </c>
      <c r="L76" s="284" t="s">
        <v>4870</v>
      </c>
      <c r="M76" s="3107" t="s">
        <v>4871</v>
      </c>
      <c r="N76" s="2845"/>
      <c r="O76" s="2848"/>
      <c r="P76" s="2849"/>
      <c r="Q76" s="2843"/>
      <c r="R76" s="2844"/>
      <c r="S76" s="73"/>
      <c r="T76" s="288" t="s">
        <v>401</v>
      </c>
      <c r="U76" s="32" t="s">
        <v>4872</v>
      </c>
      <c r="V76" s="32" t="str">
        <f t="shared" si="3"/>
        <v>-MP18I/MP28II</v>
      </c>
      <c r="W76" s="129"/>
      <c r="X76" s="290"/>
      <c r="Y76" s="290"/>
      <c r="Z76" s="290"/>
      <c r="AA76" s="337"/>
      <c r="AB76" s="290"/>
      <c r="AC76" s="290"/>
      <c r="AD76" s="290"/>
      <c r="AE76" s="290"/>
      <c r="AF76" s="298"/>
      <c r="AG76" s="149"/>
      <c r="AH76" s="149"/>
      <c r="AI76" s="149"/>
      <c r="AJ76" s="149"/>
      <c r="AK76" s="149"/>
    </row>
    <row r="77" spans="1:37" ht="14.25" customHeight="1">
      <c r="A77" s="163"/>
      <c r="B77" s="304" t="str">
        <f t="shared" si="4"/>
        <v>MP5</v>
      </c>
      <c r="C77" s="305" t="s">
        <v>2713</v>
      </c>
      <c r="D77" s="306" t="s">
        <v>401</v>
      </c>
      <c r="E77" s="306" t="s">
        <v>4768</v>
      </c>
      <c r="F77" s="306" t="s">
        <v>516</v>
      </c>
      <c r="G77" s="306" t="s">
        <v>4832</v>
      </c>
      <c r="H77" s="306" t="s">
        <v>4873</v>
      </c>
      <c r="I77" s="306" t="s">
        <v>4571</v>
      </c>
      <c r="J77" s="306" t="s">
        <v>3276</v>
      </c>
      <c r="K77" s="306" t="s">
        <v>4819</v>
      </c>
      <c r="L77" s="323" t="s">
        <v>4874</v>
      </c>
      <c r="M77" s="3107"/>
      <c r="N77" s="2845"/>
      <c r="O77" s="2848"/>
      <c r="P77" s="2849"/>
      <c r="Q77" s="2843"/>
      <c r="R77" s="2844"/>
      <c r="S77" s="73"/>
      <c r="T77" s="288" t="s">
        <v>401</v>
      </c>
      <c r="U77" s="32" t="s">
        <v>4875</v>
      </c>
      <c r="V77" s="32" t="str">
        <f t="shared" si="3"/>
        <v>MP5</v>
      </c>
      <c r="W77" s="129"/>
      <c r="X77" s="290"/>
      <c r="Y77" s="290"/>
      <c r="Z77" s="290"/>
      <c r="AA77" s="337"/>
      <c r="AB77" s="290"/>
      <c r="AC77" s="290"/>
      <c r="AD77" s="290"/>
      <c r="AE77" s="290"/>
      <c r="AF77" s="298"/>
      <c r="AG77" s="149"/>
      <c r="AH77" s="149"/>
      <c r="AI77" s="149"/>
      <c r="AJ77" s="149"/>
      <c r="AK77" s="149"/>
    </row>
    <row r="78" spans="1:37" ht="14.25" customHeight="1">
      <c r="A78" s="163"/>
      <c r="B78" s="303" t="str">
        <f t="shared" si="4"/>
        <v>MAC-11</v>
      </c>
      <c r="C78" s="265" t="s">
        <v>2713</v>
      </c>
      <c r="D78" s="266" t="s">
        <v>401</v>
      </c>
      <c r="E78" s="266" t="s">
        <v>4701</v>
      </c>
      <c r="F78" s="266" t="s">
        <v>516</v>
      </c>
      <c r="G78" s="266" t="s">
        <v>4876</v>
      </c>
      <c r="H78" s="266" t="s">
        <v>4877</v>
      </c>
      <c r="I78" s="266" t="s">
        <v>4609</v>
      </c>
      <c r="J78" s="266" t="s">
        <v>3276</v>
      </c>
      <c r="K78" s="266" t="s">
        <v>4878</v>
      </c>
      <c r="L78" s="284" t="s">
        <v>4866</v>
      </c>
      <c r="M78" s="3107"/>
      <c r="N78" s="2845"/>
      <c r="O78" s="2848"/>
      <c r="P78" s="2849"/>
      <c r="Q78" s="2843"/>
      <c r="R78" s="2844"/>
      <c r="S78" s="73"/>
      <c r="T78" s="288" t="s">
        <v>401</v>
      </c>
      <c r="U78" s="32" t="s">
        <v>4879</v>
      </c>
      <c r="V78" s="32" t="str">
        <f t="shared" si="3"/>
        <v>MAC-11</v>
      </c>
      <c r="W78" s="129"/>
      <c r="X78" s="290"/>
      <c r="Y78" s="290"/>
      <c r="Z78" s="290"/>
      <c r="AA78" s="337"/>
      <c r="AB78" s="290"/>
      <c r="AC78" s="290"/>
      <c r="AD78" s="290"/>
      <c r="AE78" s="290"/>
      <c r="AF78" s="298"/>
      <c r="AG78" s="149"/>
      <c r="AH78" s="149"/>
      <c r="AI78" s="149"/>
      <c r="AJ78" s="149"/>
      <c r="AK78" s="149"/>
    </row>
    <row r="79" spans="1:37" ht="14.25" customHeight="1">
      <c r="A79" s="163"/>
      <c r="B79" s="304" t="str">
        <f t="shared" si="4"/>
        <v>蝎式冲锋枪</v>
      </c>
      <c r="C79" s="305" t="s">
        <v>2713</v>
      </c>
      <c r="D79" s="306" t="s">
        <v>4700</v>
      </c>
      <c r="E79" s="306" t="s">
        <v>4701</v>
      </c>
      <c r="F79" s="306" t="s">
        <v>516</v>
      </c>
      <c r="G79" s="306" t="s">
        <v>4876</v>
      </c>
      <c r="H79" s="306" t="s">
        <v>4768</v>
      </c>
      <c r="I79" s="306" t="s">
        <v>4609</v>
      </c>
      <c r="J79" s="306" t="s">
        <v>3276</v>
      </c>
      <c r="K79" s="306" t="s">
        <v>4819</v>
      </c>
      <c r="L79" s="323" t="s">
        <v>4880</v>
      </c>
      <c r="M79" s="3107"/>
      <c r="N79" s="2845"/>
      <c r="O79" s="2848"/>
      <c r="P79" s="2849"/>
      <c r="Q79" s="2843"/>
      <c r="R79" s="2844"/>
      <c r="S79" s="73"/>
      <c r="T79" s="288" t="s">
        <v>4700</v>
      </c>
      <c r="U79" s="32" t="s">
        <v>4881</v>
      </c>
      <c r="V79" s="32" t="str">
        <f t="shared" si="3"/>
        <v>蝎式冲锋枪</v>
      </c>
      <c r="AF79" s="298"/>
      <c r="AG79" s="149"/>
      <c r="AH79" s="149"/>
      <c r="AI79" s="149"/>
      <c r="AJ79" s="149"/>
      <c r="AK79" s="149"/>
    </row>
    <row r="80" spans="1:37" ht="14.25" customHeight="1">
      <c r="A80" s="163"/>
      <c r="B80" s="303" t="str">
        <f t="shared" si="4"/>
        <v>-汤普森冲锋枪</v>
      </c>
      <c r="C80" s="265" t="s">
        <v>2713</v>
      </c>
      <c r="D80" s="266" t="s">
        <v>4736</v>
      </c>
      <c r="E80" s="266" t="s">
        <v>4768</v>
      </c>
      <c r="F80" s="266" t="s">
        <v>516</v>
      </c>
      <c r="G80" s="266" t="s">
        <v>4864</v>
      </c>
      <c r="H80" s="266" t="s">
        <v>4882</v>
      </c>
      <c r="I80" s="266" t="s">
        <v>4609</v>
      </c>
      <c r="J80" s="266" t="s">
        <v>13</v>
      </c>
      <c r="K80" s="266" t="s">
        <v>4883</v>
      </c>
      <c r="L80" s="284" t="s">
        <v>4884</v>
      </c>
      <c r="M80" s="3107"/>
      <c r="N80" s="2845"/>
      <c r="O80" s="2848"/>
      <c r="P80" s="2849"/>
      <c r="Q80" s="2843"/>
      <c r="R80" s="2844"/>
      <c r="S80" s="73"/>
      <c r="T80" s="288" t="s">
        <v>4736</v>
      </c>
      <c r="U80" s="32" t="s">
        <v>4262</v>
      </c>
      <c r="V80" s="32" t="str">
        <f t="shared" si="3"/>
        <v>-汤普森冲锋枪</v>
      </c>
      <c r="W80" s="129"/>
      <c r="X80" s="290"/>
      <c r="Y80" s="290"/>
      <c r="Z80" s="290"/>
      <c r="AA80" s="337"/>
      <c r="AB80" s="290"/>
      <c r="AC80" s="290"/>
      <c r="AD80" s="290"/>
      <c r="AE80" s="290"/>
      <c r="AF80" s="298"/>
      <c r="AG80" s="149"/>
      <c r="AH80" s="149"/>
      <c r="AI80" s="149"/>
      <c r="AJ80" s="149"/>
      <c r="AK80" s="149"/>
    </row>
    <row r="81" spans="1:37" ht="14.25" customHeight="1">
      <c r="A81" s="163"/>
      <c r="B81" s="304" t="str">
        <f t="shared" si="4"/>
        <v>乌兹微型冲锋枪</v>
      </c>
      <c r="C81" s="305" t="s">
        <v>2713</v>
      </c>
      <c r="D81" s="306" t="s">
        <v>401</v>
      </c>
      <c r="E81" s="306" t="s">
        <v>4768</v>
      </c>
      <c r="F81" s="306" t="s">
        <v>516</v>
      </c>
      <c r="G81" s="306" t="s">
        <v>4832</v>
      </c>
      <c r="H81" s="306" t="s">
        <v>4877</v>
      </c>
      <c r="I81" s="306" t="s">
        <v>4718</v>
      </c>
      <c r="J81" s="306" t="s">
        <v>3276</v>
      </c>
      <c r="K81" s="306" t="s">
        <v>4839</v>
      </c>
      <c r="L81" s="323" t="s">
        <v>4850</v>
      </c>
      <c r="M81" s="3107"/>
      <c r="N81" s="2845"/>
      <c r="O81" s="2850"/>
      <c r="P81" s="2851"/>
      <c r="Q81" s="2843"/>
      <c r="R81" s="2844"/>
      <c r="S81" s="73"/>
      <c r="T81" s="288" t="s">
        <v>401</v>
      </c>
      <c r="U81" s="32" t="s">
        <v>4885</v>
      </c>
      <c r="V81" s="32" t="str">
        <f t="shared" si="3"/>
        <v>乌兹微型冲锋枪</v>
      </c>
      <c r="W81" s="129"/>
      <c r="X81" s="290"/>
      <c r="Y81" s="290"/>
      <c r="Z81" s="290"/>
      <c r="AA81" s="290"/>
      <c r="AB81" s="290"/>
      <c r="AC81" s="290"/>
      <c r="AD81" s="290"/>
      <c r="AE81" s="337"/>
      <c r="AF81" s="298"/>
      <c r="AG81" s="149"/>
      <c r="AH81" s="149"/>
      <c r="AI81" s="149"/>
      <c r="AJ81" s="149"/>
      <c r="AK81" s="149"/>
    </row>
    <row r="82" spans="1:37" ht="14.25" customHeight="1">
      <c r="A82" s="163"/>
      <c r="B82" s="303" t="str">
        <f t="shared" si="4"/>
        <v>-*1882 年式加特林</v>
      </c>
      <c r="C82" s="265" t="s">
        <v>2744</v>
      </c>
      <c r="D82" s="266" t="s">
        <v>4772</v>
      </c>
      <c r="E82" s="266" t="s">
        <v>3549</v>
      </c>
      <c r="F82" s="266" t="s">
        <v>516</v>
      </c>
      <c r="G82" s="266" t="s">
        <v>4886</v>
      </c>
      <c r="H82" s="266" t="s">
        <v>4770</v>
      </c>
      <c r="I82" s="266" t="s">
        <v>4609</v>
      </c>
      <c r="J82" s="266" t="s">
        <v>4729</v>
      </c>
      <c r="K82" s="266" t="s">
        <v>4887</v>
      </c>
      <c r="L82" s="284" t="s">
        <v>4888</v>
      </c>
      <c r="M82" s="3108" t="s">
        <v>4889</v>
      </c>
      <c r="N82" s="3270"/>
      <c r="O82" s="2882" t="s">
        <v>4890</v>
      </c>
      <c r="P82" s="2883"/>
      <c r="Q82" s="2845"/>
      <c r="R82" s="2844"/>
      <c r="S82" s="73"/>
      <c r="T82" s="288" t="s">
        <v>4772</v>
      </c>
      <c r="U82" s="32" t="s">
        <v>4891</v>
      </c>
      <c r="V82" s="32" t="str">
        <f t="shared" si="3"/>
        <v>-*1882 年式加特林</v>
      </c>
      <c r="W82" s="129"/>
      <c r="X82" s="290"/>
      <c r="Y82" s="290"/>
      <c r="Z82" s="290"/>
      <c r="AA82" s="290"/>
      <c r="AB82" s="290"/>
      <c r="AC82" s="290"/>
      <c r="AD82" s="290"/>
      <c r="AE82" s="337"/>
      <c r="AF82" s="298"/>
      <c r="AG82" s="149"/>
      <c r="AH82" s="149"/>
      <c r="AJ82" s="149"/>
      <c r="AK82" s="149"/>
    </row>
    <row r="83" spans="1:37" ht="14.25" customHeight="1">
      <c r="A83" s="163"/>
      <c r="B83" s="304" t="str">
        <f t="shared" si="4"/>
        <v>-M1918 式勃朗宁自动步枪</v>
      </c>
      <c r="C83" s="305" t="s">
        <v>2744</v>
      </c>
      <c r="D83" s="306" t="s">
        <v>4772</v>
      </c>
      <c r="E83" s="306" t="s">
        <v>4777</v>
      </c>
      <c r="F83" s="306" t="s">
        <v>516</v>
      </c>
      <c r="G83" s="306" t="s">
        <v>4832</v>
      </c>
      <c r="H83" s="306" t="s">
        <v>4768</v>
      </c>
      <c r="I83" s="306" t="s">
        <v>3549</v>
      </c>
      <c r="J83" s="306" t="s">
        <v>13</v>
      </c>
      <c r="K83" s="306" t="s">
        <v>4892</v>
      </c>
      <c r="L83" s="323" t="s">
        <v>4870</v>
      </c>
      <c r="M83" s="3108"/>
      <c r="N83" s="3270"/>
      <c r="O83" s="2884"/>
      <c r="P83" s="2885"/>
      <c r="Q83" s="2845"/>
      <c r="R83" s="2844"/>
      <c r="S83" s="73"/>
      <c r="T83" s="288" t="s">
        <v>4772</v>
      </c>
      <c r="U83" s="32" t="s">
        <v>4893</v>
      </c>
      <c r="V83" s="32" t="str">
        <f t="shared" si="3"/>
        <v>-M1918 式勃朗宁自动步枪</v>
      </c>
      <c r="W83" s="129"/>
      <c r="X83" s="290"/>
      <c r="Y83" s="290"/>
      <c r="Z83" s="290"/>
      <c r="AA83" s="290"/>
      <c r="AB83" s="290"/>
      <c r="AC83" s="290"/>
      <c r="AD83" s="290"/>
      <c r="AE83" s="337"/>
      <c r="AF83" s="298"/>
      <c r="AG83" s="149"/>
      <c r="AH83" s="149"/>
      <c r="AJ83" s="149"/>
      <c r="AK83" s="149"/>
    </row>
    <row r="84" spans="1:37" ht="14.25" customHeight="1">
      <c r="A84" s="163"/>
      <c r="B84" s="303" t="str">
        <f t="shared" si="4"/>
        <v>-勃朗宁 M1917A1(7.62mm)</v>
      </c>
      <c r="C84" s="265" t="s">
        <v>2744</v>
      </c>
      <c r="D84" s="266" t="s">
        <v>4772</v>
      </c>
      <c r="E84" s="266" t="s">
        <v>3556</v>
      </c>
      <c r="F84" s="266" t="s">
        <v>516</v>
      </c>
      <c r="G84" s="266" t="s">
        <v>4886</v>
      </c>
      <c r="H84" s="266" t="s">
        <v>4843</v>
      </c>
      <c r="I84" s="266" t="s">
        <v>4609</v>
      </c>
      <c r="J84" s="266" t="s">
        <v>13</v>
      </c>
      <c r="K84" s="266" t="s">
        <v>4894</v>
      </c>
      <c r="L84" s="284" t="s">
        <v>4895</v>
      </c>
      <c r="M84" s="3108"/>
      <c r="N84" s="3270"/>
      <c r="O84" s="2884"/>
      <c r="P84" s="2885"/>
      <c r="Q84" s="2845"/>
      <c r="R84" s="2844"/>
      <c r="S84" s="73"/>
      <c r="T84" s="288" t="s">
        <v>4772</v>
      </c>
      <c r="U84" s="32" t="s">
        <v>4896</v>
      </c>
      <c r="V84" s="32" t="str">
        <f t="shared" si="3"/>
        <v>-勃朗宁 M1917A1(7.62mm)</v>
      </c>
      <c r="W84" s="129"/>
      <c r="X84" s="290"/>
      <c r="Y84" s="290"/>
      <c r="Z84" s="290"/>
      <c r="AA84" s="290"/>
      <c r="AB84" s="290"/>
      <c r="AC84" s="290"/>
      <c r="AD84" s="290"/>
      <c r="AE84" s="337"/>
      <c r="AF84" s="298"/>
      <c r="AG84" s="149"/>
      <c r="AH84" s="149"/>
      <c r="AJ84" s="149"/>
      <c r="AK84" s="149"/>
    </row>
    <row r="85" spans="1:37" ht="14.25" customHeight="1">
      <c r="A85" s="163"/>
      <c r="B85" s="304" t="str">
        <f t="shared" si="4"/>
        <v>-布伦轻机枪</v>
      </c>
      <c r="C85" s="305" t="s">
        <v>2744</v>
      </c>
      <c r="D85" s="306" t="s">
        <v>4772</v>
      </c>
      <c r="E85" s="306" t="s">
        <v>4773</v>
      </c>
      <c r="F85" s="306" t="s">
        <v>516</v>
      </c>
      <c r="G85" s="306" t="s">
        <v>4864</v>
      </c>
      <c r="H85" s="306" t="s">
        <v>4897</v>
      </c>
      <c r="I85" s="306" t="s">
        <v>4609</v>
      </c>
      <c r="J85" s="306" t="s">
        <v>13</v>
      </c>
      <c r="K85" s="306" t="s">
        <v>4898</v>
      </c>
      <c r="L85" s="323" t="s">
        <v>4884</v>
      </c>
      <c r="M85" s="3108"/>
      <c r="N85" s="3270"/>
      <c r="O85" s="2884"/>
      <c r="P85" s="2885"/>
      <c r="Q85" s="2845"/>
      <c r="R85" s="2844"/>
      <c r="S85" s="73"/>
      <c r="T85" s="288" t="s">
        <v>4772</v>
      </c>
      <c r="U85" s="32" t="s">
        <v>4899</v>
      </c>
      <c r="V85" s="32" t="str">
        <f t="shared" si="3"/>
        <v>-布伦轻机枪</v>
      </c>
      <c r="W85" s="129"/>
      <c r="X85" s="290"/>
      <c r="Y85" s="290"/>
      <c r="Z85" s="290"/>
      <c r="AA85" s="290"/>
      <c r="AB85" s="290"/>
      <c r="AC85" s="290"/>
      <c r="AD85" s="290"/>
      <c r="AE85" s="337"/>
      <c r="AF85" s="298"/>
      <c r="AG85" s="149"/>
      <c r="AH85" s="149"/>
      <c r="AJ85" s="149"/>
      <c r="AK85" s="149"/>
    </row>
    <row r="86" spans="1:37" ht="14.25" customHeight="1">
      <c r="A86" s="163"/>
      <c r="B86" s="303" t="str">
        <f t="shared" si="4"/>
        <v>-路易斯Ⅰ型机枪</v>
      </c>
      <c r="C86" s="265" t="s">
        <v>2744</v>
      </c>
      <c r="D86" s="266" t="s">
        <v>4772</v>
      </c>
      <c r="E86" s="266" t="s">
        <v>4773</v>
      </c>
      <c r="F86" s="266" t="s">
        <v>516</v>
      </c>
      <c r="G86" s="266" t="s">
        <v>4886</v>
      </c>
      <c r="H86" s="266" t="s">
        <v>4900</v>
      </c>
      <c r="I86" s="266" t="s">
        <v>4609</v>
      </c>
      <c r="J86" s="266" t="s">
        <v>13</v>
      </c>
      <c r="K86" s="266" t="s">
        <v>4901</v>
      </c>
      <c r="L86" s="284" t="s">
        <v>4804</v>
      </c>
      <c r="M86" s="3108"/>
      <c r="N86" s="3270"/>
      <c r="O86" s="2884"/>
      <c r="P86" s="2885"/>
      <c r="Q86" s="2845"/>
      <c r="R86" s="2844"/>
      <c r="S86" s="73"/>
      <c r="T86" s="288" t="s">
        <v>4772</v>
      </c>
      <c r="U86" s="32" t="s">
        <v>4902</v>
      </c>
      <c r="V86" s="32" t="str">
        <f t="shared" si="3"/>
        <v>-路易斯Ⅰ型机枪</v>
      </c>
      <c r="W86" s="129"/>
      <c r="X86" s="290"/>
      <c r="Y86" s="290"/>
      <c r="Z86" s="290"/>
      <c r="AA86" s="290"/>
      <c r="AB86" s="290"/>
      <c r="AC86" s="290"/>
      <c r="AD86" s="290"/>
      <c r="AE86" s="337"/>
      <c r="AF86" s="298"/>
      <c r="AH86" s="149"/>
      <c r="AJ86" s="149"/>
      <c r="AK86" s="149"/>
    </row>
    <row r="87" spans="1:37" ht="14.25" customHeight="1">
      <c r="A87" s="163"/>
      <c r="B87" s="307" t="str">
        <f t="shared" si="4"/>
        <v>GE M134 式 7.62mm 速射机枪</v>
      </c>
      <c r="C87" s="308" t="s">
        <v>2744</v>
      </c>
      <c r="D87" s="309" t="s">
        <v>4772</v>
      </c>
      <c r="E87" s="309" t="s">
        <v>4770</v>
      </c>
      <c r="F87" s="309" t="s">
        <v>516</v>
      </c>
      <c r="G87" s="309" t="s">
        <v>4886</v>
      </c>
      <c r="H87" s="309" t="s">
        <v>4903</v>
      </c>
      <c r="I87" s="309" t="s">
        <v>4718</v>
      </c>
      <c r="J87" s="309" t="s">
        <v>3276</v>
      </c>
      <c r="K87" s="309" t="s">
        <v>4819</v>
      </c>
      <c r="L87" s="324" t="s">
        <v>4904</v>
      </c>
      <c r="M87" s="3108"/>
      <c r="N87" s="3270"/>
      <c r="O87" s="2884"/>
      <c r="P87" s="2885"/>
      <c r="Q87" s="2845"/>
      <c r="R87" s="2844"/>
      <c r="S87" s="73"/>
      <c r="T87" s="288" t="s">
        <v>4772</v>
      </c>
      <c r="U87" s="32" t="s">
        <v>4905</v>
      </c>
      <c r="V87" s="32" t="str">
        <f t="shared" si="3"/>
        <v>GE M134 式 7.62mm 速射机枪</v>
      </c>
      <c r="W87" s="129"/>
      <c r="X87" s="290"/>
      <c r="Y87" s="290"/>
      <c r="Z87" s="290"/>
      <c r="AA87" s="290"/>
      <c r="AB87" s="290"/>
      <c r="AC87" s="290"/>
      <c r="AD87" s="290"/>
      <c r="AE87" s="337"/>
      <c r="AF87" s="298"/>
      <c r="AH87" s="149"/>
      <c r="AJ87" s="149"/>
      <c r="AK87" s="149"/>
    </row>
    <row r="88" spans="1:37" ht="14.25" customHeight="1">
      <c r="A88" s="163"/>
      <c r="B88" s="303" t="str">
        <f t="shared" si="4"/>
        <v>FN 米尼米(5.56mm)，弹夹/弹带</v>
      </c>
      <c r="C88" s="265" t="s">
        <v>2744</v>
      </c>
      <c r="D88" s="266" t="s">
        <v>4757</v>
      </c>
      <c r="E88" s="266" t="s">
        <v>4773</v>
      </c>
      <c r="F88" s="266" t="s">
        <v>516</v>
      </c>
      <c r="G88" s="266" t="s">
        <v>4886</v>
      </c>
      <c r="H88" s="266" t="s">
        <v>4906</v>
      </c>
      <c r="I88" s="266" t="s">
        <v>4706</v>
      </c>
      <c r="J88" s="266" t="s">
        <v>3276</v>
      </c>
      <c r="K88" s="266" t="s">
        <v>4819</v>
      </c>
      <c r="L88" s="284" t="s">
        <v>4744</v>
      </c>
      <c r="M88" s="3108"/>
      <c r="N88" s="3270"/>
      <c r="O88" s="2884"/>
      <c r="P88" s="2885"/>
      <c r="Q88" s="2845"/>
      <c r="R88" s="2844"/>
      <c r="S88" s="73"/>
      <c r="T88" s="288" t="s">
        <v>4757</v>
      </c>
      <c r="U88" s="32" t="s">
        <v>4907</v>
      </c>
      <c r="V88" s="32" t="str">
        <f t="shared" si="3"/>
        <v>FN 米尼米(5.56mm)，弹夹/弹带</v>
      </c>
      <c r="W88" s="290"/>
      <c r="X88" s="290"/>
      <c r="Y88" s="290"/>
      <c r="Z88" s="290"/>
      <c r="AA88" s="290"/>
      <c r="AB88" s="290"/>
      <c r="AC88" s="290"/>
      <c r="AD88" s="290"/>
      <c r="AE88" s="290"/>
      <c r="AF88" s="295"/>
      <c r="AH88" s="149"/>
      <c r="AJ88" s="149"/>
      <c r="AK88" s="149"/>
    </row>
    <row r="89" spans="1:37" ht="14.25" customHeight="1">
      <c r="A89" s="163"/>
      <c r="B89" s="310" t="str">
        <f t="shared" si="4"/>
        <v>-维克斯.303 机枪</v>
      </c>
      <c r="C89" s="311" t="s">
        <v>2744</v>
      </c>
      <c r="D89" s="312" t="s">
        <v>4772</v>
      </c>
      <c r="E89" s="312" t="s">
        <v>4773</v>
      </c>
      <c r="F89" s="312" t="s">
        <v>516</v>
      </c>
      <c r="G89" s="312" t="s">
        <v>4886</v>
      </c>
      <c r="H89" s="312" t="s">
        <v>4843</v>
      </c>
      <c r="I89" s="312" t="s">
        <v>4706</v>
      </c>
      <c r="J89" s="312" t="s">
        <v>13</v>
      </c>
      <c r="K89" s="312" t="s">
        <v>4819</v>
      </c>
      <c r="L89" s="325" t="s">
        <v>4637</v>
      </c>
      <c r="M89" s="3108"/>
      <c r="N89" s="3271"/>
      <c r="O89" s="2884"/>
      <c r="P89" s="2886"/>
      <c r="Q89" s="2846"/>
      <c r="R89" s="2847"/>
      <c r="S89" s="73"/>
      <c r="T89" s="288" t="s">
        <v>4772</v>
      </c>
      <c r="U89" s="32" t="s">
        <v>4908</v>
      </c>
      <c r="V89" s="32" t="str">
        <f t="shared" si="3"/>
        <v>-维克斯.303 机枪</v>
      </c>
      <c r="W89" s="290"/>
      <c r="X89" s="290"/>
      <c r="Y89" s="290"/>
      <c r="Z89" s="290"/>
      <c r="AA89" s="290"/>
      <c r="AB89" s="290"/>
      <c r="AC89" s="290"/>
      <c r="AD89" s="290"/>
      <c r="AE89" s="290"/>
      <c r="AF89" s="295"/>
      <c r="AH89" s="149"/>
      <c r="AJ89" s="149"/>
      <c r="AK89" s="149"/>
    </row>
    <row r="90" spans="1:37" ht="14.25" customHeight="1">
      <c r="A90" s="163"/>
      <c r="B90" s="259" t="str">
        <f t="shared" si="4"/>
        <v>莫洛托夫燃烧瓶</v>
      </c>
      <c r="C90" s="260" t="s">
        <v>138</v>
      </c>
      <c r="D90" s="261" t="s">
        <v>4909</v>
      </c>
      <c r="E90" s="261" t="s">
        <v>4653</v>
      </c>
      <c r="F90" s="261" t="s">
        <v>516</v>
      </c>
      <c r="G90" s="261" t="s">
        <v>4608</v>
      </c>
      <c r="H90" s="261" t="s">
        <v>4647</v>
      </c>
      <c r="I90" s="261" t="s">
        <v>4593</v>
      </c>
      <c r="J90" s="261" t="s">
        <v>4572</v>
      </c>
      <c r="K90" s="261" t="s">
        <v>4819</v>
      </c>
      <c r="L90" s="282" t="s">
        <v>4775</v>
      </c>
      <c r="M90" s="3109" t="s">
        <v>4910</v>
      </c>
      <c r="N90" s="2836" t="s">
        <v>4911</v>
      </c>
      <c r="O90" s="2836"/>
      <c r="P90" s="326" t="s">
        <v>4912</v>
      </c>
      <c r="Q90" s="2852" t="s">
        <v>4913</v>
      </c>
      <c r="R90" s="2852"/>
      <c r="S90" s="73"/>
      <c r="T90" s="288" t="s">
        <v>4757</v>
      </c>
      <c r="U90" s="32" t="s">
        <v>4914</v>
      </c>
      <c r="V90" s="32" t="str">
        <f t="shared" si="3"/>
        <v>莫洛托夫燃烧瓶</v>
      </c>
      <c r="W90" s="290"/>
      <c r="X90" s="290"/>
      <c r="Y90" s="290"/>
      <c r="Z90" s="290"/>
      <c r="AA90" s="290"/>
      <c r="AB90" s="290"/>
      <c r="AC90" s="290"/>
      <c r="AD90" s="290"/>
      <c r="AE90" s="290"/>
      <c r="AF90" s="295"/>
    </row>
    <row r="91" spans="1:37" ht="14.25" customHeight="1">
      <c r="A91" s="163"/>
      <c r="B91" s="229" t="str">
        <f t="shared" si="4"/>
        <v>信号枪(信号弹枪)</v>
      </c>
      <c r="C91" s="230" t="s">
        <v>134</v>
      </c>
      <c r="D91" s="231" t="s">
        <v>4915</v>
      </c>
      <c r="E91" s="231" t="s">
        <v>4684</v>
      </c>
      <c r="F91" s="231" t="s">
        <v>516</v>
      </c>
      <c r="G91" s="231" t="s">
        <v>4608</v>
      </c>
      <c r="H91" s="231" t="s">
        <v>4570</v>
      </c>
      <c r="I91" s="231" t="s">
        <v>3549</v>
      </c>
      <c r="J91" s="231" t="s">
        <v>4572</v>
      </c>
      <c r="K91" s="231" t="s">
        <v>4916</v>
      </c>
      <c r="L91" s="271" t="s">
        <v>4917</v>
      </c>
      <c r="M91" s="3110"/>
      <c r="N91" s="2836"/>
      <c r="O91" s="2836"/>
      <c r="P91" s="326" t="s">
        <v>4918</v>
      </c>
      <c r="Q91" s="2852"/>
      <c r="R91" s="2852"/>
      <c r="S91" s="73"/>
      <c r="T91" s="288" t="s">
        <v>4919</v>
      </c>
      <c r="U91" s="32" t="s">
        <v>4920</v>
      </c>
      <c r="V91" s="32" t="str">
        <f t="shared" si="3"/>
        <v>信号枪(信号弹枪)</v>
      </c>
      <c r="W91" s="290"/>
      <c r="X91" s="290"/>
      <c r="Y91" s="290"/>
      <c r="Z91" s="290"/>
      <c r="AA91" s="290"/>
      <c r="AB91" s="290"/>
      <c r="AC91" s="290"/>
      <c r="AD91" s="290"/>
      <c r="AE91" s="290"/>
      <c r="AF91" s="295"/>
    </row>
    <row r="92" spans="1:37" ht="14.25" customHeight="1">
      <c r="A92" s="163"/>
      <c r="B92" s="313" t="str">
        <f t="shared" si="4"/>
        <v>M79 40mm 榴弹发射器</v>
      </c>
      <c r="C92" s="227" t="s">
        <v>2757</v>
      </c>
      <c r="D92" s="228" t="s">
        <v>4921</v>
      </c>
      <c r="E92" s="228" t="s">
        <v>4768</v>
      </c>
      <c r="F92" s="228" t="s">
        <v>516</v>
      </c>
      <c r="G92" s="228" t="s">
        <v>4763</v>
      </c>
      <c r="H92" s="228" t="s">
        <v>4570</v>
      </c>
      <c r="I92" s="228" t="s">
        <v>4706</v>
      </c>
      <c r="J92" s="228" t="s">
        <v>3276</v>
      </c>
      <c r="K92" s="228" t="s">
        <v>4819</v>
      </c>
      <c r="L92" s="270" t="s">
        <v>4804</v>
      </c>
      <c r="M92" s="3111"/>
      <c r="N92" s="2836"/>
      <c r="O92" s="2836"/>
      <c r="P92" s="326" t="s">
        <v>1615</v>
      </c>
      <c r="Q92" s="2852"/>
      <c r="R92" s="2852"/>
      <c r="S92" s="73"/>
      <c r="T92" s="288" t="s">
        <v>4922</v>
      </c>
      <c r="U92" s="32" t="s">
        <v>4923</v>
      </c>
      <c r="V92" s="32" t="str">
        <f t="shared" si="3"/>
        <v>M79 40mm 榴弹发射器</v>
      </c>
      <c r="W92" s="290"/>
      <c r="X92" s="290"/>
      <c r="Y92" s="290"/>
      <c r="Z92" s="290"/>
      <c r="AA92" s="290"/>
      <c r="AB92" s="290"/>
      <c r="AC92" s="290"/>
      <c r="AD92" s="290"/>
      <c r="AE92" s="290"/>
      <c r="AF92" s="295"/>
    </row>
    <row r="93" spans="1:37" ht="14.25" customHeight="1">
      <c r="A93" s="163"/>
      <c r="B93" s="313" t="str">
        <f t="shared" si="4"/>
        <v>炸药棒</v>
      </c>
      <c r="C93" s="265" t="s">
        <v>138</v>
      </c>
      <c r="D93" s="266" t="s">
        <v>4924</v>
      </c>
      <c r="E93" s="266" t="s">
        <v>4642</v>
      </c>
      <c r="F93" s="266" t="s">
        <v>516</v>
      </c>
      <c r="G93" s="266" t="s">
        <v>4608</v>
      </c>
      <c r="H93" s="266" t="s">
        <v>4647</v>
      </c>
      <c r="I93" s="266" t="s">
        <v>4706</v>
      </c>
      <c r="J93" s="266" t="s">
        <v>4572</v>
      </c>
      <c r="K93" s="266" t="s">
        <v>4925</v>
      </c>
      <c r="L93" s="284" t="s">
        <v>4926</v>
      </c>
      <c r="M93" s="3110"/>
      <c r="N93" s="2836"/>
      <c r="O93" s="2836"/>
      <c r="P93" s="326" t="s">
        <v>1720</v>
      </c>
      <c r="Q93" s="2853"/>
      <c r="R93" s="2853"/>
      <c r="S93" s="73"/>
      <c r="T93" s="288" t="s">
        <v>1615</v>
      </c>
      <c r="U93" s="32" t="s">
        <v>4927</v>
      </c>
      <c r="V93" s="32" t="str">
        <f t="shared" si="3"/>
        <v>炸药棒</v>
      </c>
      <c r="W93" s="290"/>
      <c r="X93" s="290"/>
      <c r="Y93" s="290"/>
      <c r="Z93" s="290"/>
      <c r="AA93" s="290"/>
      <c r="AB93" s="290"/>
      <c r="AC93" s="290"/>
      <c r="AD93" s="290"/>
      <c r="AE93" s="290"/>
      <c r="AF93" s="295"/>
    </row>
    <row r="94" spans="1:37" ht="14.25" customHeight="1">
      <c r="A94" s="163"/>
      <c r="B94" s="313" t="str">
        <f t="shared" si="4"/>
        <v>雷管</v>
      </c>
      <c r="C94" s="227" t="s">
        <v>111</v>
      </c>
      <c r="D94" s="228" t="s">
        <v>4928</v>
      </c>
      <c r="E94" s="228" t="s">
        <v>4819</v>
      </c>
      <c r="F94" s="228" t="s">
        <v>516</v>
      </c>
      <c r="G94" s="228" t="s">
        <v>4819</v>
      </c>
      <c r="H94" s="228" t="s">
        <v>4647</v>
      </c>
      <c r="I94" s="228" t="s">
        <v>3549</v>
      </c>
      <c r="J94" s="228" t="s">
        <v>4572</v>
      </c>
      <c r="K94" s="228" t="s">
        <v>4929</v>
      </c>
      <c r="L94" s="270" t="s">
        <v>4930</v>
      </c>
      <c r="M94" s="3110"/>
      <c r="N94" s="2836"/>
      <c r="O94" s="2836"/>
      <c r="P94" s="326" t="s">
        <v>401</v>
      </c>
      <c r="Q94" s="2854" t="s">
        <v>4931</v>
      </c>
      <c r="R94" s="2854"/>
      <c r="S94" s="73"/>
      <c r="T94" s="288" t="s">
        <v>1720</v>
      </c>
      <c r="U94" s="32" t="s">
        <v>4932</v>
      </c>
      <c r="V94" s="32" t="str">
        <f t="shared" si="3"/>
        <v>雷管</v>
      </c>
      <c r="W94" s="290"/>
      <c r="X94" s="290"/>
      <c r="Y94" s="290"/>
      <c r="Z94" s="290"/>
      <c r="AA94" s="290"/>
      <c r="AB94" s="290"/>
      <c r="AC94" s="290"/>
      <c r="AD94" s="290"/>
      <c r="AE94" s="290"/>
      <c r="AF94" s="295"/>
    </row>
    <row r="95" spans="1:37" ht="14.25" customHeight="1">
      <c r="A95" s="163"/>
      <c r="B95" s="313" t="str">
        <f t="shared" si="4"/>
        <v>爆破筒</v>
      </c>
      <c r="C95" s="265" t="s">
        <v>146</v>
      </c>
      <c r="D95" s="266" t="s">
        <v>4933</v>
      </c>
      <c r="E95" s="266" t="s">
        <v>4934</v>
      </c>
      <c r="F95" s="266" t="s">
        <v>516</v>
      </c>
      <c r="G95" s="266" t="s">
        <v>4935</v>
      </c>
      <c r="H95" s="266" t="s">
        <v>4647</v>
      </c>
      <c r="I95" s="266" t="s">
        <v>4593</v>
      </c>
      <c r="J95" s="266" t="s">
        <v>4572</v>
      </c>
      <c r="K95" s="266" t="s">
        <v>4819</v>
      </c>
      <c r="L95" s="284" t="s">
        <v>4936</v>
      </c>
      <c r="M95" s="3110"/>
      <c r="N95" s="2856" t="s">
        <v>4937</v>
      </c>
      <c r="O95" s="2856"/>
      <c r="P95" s="326" t="s">
        <v>4700</v>
      </c>
      <c r="Q95" s="2855"/>
      <c r="R95" s="2855"/>
      <c r="S95" s="73"/>
      <c r="T95" s="288" t="s">
        <v>401</v>
      </c>
      <c r="U95" s="32" t="s">
        <v>4938</v>
      </c>
      <c r="V95" s="32" t="str">
        <f t="shared" si="3"/>
        <v>爆破筒</v>
      </c>
      <c r="W95" s="290"/>
      <c r="X95" s="290"/>
      <c r="Y95" s="290"/>
      <c r="Z95" s="290"/>
      <c r="AA95" s="290"/>
      <c r="AB95" s="290"/>
      <c r="AC95" s="290"/>
      <c r="AD95" s="290"/>
      <c r="AE95" s="290"/>
      <c r="AF95" s="295"/>
    </row>
    <row r="96" spans="1:37" ht="14.25" customHeight="1">
      <c r="A96" s="163"/>
      <c r="B96" s="313" t="str">
        <f t="shared" si="4"/>
        <v>塑胶炸弹(C4) 100克</v>
      </c>
      <c r="C96" s="227" t="s">
        <v>146</v>
      </c>
      <c r="D96" s="228" t="s">
        <v>4939</v>
      </c>
      <c r="E96" s="228" t="s">
        <v>4934</v>
      </c>
      <c r="F96" s="228" t="s">
        <v>516</v>
      </c>
      <c r="G96" s="228" t="s">
        <v>4935</v>
      </c>
      <c r="H96" s="228" t="s">
        <v>4647</v>
      </c>
      <c r="I96" s="228" t="s">
        <v>4706</v>
      </c>
      <c r="J96" s="228" t="s">
        <v>3276</v>
      </c>
      <c r="K96" s="228" t="s">
        <v>4819</v>
      </c>
      <c r="L96" s="270" t="s">
        <v>4940</v>
      </c>
      <c r="M96" s="3110"/>
      <c r="N96" s="2856"/>
      <c r="O96" s="2856"/>
      <c r="P96" s="326" t="s">
        <v>4590</v>
      </c>
      <c r="Q96" s="2855"/>
      <c r="R96" s="2855"/>
      <c r="S96" s="73"/>
      <c r="T96" s="288" t="s">
        <v>4941</v>
      </c>
      <c r="U96" s="32" t="s">
        <v>4942</v>
      </c>
      <c r="V96" s="32" t="str">
        <f t="shared" si="3"/>
        <v>塑胶炸弹(C4) 100克</v>
      </c>
      <c r="W96" s="290"/>
      <c r="X96" s="290"/>
      <c r="Y96" s="290"/>
      <c r="Z96" s="290"/>
      <c r="AA96" s="290"/>
      <c r="AB96" s="290"/>
      <c r="AC96" s="290"/>
      <c r="AD96" s="290"/>
      <c r="AE96" s="290"/>
      <c r="AF96" s="295"/>
    </row>
    <row r="97" spans="1:32" ht="14.25" customHeight="1">
      <c r="A97" s="163"/>
      <c r="B97" s="313" t="str">
        <f t="shared" si="4"/>
        <v>手榴弹</v>
      </c>
      <c r="C97" s="265" t="s">
        <v>138</v>
      </c>
      <c r="D97" s="266" t="s">
        <v>4924</v>
      </c>
      <c r="E97" s="266" t="s">
        <v>4642</v>
      </c>
      <c r="F97" s="266" t="s">
        <v>516</v>
      </c>
      <c r="G97" s="266" t="s">
        <v>4608</v>
      </c>
      <c r="H97" s="266" t="s">
        <v>4647</v>
      </c>
      <c r="I97" s="266" t="s">
        <v>4706</v>
      </c>
      <c r="J97" s="266" t="s">
        <v>4572</v>
      </c>
      <c r="K97" s="266" t="s">
        <v>4819</v>
      </c>
      <c r="L97" s="284" t="s">
        <v>4943</v>
      </c>
      <c r="M97" s="3110"/>
      <c r="N97" s="2856"/>
      <c r="O97" s="2856"/>
      <c r="P97" s="326" t="s">
        <v>4944</v>
      </c>
      <c r="Q97" s="2855"/>
      <c r="R97" s="2855"/>
      <c r="S97" s="73"/>
      <c r="T97" s="288" t="s">
        <v>1615</v>
      </c>
      <c r="U97" s="32" t="s">
        <v>4945</v>
      </c>
      <c r="V97" s="32" t="str">
        <f t="shared" si="3"/>
        <v>手榴弹</v>
      </c>
      <c r="W97" s="290"/>
      <c r="X97" s="290"/>
      <c r="Y97" s="290"/>
      <c r="Z97" s="290"/>
      <c r="AA97" s="290"/>
      <c r="AB97" s="290"/>
      <c r="AC97" s="290"/>
      <c r="AD97" s="290"/>
      <c r="AE97" s="290"/>
      <c r="AF97" s="295"/>
    </row>
    <row r="98" spans="1:32" ht="14.25" customHeight="1">
      <c r="A98" s="163"/>
      <c r="B98" s="313" t="str">
        <f t="shared" si="4"/>
        <v>81mm迫击炮</v>
      </c>
      <c r="C98" s="227" t="s">
        <v>153</v>
      </c>
      <c r="D98" s="228" t="s">
        <v>4946</v>
      </c>
      <c r="E98" s="228" t="s">
        <v>4947</v>
      </c>
      <c r="F98" s="228" t="s">
        <v>516</v>
      </c>
      <c r="G98" s="228" t="s">
        <v>4646</v>
      </c>
      <c r="H98" s="228" t="s">
        <v>4948</v>
      </c>
      <c r="I98" s="228" t="s">
        <v>3549</v>
      </c>
      <c r="J98" s="228" t="s">
        <v>3276</v>
      </c>
      <c r="K98" s="228" t="s">
        <v>4819</v>
      </c>
      <c r="L98" s="270" t="s">
        <v>4737</v>
      </c>
      <c r="M98" s="3110"/>
      <c r="N98" s="3209" t="s">
        <v>4949</v>
      </c>
      <c r="O98" s="3209"/>
      <c r="P98" s="3209"/>
      <c r="Q98" s="3209"/>
      <c r="R98" s="3209"/>
      <c r="S98" s="73"/>
      <c r="T98" s="288" t="s">
        <v>4941</v>
      </c>
      <c r="U98" s="32" t="s">
        <v>4950</v>
      </c>
      <c r="V98" s="32" t="str">
        <f t="shared" si="3"/>
        <v>81mm迫击炮</v>
      </c>
      <c r="W98" s="290"/>
      <c r="X98" s="290"/>
      <c r="Y98" s="290"/>
      <c r="Z98" s="290"/>
      <c r="AA98" s="290"/>
      <c r="AB98" s="290"/>
      <c r="AC98" s="290"/>
      <c r="AD98" s="290"/>
      <c r="AE98" s="290"/>
      <c r="AF98" s="295"/>
    </row>
    <row r="99" spans="1:32" ht="14.25" customHeight="1">
      <c r="A99" s="163"/>
      <c r="B99" s="313" t="str">
        <f t="shared" si="4"/>
        <v>75mm野战火炮</v>
      </c>
      <c r="C99" s="230" t="s">
        <v>153</v>
      </c>
      <c r="D99" s="231" t="s">
        <v>4951</v>
      </c>
      <c r="E99" s="231" t="s">
        <v>4947</v>
      </c>
      <c r="F99" s="231" t="s">
        <v>516</v>
      </c>
      <c r="G99" s="231" t="s">
        <v>4685</v>
      </c>
      <c r="H99" s="231" t="s">
        <v>4948</v>
      </c>
      <c r="I99" s="231" t="s">
        <v>4706</v>
      </c>
      <c r="J99" s="231" t="s">
        <v>4572</v>
      </c>
      <c r="K99" s="231" t="s">
        <v>4952</v>
      </c>
      <c r="L99" s="271" t="s">
        <v>4953</v>
      </c>
      <c r="M99" s="3110"/>
      <c r="N99" s="2836" t="s">
        <v>4954</v>
      </c>
      <c r="O99" s="2836"/>
      <c r="P99" s="2836"/>
      <c r="Q99" s="2838" t="s">
        <v>4955</v>
      </c>
      <c r="R99" s="2839"/>
      <c r="S99" s="73"/>
      <c r="T99" s="288" t="s">
        <v>4956</v>
      </c>
      <c r="U99" s="32" t="s">
        <v>4957</v>
      </c>
      <c r="V99" s="32" t="str">
        <f t="shared" si="3"/>
        <v>75mm野战火炮</v>
      </c>
      <c r="W99" s="290"/>
      <c r="X99" s="290"/>
      <c r="Y99" s="290"/>
      <c r="Z99" s="290"/>
      <c r="AA99" s="290"/>
      <c r="AB99" s="290"/>
      <c r="AC99" s="290"/>
      <c r="AD99" s="290"/>
      <c r="AE99" s="290"/>
      <c r="AF99" s="295"/>
    </row>
    <row r="100" spans="1:32" ht="14.25" customHeight="1">
      <c r="A100" s="163"/>
      <c r="B100" s="313" t="str">
        <f t="shared" si="4"/>
        <v>120mm坦克炮(稳定)</v>
      </c>
      <c r="C100" s="227" t="s">
        <v>153</v>
      </c>
      <c r="D100" s="228" t="s">
        <v>4951</v>
      </c>
      <c r="E100" s="228" t="s">
        <v>4958</v>
      </c>
      <c r="F100" s="228" t="s">
        <v>516</v>
      </c>
      <c r="G100" s="228" t="s">
        <v>4570</v>
      </c>
      <c r="H100" s="228" t="s">
        <v>4948</v>
      </c>
      <c r="I100" s="228" t="s">
        <v>3549</v>
      </c>
      <c r="J100" s="228" t="s">
        <v>3276</v>
      </c>
      <c r="K100" s="228" t="s">
        <v>4819</v>
      </c>
      <c r="L100" s="270" t="s">
        <v>4895</v>
      </c>
      <c r="M100" s="3110"/>
      <c r="N100" s="2836"/>
      <c r="O100" s="2836"/>
      <c r="P100" s="2836"/>
      <c r="Q100" s="2839"/>
      <c r="R100" s="2839"/>
      <c r="S100" s="73"/>
      <c r="T100" s="288" t="s">
        <v>4959</v>
      </c>
      <c r="U100" s="32" t="s">
        <v>4960</v>
      </c>
      <c r="V100" s="32" t="str">
        <f t="shared" si="3"/>
        <v>120mm坦克炮(稳定)</v>
      </c>
      <c r="W100" s="290"/>
      <c r="X100" s="290"/>
      <c r="Y100" s="290"/>
      <c r="Z100" s="290"/>
      <c r="AA100" s="290"/>
      <c r="AB100" s="290"/>
      <c r="AC100" s="290"/>
      <c r="AD100" s="290"/>
      <c r="AE100" s="290"/>
      <c r="AF100" s="295"/>
    </row>
    <row r="101" spans="1:32" ht="14.25" customHeight="1">
      <c r="A101" s="163"/>
      <c r="B101" s="313" t="str">
        <f t="shared" si="4"/>
        <v>5英寸舰载炮(稳定)</v>
      </c>
      <c r="C101" s="230" t="s">
        <v>153</v>
      </c>
      <c r="D101" s="231" t="s">
        <v>4961</v>
      </c>
      <c r="E101" s="231" t="s">
        <v>4962</v>
      </c>
      <c r="F101" s="231" t="s">
        <v>516</v>
      </c>
      <c r="G101" s="231">
        <v>1</v>
      </c>
      <c r="H101" s="231" t="s">
        <v>4963</v>
      </c>
      <c r="I101" s="231" t="s">
        <v>4718</v>
      </c>
      <c r="J101" s="231" t="s">
        <v>3276</v>
      </c>
      <c r="K101" s="231" t="s">
        <v>4819</v>
      </c>
      <c r="L101" s="271" t="s">
        <v>4964</v>
      </c>
      <c r="M101" s="3110"/>
      <c r="N101" s="2836"/>
      <c r="O101" s="2836"/>
      <c r="P101" s="2836"/>
      <c r="Q101" s="2839"/>
      <c r="R101" s="2839"/>
      <c r="S101" s="73"/>
      <c r="T101" s="288" t="s">
        <v>4965</v>
      </c>
      <c r="U101" s="32" t="s">
        <v>4966</v>
      </c>
      <c r="V101" s="32" t="str">
        <f t="shared" si="3"/>
        <v>5英寸舰载炮(稳定)</v>
      </c>
      <c r="W101" s="290"/>
      <c r="X101" s="290"/>
      <c r="Y101" s="290"/>
      <c r="Z101" s="290"/>
      <c r="AA101" s="290"/>
      <c r="AB101" s="290"/>
      <c r="AC101" s="290"/>
      <c r="AD101" s="290"/>
      <c r="AE101" s="290"/>
      <c r="AF101" s="295"/>
    </row>
    <row r="102" spans="1:32" ht="14.25" customHeight="1">
      <c r="A102" s="163"/>
      <c r="B102" s="313" t="str">
        <f t="shared" si="4"/>
        <v>反步兵地雷</v>
      </c>
      <c r="C102" s="227" t="s">
        <v>146</v>
      </c>
      <c r="D102" s="228" t="s">
        <v>4967</v>
      </c>
      <c r="E102" s="228" t="s">
        <v>4934</v>
      </c>
      <c r="F102" s="228" t="s">
        <v>516</v>
      </c>
      <c r="G102" s="228" t="s">
        <v>4968</v>
      </c>
      <c r="H102" s="228" t="s">
        <v>4647</v>
      </c>
      <c r="I102" s="228" t="s">
        <v>4706</v>
      </c>
      <c r="J102" s="228" t="s">
        <v>4572</v>
      </c>
      <c r="K102" s="228" t="s">
        <v>4819</v>
      </c>
      <c r="L102" s="270" t="s">
        <v>4969</v>
      </c>
      <c r="M102" s="3110"/>
      <c r="N102" s="2836"/>
      <c r="O102" s="2836"/>
      <c r="P102" s="2836"/>
      <c r="Q102" s="2839"/>
      <c r="R102" s="2839"/>
      <c r="S102" s="73"/>
      <c r="T102" s="288" t="s">
        <v>1615</v>
      </c>
      <c r="U102" s="32" t="s">
        <v>4970</v>
      </c>
      <c r="V102" s="32" t="str">
        <f t="shared" si="3"/>
        <v>反步兵地雷</v>
      </c>
      <c r="W102" s="290"/>
      <c r="X102" s="290"/>
      <c r="Y102" s="290"/>
      <c r="Z102" s="290"/>
      <c r="AA102" s="290"/>
      <c r="AB102" s="290"/>
      <c r="AC102" s="290"/>
      <c r="AD102" s="290"/>
      <c r="AE102" s="290"/>
      <c r="AF102" s="295"/>
    </row>
    <row r="103" spans="1:32" ht="14.25" customHeight="1">
      <c r="A103" s="163"/>
      <c r="B103" s="313" t="str">
        <f t="shared" si="4"/>
        <v>阔剑地雷</v>
      </c>
      <c r="C103" s="314" t="s">
        <v>146</v>
      </c>
      <c r="D103" s="315" t="s">
        <v>4971</v>
      </c>
      <c r="E103" s="315" t="s">
        <v>4934</v>
      </c>
      <c r="F103" s="315" t="s">
        <v>516</v>
      </c>
      <c r="G103" s="315" t="s">
        <v>4968</v>
      </c>
      <c r="H103" s="315" t="s">
        <v>4647</v>
      </c>
      <c r="I103" s="315" t="s">
        <v>4706</v>
      </c>
      <c r="J103" s="315" t="s">
        <v>3276</v>
      </c>
      <c r="K103" s="315" t="s">
        <v>4819</v>
      </c>
      <c r="L103" s="327" t="s">
        <v>4759</v>
      </c>
      <c r="M103" s="3110"/>
      <c r="N103" s="2836"/>
      <c r="O103" s="2836"/>
      <c r="P103" s="2836"/>
      <c r="Q103" s="2839"/>
      <c r="R103" s="2839"/>
      <c r="S103" s="73"/>
      <c r="T103" s="288" t="s">
        <v>4972</v>
      </c>
      <c r="U103" s="32" t="s">
        <v>4973</v>
      </c>
      <c r="V103" s="32" t="str">
        <f t="shared" si="3"/>
        <v>阔剑地雷</v>
      </c>
      <c r="W103" s="290"/>
      <c r="X103" s="290"/>
      <c r="Y103" s="290"/>
      <c r="Z103" s="290"/>
      <c r="AA103" s="290"/>
      <c r="AB103" s="290"/>
      <c r="AC103" s="290"/>
      <c r="AD103" s="290"/>
      <c r="AE103" s="290"/>
      <c r="AF103" s="295"/>
    </row>
    <row r="104" spans="1:32" ht="14.25" customHeight="1">
      <c r="A104" s="163"/>
      <c r="B104" s="313" t="str">
        <f t="shared" si="4"/>
        <v>火焰喷射器</v>
      </c>
      <c r="C104" s="227" t="s">
        <v>2732</v>
      </c>
      <c r="D104" s="228" t="s">
        <v>4909</v>
      </c>
      <c r="E104" s="228" t="s">
        <v>4974</v>
      </c>
      <c r="F104" s="228" t="s">
        <v>516</v>
      </c>
      <c r="G104" s="228" t="s">
        <v>4570</v>
      </c>
      <c r="H104" s="228" t="s">
        <v>4975</v>
      </c>
      <c r="I104" s="228" t="s">
        <v>4976</v>
      </c>
      <c r="J104" s="228" t="s">
        <v>4572</v>
      </c>
      <c r="K104" s="228" t="s">
        <v>4819</v>
      </c>
      <c r="L104" s="270" t="s">
        <v>4977</v>
      </c>
      <c r="M104" s="3110"/>
      <c r="N104" s="2836"/>
      <c r="O104" s="2836"/>
      <c r="P104" s="2836"/>
      <c r="Q104" s="2839"/>
      <c r="R104" s="2839"/>
      <c r="S104" s="73"/>
      <c r="T104" s="288" t="s">
        <v>4757</v>
      </c>
      <c r="U104" s="32" t="s">
        <v>4978</v>
      </c>
      <c r="V104" s="32" t="str">
        <f t="shared" si="3"/>
        <v>火焰喷射器</v>
      </c>
      <c r="W104" s="290"/>
      <c r="X104" s="290"/>
      <c r="Y104" s="290"/>
      <c r="Z104" s="290"/>
      <c r="AA104" s="290"/>
      <c r="AB104" s="290"/>
      <c r="AC104" s="290"/>
      <c r="AD104" s="290"/>
      <c r="AE104" s="290"/>
      <c r="AF104" s="295"/>
    </row>
    <row r="105" spans="1:32" ht="16.899999999999999" customHeight="1">
      <c r="A105" s="316"/>
      <c r="B105" s="317" t="str">
        <f t="shared" si="4"/>
        <v>M72 式单发轻型反坦克炮</v>
      </c>
      <c r="C105" s="318" t="s">
        <v>2757</v>
      </c>
      <c r="D105" s="319" t="s">
        <v>4979</v>
      </c>
      <c r="E105" s="319" t="s">
        <v>4980</v>
      </c>
      <c r="F105" s="319" t="s">
        <v>516</v>
      </c>
      <c r="G105" s="319" t="s">
        <v>4570</v>
      </c>
      <c r="H105" s="319" t="s">
        <v>4570</v>
      </c>
      <c r="I105" s="319" t="s">
        <v>4718</v>
      </c>
      <c r="J105" s="319" t="s">
        <v>3276</v>
      </c>
      <c r="K105" s="319" t="s">
        <v>4819</v>
      </c>
      <c r="L105" s="328" t="s">
        <v>4904</v>
      </c>
      <c r="M105" s="3111"/>
      <c r="N105" s="2837"/>
      <c r="O105" s="2837"/>
      <c r="P105" s="2837"/>
      <c r="Q105" s="2840"/>
      <c r="R105" s="2840"/>
      <c r="S105" s="73"/>
      <c r="T105" s="288" t="s">
        <v>4981</v>
      </c>
      <c r="U105" s="32" t="s">
        <v>4982</v>
      </c>
      <c r="V105" s="32" t="str">
        <f t="shared" si="3"/>
        <v>M72 式单发轻型反坦克炮</v>
      </c>
      <c r="W105" s="290"/>
      <c r="X105" s="290"/>
      <c r="Y105" s="290"/>
      <c r="Z105" s="290"/>
      <c r="AA105" s="290"/>
      <c r="AB105" s="290"/>
      <c r="AC105" s="290"/>
      <c r="AD105" s="290"/>
      <c r="AE105" s="290"/>
      <c r="AF105" s="295"/>
    </row>
    <row r="106" spans="1:32">
      <c r="A106" s="165"/>
      <c r="B106" s="316"/>
      <c r="C106" s="316"/>
      <c r="D106" s="163"/>
      <c r="E106" s="163"/>
      <c r="F106" s="163"/>
      <c r="G106" s="163"/>
      <c r="H106" s="163"/>
      <c r="I106" s="163"/>
      <c r="J106" s="163"/>
      <c r="K106" s="73"/>
      <c r="L106" s="73"/>
      <c r="M106" s="73"/>
      <c r="N106" s="3210"/>
      <c r="O106" s="3210"/>
      <c r="P106" s="3210"/>
      <c r="Q106" s="3210"/>
      <c r="R106" s="3210"/>
      <c r="S106" s="73"/>
      <c r="T106" s="73"/>
    </row>
    <row r="107" spans="1:32" ht="16.5">
      <c r="A107" s="165"/>
      <c r="B107" s="3145" t="s">
        <v>4983</v>
      </c>
      <c r="C107" s="3211"/>
      <c r="D107" s="3211"/>
      <c r="E107" s="3211"/>
      <c r="F107" s="3211"/>
      <c r="G107" s="3211"/>
      <c r="H107" s="3211"/>
      <c r="I107" s="3211"/>
      <c r="J107" s="3211"/>
      <c r="K107" s="3211"/>
      <c r="L107" s="3212"/>
      <c r="M107" s="176"/>
      <c r="N107" s="176"/>
      <c r="O107" s="176"/>
      <c r="P107" s="176"/>
      <c r="Q107" s="176"/>
      <c r="R107" s="176"/>
      <c r="S107" s="176"/>
      <c r="T107" s="176"/>
    </row>
    <row r="108" spans="1:32" ht="15" customHeight="1">
      <c r="A108" s="165"/>
      <c r="B108" s="3213" t="s">
        <v>4984</v>
      </c>
      <c r="C108" s="3056"/>
      <c r="D108" s="3056"/>
      <c r="E108" s="3056"/>
      <c r="F108" s="3056"/>
      <c r="G108" s="3056"/>
      <c r="H108" s="3056"/>
      <c r="I108" s="3056"/>
      <c r="J108" s="3056"/>
      <c r="K108" s="3056"/>
      <c r="L108" s="3057"/>
      <c r="M108" s="176"/>
      <c r="N108" s="3214" t="s">
        <v>4985</v>
      </c>
      <c r="O108" s="3215"/>
      <c r="P108" s="3215"/>
      <c r="Q108" s="3215"/>
      <c r="R108" s="3216"/>
      <c r="S108" s="176"/>
      <c r="T108" s="176"/>
    </row>
    <row r="109" spans="1:32" ht="16.5">
      <c r="A109" s="165"/>
      <c r="B109" s="2801" t="s">
        <v>4986</v>
      </c>
      <c r="C109" s="3195"/>
      <c r="D109" s="3195"/>
      <c r="E109" s="3195"/>
      <c r="F109" s="3195"/>
      <c r="G109" s="3195"/>
      <c r="H109" s="3195"/>
      <c r="I109" s="3195"/>
      <c r="J109" s="3195"/>
      <c r="K109" s="3195"/>
      <c r="L109" s="2802"/>
      <c r="M109" s="176"/>
      <c r="N109" s="3217" t="s">
        <v>4987</v>
      </c>
      <c r="O109" s="3218"/>
      <c r="P109" s="330" t="s">
        <v>4988</v>
      </c>
      <c r="Q109" s="3219" t="s">
        <v>4989</v>
      </c>
      <c r="R109" s="3220"/>
      <c r="S109" s="176"/>
      <c r="T109" s="176"/>
    </row>
    <row r="110" spans="1:32" ht="16.5">
      <c r="A110" s="165"/>
      <c r="B110" s="2801" t="s">
        <v>4990</v>
      </c>
      <c r="C110" s="3195"/>
      <c r="D110" s="3195"/>
      <c r="E110" s="3195"/>
      <c r="F110" s="3195"/>
      <c r="G110" s="3195"/>
      <c r="H110" s="3195"/>
      <c r="I110" s="3195"/>
      <c r="J110" s="3195"/>
      <c r="K110" s="3195"/>
      <c r="L110" s="2802"/>
      <c r="M110" s="176"/>
      <c r="N110" s="3203" t="s">
        <v>4991</v>
      </c>
      <c r="O110" s="3204"/>
      <c r="P110" s="331" t="s">
        <v>4992</v>
      </c>
      <c r="Q110" s="2826" t="s">
        <v>4993</v>
      </c>
      <c r="R110" s="2827"/>
      <c r="S110" s="176"/>
      <c r="T110" s="176"/>
    </row>
    <row r="111" spans="1:32" ht="16.149999999999999" customHeight="1">
      <c r="A111" s="165"/>
      <c r="B111" s="3196" t="s">
        <v>4994</v>
      </c>
      <c r="C111" s="3197"/>
      <c r="D111" s="3197"/>
      <c r="E111" s="3197"/>
      <c r="F111" s="3197"/>
      <c r="G111" s="3197"/>
      <c r="H111" s="3197"/>
      <c r="I111" s="3197"/>
      <c r="J111" s="3197"/>
      <c r="K111" s="3197"/>
      <c r="L111" s="3198"/>
      <c r="M111" s="176"/>
      <c r="N111" s="2831"/>
      <c r="O111" s="2830"/>
      <c r="P111" s="332" t="s">
        <v>4995</v>
      </c>
      <c r="Q111" s="2828"/>
      <c r="R111" s="2827"/>
      <c r="S111" s="176"/>
      <c r="T111" s="176"/>
    </row>
    <row r="112" spans="1:32" ht="16.5">
      <c r="A112" s="165"/>
      <c r="B112" s="3151" t="s">
        <v>4996</v>
      </c>
      <c r="C112" s="2875"/>
      <c r="D112" s="2875"/>
      <c r="E112" s="2875"/>
      <c r="F112" s="2875"/>
      <c r="G112" s="2875"/>
      <c r="H112" s="2875"/>
      <c r="I112" s="2875"/>
      <c r="J112" s="2875"/>
      <c r="K112" s="2875"/>
      <c r="L112" s="3199"/>
      <c r="M112" s="176"/>
      <c r="N112" s="333"/>
      <c r="O112" s="73"/>
      <c r="P112" s="332"/>
      <c r="Q112" s="2826" t="s">
        <v>4997</v>
      </c>
      <c r="R112" s="2827"/>
      <c r="S112" s="176"/>
      <c r="T112" s="176"/>
    </row>
    <row r="113" spans="1:20" ht="16.5">
      <c r="A113" s="165"/>
      <c r="B113" s="3151" t="s">
        <v>4998</v>
      </c>
      <c r="C113" s="2875"/>
      <c r="D113" s="2875"/>
      <c r="E113" s="2875"/>
      <c r="F113" s="2875"/>
      <c r="G113" s="2875"/>
      <c r="H113" s="2875"/>
      <c r="I113" s="2875"/>
      <c r="J113" s="2875"/>
      <c r="K113" s="2875"/>
      <c r="L113" s="3199"/>
      <c r="M113" s="176"/>
      <c r="N113" s="333"/>
      <c r="O113" s="73"/>
      <c r="P113" s="332" t="s">
        <v>4999</v>
      </c>
      <c r="Q113" s="2828"/>
      <c r="R113" s="2827"/>
      <c r="S113" s="176"/>
      <c r="T113" s="176"/>
    </row>
    <row r="114" spans="1:20" ht="16.5">
      <c r="A114" s="165"/>
      <c r="B114" s="3200" t="s">
        <v>5000</v>
      </c>
      <c r="C114" s="3201"/>
      <c r="D114" s="3201"/>
      <c r="E114" s="3201"/>
      <c r="F114" s="3201"/>
      <c r="G114" s="3201"/>
      <c r="H114" s="3201"/>
      <c r="I114" s="3201"/>
      <c r="J114" s="3201"/>
      <c r="K114" s="3201"/>
      <c r="L114" s="3202"/>
      <c r="M114" s="176"/>
      <c r="N114" s="333"/>
      <c r="O114" s="73"/>
      <c r="P114" s="332" t="s">
        <v>5001</v>
      </c>
      <c r="Q114" s="2826" t="s">
        <v>5002</v>
      </c>
      <c r="R114" s="2827"/>
      <c r="S114" s="176"/>
      <c r="T114" s="176"/>
    </row>
    <row r="115" spans="1:20" ht="16.5">
      <c r="A115" s="165"/>
      <c r="B115" s="3196" t="s">
        <v>5003</v>
      </c>
      <c r="C115" s="3197"/>
      <c r="D115" s="3197"/>
      <c r="E115" s="3197"/>
      <c r="F115" s="3197"/>
      <c r="G115" s="3197"/>
      <c r="H115" s="3197"/>
      <c r="I115" s="3197"/>
      <c r="J115" s="3197"/>
      <c r="K115" s="3197"/>
      <c r="L115" s="3198"/>
      <c r="M115" s="176"/>
      <c r="N115" s="2829" t="s">
        <v>5004</v>
      </c>
      <c r="O115" s="2830"/>
      <c r="P115" s="332"/>
      <c r="Q115" s="2828"/>
      <c r="R115" s="2827"/>
      <c r="S115" s="176"/>
      <c r="T115" s="176"/>
    </row>
    <row r="116" spans="1:20" ht="16.5">
      <c r="A116" s="165"/>
      <c r="B116" s="3133" t="s">
        <v>5005</v>
      </c>
      <c r="C116" s="3134"/>
      <c r="D116" s="3134"/>
      <c r="E116" s="3134"/>
      <c r="F116" s="3134"/>
      <c r="G116" s="3134"/>
      <c r="H116" s="3134"/>
      <c r="I116" s="3134"/>
      <c r="J116" s="3134"/>
      <c r="K116" s="3134"/>
      <c r="L116" s="3135"/>
      <c r="M116" s="176"/>
      <c r="N116" s="2831"/>
      <c r="O116" s="2830"/>
      <c r="P116" s="332" t="s">
        <v>5006</v>
      </c>
      <c r="Q116" s="2828" t="s">
        <v>5007</v>
      </c>
      <c r="R116" s="2827"/>
      <c r="S116" s="176"/>
      <c r="T116" s="176"/>
    </row>
    <row r="117" spans="1:20" ht="16.5">
      <c r="A117" s="165"/>
      <c r="B117" s="3151" t="s">
        <v>5008</v>
      </c>
      <c r="C117" s="2875"/>
      <c r="D117" s="2875"/>
      <c r="E117" s="2875"/>
      <c r="F117" s="2875"/>
      <c r="G117" s="2875"/>
      <c r="H117" s="2875"/>
      <c r="I117" s="2875"/>
      <c r="J117" s="2875"/>
      <c r="K117" s="2875"/>
      <c r="L117" s="3199"/>
      <c r="M117" s="176"/>
      <c r="N117" s="334"/>
      <c r="O117" s="176"/>
      <c r="P117" s="332" t="s">
        <v>5009</v>
      </c>
      <c r="Q117" s="2828" t="s">
        <v>5010</v>
      </c>
      <c r="R117" s="2827"/>
      <c r="S117" s="176"/>
      <c r="T117" s="176"/>
    </row>
    <row r="118" spans="1:20" ht="16.5">
      <c r="A118" s="165"/>
      <c r="B118" s="3133" t="s">
        <v>5011</v>
      </c>
      <c r="C118" s="3134"/>
      <c r="D118" s="3134"/>
      <c r="E118" s="3134"/>
      <c r="F118" s="3134"/>
      <c r="G118" s="3134"/>
      <c r="H118" s="3134"/>
      <c r="I118" s="3134"/>
      <c r="J118" s="3134"/>
      <c r="K118" s="3134"/>
      <c r="L118" s="3135"/>
      <c r="M118" s="176"/>
      <c r="N118" s="2913"/>
      <c r="O118" s="2914"/>
      <c r="P118" s="335"/>
      <c r="Q118" s="2826" t="s">
        <v>5012</v>
      </c>
      <c r="R118" s="2944"/>
      <c r="S118" s="176"/>
      <c r="T118" s="176"/>
    </row>
    <row r="119" spans="1:20" ht="16.5">
      <c r="A119" s="165"/>
      <c r="B119" s="3136" t="s">
        <v>5013</v>
      </c>
      <c r="C119" s="3137"/>
      <c r="D119" s="3137"/>
      <c r="E119" s="3137"/>
      <c r="F119" s="3137"/>
      <c r="G119" s="3137"/>
      <c r="H119" s="3137"/>
      <c r="I119" s="3137"/>
      <c r="J119" s="3137"/>
      <c r="K119" s="3137"/>
      <c r="L119" s="3138"/>
      <c r="M119" s="176"/>
      <c r="N119" s="2913"/>
      <c r="O119" s="2914"/>
      <c r="P119" s="335"/>
      <c r="Q119" s="2826"/>
      <c r="R119" s="2944"/>
      <c r="S119" s="176"/>
      <c r="T119" s="176"/>
    </row>
    <row r="120" spans="1:20" ht="16.5">
      <c r="A120" s="165"/>
      <c r="B120" s="321"/>
      <c r="C120" s="321"/>
      <c r="D120" s="166"/>
      <c r="E120" s="166"/>
      <c r="F120" s="166"/>
      <c r="G120" s="166"/>
      <c r="H120" s="166"/>
      <c r="I120" s="166"/>
      <c r="J120" s="166"/>
      <c r="K120" s="176"/>
      <c r="L120" s="176"/>
      <c r="M120" s="176"/>
      <c r="N120" s="2829" t="s">
        <v>5014</v>
      </c>
      <c r="O120" s="2830"/>
      <c r="P120" s="335"/>
      <c r="Q120" s="2826" t="s">
        <v>5015</v>
      </c>
      <c r="R120" s="2944"/>
      <c r="S120" s="176"/>
      <c r="T120" s="176"/>
    </row>
    <row r="121" spans="1:20" ht="16.5">
      <c r="A121" s="165"/>
      <c r="B121" s="3145" t="s">
        <v>5016</v>
      </c>
      <c r="C121" s="2968" t="s">
        <v>5017</v>
      </c>
      <c r="D121" s="2969"/>
      <c r="E121" s="3067" t="s">
        <v>5018</v>
      </c>
      <c r="F121" s="3068"/>
      <c r="G121" s="3068"/>
      <c r="H121" s="3068"/>
      <c r="I121" s="3068"/>
      <c r="J121" s="3068"/>
      <c r="K121" s="3068"/>
      <c r="L121" s="3069"/>
      <c r="M121" s="176"/>
      <c r="N121" s="2942"/>
      <c r="O121" s="2943"/>
      <c r="P121" s="336"/>
      <c r="Q121" s="3190"/>
      <c r="R121" s="3191"/>
      <c r="S121" s="176"/>
      <c r="T121" s="176"/>
    </row>
    <row r="122" spans="1:20" ht="16.5">
      <c r="A122" s="165"/>
      <c r="B122" s="3146"/>
      <c r="C122" s="2970"/>
      <c r="D122" s="2970"/>
      <c r="E122" s="3070"/>
      <c r="F122" s="3070"/>
      <c r="G122" s="3070"/>
      <c r="H122" s="3070"/>
      <c r="I122" s="3070"/>
      <c r="J122" s="3070"/>
      <c r="K122" s="3070"/>
      <c r="L122" s="3071"/>
      <c r="M122" s="176"/>
      <c r="N122" s="176"/>
      <c r="O122" s="176"/>
      <c r="P122" s="176"/>
      <c r="Q122" s="176"/>
      <c r="R122" s="176"/>
      <c r="S122" s="176"/>
      <c r="T122" s="176"/>
    </row>
    <row r="123" spans="1:20" ht="16.5">
      <c r="A123" s="165"/>
      <c r="B123" s="2801" t="s">
        <v>5019</v>
      </c>
      <c r="C123" s="2875" t="s">
        <v>4670</v>
      </c>
      <c r="D123" s="2875"/>
      <c r="E123" s="2920" t="s">
        <v>5020</v>
      </c>
      <c r="F123" s="2920"/>
      <c r="G123" s="2920"/>
      <c r="H123" s="2920"/>
      <c r="I123" s="2920"/>
      <c r="J123" s="2920"/>
      <c r="K123" s="2920"/>
      <c r="L123" s="2921"/>
      <c r="M123" s="176"/>
      <c r="N123" s="3139" t="s">
        <v>5021</v>
      </c>
      <c r="O123" s="3140"/>
      <c r="P123" s="3140"/>
      <c r="Q123" s="3140"/>
      <c r="R123" s="3140"/>
      <c r="S123" s="3140"/>
      <c r="T123" s="3141"/>
    </row>
    <row r="124" spans="1:20" ht="16.5">
      <c r="A124" s="165"/>
      <c r="B124" s="2801"/>
      <c r="C124" s="2875"/>
      <c r="D124" s="2875"/>
      <c r="E124" s="2920"/>
      <c r="F124" s="2920"/>
      <c r="G124" s="2920"/>
      <c r="H124" s="2920"/>
      <c r="I124" s="2920"/>
      <c r="J124" s="2920"/>
      <c r="K124" s="2920"/>
      <c r="L124" s="2921"/>
      <c r="M124" s="176"/>
      <c r="N124" s="2922" t="s">
        <v>5022</v>
      </c>
      <c r="O124" s="3082" t="s">
        <v>5023</v>
      </c>
      <c r="P124" s="3083"/>
      <c r="Q124" s="3083"/>
      <c r="R124" s="3083"/>
      <c r="S124" s="3083"/>
      <c r="T124" s="3084"/>
    </row>
    <row r="125" spans="1:20" ht="16.5">
      <c r="A125" s="165"/>
      <c r="B125" s="2801"/>
      <c r="C125" s="2875"/>
      <c r="D125" s="2875"/>
      <c r="E125" s="2920"/>
      <c r="F125" s="2920"/>
      <c r="G125" s="2920"/>
      <c r="H125" s="2920"/>
      <c r="I125" s="2920"/>
      <c r="J125" s="2920"/>
      <c r="K125" s="2920"/>
      <c r="L125" s="2921"/>
      <c r="M125" s="176"/>
      <c r="N125" s="2923"/>
      <c r="O125" s="3085"/>
      <c r="P125" s="3086"/>
      <c r="Q125" s="3086"/>
      <c r="R125" s="3086"/>
      <c r="S125" s="3086"/>
      <c r="T125" s="3087"/>
    </row>
    <row r="126" spans="1:20" ht="16.5">
      <c r="A126" s="165"/>
      <c r="B126" s="3147" t="s">
        <v>5024</v>
      </c>
      <c r="C126" s="2971" t="s">
        <v>4590</v>
      </c>
      <c r="D126" s="3032"/>
      <c r="E126" s="3192" t="s">
        <v>5025</v>
      </c>
      <c r="F126" s="3193"/>
      <c r="G126" s="3193"/>
      <c r="H126" s="3193"/>
      <c r="I126" s="3193"/>
      <c r="J126" s="3193"/>
      <c r="K126" s="3193"/>
      <c r="L126" s="3194"/>
      <c r="M126" s="176"/>
      <c r="N126" s="2924" t="s">
        <v>5026</v>
      </c>
      <c r="O126" s="2945" t="s">
        <v>5027</v>
      </c>
      <c r="P126" s="2946"/>
      <c r="Q126" s="2946"/>
      <c r="R126" s="2946"/>
      <c r="S126" s="2946"/>
      <c r="T126" s="2947"/>
    </row>
    <row r="127" spans="1:20" ht="16.5">
      <c r="A127" s="165"/>
      <c r="B127" s="3148"/>
      <c r="C127" s="3032"/>
      <c r="D127" s="3032"/>
      <c r="E127" s="3193"/>
      <c r="F127" s="3193"/>
      <c r="G127" s="3193"/>
      <c r="H127" s="3193"/>
      <c r="I127" s="3193"/>
      <c r="J127" s="3193"/>
      <c r="K127" s="3193"/>
      <c r="L127" s="3194"/>
      <c r="M127" s="176"/>
      <c r="N127" s="2925"/>
      <c r="O127" s="2948"/>
      <c r="P127" s="2949"/>
      <c r="Q127" s="2949"/>
      <c r="R127" s="2949"/>
      <c r="S127" s="2949"/>
      <c r="T127" s="2950"/>
    </row>
    <row r="128" spans="1:20" ht="16.5">
      <c r="A128" s="165"/>
      <c r="B128" s="3148"/>
      <c r="C128" s="3032"/>
      <c r="D128" s="3032"/>
      <c r="E128" s="3193"/>
      <c r="F128" s="3193"/>
      <c r="G128" s="3193"/>
      <c r="H128" s="3193"/>
      <c r="I128" s="3193"/>
      <c r="J128" s="3193"/>
      <c r="K128" s="3193"/>
      <c r="L128" s="3194"/>
      <c r="M128" s="176"/>
      <c r="N128" s="2926" t="s">
        <v>5028</v>
      </c>
      <c r="O128" s="2887" t="s">
        <v>5029</v>
      </c>
      <c r="P128" s="2888"/>
      <c r="Q128" s="2888"/>
      <c r="R128" s="2888"/>
      <c r="S128" s="2888"/>
      <c r="T128" s="2889"/>
    </row>
    <row r="129" spans="1:20" ht="16.5">
      <c r="A129" s="165"/>
      <c r="B129" s="2801" t="s">
        <v>5030</v>
      </c>
      <c r="C129" s="2875" t="s">
        <v>401</v>
      </c>
      <c r="D129" s="2875"/>
      <c r="E129" s="3056" t="s">
        <v>5031</v>
      </c>
      <c r="F129" s="3056"/>
      <c r="G129" s="3056"/>
      <c r="H129" s="3056"/>
      <c r="I129" s="3056"/>
      <c r="J129" s="3056"/>
      <c r="K129" s="3056"/>
      <c r="L129" s="3057"/>
      <c r="M129" s="176"/>
      <c r="N129" s="2927"/>
      <c r="O129" s="2890"/>
      <c r="P129" s="2888"/>
      <c r="Q129" s="2888"/>
      <c r="R129" s="2888"/>
      <c r="S129" s="2888"/>
      <c r="T129" s="2889"/>
    </row>
    <row r="130" spans="1:20" ht="16.5">
      <c r="A130" s="165"/>
      <c r="B130" s="2801"/>
      <c r="C130" s="2875"/>
      <c r="D130" s="2875"/>
      <c r="E130" s="3056"/>
      <c r="F130" s="3056"/>
      <c r="G130" s="3056"/>
      <c r="H130" s="3056"/>
      <c r="I130" s="3056"/>
      <c r="J130" s="3056"/>
      <c r="K130" s="3056"/>
      <c r="L130" s="3057"/>
      <c r="M130" s="176"/>
      <c r="N130" s="2927"/>
      <c r="O130" s="2890"/>
      <c r="P130" s="2888"/>
      <c r="Q130" s="2888"/>
      <c r="R130" s="2888"/>
      <c r="S130" s="2888"/>
      <c r="T130" s="2889"/>
    </row>
    <row r="131" spans="1:20" ht="16.5">
      <c r="A131" s="165"/>
      <c r="B131" s="2801"/>
      <c r="C131" s="2875"/>
      <c r="D131" s="2875"/>
      <c r="E131" s="3056"/>
      <c r="F131" s="3056"/>
      <c r="G131" s="3056"/>
      <c r="H131" s="3056"/>
      <c r="I131" s="3056"/>
      <c r="J131" s="3056"/>
      <c r="K131" s="3056"/>
      <c r="L131" s="3057"/>
      <c r="M131" s="176"/>
      <c r="N131" s="2927"/>
      <c r="O131" s="2890"/>
      <c r="P131" s="2888"/>
      <c r="Q131" s="2888"/>
      <c r="R131" s="2888"/>
      <c r="S131" s="2888"/>
      <c r="T131" s="2889"/>
    </row>
    <row r="132" spans="1:20" ht="16.5">
      <c r="A132" s="165"/>
      <c r="B132" s="3149" t="s">
        <v>5032</v>
      </c>
      <c r="C132" s="2971" t="s">
        <v>1720</v>
      </c>
      <c r="D132" s="2972"/>
      <c r="E132" s="2973" t="s">
        <v>5033</v>
      </c>
      <c r="F132" s="2974"/>
      <c r="G132" s="2974"/>
      <c r="H132" s="2974"/>
      <c r="I132" s="2974"/>
      <c r="J132" s="2974"/>
      <c r="K132" s="2974"/>
      <c r="L132" s="2975"/>
      <c r="M132" s="176"/>
      <c r="N132" s="2928"/>
      <c r="O132" s="2891"/>
      <c r="P132" s="2892"/>
      <c r="Q132" s="2892"/>
      <c r="R132" s="2892"/>
      <c r="S132" s="2892"/>
      <c r="T132" s="2893"/>
    </row>
    <row r="133" spans="1:20" ht="16.5">
      <c r="A133" s="165"/>
      <c r="B133" s="3150"/>
      <c r="C133" s="2972"/>
      <c r="D133" s="2972"/>
      <c r="E133" s="2974"/>
      <c r="F133" s="2974"/>
      <c r="G133" s="2974"/>
      <c r="H133" s="2974"/>
      <c r="I133" s="2974"/>
      <c r="J133" s="2974"/>
      <c r="K133" s="2974"/>
      <c r="L133" s="2975"/>
      <c r="M133" s="176"/>
      <c r="N133" s="2929" t="s">
        <v>5034</v>
      </c>
      <c r="O133" s="2945" t="s">
        <v>5035</v>
      </c>
      <c r="P133" s="2946"/>
      <c r="Q133" s="2946"/>
      <c r="R133" s="2946"/>
      <c r="S133" s="2946"/>
      <c r="T133" s="2947"/>
    </row>
    <row r="134" spans="1:20" ht="16.5">
      <c r="A134" s="165"/>
      <c r="B134" s="3150"/>
      <c r="C134" s="2972"/>
      <c r="D134" s="2972"/>
      <c r="E134" s="2974"/>
      <c r="F134" s="2974"/>
      <c r="G134" s="2974"/>
      <c r="H134" s="2974"/>
      <c r="I134" s="2974"/>
      <c r="J134" s="2974"/>
      <c r="K134" s="2974"/>
      <c r="L134" s="2975"/>
      <c r="M134" s="176"/>
      <c r="N134" s="2929"/>
      <c r="O134" s="2945"/>
      <c r="P134" s="2946"/>
      <c r="Q134" s="2946"/>
      <c r="R134" s="2946"/>
      <c r="S134" s="2946"/>
      <c r="T134" s="2947"/>
    </row>
    <row r="135" spans="1:20" ht="16.5">
      <c r="A135" s="165"/>
      <c r="B135" s="3151" t="s">
        <v>5036</v>
      </c>
      <c r="C135" s="2875" t="s">
        <v>1615</v>
      </c>
      <c r="D135" s="2875"/>
      <c r="E135" s="3181" t="s">
        <v>5037</v>
      </c>
      <c r="F135" s="3181"/>
      <c r="G135" s="3181"/>
      <c r="H135" s="3181"/>
      <c r="I135" s="3181"/>
      <c r="J135" s="3181"/>
      <c r="K135" s="3181"/>
      <c r="L135" s="3182"/>
      <c r="M135" s="176"/>
      <c r="N135" s="2929"/>
      <c r="O135" s="2945"/>
      <c r="P135" s="2946"/>
      <c r="Q135" s="2946"/>
      <c r="R135" s="2946"/>
      <c r="S135" s="2946"/>
      <c r="T135" s="2947"/>
    </row>
    <row r="136" spans="1:20" ht="16.5">
      <c r="A136" s="165"/>
      <c r="B136" s="3151"/>
      <c r="C136" s="2875"/>
      <c r="D136" s="2875"/>
      <c r="E136" s="3181"/>
      <c r="F136" s="3181"/>
      <c r="G136" s="3181"/>
      <c r="H136" s="3181"/>
      <c r="I136" s="3181"/>
      <c r="J136" s="3181"/>
      <c r="K136" s="3181"/>
      <c r="L136" s="3182"/>
      <c r="M136" s="176"/>
      <c r="N136" s="2929"/>
      <c r="O136" s="2945"/>
      <c r="P136" s="2946"/>
      <c r="Q136" s="2946"/>
      <c r="R136" s="2946"/>
      <c r="S136" s="2946"/>
      <c r="T136" s="2947"/>
    </row>
    <row r="137" spans="1:20" ht="16.5">
      <c r="A137" s="165"/>
      <c r="B137" s="3151"/>
      <c r="C137" s="2875"/>
      <c r="D137" s="2875"/>
      <c r="E137" s="3181"/>
      <c r="F137" s="3181"/>
      <c r="G137" s="3181"/>
      <c r="H137" s="3181"/>
      <c r="I137" s="3181"/>
      <c r="J137" s="3181"/>
      <c r="K137" s="3181"/>
      <c r="L137" s="3182"/>
      <c r="M137" s="176"/>
      <c r="N137" s="2929"/>
      <c r="O137" s="2945"/>
      <c r="P137" s="2946"/>
      <c r="Q137" s="2946"/>
      <c r="R137" s="2946"/>
      <c r="S137" s="2946"/>
      <c r="T137" s="2947"/>
    </row>
    <row r="138" spans="1:20" ht="16.5">
      <c r="A138" s="165"/>
      <c r="B138" s="3149" t="s">
        <v>5038</v>
      </c>
      <c r="C138" s="2971" t="s">
        <v>4918</v>
      </c>
      <c r="D138" s="3032"/>
      <c r="E138" s="2973" t="s">
        <v>5039</v>
      </c>
      <c r="F138" s="2974"/>
      <c r="G138" s="2974"/>
      <c r="H138" s="2974"/>
      <c r="I138" s="2974"/>
      <c r="J138" s="2974"/>
      <c r="K138" s="2974"/>
      <c r="L138" s="2975"/>
      <c r="M138" s="176"/>
      <c r="N138" s="2929"/>
      <c r="O138" s="2945"/>
      <c r="P138" s="2946"/>
      <c r="Q138" s="2946"/>
      <c r="R138" s="2946"/>
      <c r="S138" s="2946"/>
      <c r="T138" s="2947"/>
    </row>
    <row r="139" spans="1:20" ht="16.5">
      <c r="A139" s="165"/>
      <c r="B139" s="3152"/>
      <c r="C139" s="3032"/>
      <c r="D139" s="3032"/>
      <c r="E139" s="2974"/>
      <c r="F139" s="2974"/>
      <c r="G139" s="2974"/>
      <c r="H139" s="2974"/>
      <c r="I139" s="2974"/>
      <c r="J139" s="2974"/>
      <c r="K139" s="2974"/>
      <c r="L139" s="2975"/>
      <c r="M139" s="176"/>
      <c r="N139" s="2929"/>
      <c r="O139" s="2945"/>
      <c r="P139" s="2946"/>
      <c r="Q139" s="2946"/>
      <c r="R139" s="2946"/>
      <c r="S139" s="2946"/>
      <c r="T139" s="2947"/>
    </row>
    <row r="140" spans="1:20" ht="16.5">
      <c r="A140" s="165"/>
      <c r="B140" s="3153"/>
      <c r="C140" s="3033"/>
      <c r="D140" s="3033"/>
      <c r="E140" s="2976"/>
      <c r="F140" s="2976"/>
      <c r="G140" s="2976"/>
      <c r="H140" s="2976"/>
      <c r="I140" s="2976"/>
      <c r="J140" s="2976"/>
      <c r="K140" s="2976"/>
      <c r="L140" s="2977"/>
      <c r="M140" s="176"/>
      <c r="N140" s="2929"/>
      <c r="O140" s="2945"/>
      <c r="P140" s="2946"/>
      <c r="Q140" s="2946"/>
      <c r="R140" s="2946"/>
      <c r="S140" s="2946"/>
      <c r="T140" s="2947"/>
    </row>
    <row r="141" spans="1:20">
      <c r="A141" s="165"/>
      <c r="B141" s="163"/>
      <c r="C141" s="163"/>
      <c r="D141" s="163"/>
      <c r="E141" s="163"/>
      <c r="F141" s="163"/>
      <c r="G141" s="163"/>
      <c r="H141" s="163"/>
      <c r="I141" s="163"/>
      <c r="J141" s="163"/>
      <c r="K141" s="73"/>
      <c r="L141" s="73"/>
      <c r="M141" s="73"/>
      <c r="N141" s="346"/>
      <c r="O141" s="346"/>
      <c r="P141" s="346"/>
      <c r="Q141" s="346"/>
      <c r="R141" s="346"/>
      <c r="S141" s="346"/>
      <c r="T141" s="346"/>
    </row>
    <row r="142" spans="1:20">
      <c r="A142" s="165"/>
      <c r="B142" s="3058" t="s">
        <v>5040</v>
      </c>
      <c r="C142" s="3059"/>
      <c r="D142" s="3059"/>
      <c r="E142" s="3059"/>
      <c r="F142" s="3059"/>
      <c r="G142" s="3059"/>
      <c r="H142" s="3059"/>
      <c r="I142" s="3059"/>
      <c r="J142" s="3059"/>
      <c r="K142" s="3059"/>
      <c r="L142" s="3059"/>
      <c r="M142" s="3059"/>
      <c r="N142" s="3059"/>
      <c r="O142" s="3059"/>
      <c r="P142" s="3059"/>
      <c r="Q142" s="3059"/>
      <c r="R142" s="3059"/>
      <c r="S142" s="3059"/>
      <c r="T142" s="3060"/>
    </row>
    <row r="143" spans="1:20">
      <c r="A143" s="165"/>
      <c r="B143" s="3061"/>
      <c r="C143" s="3062"/>
      <c r="D143" s="3062"/>
      <c r="E143" s="3062"/>
      <c r="F143" s="3062"/>
      <c r="G143" s="3062"/>
      <c r="H143" s="3062"/>
      <c r="I143" s="3062"/>
      <c r="J143" s="3062"/>
      <c r="K143" s="3062"/>
      <c r="L143" s="3062"/>
      <c r="M143" s="3062"/>
      <c r="N143" s="3062"/>
      <c r="O143" s="3062"/>
      <c r="P143" s="3062"/>
      <c r="Q143" s="3062"/>
      <c r="R143" s="3062"/>
      <c r="S143" s="3062"/>
      <c r="T143" s="3063"/>
    </row>
    <row r="144" spans="1:20">
      <c r="A144" s="165"/>
      <c r="B144" s="3064"/>
      <c r="C144" s="3065"/>
      <c r="D144" s="3065"/>
      <c r="E144" s="3065"/>
      <c r="F144" s="3065"/>
      <c r="G144" s="3065"/>
      <c r="H144" s="3065"/>
      <c r="I144" s="3065"/>
      <c r="J144" s="3065"/>
      <c r="K144" s="3065"/>
      <c r="L144" s="3065"/>
      <c r="M144" s="3065"/>
      <c r="N144" s="3065"/>
      <c r="O144" s="3065"/>
      <c r="P144" s="3065"/>
      <c r="Q144" s="3065"/>
      <c r="R144" s="3065"/>
      <c r="S144" s="3065"/>
      <c r="T144" s="3066"/>
    </row>
    <row r="145" spans="1:21" ht="16.5">
      <c r="A145" s="165"/>
      <c r="B145" s="321"/>
      <c r="C145" s="321"/>
      <c r="D145" s="321"/>
      <c r="E145" s="321"/>
      <c r="F145" s="321"/>
      <c r="G145" s="321"/>
      <c r="H145" s="166"/>
      <c r="I145" s="166"/>
      <c r="J145" s="166"/>
      <c r="K145" s="176"/>
      <c r="L145" s="176"/>
      <c r="M145" s="176"/>
      <c r="N145" s="176"/>
      <c r="O145" s="176"/>
      <c r="P145" s="176"/>
      <c r="Q145" s="176"/>
      <c r="R145" s="176"/>
      <c r="S145" s="176"/>
      <c r="T145" s="176"/>
    </row>
    <row r="146" spans="1:21" ht="23.1" customHeight="1">
      <c r="A146" s="165"/>
      <c r="B146" s="338" t="s">
        <v>5041</v>
      </c>
      <c r="C146" s="321"/>
      <c r="D146" s="3002" t="s">
        <v>5042</v>
      </c>
      <c r="E146" s="3142"/>
      <c r="F146" s="3002" t="s">
        <v>5043</v>
      </c>
      <c r="G146" s="3003"/>
      <c r="H146" s="3003"/>
      <c r="I146" s="3142"/>
      <c r="J146" s="166"/>
      <c r="K146" s="2803" t="s">
        <v>5044</v>
      </c>
      <c r="L146" s="3043"/>
      <c r="M146" s="2804"/>
      <c r="N146" s="176"/>
      <c r="O146" s="2803" t="s">
        <v>5045</v>
      </c>
      <c r="P146" s="2804"/>
      <c r="Q146" s="176"/>
      <c r="R146" s="2803" t="s">
        <v>5046</v>
      </c>
      <c r="S146" s="3043"/>
      <c r="T146" s="2804"/>
    </row>
    <row r="147" spans="1:21" ht="16.5">
      <c r="A147" s="165"/>
      <c r="B147" s="3154" t="s">
        <v>5047</v>
      </c>
      <c r="C147" s="339"/>
      <c r="D147" s="3078" t="s">
        <v>5048</v>
      </c>
      <c r="E147" s="3079"/>
      <c r="F147" s="3078" t="s">
        <v>5049</v>
      </c>
      <c r="G147" s="3088"/>
      <c r="H147" s="3088"/>
      <c r="I147" s="3079"/>
      <c r="J147" s="339"/>
      <c r="K147" s="2992" t="s">
        <v>5050</v>
      </c>
      <c r="L147" s="2946"/>
      <c r="M147" s="2947"/>
      <c r="N147" s="347"/>
      <c r="O147" s="2992" t="s">
        <v>5051</v>
      </c>
      <c r="P147" s="2947"/>
      <c r="Q147" s="347"/>
      <c r="R147" s="3184" t="s">
        <v>5052</v>
      </c>
      <c r="S147" s="3185"/>
      <c r="T147" s="3186"/>
    </row>
    <row r="148" spans="1:21" ht="16.5">
      <c r="A148" s="165"/>
      <c r="B148" s="3154"/>
      <c r="C148" s="339"/>
      <c r="D148" s="3078"/>
      <c r="E148" s="3079"/>
      <c r="F148" s="3078"/>
      <c r="G148" s="3088"/>
      <c r="H148" s="3088"/>
      <c r="I148" s="3079"/>
      <c r="J148" s="339"/>
      <c r="K148" s="2992"/>
      <c r="L148" s="2946"/>
      <c r="M148" s="2947"/>
      <c r="N148" s="347"/>
      <c r="O148" s="2992"/>
      <c r="P148" s="2947"/>
      <c r="Q148" s="347"/>
      <c r="R148" s="3184"/>
      <c r="S148" s="3185"/>
      <c r="T148" s="3186"/>
    </row>
    <row r="149" spans="1:21" ht="16.5">
      <c r="A149" s="165"/>
      <c r="B149" s="3154"/>
      <c r="C149" s="339"/>
      <c r="D149" s="3078"/>
      <c r="E149" s="3079"/>
      <c r="F149" s="3078"/>
      <c r="G149" s="3088"/>
      <c r="H149" s="3088"/>
      <c r="I149" s="3079"/>
      <c r="J149" s="339"/>
      <c r="K149" s="2992"/>
      <c r="L149" s="2946"/>
      <c r="M149" s="2947"/>
      <c r="N149" s="347"/>
      <c r="O149" s="2992"/>
      <c r="P149" s="2947"/>
      <c r="Q149" s="347"/>
      <c r="R149" s="3184"/>
      <c r="S149" s="3185"/>
      <c r="T149" s="3186"/>
    </row>
    <row r="150" spans="1:21" ht="16.5">
      <c r="A150" s="165"/>
      <c r="B150" s="3154"/>
      <c r="C150" s="339"/>
      <c r="D150" s="3078"/>
      <c r="E150" s="3079"/>
      <c r="F150" s="3078"/>
      <c r="G150" s="3088"/>
      <c r="H150" s="3088"/>
      <c r="I150" s="3079"/>
      <c r="J150" s="339"/>
      <c r="K150" s="2992"/>
      <c r="L150" s="2946"/>
      <c r="M150" s="2947"/>
      <c r="N150" s="347"/>
      <c r="O150" s="2992"/>
      <c r="P150" s="2947"/>
      <c r="Q150" s="347"/>
      <c r="R150" s="3184"/>
      <c r="S150" s="3185"/>
      <c r="T150" s="3186"/>
    </row>
    <row r="151" spans="1:21" ht="16.5">
      <c r="A151" s="165"/>
      <c r="B151" s="3154"/>
      <c r="C151" s="339"/>
      <c r="D151" s="3078"/>
      <c r="E151" s="3079"/>
      <c r="F151" s="3078"/>
      <c r="G151" s="3088"/>
      <c r="H151" s="3088"/>
      <c r="I151" s="3079"/>
      <c r="J151" s="339"/>
      <c r="K151" s="2992"/>
      <c r="L151" s="2946"/>
      <c r="M151" s="2947"/>
      <c r="N151" s="347"/>
      <c r="O151" s="2992"/>
      <c r="P151" s="2947"/>
      <c r="Q151" s="347"/>
      <c r="R151" s="3184"/>
      <c r="S151" s="3185"/>
      <c r="T151" s="3186"/>
    </row>
    <row r="152" spans="1:21" ht="16.5">
      <c r="A152" s="165"/>
      <c r="B152" s="3154"/>
      <c r="C152" s="339"/>
      <c r="D152" s="3078"/>
      <c r="E152" s="3079"/>
      <c r="F152" s="3078"/>
      <c r="G152" s="3088"/>
      <c r="H152" s="3088"/>
      <c r="I152" s="3079"/>
      <c r="J152" s="339"/>
      <c r="K152" s="2992"/>
      <c r="L152" s="2946"/>
      <c r="M152" s="2947"/>
      <c r="N152" s="347"/>
      <c r="O152" s="2992"/>
      <c r="P152" s="2947"/>
      <c r="Q152" s="347"/>
      <c r="R152" s="3184"/>
      <c r="S152" s="3185"/>
      <c r="T152" s="3186"/>
    </row>
    <row r="153" spans="1:21" ht="16.5">
      <c r="A153" s="165"/>
      <c r="B153" s="3154"/>
      <c r="C153" s="339"/>
      <c r="D153" s="3078"/>
      <c r="E153" s="3079"/>
      <c r="F153" s="3078"/>
      <c r="G153" s="3088"/>
      <c r="H153" s="3088"/>
      <c r="I153" s="3079"/>
      <c r="J153" s="339"/>
      <c r="K153" s="2992"/>
      <c r="L153" s="2946"/>
      <c r="M153" s="2947"/>
      <c r="N153" s="347"/>
      <c r="O153" s="2992"/>
      <c r="P153" s="2947"/>
      <c r="Q153" s="347"/>
      <c r="R153" s="3184"/>
      <c r="S153" s="3185"/>
      <c r="T153" s="3186"/>
    </row>
    <row r="154" spans="1:21" ht="16.5">
      <c r="A154" s="165"/>
      <c r="B154" s="3154"/>
      <c r="C154" s="339"/>
      <c r="D154" s="3078"/>
      <c r="E154" s="3079"/>
      <c r="F154" s="3078"/>
      <c r="G154" s="3088"/>
      <c r="H154" s="3088"/>
      <c r="I154" s="3079"/>
      <c r="J154" s="339"/>
      <c r="K154" s="2992"/>
      <c r="L154" s="2946"/>
      <c r="M154" s="2947"/>
      <c r="N154" s="347"/>
      <c r="O154" s="2992"/>
      <c r="P154" s="2947"/>
      <c r="Q154" s="347"/>
      <c r="R154" s="3184"/>
      <c r="S154" s="3185"/>
      <c r="T154" s="3186"/>
    </row>
    <row r="155" spans="1:21" ht="16.5">
      <c r="A155" s="165"/>
      <c r="B155" s="3155"/>
      <c r="C155" s="339"/>
      <c r="D155" s="3080"/>
      <c r="E155" s="3081"/>
      <c r="F155" s="3080"/>
      <c r="G155" s="3089"/>
      <c r="H155" s="3089"/>
      <c r="I155" s="3081"/>
      <c r="J155" s="339"/>
      <c r="K155" s="2993"/>
      <c r="L155" s="2994"/>
      <c r="M155" s="2995"/>
      <c r="N155" s="347"/>
      <c r="O155" s="2993"/>
      <c r="P155" s="2995"/>
      <c r="Q155" s="347"/>
      <c r="R155" s="3187"/>
      <c r="S155" s="3188"/>
      <c r="T155" s="3189"/>
    </row>
    <row r="156" spans="1:21" ht="16.5">
      <c r="A156" s="165"/>
      <c r="B156" s="321"/>
      <c r="C156" s="321"/>
      <c r="D156" s="321"/>
      <c r="E156" s="321"/>
      <c r="F156" s="321"/>
      <c r="G156" s="321"/>
      <c r="H156" s="321"/>
      <c r="I156" s="321"/>
      <c r="J156" s="321"/>
      <c r="K156" s="176"/>
      <c r="L156" s="176"/>
      <c r="M156" s="176"/>
      <c r="N156" s="176"/>
      <c r="O156" s="176"/>
      <c r="P156" s="176"/>
      <c r="Q156" s="176"/>
      <c r="R156" s="176"/>
      <c r="S156" s="176"/>
      <c r="T156" s="176"/>
    </row>
    <row r="157" spans="1:21" ht="16.5">
      <c r="A157" s="165"/>
      <c r="B157" s="3002" t="s">
        <v>5053</v>
      </c>
      <c r="C157" s="3002" t="s">
        <v>5054</v>
      </c>
      <c r="D157" s="3142"/>
      <c r="E157" s="321"/>
      <c r="F157" s="3002" t="s">
        <v>5055</v>
      </c>
      <c r="G157" s="3003"/>
      <c r="H157" s="3003"/>
      <c r="I157" s="3003"/>
      <c r="J157" s="3003"/>
      <c r="K157" s="3002" t="s">
        <v>5056</v>
      </c>
      <c r="L157" s="3142"/>
      <c r="M157" s="176"/>
      <c r="N157" s="2803" t="s">
        <v>5057</v>
      </c>
      <c r="O157" s="3043"/>
      <c r="P157" s="3043"/>
      <c r="Q157" s="3043"/>
      <c r="R157" s="3043"/>
      <c r="S157" s="3043"/>
      <c r="T157" s="2804"/>
    </row>
    <row r="158" spans="1:21" ht="16.5">
      <c r="A158" s="165"/>
      <c r="B158" s="3004"/>
      <c r="C158" s="3004"/>
      <c r="D158" s="3183"/>
      <c r="E158" s="321"/>
      <c r="F158" s="3004"/>
      <c r="G158" s="3005"/>
      <c r="H158" s="3005"/>
      <c r="I158" s="3005"/>
      <c r="J158" s="3005"/>
      <c r="K158" s="3004"/>
      <c r="L158" s="3183"/>
      <c r="M158" s="176"/>
      <c r="N158" s="2805"/>
      <c r="O158" s="3044"/>
      <c r="P158" s="3044"/>
      <c r="Q158" s="3044"/>
      <c r="R158" s="3044"/>
      <c r="S158" s="3044"/>
      <c r="T158" s="2806"/>
    </row>
    <row r="159" spans="1:21" ht="16.5">
      <c r="A159" s="165"/>
      <c r="B159" s="2801" t="s">
        <v>5058</v>
      </c>
      <c r="C159" s="2801" t="s">
        <v>5059</v>
      </c>
      <c r="D159" s="2802"/>
      <c r="E159" s="321"/>
      <c r="F159" s="3129" t="s">
        <v>5060</v>
      </c>
      <c r="G159" s="3130"/>
      <c r="H159" s="3130"/>
      <c r="I159" s="3130"/>
      <c r="J159" s="3130"/>
      <c r="K159" s="3078" t="s">
        <v>5061</v>
      </c>
      <c r="L159" s="3079"/>
      <c r="M159" s="176"/>
      <c r="N159" s="2936" t="s">
        <v>5062</v>
      </c>
      <c r="O159" s="2937"/>
      <c r="P159" s="2937"/>
      <c r="Q159" s="2938"/>
      <c r="R159" s="2955" t="s">
        <v>5063</v>
      </c>
      <c r="S159" s="2956"/>
      <c r="T159" s="2957"/>
      <c r="U159" s="213"/>
    </row>
    <row r="160" spans="1:21" ht="16.5">
      <c r="A160" s="165"/>
      <c r="B160" s="2801"/>
      <c r="C160" s="2801"/>
      <c r="D160" s="2802"/>
      <c r="E160" s="321"/>
      <c r="F160" s="3129"/>
      <c r="G160" s="3130"/>
      <c r="H160" s="3130"/>
      <c r="I160" s="3130"/>
      <c r="J160" s="3130"/>
      <c r="K160" s="3078"/>
      <c r="L160" s="3079"/>
      <c r="M160" s="176"/>
      <c r="N160" s="2939"/>
      <c r="O160" s="2940"/>
      <c r="P160" s="2920"/>
      <c r="Q160" s="2941"/>
      <c r="R160" s="2958"/>
      <c r="S160" s="2959"/>
      <c r="T160" s="2960"/>
      <c r="U160" s="213"/>
    </row>
    <row r="161" spans="2:21" ht="16.5">
      <c r="B161" s="2801"/>
      <c r="C161" s="2801"/>
      <c r="D161" s="2802"/>
      <c r="E161" s="166"/>
      <c r="F161" s="3129"/>
      <c r="G161" s="3130"/>
      <c r="H161" s="3130"/>
      <c r="I161" s="3130"/>
      <c r="J161" s="3130"/>
      <c r="K161" s="3078"/>
      <c r="L161" s="3079"/>
      <c r="M161" s="176"/>
      <c r="N161" s="3023" t="s">
        <v>5064</v>
      </c>
      <c r="O161" s="3024"/>
      <c r="P161" s="3025"/>
      <c r="Q161" s="3026"/>
      <c r="R161" s="3026"/>
      <c r="S161" s="3026"/>
      <c r="T161" s="3027"/>
    </row>
    <row r="162" spans="2:21" ht="16.5">
      <c r="B162" s="2801"/>
      <c r="C162" s="340" t="s">
        <v>5065</v>
      </c>
      <c r="D162" s="341" t="s">
        <v>1780</v>
      </c>
      <c r="E162" s="166"/>
      <c r="F162" s="3129"/>
      <c r="G162" s="3130"/>
      <c r="H162" s="3130"/>
      <c r="I162" s="3130"/>
      <c r="J162" s="3130"/>
      <c r="K162" s="3078"/>
      <c r="L162" s="3079"/>
      <c r="M162" s="176"/>
      <c r="N162" s="3028"/>
      <c r="O162" s="3029"/>
      <c r="P162" s="3030"/>
      <c r="Q162" s="3029"/>
      <c r="R162" s="3029"/>
      <c r="S162" s="3029"/>
      <c r="T162" s="3031"/>
    </row>
    <row r="163" spans="2:21" ht="16.5">
      <c r="B163" s="2801"/>
      <c r="C163" s="320" t="s">
        <v>5066</v>
      </c>
      <c r="D163" s="329" t="s">
        <v>1771</v>
      </c>
      <c r="E163" s="166"/>
      <c r="F163" s="3129"/>
      <c r="G163" s="3130"/>
      <c r="H163" s="3130"/>
      <c r="I163" s="3130"/>
      <c r="J163" s="3130"/>
      <c r="K163" s="3078"/>
      <c r="L163" s="3079"/>
      <c r="M163" s="176"/>
      <c r="N163" s="2919" t="s">
        <v>5067</v>
      </c>
      <c r="O163" s="2920"/>
      <c r="P163" s="2920"/>
      <c r="Q163" s="2920"/>
      <c r="R163" s="2920"/>
      <c r="S163" s="2920"/>
      <c r="T163" s="2921"/>
    </row>
    <row r="164" spans="2:21" ht="16.5">
      <c r="B164" s="2801"/>
      <c r="C164" s="320" t="s">
        <v>5068</v>
      </c>
      <c r="D164" s="329" t="s">
        <v>5069</v>
      </c>
      <c r="E164" s="166"/>
      <c r="F164" s="3129"/>
      <c r="G164" s="3130"/>
      <c r="H164" s="3130"/>
      <c r="I164" s="3130"/>
      <c r="J164" s="3130"/>
      <c r="K164" s="3078"/>
      <c r="L164" s="3079"/>
      <c r="M164" s="176"/>
      <c r="N164" s="3163" t="s">
        <v>5070</v>
      </c>
      <c r="O164" s="3164"/>
      <c r="P164" s="3164"/>
      <c r="Q164" s="3164"/>
      <c r="R164" s="3164"/>
      <c r="S164" s="3164"/>
      <c r="T164" s="3165"/>
    </row>
    <row r="165" spans="2:21" ht="16.5">
      <c r="B165" s="2801"/>
      <c r="C165" s="320" t="s">
        <v>5071</v>
      </c>
      <c r="D165" s="329" t="s">
        <v>5072</v>
      </c>
      <c r="E165" s="166"/>
      <c r="F165" s="3129"/>
      <c r="G165" s="3130"/>
      <c r="H165" s="3130"/>
      <c r="I165" s="3130"/>
      <c r="J165" s="3130"/>
      <c r="K165" s="3078"/>
      <c r="L165" s="3079"/>
      <c r="M165" s="176"/>
      <c r="N165" s="3075" t="s">
        <v>5073</v>
      </c>
      <c r="O165" s="2920"/>
      <c r="P165" s="2920"/>
      <c r="Q165" s="3076"/>
      <c r="R165" s="2920" t="s">
        <v>5074</v>
      </c>
      <c r="S165" s="2920"/>
      <c r="T165" s="2921"/>
    </row>
    <row r="166" spans="2:21" ht="16.5">
      <c r="B166" s="2801"/>
      <c r="C166" s="320" t="s">
        <v>5075</v>
      </c>
      <c r="D166" s="329" t="s">
        <v>1662</v>
      </c>
      <c r="E166" s="166"/>
      <c r="F166" s="3129"/>
      <c r="G166" s="3130"/>
      <c r="H166" s="3130"/>
      <c r="I166" s="3130"/>
      <c r="J166" s="3130"/>
      <c r="K166" s="3078"/>
      <c r="L166" s="3079"/>
      <c r="M166" s="176"/>
      <c r="N166" s="2919"/>
      <c r="O166" s="2920"/>
      <c r="P166" s="2920"/>
      <c r="Q166" s="3076"/>
      <c r="R166" s="2920"/>
      <c r="S166" s="2920"/>
      <c r="T166" s="2921"/>
    </row>
    <row r="167" spans="2:21" ht="16.5">
      <c r="B167" s="2801"/>
      <c r="C167" s="320" t="s">
        <v>5076</v>
      </c>
      <c r="D167" s="329" t="s">
        <v>1675</v>
      </c>
      <c r="E167" s="166"/>
      <c r="F167" s="3129"/>
      <c r="G167" s="3130"/>
      <c r="H167" s="3130"/>
      <c r="I167" s="3130"/>
      <c r="J167" s="3130"/>
      <c r="K167" s="3078"/>
      <c r="L167" s="3079"/>
      <c r="M167" s="176"/>
      <c r="N167" s="2919"/>
      <c r="O167" s="2920"/>
      <c r="P167" s="2920"/>
      <c r="Q167" s="3076"/>
      <c r="R167" s="2920"/>
      <c r="S167" s="2920"/>
      <c r="T167" s="2921"/>
      <c r="U167" s="213"/>
    </row>
    <row r="168" spans="2:21" ht="16.5">
      <c r="B168" s="3156"/>
      <c r="C168" s="342">
        <v>20</v>
      </c>
      <c r="D168" s="343" t="s">
        <v>1491</v>
      </c>
      <c r="E168" s="166"/>
      <c r="F168" s="3131"/>
      <c r="G168" s="3132"/>
      <c r="H168" s="3132"/>
      <c r="I168" s="3132"/>
      <c r="J168" s="3132"/>
      <c r="K168" s="3080"/>
      <c r="L168" s="3081"/>
      <c r="M168" s="176"/>
      <c r="N168" s="2961"/>
      <c r="O168" s="2962"/>
      <c r="P168" s="2962"/>
      <c r="Q168" s="3077"/>
      <c r="R168" s="2962"/>
      <c r="S168" s="2962"/>
      <c r="T168" s="2963"/>
      <c r="U168" s="213"/>
    </row>
    <row r="169" spans="2:21" ht="16.5">
      <c r="B169" s="166"/>
      <c r="C169" s="166"/>
      <c r="D169" s="166"/>
      <c r="E169" s="166"/>
      <c r="F169" s="166"/>
      <c r="G169" s="166"/>
      <c r="H169" s="166"/>
      <c r="I169" s="166"/>
      <c r="J169" s="166"/>
      <c r="K169" s="176"/>
      <c r="L169" s="176"/>
      <c r="M169" s="176"/>
      <c r="N169" s="168"/>
      <c r="O169" s="168"/>
      <c r="P169" s="168"/>
      <c r="Q169" s="168"/>
      <c r="R169" s="167"/>
      <c r="S169" s="167"/>
      <c r="T169" s="167"/>
      <c r="U169" s="213"/>
    </row>
    <row r="170" spans="2:21" ht="16.5">
      <c r="B170" s="2803" t="s">
        <v>5077</v>
      </c>
      <c r="C170" s="2804"/>
      <c r="D170" s="2803" t="s">
        <v>5078</v>
      </c>
      <c r="E170" s="3043"/>
      <c r="F170" s="3043"/>
      <c r="G170" s="2804"/>
      <c r="H170" s="163"/>
      <c r="I170" s="2996" t="s">
        <v>5079</v>
      </c>
      <c r="J170" s="2997"/>
      <c r="K170" s="2997"/>
      <c r="L170" s="2997"/>
      <c r="M170" s="2997"/>
      <c r="N170" s="2997"/>
      <c r="O170" s="2998"/>
      <c r="P170" s="73"/>
      <c r="Q170" s="2803" t="s">
        <v>5080</v>
      </c>
      <c r="R170" s="3043"/>
      <c r="S170" s="3043"/>
      <c r="T170" s="2804"/>
      <c r="U170" s="213"/>
    </row>
    <row r="171" spans="2:21" ht="16.5">
      <c r="B171" s="2805"/>
      <c r="C171" s="2806"/>
      <c r="D171" s="2805"/>
      <c r="E171" s="3044"/>
      <c r="F171" s="3044"/>
      <c r="G171" s="2806"/>
      <c r="H171" s="163"/>
      <c r="I171" s="2999"/>
      <c r="J171" s="3000"/>
      <c r="K171" s="3000"/>
      <c r="L171" s="3000"/>
      <c r="M171" s="3000"/>
      <c r="N171" s="3000"/>
      <c r="O171" s="3001"/>
      <c r="P171" s="73"/>
      <c r="Q171" s="2805"/>
      <c r="R171" s="3044"/>
      <c r="S171" s="3044"/>
      <c r="T171" s="2806"/>
      <c r="U171" s="213"/>
    </row>
    <row r="172" spans="2:21" ht="16.5">
      <c r="B172" s="2829" t="s">
        <v>5081</v>
      </c>
      <c r="C172" s="2960"/>
      <c r="D172" s="2919" t="s">
        <v>5082</v>
      </c>
      <c r="E172" s="2920"/>
      <c r="F172" s="2920"/>
      <c r="G172" s="2921"/>
      <c r="H172" s="168"/>
      <c r="I172" s="2829" t="s">
        <v>5083</v>
      </c>
      <c r="J172" s="2959"/>
      <c r="K172" s="2959"/>
      <c r="L172" s="2959"/>
      <c r="M172" s="2959"/>
      <c r="N172" s="2959"/>
      <c r="O172" s="2960"/>
      <c r="P172" s="73"/>
      <c r="Q172" s="2919" t="s">
        <v>5084</v>
      </c>
      <c r="R172" s="2920"/>
      <c r="S172" s="2920"/>
      <c r="T172" s="2921"/>
      <c r="U172" s="213"/>
    </row>
    <row r="173" spans="2:21" ht="16.5">
      <c r="B173" s="2829"/>
      <c r="C173" s="2960"/>
      <c r="D173" s="2919"/>
      <c r="E173" s="2920"/>
      <c r="F173" s="2920"/>
      <c r="G173" s="2921"/>
      <c r="H173" s="168"/>
      <c r="I173" s="2829"/>
      <c r="J173" s="2959"/>
      <c r="K173" s="2959"/>
      <c r="L173" s="2959"/>
      <c r="M173" s="2959"/>
      <c r="N173" s="2959"/>
      <c r="O173" s="2960"/>
      <c r="P173" s="73"/>
      <c r="Q173" s="2919"/>
      <c r="R173" s="2920"/>
      <c r="S173" s="2920"/>
      <c r="T173" s="2921"/>
      <c r="U173" s="213"/>
    </row>
    <row r="174" spans="2:21" ht="16.5">
      <c r="B174" s="2829"/>
      <c r="C174" s="2960"/>
      <c r="D174" s="2919"/>
      <c r="E174" s="2920"/>
      <c r="F174" s="2920"/>
      <c r="G174" s="2921"/>
      <c r="H174" s="168"/>
      <c r="I174" s="2829"/>
      <c r="J174" s="2959"/>
      <c r="K174" s="2959"/>
      <c r="L174" s="2959"/>
      <c r="M174" s="2959"/>
      <c r="N174" s="2959"/>
      <c r="O174" s="2960"/>
      <c r="P174" s="73"/>
      <c r="Q174" s="2919"/>
      <c r="R174" s="2920"/>
      <c r="S174" s="2920"/>
      <c r="T174" s="2921"/>
      <c r="U174" s="213"/>
    </row>
    <row r="175" spans="2:21" ht="16.5">
      <c r="B175" s="2829"/>
      <c r="C175" s="2960"/>
      <c r="D175" s="2919"/>
      <c r="E175" s="2920"/>
      <c r="F175" s="2920"/>
      <c r="G175" s="2921"/>
      <c r="H175" s="168"/>
      <c r="I175" s="2829"/>
      <c r="J175" s="2959"/>
      <c r="K175" s="2959"/>
      <c r="L175" s="2959"/>
      <c r="M175" s="2959"/>
      <c r="N175" s="2959"/>
      <c r="O175" s="2960"/>
      <c r="P175" s="73"/>
      <c r="Q175" s="2919"/>
      <c r="R175" s="2920"/>
      <c r="S175" s="2920"/>
      <c r="T175" s="2921"/>
    </row>
    <row r="176" spans="2:21" ht="16.5">
      <c r="B176" s="2829"/>
      <c r="C176" s="2960"/>
      <c r="D176" s="2919"/>
      <c r="E176" s="2920"/>
      <c r="F176" s="2920"/>
      <c r="G176" s="2921"/>
      <c r="H176" s="168"/>
      <c r="I176" s="2829"/>
      <c r="J176" s="2959"/>
      <c r="K176" s="2959"/>
      <c r="L176" s="2959"/>
      <c r="M176" s="2959"/>
      <c r="N176" s="2959"/>
      <c r="O176" s="2960"/>
      <c r="P176" s="73"/>
      <c r="Q176" s="2919"/>
      <c r="R176" s="2920"/>
      <c r="S176" s="2920"/>
      <c r="T176" s="2921"/>
    </row>
    <row r="177" spans="2:30" ht="16.5">
      <c r="B177" s="2829"/>
      <c r="C177" s="2960"/>
      <c r="D177" s="2919"/>
      <c r="E177" s="2920"/>
      <c r="F177" s="2920"/>
      <c r="G177" s="2921"/>
      <c r="H177" s="168"/>
      <c r="I177" s="2829"/>
      <c r="J177" s="2959"/>
      <c r="K177" s="2959"/>
      <c r="L177" s="2959"/>
      <c r="M177" s="2959"/>
      <c r="N177" s="2959"/>
      <c r="O177" s="2960"/>
      <c r="P177" s="73"/>
      <c r="Q177" s="2919"/>
      <c r="R177" s="2920"/>
      <c r="S177" s="2920"/>
      <c r="T177" s="2921"/>
    </row>
    <row r="178" spans="2:30" ht="16.5">
      <c r="B178" s="2829"/>
      <c r="C178" s="2960"/>
      <c r="D178" s="2919"/>
      <c r="E178" s="2920"/>
      <c r="F178" s="2920"/>
      <c r="G178" s="2921"/>
      <c r="H178" s="168"/>
      <c r="I178" s="2829"/>
      <c r="J178" s="2959"/>
      <c r="K178" s="2959"/>
      <c r="L178" s="2959"/>
      <c r="M178" s="2959"/>
      <c r="N178" s="2959"/>
      <c r="O178" s="2960"/>
      <c r="P178" s="73"/>
      <c r="Q178" s="2919"/>
      <c r="R178" s="2920"/>
      <c r="S178" s="2920"/>
      <c r="T178" s="2921"/>
    </row>
    <row r="179" spans="2:30" ht="16.5">
      <c r="B179" s="2829"/>
      <c r="C179" s="2960"/>
      <c r="D179" s="2919"/>
      <c r="E179" s="2920"/>
      <c r="F179" s="2920"/>
      <c r="G179" s="2921"/>
      <c r="H179" s="168"/>
      <c r="I179" s="2829"/>
      <c r="J179" s="2959"/>
      <c r="K179" s="2959"/>
      <c r="L179" s="2959"/>
      <c r="M179" s="2959"/>
      <c r="N179" s="2959"/>
      <c r="O179" s="2960"/>
      <c r="P179" s="73"/>
      <c r="Q179" s="2919"/>
      <c r="R179" s="2920"/>
      <c r="S179" s="2920"/>
      <c r="T179" s="2921"/>
    </row>
    <row r="180" spans="2:30" ht="16.5">
      <c r="B180" s="3177"/>
      <c r="C180" s="3178"/>
      <c r="D180" s="2961"/>
      <c r="E180" s="2962"/>
      <c r="F180" s="2962"/>
      <c r="G180" s="2963"/>
      <c r="H180" s="168"/>
      <c r="I180" s="3177"/>
      <c r="J180" s="3180"/>
      <c r="K180" s="3180"/>
      <c r="L180" s="3180"/>
      <c r="M180" s="3180"/>
      <c r="N180" s="3180"/>
      <c r="O180" s="3178"/>
      <c r="P180" s="73"/>
      <c r="Q180" s="2961"/>
      <c r="R180" s="2962"/>
      <c r="S180" s="2962"/>
      <c r="T180" s="2963"/>
    </row>
    <row r="181" spans="2:30" ht="16.5">
      <c r="B181" s="167"/>
      <c r="C181" s="167"/>
      <c r="D181" s="168"/>
      <c r="E181" s="168"/>
      <c r="F181" s="168"/>
      <c r="G181" s="168"/>
      <c r="H181" s="168"/>
      <c r="I181" s="167"/>
      <c r="J181" s="167"/>
      <c r="K181" s="167"/>
      <c r="L181" s="167"/>
      <c r="M181" s="167"/>
      <c r="N181" s="167"/>
      <c r="O181" s="167"/>
      <c r="P181" s="73"/>
      <c r="Q181" s="168"/>
      <c r="R181" s="168"/>
      <c r="S181" s="168"/>
      <c r="T181" s="168"/>
    </row>
    <row r="182" spans="2:30" ht="16.899999999999999" customHeight="1">
      <c r="B182" s="2876" t="s">
        <v>5085</v>
      </c>
      <c r="C182" s="2877"/>
      <c r="D182" s="2877"/>
      <c r="E182" s="2877"/>
      <c r="F182" s="2877"/>
      <c r="G182" s="2877"/>
      <c r="H182" s="2877"/>
      <c r="I182" s="2877"/>
      <c r="J182" s="2877"/>
      <c r="K182" s="2878"/>
      <c r="L182" s="73"/>
      <c r="M182" s="3012" t="s">
        <v>1569</v>
      </c>
      <c r="N182" s="3013"/>
      <c r="O182" s="3013"/>
      <c r="P182" s="3013"/>
      <c r="Q182" s="3013"/>
      <c r="R182" s="3013"/>
      <c r="S182" s="3013"/>
      <c r="T182" s="3014"/>
      <c r="U182" s="348"/>
      <c r="AC182" s="348"/>
      <c r="AD182" s="348"/>
    </row>
    <row r="183" spans="2:30" ht="16.899999999999999" customHeight="1">
      <c r="B183" s="2879"/>
      <c r="C183" s="2880"/>
      <c r="D183" s="2880"/>
      <c r="E183" s="2880"/>
      <c r="F183" s="2880"/>
      <c r="G183" s="2880"/>
      <c r="H183" s="2880"/>
      <c r="I183" s="2880"/>
      <c r="J183" s="2880"/>
      <c r="K183" s="2881"/>
      <c r="L183" s="73"/>
      <c r="M183" s="3015"/>
      <c r="N183" s="3016"/>
      <c r="O183" s="3016"/>
      <c r="P183" s="3016"/>
      <c r="Q183" s="3016"/>
      <c r="R183" s="3016"/>
      <c r="S183" s="3016"/>
      <c r="T183" s="3017"/>
      <c r="U183" s="348"/>
      <c r="Y183" s="348"/>
      <c r="Z183" s="348"/>
      <c r="AA183" s="348"/>
      <c r="AB183" s="348"/>
      <c r="AC183" s="348"/>
      <c r="AD183" s="348"/>
    </row>
    <row r="184" spans="2:30" ht="16.899999999999999" customHeight="1">
      <c r="B184" s="3166" t="s">
        <v>5086</v>
      </c>
      <c r="C184" s="3167"/>
      <c r="D184" s="3167"/>
      <c r="E184" s="3167"/>
      <c r="F184" s="2958" t="s">
        <v>5087</v>
      </c>
      <c r="G184" s="2959"/>
      <c r="H184" s="2959"/>
      <c r="I184" s="2959"/>
      <c r="J184" s="2959"/>
      <c r="K184" s="2960"/>
      <c r="L184" s="73"/>
      <c r="M184" s="3168" t="s">
        <v>1581</v>
      </c>
      <c r="N184" s="3169"/>
      <c r="O184" s="3170" t="s">
        <v>1582</v>
      </c>
      <c r="P184" s="3171"/>
      <c r="Q184" s="3170" t="s">
        <v>5088</v>
      </c>
      <c r="R184" s="3171"/>
      <c r="S184" s="3169" t="s">
        <v>165</v>
      </c>
      <c r="T184" s="3172"/>
      <c r="Y184" s="349"/>
      <c r="Z184" s="349"/>
      <c r="AA184" s="349"/>
      <c r="AB184" s="349"/>
      <c r="AC184" s="349"/>
      <c r="AD184" s="349"/>
    </row>
    <row r="185" spans="2:30" ht="16.899999999999999" customHeight="1">
      <c r="B185" s="3157" t="s">
        <v>5089</v>
      </c>
      <c r="C185" s="3179" t="s">
        <v>5090</v>
      </c>
      <c r="D185" s="3179"/>
      <c r="E185" s="3179"/>
      <c r="F185" s="2958"/>
      <c r="G185" s="2959"/>
      <c r="H185" s="2959"/>
      <c r="I185" s="2959"/>
      <c r="J185" s="2959"/>
      <c r="K185" s="2960"/>
      <c r="L185" s="73"/>
      <c r="M185" s="2909" t="s">
        <v>1754</v>
      </c>
      <c r="N185" s="2952"/>
      <c r="O185" s="3019" t="str">
        <f>IF($M185=0,"",VLOOKUP($M185,附表!I38:M49,2,FALSE))</f>
        <v/>
      </c>
      <c r="P185" s="3020"/>
      <c r="Q185" s="2554" t="str">
        <f>IF($M185=0,"",VLOOKUP($M185,附表!I38:M49,3,FALSE))</f>
        <v/>
      </c>
      <c r="R185" s="2562"/>
      <c r="S185" s="3021" t="str">
        <f>IF($M185=0,"",VLOOKUP($M185,附表!I38:M49,4,FALSE))</f>
        <v/>
      </c>
      <c r="T185" s="3022"/>
      <c r="Y185" s="349"/>
      <c r="Z185" s="349"/>
      <c r="AA185" s="349"/>
      <c r="AB185" s="349"/>
      <c r="AC185" s="349"/>
      <c r="AD185" s="349"/>
    </row>
    <row r="186" spans="2:30" ht="16.899999999999999" customHeight="1">
      <c r="B186" s="3157"/>
      <c r="C186" s="3179"/>
      <c r="D186" s="3179"/>
      <c r="E186" s="3179"/>
      <c r="F186" s="2958"/>
      <c r="G186" s="2959"/>
      <c r="H186" s="2959"/>
      <c r="I186" s="2959"/>
      <c r="J186" s="2959"/>
      <c r="K186" s="2960"/>
      <c r="L186" s="73"/>
      <c r="M186" s="2909"/>
      <c r="N186" s="2952"/>
      <c r="O186" s="3019"/>
      <c r="P186" s="3020"/>
      <c r="Q186" s="2554"/>
      <c r="R186" s="2562"/>
      <c r="S186" s="3021"/>
      <c r="T186" s="3022"/>
      <c r="U186" s="349"/>
      <c r="Y186" s="349"/>
      <c r="Z186" s="349"/>
      <c r="AA186" s="349"/>
      <c r="AB186" s="349"/>
      <c r="AC186" s="349"/>
      <c r="AD186" s="349"/>
    </row>
    <row r="187" spans="2:30" ht="16.899999999999999" customHeight="1">
      <c r="B187" s="345" t="s">
        <v>5091</v>
      </c>
      <c r="C187" s="2830" t="s">
        <v>5092</v>
      </c>
      <c r="D187" s="2830"/>
      <c r="E187" s="2830"/>
      <c r="F187" s="2958"/>
      <c r="G187" s="2959"/>
      <c r="H187" s="2959"/>
      <c r="I187" s="2959"/>
      <c r="J187" s="2959"/>
      <c r="K187" s="2960"/>
      <c r="L187" s="73"/>
      <c r="M187" s="2909"/>
      <c r="N187" s="2952"/>
      <c r="O187" s="3019"/>
      <c r="P187" s="3020"/>
      <c r="Q187" s="2554"/>
      <c r="R187" s="2562"/>
      <c r="S187" s="3021"/>
      <c r="T187" s="3022"/>
      <c r="Y187" s="349"/>
      <c r="Z187" s="349"/>
      <c r="AA187" s="349"/>
      <c r="AB187" s="349"/>
      <c r="AC187" s="349"/>
      <c r="AD187" s="349"/>
    </row>
    <row r="188" spans="2:30" ht="16.899999999999999" customHeight="1">
      <c r="B188" s="344" t="s">
        <v>5093</v>
      </c>
      <c r="C188" s="3173" t="s">
        <v>5094</v>
      </c>
      <c r="D188" s="3173"/>
      <c r="E188" s="3173"/>
      <c r="F188" s="2958"/>
      <c r="G188" s="2959"/>
      <c r="H188" s="2959"/>
      <c r="I188" s="2959"/>
      <c r="J188" s="2959"/>
      <c r="K188" s="2960"/>
      <c r="L188" s="73"/>
      <c r="M188" s="3174" t="s">
        <v>108</v>
      </c>
      <c r="N188" s="3175"/>
      <c r="O188" s="3175"/>
      <c r="P188" s="3175"/>
      <c r="Q188" s="3175"/>
      <c r="R188" s="3175"/>
      <c r="S188" s="3175"/>
      <c r="T188" s="3176"/>
      <c r="U188" s="349"/>
      <c r="Y188" s="349"/>
      <c r="Z188" s="349"/>
      <c r="AA188" s="349"/>
      <c r="AB188" s="349"/>
      <c r="AC188" s="349"/>
      <c r="AD188" s="349"/>
    </row>
    <row r="189" spans="2:30" ht="16.899999999999999" customHeight="1">
      <c r="B189" s="345" t="s">
        <v>5095</v>
      </c>
      <c r="C189" s="2830" t="s">
        <v>5096</v>
      </c>
      <c r="D189" s="2830"/>
      <c r="E189" s="2830"/>
      <c r="F189" s="2958"/>
      <c r="G189" s="2959"/>
      <c r="H189" s="2959"/>
      <c r="I189" s="2959"/>
      <c r="J189" s="2959"/>
      <c r="K189" s="2960"/>
      <c r="L189" s="73"/>
      <c r="M189" s="2986" t="str">
        <f>IF($M185=0,"",VLOOKUP($M185,附表!I38:M49,5,FALSE))</f>
        <v/>
      </c>
      <c r="N189" s="2987"/>
      <c r="O189" s="2987"/>
      <c r="P189" s="2987"/>
      <c r="Q189" s="2987"/>
      <c r="R189" s="2987"/>
      <c r="S189" s="2987"/>
      <c r="T189" s="2988"/>
      <c r="Y189" s="349"/>
      <c r="Z189" s="349"/>
      <c r="AA189" s="349"/>
      <c r="AB189" s="349"/>
      <c r="AC189" s="349"/>
      <c r="AD189" s="349"/>
    </row>
    <row r="190" spans="2:30" ht="16.899999999999999" customHeight="1">
      <c r="B190" s="3161" t="s">
        <v>5097</v>
      </c>
      <c r="C190" s="3162"/>
      <c r="D190" s="3162"/>
      <c r="E190" s="3162"/>
      <c r="F190" s="3072"/>
      <c r="G190" s="3073"/>
      <c r="H190" s="3073"/>
      <c r="I190" s="3073"/>
      <c r="J190" s="3073"/>
      <c r="K190" s="3074"/>
      <c r="L190" s="73"/>
      <c r="M190" s="2986"/>
      <c r="N190" s="2987"/>
      <c r="O190" s="2987"/>
      <c r="P190" s="2987"/>
      <c r="Q190" s="2987"/>
      <c r="R190" s="2987"/>
      <c r="S190" s="2987"/>
      <c r="T190" s="2988"/>
      <c r="U190" s="349"/>
      <c r="Y190" s="349"/>
      <c r="Z190" s="349"/>
      <c r="AA190" s="349"/>
      <c r="AB190" s="349"/>
      <c r="AC190" s="349"/>
      <c r="AD190" s="349"/>
    </row>
    <row r="191" spans="2:30" ht="16.899999999999999" customHeight="1">
      <c r="B191" s="2919" t="s">
        <v>5098</v>
      </c>
      <c r="C191" s="2920"/>
      <c r="D191" s="2920"/>
      <c r="E191" s="2920"/>
      <c r="F191" s="2920"/>
      <c r="G191" s="2920"/>
      <c r="H191" s="2920"/>
      <c r="I191" s="2920"/>
      <c r="J191" s="2920"/>
      <c r="K191" s="2921"/>
      <c r="L191" s="73"/>
      <c r="M191" s="2986"/>
      <c r="N191" s="2987"/>
      <c r="O191" s="2987"/>
      <c r="P191" s="2987"/>
      <c r="Q191" s="2987"/>
      <c r="R191" s="2987"/>
      <c r="S191" s="2987"/>
      <c r="T191" s="2988"/>
      <c r="Y191" s="349"/>
      <c r="Z191" s="349"/>
      <c r="AA191" s="349"/>
      <c r="AB191" s="349"/>
      <c r="AC191" s="349"/>
      <c r="AD191" s="349"/>
    </row>
    <row r="192" spans="2:30" ht="16.899999999999999" customHeight="1">
      <c r="B192" s="2919" t="s">
        <v>5099</v>
      </c>
      <c r="C192" s="2920"/>
      <c r="D192" s="2920"/>
      <c r="E192" s="2920"/>
      <c r="F192" s="2920"/>
      <c r="G192" s="2920"/>
      <c r="H192" s="2920"/>
      <c r="I192" s="2920"/>
      <c r="J192" s="2920"/>
      <c r="K192" s="2921"/>
      <c r="L192" s="73"/>
      <c r="M192" s="2986"/>
      <c r="N192" s="2987"/>
      <c r="O192" s="2987"/>
      <c r="P192" s="2987"/>
      <c r="Q192" s="2987"/>
      <c r="R192" s="2987"/>
      <c r="S192" s="2987"/>
      <c r="T192" s="2988"/>
      <c r="U192" s="349"/>
      <c r="Y192" s="349"/>
      <c r="Z192" s="349"/>
      <c r="AA192" s="349"/>
      <c r="AB192" s="349"/>
      <c r="AC192" s="349"/>
      <c r="AD192" s="349"/>
    </row>
    <row r="193" spans="2:30" ht="16.899999999999999" customHeight="1">
      <c r="B193" s="2961" t="s">
        <v>5100</v>
      </c>
      <c r="C193" s="2962"/>
      <c r="D193" s="2962"/>
      <c r="E193" s="2962"/>
      <c r="F193" s="2962"/>
      <c r="G193" s="2962"/>
      <c r="H193" s="2962"/>
      <c r="I193" s="2962"/>
      <c r="J193" s="2962"/>
      <c r="K193" s="2963"/>
      <c r="L193" s="73"/>
      <c r="M193" s="2989"/>
      <c r="N193" s="2990"/>
      <c r="O193" s="2990"/>
      <c r="P193" s="2990"/>
      <c r="Q193" s="2990"/>
      <c r="R193" s="2990"/>
      <c r="S193" s="2990"/>
      <c r="T193" s="2991"/>
      <c r="Y193" s="349"/>
      <c r="Z193" s="349"/>
      <c r="AA193" s="349"/>
      <c r="AB193" s="349"/>
      <c r="AC193" s="349"/>
      <c r="AD193" s="349"/>
    </row>
    <row r="194" spans="2:30" ht="16.899999999999999" customHeight="1">
      <c r="B194" s="194"/>
      <c r="C194" s="194"/>
      <c r="D194" s="194"/>
      <c r="E194" s="194"/>
      <c r="F194" s="194"/>
      <c r="G194" s="194"/>
      <c r="H194" s="194"/>
      <c r="I194" s="194"/>
      <c r="J194" s="194"/>
      <c r="K194" s="73"/>
      <c r="L194" s="73"/>
      <c r="M194" s="354"/>
      <c r="N194" s="354"/>
      <c r="O194" s="354"/>
      <c r="P194" s="354"/>
      <c r="Q194" s="354"/>
      <c r="R194" s="354"/>
      <c r="S194" s="354"/>
      <c r="T194" s="354"/>
      <c r="Y194" s="349"/>
      <c r="Z194" s="349"/>
      <c r="AA194" s="349"/>
      <c r="AB194" s="349"/>
      <c r="AC194" s="349"/>
      <c r="AD194" s="349"/>
    </row>
    <row r="195" spans="2:30" ht="16.899999999999999" customHeight="1">
      <c r="B195" s="2830"/>
      <c r="C195" s="2830"/>
      <c r="D195" s="2830"/>
      <c r="E195" s="2830"/>
      <c r="F195" s="2830"/>
      <c r="G195" s="2830"/>
      <c r="H195" s="2830"/>
      <c r="I195" s="2830"/>
      <c r="J195" s="2830"/>
      <c r="K195" s="2830"/>
      <c r="L195" s="2830"/>
      <c r="M195" s="2830"/>
      <c r="N195" s="2830"/>
      <c r="O195" s="2830"/>
      <c r="P195" s="2830"/>
      <c r="Q195" s="2830"/>
      <c r="R195" s="2830"/>
      <c r="S195" s="2830"/>
      <c r="T195" s="2830"/>
    </row>
    <row r="196" spans="2:30" ht="18" customHeight="1">
      <c r="B196" s="3034" t="s">
        <v>5101</v>
      </c>
      <c r="C196" s="3035"/>
      <c r="D196" s="3035"/>
      <c r="E196" s="3035"/>
      <c r="F196" s="3035"/>
      <c r="G196" s="3035"/>
      <c r="H196" s="3035"/>
      <c r="I196" s="3035"/>
      <c r="J196" s="3035"/>
      <c r="K196" s="3035"/>
      <c r="L196" s="3035"/>
      <c r="M196" s="3035"/>
      <c r="N196" s="3035"/>
      <c r="O196" s="3035"/>
      <c r="P196" s="3035"/>
      <c r="Q196" s="3035"/>
      <c r="R196" s="3035"/>
      <c r="S196" s="3035"/>
      <c r="T196" s="3036"/>
      <c r="U196" s="361"/>
    </row>
    <row r="197" spans="2:30" ht="18" customHeight="1">
      <c r="B197" s="3037"/>
      <c r="C197" s="3038"/>
      <c r="D197" s="3038"/>
      <c r="E197" s="3038"/>
      <c r="F197" s="3038"/>
      <c r="G197" s="3038"/>
      <c r="H197" s="3038"/>
      <c r="I197" s="3038"/>
      <c r="J197" s="3038"/>
      <c r="K197" s="3038"/>
      <c r="L197" s="3038"/>
      <c r="M197" s="3038"/>
      <c r="N197" s="3038"/>
      <c r="O197" s="3038"/>
      <c r="P197" s="3038"/>
      <c r="Q197" s="3038"/>
      <c r="R197" s="3038"/>
      <c r="S197" s="3038"/>
      <c r="T197" s="3039"/>
      <c r="U197" s="361"/>
    </row>
    <row r="198" spans="2:30" ht="18" customHeight="1">
      <c r="B198" s="3040"/>
      <c r="C198" s="3041"/>
      <c r="D198" s="3041"/>
      <c r="E198" s="3041"/>
      <c r="F198" s="3041"/>
      <c r="G198" s="3041"/>
      <c r="H198" s="3041"/>
      <c r="I198" s="3041"/>
      <c r="J198" s="3041"/>
      <c r="K198" s="3041"/>
      <c r="L198" s="3041"/>
      <c r="M198" s="3041"/>
      <c r="N198" s="3041"/>
      <c r="O198" s="3041"/>
      <c r="P198" s="3041"/>
      <c r="Q198" s="3041"/>
      <c r="R198" s="3041"/>
      <c r="S198" s="3041"/>
      <c r="T198" s="3042"/>
      <c r="U198" s="361"/>
    </row>
    <row r="199" spans="2:30" ht="18" customHeight="1">
      <c r="B199" s="208"/>
      <c r="C199" s="208"/>
      <c r="D199" s="208"/>
      <c r="E199" s="208"/>
      <c r="F199" s="208"/>
      <c r="G199" s="208"/>
      <c r="H199" s="208"/>
      <c r="I199" s="208"/>
      <c r="J199" s="208"/>
      <c r="K199" s="212"/>
      <c r="L199" s="212"/>
      <c r="M199" s="212"/>
      <c r="N199" s="212"/>
      <c r="O199" s="212"/>
      <c r="P199" s="212"/>
      <c r="Q199" s="212"/>
      <c r="R199" s="212"/>
      <c r="S199" s="212"/>
      <c r="T199" s="212"/>
      <c r="U199" s="362"/>
    </row>
    <row r="200" spans="2:30" ht="18" customHeight="1">
      <c r="B200" s="208"/>
      <c r="C200" s="3006" t="s">
        <v>5101</v>
      </c>
      <c r="D200" s="3007"/>
      <c r="E200" s="3008"/>
      <c r="F200" s="208"/>
      <c r="G200" s="208"/>
      <c r="H200" s="208"/>
      <c r="I200" s="208"/>
      <c r="J200" s="355"/>
      <c r="K200" s="212"/>
      <c r="L200" s="212"/>
      <c r="M200" s="212"/>
      <c r="N200" s="3006" t="s">
        <v>5102</v>
      </c>
      <c r="O200" s="3007"/>
      <c r="P200" s="3007"/>
      <c r="Q200" s="3007"/>
      <c r="R200" s="3008"/>
      <c r="S200" s="212"/>
      <c r="T200" s="212"/>
    </row>
    <row r="201" spans="2:30" ht="18" customHeight="1">
      <c r="B201" s="208"/>
      <c r="C201" s="3009"/>
      <c r="D201" s="3010"/>
      <c r="E201" s="3011"/>
      <c r="F201" s="208"/>
      <c r="G201" s="208"/>
      <c r="H201" s="208"/>
      <c r="I201" s="208"/>
      <c r="J201" s="355"/>
      <c r="K201" s="212"/>
      <c r="L201" s="212"/>
      <c r="M201" s="212"/>
      <c r="N201" s="3009"/>
      <c r="O201" s="3010"/>
      <c r="P201" s="3010"/>
      <c r="Q201" s="3010"/>
      <c r="R201" s="3011"/>
      <c r="S201" s="212"/>
      <c r="T201" s="212"/>
    </row>
    <row r="202" spans="2:30" ht="18" customHeight="1">
      <c r="B202" s="208"/>
      <c r="C202" s="208"/>
      <c r="D202" s="208"/>
      <c r="E202" s="208"/>
      <c r="F202" s="208"/>
      <c r="G202" s="208"/>
      <c r="H202" s="208"/>
      <c r="I202" s="208"/>
      <c r="J202" s="355"/>
      <c r="K202" s="212"/>
      <c r="L202" s="212"/>
      <c r="M202" s="212"/>
      <c r="N202" s="212"/>
      <c r="O202" s="212"/>
      <c r="P202" s="212"/>
      <c r="Q202" s="212"/>
      <c r="R202" s="212"/>
      <c r="S202" s="212"/>
      <c r="T202" s="212"/>
    </row>
    <row r="203" spans="2:30" ht="18" customHeight="1">
      <c r="B203" s="3158" t="s">
        <v>5103</v>
      </c>
      <c r="C203" s="208"/>
      <c r="D203" s="208"/>
      <c r="E203" s="2813" t="s">
        <v>5104</v>
      </c>
      <c r="F203" s="2814"/>
      <c r="G203" s="2814"/>
      <c r="H203" s="2815"/>
      <c r="I203" s="208"/>
      <c r="J203" s="355"/>
      <c r="K203" s="212"/>
      <c r="L203" s="212"/>
      <c r="M203" s="212"/>
      <c r="N203" s="212"/>
      <c r="O203" s="2857" t="s">
        <v>5105</v>
      </c>
      <c r="P203" s="2858"/>
      <c r="Q203" s="2859"/>
      <c r="R203" s="212"/>
      <c r="S203" s="212"/>
      <c r="T203" s="212"/>
    </row>
    <row r="204" spans="2:30" ht="18" customHeight="1">
      <c r="B204" s="3159"/>
      <c r="C204" s="208"/>
      <c r="D204" s="208"/>
      <c r="E204" s="2816"/>
      <c r="F204" s="2817"/>
      <c r="G204" s="2817"/>
      <c r="H204" s="2818"/>
      <c r="I204" s="208"/>
      <c r="J204" s="355"/>
      <c r="K204" s="212"/>
      <c r="L204" s="356"/>
      <c r="M204" s="356"/>
      <c r="N204" s="356"/>
      <c r="O204" s="2860"/>
      <c r="P204" s="2861"/>
      <c r="Q204" s="2862"/>
      <c r="R204" s="356"/>
      <c r="S204" s="356"/>
      <c r="T204" s="212"/>
    </row>
    <row r="205" spans="2:30" ht="18" customHeight="1">
      <c r="B205" s="3159"/>
      <c r="C205" s="3128" t="s">
        <v>5106</v>
      </c>
      <c r="D205" s="3128"/>
      <c r="E205" s="2816"/>
      <c r="F205" s="2817"/>
      <c r="G205" s="2817"/>
      <c r="H205" s="2818"/>
      <c r="I205" s="208"/>
      <c r="J205" s="355"/>
      <c r="K205" s="3093" t="s">
        <v>5107</v>
      </c>
      <c r="L205" s="357"/>
      <c r="M205" s="212"/>
      <c r="N205" s="212"/>
      <c r="O205" s="2863"/>
      <c r="P205" s="2864"/>
      <c r="Q205" s="2865"/>
      <c r="R205" s="212"/>
      <c r="S205" s="212"/>
      <c r="T205" s="2916" t="s">
        <v>5107</v>
      </c>
    </row>
    <row r="206" spans="2:30" ht="18" customHeight="1">
      <c r="B206" s="3159"/>
      <c r="C206" s="3128"/>
      <c r="D206" s="3128"/>
      <c r="E206" s="2816"/>
      <c r="F206" s="2817"/>
      <c r="G206" s="2817"/>
      <c r="H206" s="2818"/>
      <c r="I206" s="208"/>
      <c r="J206" s="355"/>
      <c r="K206" s="3093"/>
      <c r="L206" s="357"/>
      <c r="M206" s="212"/>
      <c r="N206" s="212"/>
      <c r="O206" s="212"/>
      <c r="P206" s="350" t="s">
        <v>5107</v>
      </c>
      <c r="Q206" s="212"/>
      <c r="R206" s="212"/>
      <c r="S206" s="212"/>
      <c r="T206" s="2916"/>
    </row>
    <row r="207" spans="2:30" ht="18" customHeight="1">
      <c r="B207" s="3159"/>
      <c r="C207" s="208"/>
      <c r="D207" s="208"/>
      <c r="E207" s="2816"/>
      <c r="F207" s="2817"/>
      <c r="G207" s="2817"/>
      <c r="H207" s="2818"/>
      <c r="I207" s="208"/>
      <c r="J207" s="355"/>
      <c r="K207" s="2857" t="s">
        <v>5108</v>
      </c>
      <c r="L207" s="2858"/>
      <c r="M207" s="2859"/>
      <c r="N207" s="212"/>
      <c r="O207" s="2857" t="s">
        <v>5109</v>
      </c>
      <c r="P207" s="2858"/>
      <c r="Q207" s="2859"/>
      <c r="R207" s="212"/>
      <c r="S207" s="2857" t="s">
        <v>5110</v>
      </c>
      <c r="T207" s="2859"/>
      <c r="U207" s="212"/>
      <c r="V207" s="212"/>
    </row>
    <row r="208" spans="2:30" ht="18" customHeight="1">
      <c r="B208" s="3160"/>
      <c r="C208" s="208"/>
      <c r="D208" s="208"/>
      <c r="E208" s="2819"/>
      <c r="F208" s="2820"/>
      <c r="G208" s="2820"/>
      <c r="H208" s="2821"/>
      <c r="I208" s="208"/>
      <c r="J208" s="355"/>
      <c r="K208" s="2860"/>
      <c r="L208" s="2861"/>
      <c r="M208" s="2862"/>
      <c r="N208" s="212"/>
      <c r="O208" s="2860"/>
      <c r="P208" s="2861"/>
      <c r="Q208" s="2862"/>
      <c r="R208" s="212"/>
      <c r="S208" s="2860"/>
      <c r="T208" s="2862"/>
      <c r="U208" s="212"/>
      <c r="V208" s="212"/>
    </row>
    <row r="209" spans="2:27" ht="18" customHeight="1">
      <c r="B209" s="350" t="s">
        <v>5107</v>
      </c>
      <c r="C209" s="351"/>
      <c r="D209" s="351"/>
      <c r="E209" s="352" t="s">
        <v>5107</v>
      </c>
      <c r="F209" s="352"/>
      <c r="G209" s="352" t="s">
        <v>5107</v>
      </c>
      <c r="H209" s="208"/>
      <c r="I209" s="208"/>
      <c r="J209" s="355"/>
      <c r="K209" s="2863"/>
      <c r="L209" s="2864"/>
      <c r="M209" s="2865"/>
      <c r="N209" s="212"/>
      <c r="O209" s="2863"/>
      <c r="P209" s="2864"/>
      <c r="Q209" s="2865"/>
      <c r="R209" s="212"/>
      <c r="S209" s="2863"/>
      <c r="T209" s="2865"/>
      <c r="U209" s="212"/>
      <c r="V209" s="212"/>
    </row>
    <row r="210" spans="2:27" ht="18" customHeight="1">
      <c r="B210" s="3158" t="s">
        <v>5111</v>
      </c>
      <c r="C210" s="208"/>
      <c r="D210" s="208"/>
      <c r="E210" s="2930" t="s">
        <v>5112</v>
      </c>
      <c r="F210" s="2931"/>
      <c r="G210" s="2930" t="s">
        <v>5113</v>
      </c>
      <c r="H210" s="2931"/>
      <c r="I210" s="208"/>
      <c r="J210" s="355"/>
      <c r="K210" s="2917" t="s">
        <v>5107</v>
      </c>
      <c r="L210" s="2917"/>
      <c r="M210" s="2917"/>
      <c r="N210" s="212"/>
      <c r="O210" s="212"/>
      <c r="P210" s="350" t="s">
        <v>5107</v>
      </c>
      <c r="Q210" s="212"/>
      <c r="R210" s="212"/>
      <c r="S210" s="2917" t="s">
        <v>5107</v>
      </c>
      <c r="T210" s="2917"/>
    </row>
    <row r="211" spans="2:27" ht="18" customHeight="1">
      <c r="B211" s="3159"/>
      <c r="C211" s="208"/>
      <c r="D211" s="208"/>
      <c r="E211" s="2932"/>
      <c r="F211" s="2933"/>
      <c r="G211" s="2932"/>
      <c r="H211" s="2933"/>
      <c r="I211" s="208"/>
      <c r="J211" s="355"/>
      <c r="K211" s="2866" t="s">
        <v>5114</v>
      </c>
      <c r="L211" s="2867"/>
      <c r="M211" s="2868"/>
      <c r="N211" s="212"/>
      <c r="O211" s="3119" t="s">
        <v>5115</v>
      </c>
      <c r="P211" s="3120"/>
      <c r="Q211" s="3121"/>
      <c r="R211" s="212"/>
      <c r="S211" s="2901" t="s">
        <v>1498</v>
      </c>
      <c r="T211" s="2902"/>
    </row>
    <row r="212" spans="2:27" ht="18" customHeight="1">
      <c r="B212" s="3159"/>
      <c r="C212" s="208"/>
      <c r="D212" s="208"/>
      <c r="E212" s="2932"/>
      <c r="F212" s="2933"/>
      <c r="G212" s="2932"/>
      <c r="H212" s="2933"/>
      <c r="I212" s="208"/>
      <c r="J212" s="355"/>
      <c r="K212" s="2869"/>
      <c r="L212" s="2870"/>
      <c r="M212" s="2871"/>
      <c r="N212" s="212"/>
      <c r="O212" s="3122"/>
      <c r="P212" s="3123"/>
      <c r="Q212" s="3124"/>
      <c r="R212" s="212"/>
      <c r="S212" s="2903"/>
      <c r="T212" s="2904"/>
    </row>
    <row r="213" spans="2:27" ht="18" customHeight="1">
      <c r="B213" s="3159"/>
      <c r="C213" s="208"/>
      <c r="D213" s="208"/>
      <c r="E213" s="2934"/>
      <c r="F213" s="2935"/>
      <c r="G213" s="2934"/>
      <c r="H213" s="2935"/>
      <c r="I213" s="208"/>
      <c r="J213" s="355"/>
      <c r="K213" s="2869"/>
      <c r="L213" s="2870"/>
      <c r="M213" s="2871"/>
      <c r="N213" s="212"/>
      <c r="O213" s="3122"/>
      <c r="P213" s="3123"/>
      <c r="Q213" s="3124"/>
      <c r="R213" s="212"/>
      <c r="S213" s="2903"/>
      <c r="T213" s="2904"/>
    </row>
    <row r="214" spans="2:27" ht="18" customHeight="1">
      <c r="B214" s="3159"/>
      <c r="C214" s="3118" t="s">
        <v>5106</v>
      </c>
      <c r="D214" s="3118"/>
      <c r="E214" s="208"/>
      <c r="F214" s="208"/>
      <c r="G214" s="208"/>
      <c r="H214" s="208"/>
      <c r="I214" s="208"/>
      <c r="J214" s="355"/>
      <c r="K214" s="2872"/>
      <c r="L214" s="2873"/>
      <c r="M214" s="2874"/>
      <c r="N214" s="212"/>
      <c r="O214" s="3125"/>
      <c r="P214" s="3126"/>
      <c r="Q214" s="3127"/>
      <c r="R214" s="212"/>
      <c r="S214" s="2905"/>
      <c r="T214" s="2906"/>
    </row>
    <row r="215" spans="2:27" ht="18" customHeight="1">
      <c r="B215" s="3160"/>
      <c r="C215" s="3118"/>
      <c r="D215" s="3118"/>
      <c r="E215" s="2813" t="s">
        <v>5116</v>
      </c>
      <c r="F215" s="2964"/>
      <c r="G215" s="2964"/>
      <c r="H215" s="2823"/>
      <c r="I215" s="208"/>
      <c r="J215" s="355"/>
      <c r="K215" s="212"/>
      <c r="L215" s="212"/>
      <c r="M215" s="212"/>
      <c r="N215" s="212"/>
      <c r="O215" s="212"/>
      <c r="P215" s="212"/>
      <c r="Q215" s="212"/>
      <c r="R215" s="212"/>
      <c r="S215" s="212"/>
      <c r="T215" s="212"/>
    </row>
    <row r="216" spans="2:27" ht="18" customHeight="1">
      <c r="B216" s="350" t="s">
        <v>5107</v>
      </c>
      <c r="C216" s="208"/>
      <c r="D216" s="208"/>
      <c r="E216" s="2965"/>
      <c r="F216" s="2917"/>
      <c r="G216" s="2917"/>
      <c r="H216" s="2966"/>
      <c r="I216" s="208"/>
      <c r="J216" s="355"/>
      <c r="K216" s="358"/>
      <c r="L216" s="358"/>
      <c r="M216" s="358"/>
      <c r="N216" s="358"/>
      <c r="O216" s="358"/>
      <c r="P216" s="358"/>
      <c r="Q216" s="358"/>
      <c r="R216" s="358"/>
      <c r="S216" s="358"/>
      <c r="T216" s="358"/>
    </row>
    <row r="217" spans="2:27" ht="18" customHeight="1">
      <c r="B217" s="3112" t="s">
        <v>5117</v>
      </c>
      <c r="C217" s="3113"/>
      <c r="D217" s="350" t="s">
        <v>5118</v>
      </c>
      <c r="E217" s="2965"/>
      <c r="F217" s="2917"/>
      <c r="G217" s="2917"/>
      <c r="H217" s="2966"/>
      <c r="I217" s="208"/>
      <c r="J217" s="355"/>
      <c r="K217" s="212"/>
      <c r="L217" s="212"/>
      <c r="M217" s="212"/>
      <c r="N217" s="212"/>
      <c r="O217" s="2857" t="s">
        <v>5119</v>
      </c>
      <c r="P217" s="2858"/>
      <c r="Q217" s="2859"/>
      <c r="R217" s="212"/>
      <c r="S217" s="212"/>
      <c r="T217" s="212"/>
    </row>
    <row r="218" spans="2:27" ht="18" customHeight="1">
      <c r="B218" s="3114"/>
      <c r="C218" s="3115"/>
      <c r="D218" s="208"/>
      <c r="E218" s="2965"/>
      <c r="F218" s="2917"/>
      <c r="G218" s="2917"/>
      <c r="H218" s="2966"/>
      <c r="I218" s="208"/>
      <c r="J218" s="355"/>
      <c r="K218" s="2953" t="s">
        <v>5120</v>
      </c>
      <c r="L218" s="2954"/>
      <c r="M218" s="2815"/>
      <c r="N218" s="212"/>
      <c r="O218" s="2863"/>
      <c r="P218" s="2864"/>
      <c r="Q218" s="2865"/>
      <c r="R218" s="212"/>
      <c r="S218" s="212"/>
      <c r="T218" s="212"/>
      <c r="V218" s="362"/>
      <c r="W218" s="218"/>
      <c r="X218" s="218"/>
      <c r="Y218" s="218"/>
      <c r="Z218" s="218"/>
      <c r="AA218" s="218"/>
    </row>
    <row r="219" spans="2:27" ht="18" customHeight="1">
      <c r="B219" s="3114"/>
      <c r="C219" s="3115"/>
      <c r="D219" s="208"/>
      <c r="E219" s="2965"/>
      <c r="F219" s="2917"/>
      <c r="G219" s="2917"/>
      <c r="H219" s="2966"/>
      <c r="I219" s="208"/>
      <c r="J219" s="355"/>
      <c r="K219" s="2816"/>
      <c r="L219" s="2817"/>
      <c r="M219" s="2818"/>
      <c r="N219" s="212"/>
      <c r="O219" s="359"/>
      <c r="P219" s="350" t="s">
        <v>5107</v>
      </c>
      <c r="Q219" s="359"/>
      <c r="R219" s="212"/>
      <c r="S219" s="212"/>
      <c r="T219" s="212"/>
    </row>
    <row r="220" spans="2:27" ht="18" customHeight="1">
      <c r="B220" s="3114"/>
      <c r="C220" s="3115"/>
      <c r="D220" s="208"/>
      <c r="E220" s="2965"/>
      <c r="F220" s="2917"/>
      <c r="G220" s="2917"/>
      <c r="H220" s="2966"/>
      <c r="I220" s="208"/>
      <c r="J220" s="355"/>
      <c r="K220" s="2816"/>
      <c r="L220" s="2817"/>
      <c r="M220" s="2818"/>
      <c r="N220" s="2915" t="s">
        <v>5121</v>
      </c>
      <c r="O220" s="2857" t="s">
        <v>5122</v>
      </c>
      <c r="P220" s="2858"/>
      <c r="Q220" s="2859"/>
      <c r="R220" s="2915" t="s">
        <v>5123</v>
      </c>
      <c r="S220" s="2907" t="s">
        <v>5124</v>
      </c>
      <c r="T220" s="2908"/>
    </row>
    <row r="221" spans="2:27" ht="18" customHeight="1">
      <c r="B221" s="3114"/>
      <c r="C221" s="3115"/>
      <c r="D221" s="208"/>
      <c r="E221" s="2965"/>
      <c r="F221" s="2917"/>
      <c r="G221" s="2917"/>
      <c r="H221" s="2966"/>
      <c r="I221" s="208"/>
      <c r="J221" s="355"/>
      <c r="K221" s="2819"/>
      <c r="L221" s="2820"/>
      <c r="M221" s="2821"/>
      <c r="N221" s="2915"/>
      <c r="O221" s="2860"/>
      <c r="P221" s="2861"/>
      <c r="Q221" s="2862"/>
      <c r="R221" s="2915"/>
      <c r="S221" s="2909"/>
      <c r="T221" s="2910"/>
    </row>
    <row r="222" spans="2:27" ht="18" customHeight="1">
      <c r="B222" s="3114"/>
      <c r="C222" s="3115"/>
      <c r="D222" s="208"/>
      <c r="E222" s="2965"/>
      <c r="F222" s="2917"/>
      <c r="G222" s="2917"/>
      <c r="H222" s="2966"/>
      <c r="I222" s="208"/>
      <c r="J222" s="355"/>
      <c r="K222" s="212"/>
      <c r="L222" s="212"/>
      <c r="M222" s="212"/>
      <c r="N222" s="212"/>
      <c r="O222" s="2863"/>
      <c r="P222" s="2864"/>
      <c r="Q222" s="2865"/>
      <c r="R222" s="212"/>
      <c r="S222" s="2911"/>
      <c r="T222" s="2912"/>
    </row>
    <row r="223" spans="2:27" ht="18" customHeight="1">
      <c r="B223" s="3116"/>
      <c r="C223" s="3117"/>
      <c r="D223" s="208"/>
      <c r="E223" s="2824"/>
      <c r="F223" s="2967"/>
      <c r="G223" s="2967"/>
      <c r="H223" s="2825"/>
      <c r="I223" s="208"/>
      <c r="J223" s="355"/>
      <c r="K223" s="212"/>
      <c r="L223" s="212"/>
      <c r="M223" s="212"/>
      <c r="N223" s="212"/>
      <c r="O223" s="212"/>
      <c r="P223" s="212"/>
      <c r="Q223" s="212"/>
      <c r="R223" s="212"/>
      <c r="S223" s="2918" t="s">
        <v>5107</v>
      </c>
      <c r="T223" s="2918"/>
      <c r="U223" s="362"/>
    </row>
    <row r="224" spans="2:27" ht="18" customHeight="1">
      <c r="B224" s="2917" t="s">
        <v>5107</v>
      </c>
      <c r="C224" s="2917"/>
      <c r="D224" s="208"/>
      <c r="E224" s="208"/>
      <c r="F224" s="208"/>
      <c r="G224" s="208"/>
      <c r="H224" s="208"/>
      <c r="I224" s="208"/>
      <c r="J224" s="355"/>
      <c r="K224" s="2907" t="s">
        <v>5125</v>
      </c>
      <c r="L224" s="2951"/>
      <c r="M224" s="2951"/>
      <c r="N224" s="2908"/>
      <c r="O224" s="2817" t="s">
        <v>5126</v>
      </c>
      <c r="P224" s="2817"/>
      <c r="Q224" s="2895" t="s">
        <v>5127</v>
      </c>
      <c r="R224" s="2896"/>
      <c r="S224" s="2896"/>
      <c r="T224" s="2897"/>
    </row>
    <row r="225" spans="2:20" ht="18" customHeight="1">
      <c r="B225" s="2822" t="s">
        <v>5128</v>
      </c>
      <c r="C225" s="2823"/>
      <c r="D225" s="208"/>
      <c r="E225" s="2807" t="s">
        <v>5129</v>
      </c>
      <c r="F225" s="2814"/>
      <c r="G225" s="2814"/>
      <c r="H225" s="2815"/>
      <c r="I225" s="208"/>
      <c r="J225" s="355"/>
      <c r="K225" s="2909"/>
      <c r="L225" s="2952"/>
      <c r="M225" s="2952"/>
      <c r="N225" s="2910"/>
      <c r="O225" s="2817"/>
      <c r="P225" s="2817"/>
      <c r="Q225" s="2898"/>
      <c r="R225" s="2899"/>
      <c r="S225" s="2899"/>
      <c r="T225" s="2900"/>
    </row>
    <row r="226" spans="2:20" ht="18" customHeight="1">
      <c r="B226" s="2824"/>
      <c r="C226" s="2825"/>
      <c r="D226" s="208"/>
      <c r="E226" s="2816"/>
      <c r="F226" s="2817"/>
      <c r="G226" s="2817"/>
      <c r="H226" s="2818"/>
      <c r="I226" s="208"/>
      <c r="J226" s="355"/>
      <c r="K226" s="2953" t="s">
        <v>5130</v>
      </c>
      <c r="L226" s="2954"/>
      <c r="M226" s="2954"/>
      <c r="N226" s="3050"/>
      <c r="O226" s="212"/>
      <c r="P226" s="3049" t="s">
        <v>5131</v>
      </c>
      <c r="Q226" s="2894" t="s">
        <v>5132</v>
      </c>
      <c r="R226" s="212"/>
      <c r="S226" s="2894" t="s">
        <v>5133</v>
      </c>
      <c r="T226" s="2817"/>
    </row>
    <row r="227" spans="2:20" ht="18" customHeight="1">
      <c r="B227" s="208"/>
      <c r="C227" s="208"/>
      <c r="D227" s="208"/>
      <c r="E227" s="2816"/>
      <c r="F227" s="2817"/>
      <c r="G227" s="2817"/>
      <c r="H227" s="2818"/>
      <c r="I227" s="208"/>
      <c r="J227" s="355"/>
      <c r="K227" s="3051"/>
      <c r="L227" s="2894"/>
      <c r="M227" s="2894"/>
      <c r="N227" s="3052"/>
      <c r="O227" s="212"/>
      <c r="P227" s="3049"/>
      <c r="Q227" s="2894"/>
      <c r="R227" s="212"/>
      <c r="S227" s="2817"/>
      <c r="T227" s="2817"/>
    </row>
    <row r="228" spans="2:20" ht="18" customHeight="1">
      <c r="B228" s="2807" t="s">
        <v>5134</v>
      </c>
      <c r="C228" s="2808"/>
      <c r="D228" s="208"/>
      <c r="E228" s="2816"/>
      <c r="F228" s="2817"/>
      <c r="G228" s="2817"/>
      <c r="H228" s="2818"/>
      <c r="I228" s="208"/>
      <c r="J228" s="355"/>
      <c r="K228" s="3053"/>
      <c r="L228" s="3054"/>
      <c r="M228" s="3054"/>
      <c r="N228" s="3055"/>
      <c r="O228" s="2952" t="s">
        <v>5135</v>
      </c>
      <c r="P228" s="212"/>
      <c r="Q228" s="2894"/>
      <c r="R228" s="212"/>
      <c r="S228" s="2817"/>
      <c r="T228" s="2817"/>
    </row>
    <row r="229" spans="2:20" ht="18" customHeight="1">
      <c r="B229" s="2809"/>
      <c r="C229" s="2810"/>
      <c r="D229" s="208"/>
      <c r="E229" s="2816"/>
      <c r="F229" s="2817"/>
      <c r="G229" s="2817"/>
      <c r="H229" s="2818"/>
      <c r="I229" s="208"/>
      <c r="J229" s="355"/>
      <c r="K229" s="2894" t="s">
        <v>5136</v>
      </c>
      <c r="L229" s="360"/>
      <c r="N229" s="2861" t="s">
        <v>5137</v>
      </c>
      <c r="O229" s="2952"/>
      <c r="P229" s="212"/>
      <c r="Q229" s="2894"/>
      <c r="R229" s="212"/>
      <c r="S229" s="2817"/>
      <c r="T229" s="2817"/>
    </row>
    <row r="230" spans="2:20" ht="18" customHeight="1">
      <c r="B230" s="2809"/>
      <c r="C230" s="2810"/>
      <c r="D230" s="208"/>
      <c r="E230" s="2816"/>
      <c r="F230" s="2817"/>
      <c r="G230" s="2817"/>
      <c r="H230" s="2818"/>
      <c r="I230" s="208"/>
      <c r="J230" s="355"/>
      <c r="K230" s="2894"/>
      <c r="L230" s="360"/>
      <c r="N230" s="2915"/>
      <c r="O230" s="2952"/>
      <c r="P230" s="212"/>
      <c r="Q230" s="3018" t="s">
        <v>5138</v>
      </c>
      <c r="R230" s="2896"/>
      <c r="S230" s="2896"/>
      <c r="T230" s="2897"/>
    </row>
    <row r="231" spans="2:20" ht="18" customHeight="1">
      <c r="B231" s="2809"/>
      <c r="C231" s="2810"/>
      <c r="D231" s="208"/>
      <c r="E231" s="2816"/>
      <c r="F231" s="2817"/>
      <c r="G231" s="2817"/>
      <c r="H231" s="2818"/>
      <c r="I231" s="208"/>
      <c r="J231" s="355"/>
      <c r="K231" s="2894"/>
      <c r="L231" s="360"/>
      <c r="M231" s="3018" t="s">
        <v>5139</v>
      </c>
      <c r="N231" s="2896"/>
      <c r="O231" s="2897"/>
      <c r="P231" s="212"/>
      <c r="Q231" s="2898"/>
      <c r="R231" s="2899"/>
      <c r="S231" s="2899"/>
      <c r="T231" s="2900"/>
    </row>
    <row r="232" spans="2:20" ht="18" customHeight="1">
      <c r="B232" s="2809"/>
      <c r="C232" s="2810"/>
      <c r="D232" s="208"/>
      <c r="E232" s="2816"/>
      <c r="F232" s="2817"/>
      <c r="G232" s="2817"/>
      <c r="H232" s="2818"/>
      <c r="I232" s="208"/>
      <c r="J232" s="355"/>
      <c r="K232" s="2894"/>
      <c r="L232" s="360"/>
      <c r="M232" s="2898"/>
      <c r="N232" s="2899"/>
      <c r="O232" s="2900"/>
      <c r="Q232" s="213"/>
      <c r="R232" s="213"/>
      <c r="S232" s="213"/>
      <c r="T232" s="213"/>
    </row>
    <row r="233" spans="2:20" ht="19.350000000000001" customHeight="1">
      <c r="B233" s="2811"/>
      <c r="C233" s="2812"/>
      <c r="D233" s="208"/>
      <c r="E233" s="2819"/>
      <c r="F233" s="2820"/>
      <c r="G233" s="2820"/>
      <c r="H233" s="2821"/>
      <c r="I233" s="208"/>
      <c r="J233" s="355"/>
      <c r="K233" s="2894"/>
      <c r="L233" s="360"/>
      <c r="M233" s="358"/>
      <c r="N233" s="358"/>
      <c r="O233" s="358"/>
      <c r="P233" s="213"/>
      <c r="Q233" s="2807" t="s">
        <v>5140</v>
      </c>
      <c r="R233" s="2978"/>
      <c r="S233" s="2978"/>
      <c r="T233" s="2979"/>
    </row>
    <row r="234" spans="2:20" ht="15.75" customHeight="1">
      <c r="B234" s="208"/>
      <c r="C234" s="208"/>
      <c r="D234" s="208"/>
      <c r="E234" s="208"/>
      <c r="F234" s="208"/>
      <c r="G234" s="208"/>
      <c r="H234" s="208"/>
      <c r="I234" s="208"/>
      <c r="J234" s="355"/>
      <c r="K234" s="3018" t="s">
        <v>5141</v>
      </c>
      <c r="L234" s="2978"/>
      <c r="M234" s="2978"/>
      <c r="N234" s="2978"/>
      <c r="O234" s="2979"/>
      <c r="P234" s="213"/>
      <c r="Q234" s="2980"/>
      <c r="R234" s="2981"/>
      <c r="S234" s="2981"/>
      <c r="T234" s="2982"/>
    </row>
    <row r="235" spans="2:20" ht="16.5">
      <c r="B235" s="208"/>
      <c r="C235" s="208"/>
      <c r="D235" s="208"/>
      <c r="E235" s="208"/>
      <c r="F235" s="208"/>
      <c r="G235" s="208"/>
      <c r="H235" s="208"/>
      <c r="I235" s="208"/>
      <c r="J235" s="355"/>
      <c r="K235" s="2980"/>
      <c r="L235" s="2981"/>
      <c r="M235" s="2981"/>
      <c r="N235" s="2981"/>
      <c r="O235" s="2982"/>
      <c r="P235" s="213"/>
      <c r="Q235" s="2980"/>
      <c r="R235" s="2981"/>
      <c r="S235" s="2981"/>
      <c r="T235" s="2982"/>
    </row>
    <row r="236" spans="2:20" ht="16.5">
      <c r="B236" s="208"/>
      <c r="C236" s="208"/>
      <c r="D236" s="208"/>
      <c r="E236" s="208"/>
      <c r="F236" s="208"/>
      <c r="G236" s="208"/>
      <c r="H236" s="208"/>
      <c r="I236" s="208"/>
      <c r="J236" s="355"/>
      <c r="K236" s="2983"/>
      <c r="L236" s="2984"/>
      <c r="M236" s="2984"/>
      <c r="N236" s="2984"/>
      <c r="O236" s="2985"/>
      <c r="P236" s="212"/>
      <c r="Q236" s="2980"/>
      <c r="R236" s="2981"/>
      <c r="S236" s="2981"/>
      <c r="T236" s="2982"/>
    </row>
    <row r="237" spans="2:20" ht="16.5">
      <c r="B237" s="208"/>
      <c r="C237" s="208"/>
      <c r="D237" s="208"/>
      <c r="E237" s="208"/>
      <c r="F237" s="208"/>
      <c r="G237" s="208"/>
      <c r="H237" s="208"/>
      <c r="I237" s="208"/>
      <c r="J237" s="355"/>
      <c r="K237" s="212"/>
      <c r="L237" s="212"/>
      <c r="M237" s="212"/>
      <c r="N237" s="212"/>
      <c r="O237" s="212"/>
      <c r="P237" s="212"/>
      <c r="Q237" s="2980"/>
      <c r="R237" s="2981"/>
      <c r="S237" s="2981"/>
      <c r="T237" s="2982"/>
    </row>
    <row r="238" spans="2:20" ht="21.75">
      <c r="B238" s="353" t="s">
        <v>5142</v>
      </c>
      <c r="C238" s="208"/>
      <c r="D238" s="208"/>
      <c r="E238" s="208"/>
      <c r="F238" s="208"/>
      <c r="G238" s="208"/>
      <c r="H238" s="208"/>
      <c r="I238" s="208"/>
      <c r="J238" s="355"/>
      <c r="K238" s="212"/>
      <c r="L238" s="212"/>
      <c r="M238" s="212"/>
      <c r="N238" s="212"/>
      <c r="O238" s="212"/>
      <c r="P238" s="212"/>
      <c r="Q238" s="2980"/>
      <c r="R238" s="2981"/>
      <c r="S238" s="2981"/>
      <c r="T238" s="2982"/>
    </row>
    <row r="239" spans="2:20" ht="15.75" customHeight="1">
      <c r="B239" s="3090" t="s">
        <v>5143</v>
      </c>
      <c r="C239" s="208"/>
      <c r="D239" s="208"/>
      <c r="E239" s="208"/>
      <c r="F239" s="208"/>
      <c r="G239" s="208"/>
      <c r="H239" s="208"/>
      <c r="I239" s="208"/>
      <c r="J239" s="355"/>
      <c r="K239" s="212"/>
      <c r="L239" s="212"/>
      <c r="M239" s="212"/>
      <c r="N239" s="212"/>
      <c r="O239" s="212"/>
      <c r="P239" s="212"/>
      <c r="Q239" s="2980"/>
      <c r="R239" s="2981"/>
      <c r="S239" s="2981"/>
      <c r="T239" s="2982"/>
    </row>
    <row r="240" spans="2:20" ht="16.5">
      <c r="B240" s="3091"/>
      <c r="C240" s="208"/>
      <c r="D240" s="208"/>
      <c r="E240" s="208"/>
      <c r="F240" s="208"/>
      <c r="G240" s="208"/>
      <c r="H240" s="208"/>
      <c r="I240" s="208"/>
      <c r="J240" s="208"/>
      <c r="K240" s="212"/>
      <c r="L240" s="212"/>
      <c r="M240" s="212"/>
      <c r="N240" s="212"/>
      <c r="O240" s="212"/>
      <c r="P240" s="212"/>
      <c r="Q240" s="2983"/>
      <c r="R240" s="2984"/>
      <c r="S240" s="2984"/>
      <c r="T240" s="2985"/>
    </row>
    <row r="241" spans="2:20" ht="16.5">
      <c r="B241" s="3091"/>
      <c r="C241" s="208"/>
      <c r="D241" s="208"/>
      <c r="E241" s="208"/>
      <c r="F241" s="208"/>
      <c r="G241" s="208"/>
      <c r="H241" s="208"/>
      <c r="I241" s="208"/>
      <c r="J241" s="208"/>
      <c r="K241" s="212"/>
      <c r="L241" s="212"/>
      <c r="M241" s="212"/>
      <c r="N241" s="212"/>
      <c r="O241" s="212"/>
      <c r="P241" s="212"/>
      <c r="Q241" s="212"/>
      <c r="R241" s="212"/>
      <c r="S241" s="212"/>
      <c r="T241" s="212"/>
    </row>
    <row r="242" spans="2:20" ht="16.5">
      <c r="B242" s="3091"/>
      <c r="C242" s="208"/>
      <c r="D242" s="208"/>
      <c r="E242" s="208"/>
      <c r="F242" s="208"/>
      <c r="G242" s="208"/>
      <c r="H242" s="208"/>
      <c r="I242" s="208"/>
      <c r="J242" s="208"/>
      <c r="K242" s="212"/>
      <c r="L242" s="212"/>
      <c r="M242" s="212"/>
      <c r="N242" s="212"/>
      <c r="O242" s="212"/>
      <c r="P242" s="212"/>
      <c r="Q242" s="212"/>
      <c r="R242" s="212"/>
      <c r="S242" s="212"/>
      <c r="T242" s="212"/>
    </row>
    <row r="243" spans="2:20" ht="16.5">
      <c r="B243" s="3091"/>
      <c r="C243" s="208"/>
      <c r="D243" s="208"/>
      <c r="E243" s="208"/>
      <c r="F243" s="208"/>
      <c r="G243" s="208"/>
      <c r="H243" s="208"/>
      <c r="I243" s="208"/>
      <c r="J243" s="208"/>
      <c r="K243" s="212"/>
      <c r="L243" s="212"/>
      <c r="M243" s="212"/>
      <c r="N243" s="212"/>
      <c r="O243" s="212"/>
      <c r="P243" s="212"/>
      <c r="Q243" s="212"/>
      <c r="R243" s="212"/>
      <c r="S243" s="212"/>
      <c r="T243" s="212"/>
    </row>
    <row r="244" spans="2:20" ht="16.5">
      <c r="B244" s="3091"/>
      <c r="C244" s="208"/>
      <c r="D244" s="208"/>
      <c r="E244" s="208"/>
      <c r="F244" s="208"/>
      <c r="G244" s="208"/>
      <c r="H244" s="208"/>
      <c r="I244" s="208"/>
      <c r="J244" s="208"/>
      <c r="K244" s="212"/>
      <c r="L244" s="212"/>
      <c r="M244" s="212"/>
      <c r="N244" s="212"/>
      <c r="O244" s="212"/>
      <c r="P244" s="212"/>
      <c r="Q244" s="212"/>
      <c r="R244" s="212"/>
      <c r="S244" s="212"/>
      <c r="T244" s="212"/>
    </row>
    <row r="245" spans="2:20" ht="16.5">
      <c r="B245" s="3091"/>
      <c r="C245" s="208"/>
      <c r="D245" s="208"/>
      <c r="E245" s="208"/>
      <c r="F245" s="208"/>
      <c r="G245" s="208"/>
      <c r="H245" s="208"/>
      <c r="I245" s="208"/>
      <c r="J245" s="208"/>
      <c r="K245" s="212"/>
      <c r="L245" s="212"/>
      <c r="M245" s="212"/>
      <c r="N245" s="212"/>
      <c r="O245" s="212"/>
      <c r="P245" s="212"/>
      <c r="Q245" s="212"/>
      <c r="R245" s="212"/>
      <c r="S245" s="212"/>
      <c r="T245" s="212"/>
    </row>
    <row r="246" spans="2:20" ht="16.5">
      <c r="B246" s="3092"/>
      <c r="C246" s="208"/>
      <c r="D246" s="208"/>
      <c r="E246" s="208"/>
      <c r="F246" s="208"/>
      <c r="G246" s="208"/>
      <c r="H246" s="208"/>
      <c r="I246" s="208"/>
      <c r="J246" s="208"/>
      <c r="K246" s="212"/>
      <c r="L246" s="212"/>
      <c r="M246" s="212"/>
      <c r="N246" s="212"/>
      <c r="O246" s="212"/>
      <c r="P246" s="212"/>
      <c r="Q246" s="212"/>
      <c r="R246" s="212"/>
      <c r="S246" s="212"/>
      <c r="T246" s="212"/>
    </row>
    <row r="247" spans="2:20" ht="16.5">
      <c r="C247" s="208"/>
      <c r="D247" s="208"/>
      <c r="E247" s="208"/>
      <c r="F247" s="208"/>
      <c r="G247" s="208"/>
      <c r="H247" s="208"/>
      <c r="I247" s="208"/>
      <c r="J247" s="208"/>
      <c r="K247" s="212"/>
      <c r="L247" s="212"/>
      <c r="M247" s="212"/>
      <c r="N247" s="212"/>
      <c r="O247" s="212"/>
      <c r="P247" s="212"/>
      <c r="Q247" s="212"/>
      <c r="R247" s="212"/>
      <c r="S247" s="212"/>
      <c r="T247" s="212"/>
    </row>
    <row r="248" spans="2:20" ht="16.5">
      <c r="C248" s="208"/>
      <c r="D248"/>
      <c r="E248"/>
      <c r="F248"/>
      <c r="G248" s="208"/>
      <c r="H248" s="208"/>
      <c r="I248" s="208"/>
      <c r="J248" s="208"/>
      <c r="K248" s="212"/>
      <c r="L248" s="212"/>
      <c r="M248" s="212"/>
      <c r="N248" s="212"/>
      <c r="O248" s="212"/>
      <c r="P248" s="212"/>
      <c r="Q248" s="212"/>
      <c r="R248" s="212"/>
      <c r="S248" s="212"/>
      <c r="T248" s="212"/>
    </row>
    <row r="249" spans="2:20" ht="16.5">
      <c r="C249" s="208"/>
      <c r="D249"/>
      <c r="E249"/>
      <c r="F249"/>
      <c r="G249" s="208"/>
      <c r="H249" s="208"/>
      <c r="I249" s="208"/>
      <c r="J249" s="208"/>
      <c r="K249" s="212"/>
      <c r="L249" s="212"/>
      <c r="M249" s="212"/>
      <c r="N249" s="212"/>
      <c r="O249" s="212"/>
      <c r="P249" s="212"/>
      <c r="Q249" s="212"/>
      <c r="R249" s="212"/>
      <c r="S249" s="212"/>
      <c r="T249" s="212"/>
    </row>
    <row r="250" spans="2:20" ht="16.5">
      <c r="C250" s="208"/>
      <c r="D250"/>
      <c r="E250"/>
      <c r="F250"/>
      <c r="H250" s="208"/>
      <c r="I250" s="208"/>
      <c r="J250" s="208"/>
      <c r="K250" s="212"/>
      <c r="L250" s="212"/>
      <c r="M250" s="212"/>
      <c r="N250" s="212"/>
      <c r="O250" s="212"/>
      <c r="P250" s="212"/>
      <c r="Q250" s="212"/>
      <c r="R250" s="212"/>
      <c r="S250" s="212"/>
      <c r="T250" s="212"/>
    </row>
    <row r="251" spans="2:20" ht="16.5">
      <c r="C251" s="208"/>
      <c r="D251"/>
      <c r="E251"/>
      <c r="F251"/>
      <c r="H251" s="208"/>
      <c r="I251" s="208"/>
      <c r="J251" s="208"/>
      <c r="K251" s="212"/>
      <c r="L251" s="212"/>
      <c r="M251" s="212"/>
      <c r="N251" s="212"/>
      <c r="O251" s="212"/>
      <c r="P251" s="212"/>
      <c r="Q251" s="212"/>
      <c r="R251" s="212"/>
      <c r="S251" s="212"/>
      <c r="T251" s="212"/>
    </row>
    <row r="252" spans="2:20" ht="16.5">
      <c r="C252" s="208"/>
      <c r="D252"/>
      <c r="E252"/>
      <c r="F252"/>
      <c r="H252" s="208"/>
      <c r="I252" s="208"/>
      <c r="J252" s="208"/>
      <c r="K252" s="212"/>
      <c r="L252" s="212"/>
      <c r="M252" s="212"/>
      <c r="N252" s="212"/>
      <c r="O252" s="212"/>
      <c r="P252" s="212"/>
      <c r="Q252" s="212"/>
      <c r="R252" s="212"/>
      <c r="S252" s="212"/>
      <c r="T252" s="212"/>
    </row>
    <row r="253" spans="2:20" ht="16.5">
      <c r="C253" s="208"/>
      <c r="D253"/>
      <c r="E253"/>
      <c r="F253"/>
      <c r="H253" s="208"/>
      <c r="I253" s="208"/>
      <c r="J253" s="208"/>
      <c r="K253" s="212"/>
      <c r="L253" s="212"/>
      <c r="M253" s="212"/>
      <c r="N253" s="212"/>
      <c r="O253" s="212"/>
      <c r="P253" s="212"/>
      <c r="Q253" s="212"/>
      <c r="R253" s="212"/>
      <c r="S253" s="212"/>
      <c r="T253" s="212"/>
    </row>
    <row r="254" spans="2:20" ht="16.5">
      <c r="C254" s="208"/>
      <c r="D254"/>
      <c r="E254"/>
      <c r="F254"/>
      <c r="H254" s="208"/>
      <c r="I254" s="208"/>
      <c r="J254" s="208"/>
      <c r="K254" s="212"/>
      <c r="L254" s="212"/>
      <c r="M254" s="212"/>
      <c r="N254" s="212"/>
      <c r="O254" s="212"/>
      <c r="P254" s="212"/>
      <c r="Q254" s="212"/>
      <c r="R254" s="212"/>
      <c r="S254" s="212"/>
      <c r="T254" s="212"/>
    </row>
    <row r="255" spans="2:20" ht="16.5">
      <c r="C255" s="208"/>
      <c r="D255"/>
      <c r="E255"/>
      <c r="F255"/>
      <c r="H255" s="208"/>
      <c r="I255" s="208"/>
      <c r="J255" s="208"/>
      <c r="K255" s="212"/>
      <c r="L255" s="212"/>
      <c r="M255" s="212"/>
      <c r="N255" s="212"/>
      <c r="O255" s="212"/>
      <c r="P255" s="212"/>
      <c r="Q255" s="212"/>
      <c r="R255" s="212"/>
      <c r="S255" s="212"/>
      <c r="T255" s="212"/>
    </row>
    <row r="256" spans="2:20" ht="16.5">
      <c r="C256" s="208"/>
      <c r="D256"/>
      <c r="E256"/>
      <c r="F256"/>
      <c r="H256" s="208"/>
      <c r="I256" s="208"/>
      <c r="J256" s="208"/>
      <c r="K256" s="212"/>
      <c r="L256" s="212"/>
      <c r="M256" s="212"/>
      <c r="N256" s="212"/>
      <c r="O256" s="212"/>
      <c r="P256" s="212"/>
      <c r="Q256" s="212"/>
      <c r="R256" s="212"/>
      <c r="S256" s="212"/>
      <c r="T256" s="212"/>
    </row>
    <row r="302" spans="2:20" ht="16.5">
      <c r="B302" s="208"/>
      <c r="C302" s="208"/>
      <c r="D302" s="208"/>
      <c r="E302" s="208"/>
      <c r="F302" s="208"/>
      <c r="G302" s="208"/>
      <c r="H302" s="208"/>
      <c r="I302" s="208"/>
      <c r="J302" s="208"/>
      <c r="K302" s="212"/>
      <c r="L302" s="212"/>
      <c r="M302" s="212"/>
      <c r="N302" s="212"/>
      <c r="O302" s="212"/>
      <c r="P302" s="212"/>
      <c r="Q302" s="212"/>
      <c r="R302" s="212"/>
      <c r="S302" s="212"/>
      <c r="T302" s="212"/>
    </row>
    <row r="303" spans="2:20" ht="16.5">
      <c r="B303" s="208"/>
      <c r="C303" s="208"/>
      <c r="D303" s="208"/>
      <c r="E303" s="208"/>
      <c r="F303" s="208"/>
      <c r="G303" s="208"/>
      <c r="H303" s="208"/>
      <c r="I303" s="208"/>
      <c r="J303" s="208"/>
      <c r="K303" s="212"/>
      <c r="L303" s="212"/>
      <c r="M303" s="212"/>
      <c r="N303" s="212"/>
      <c r="O303" s="212"/>
      <c r="P303" s="212"/>
      <c r="Q303" s="212"/>
      <c r="R303" s="212"/>
      <c r="S303" s="212"/>
      <c r="T303" s="212"/>
    </row>
    <row r="304" spans="2:20" ht="16.5">
      <c r="B304" s="208"/>
      <c r="C304" s="208"/>
      <c r="D304" s="208"/>
      <c r="E304" s="208"/>
      <c r="F304" s="208"/>
      <c r="G304" s="208"/>
      <c r="H304" s="208"/>
      <c r="I304" s="208"/>
      <c r="J304" s="208"/>
      <c r="K304" s="212"/>
      <c r="L304" s="212"/>
      <c r="M304" s="212"/>
      <c r="N304" s="212"/>
      <c r="O304" s="212"/>
      <c r="P304" s="212"/>
      <c r="Q304" s="212"/>
      <c r="R304" s="212"/>
      <c r="S304" s="212"/>
      <c r="T304" s="212"/>
    </row>
    <row r="305" spans="2:20" ht="16.5">
      <c r="B305" s="208"/>
      <c r="C305" s="208"/>
      <c r="D305" s="208"/>
      <c r="E305" s="208"/>
      <c r="F305" s="208"/>
      <c r="G305" s="208"/>
      <c r="H305" s="208"/>
      <c r="I305" s="208"/>
      <c r="J305" s="208"/>
      <c r="K305" s="212"/>
      <c r="L305" s="212"/>
      <c r="M305" s="212"/>
      <c r="N305" s="212"/>
      <c r="O305" s="212"/>
      <c r="P305" s="212"/>
      <c r="Q305" s="212"/>
      <c r="R305" s="212"/>
      <c r="S305" s="212"/>
      <c r="T305" s="212"/>
    </row>
    <row r="306" spans="2:20" ht="16.5">
      <c r="B306" s="208"/>
      <c r="C306" s="208"/>
      <c r="D306" s="208"/>
      <c r="E306" s="208"/>
      <c r="F306" s="208"/>
      <c r="G306" s="208"/>
      <c r="H306" s="208"/>
      <c r="I306" s="208"/>
      <c r="J306" s="208"/>
      <c r="K306" s="212"/>
      <c r="L306" s="212"/>
      <c r="M306" s="212"/>
      <c r="N306" s="212"/>
      <c r="O306" s="212"/>
      <c r="P306" s="212"/>
      <c r="Q306" s="212"/>
      <c r="R306" s="212"/>
      <c r="S306" s="212"/>
      <c r="T306" s="212"/>
    </row>
    <row r="307" spans="2:20" ht="16.5">
      <c r="B307" s="208"/>
      <c r="C307" s="208"/>
      <c r="D307" s="208"/>
      <c r="E307" s="208"/>
      <c r="F307" s="208"/>
      <c r="G307" s="208"/>
      <c r="H307" s="208"/>
      <c r="I307" s="208"/>
      <c r="J307" s="208"/>
      <c r="K307" s="212"/>
      <c r="L307" s="212"/>
      <c r="M307" s="212"/>
      <c r="N307" s="212"/>
      <c r="O307" s="212"/>
      <c r="P307" s="212"/>
      <c r="Q307" s="212"/>
      <c r="R307" s="212"/>
      <c r="S307" s="212"/>
      <c r="T307" s="212"/>
    </row>
    <row r="308" spans="2:20" ht="16.5">
      <c r="B308" s="208"/>
      <c r="C308" s="208"/>
      <c r="D308" s="208"/>
      <c r="E308" s="208"/>
      <c r="F308" s="208"/>
      <c r="G308" s="208"/>
      <c r="H308" s="208"/>
      <c r="I308" s="208"/>
      <c r="J308" s="208"/>
      <c r="K308" s="212"/>
      <c r="L308" s="212"/>
      <c r="M308" s="212"/>
      <c r="N308" s="212"/>
      <c r="O308" s="212"/>
      <c r="P308" s="212"/>
      <c r="Q308" s="212"/>
      <c r="R308" s="212"/>
      <c r="S308" s="212"/>
      <c r="T308" s="212"/>
    </row>
    <row r="309" spans="2:20" ht="16.5">
      <c r="B309" s="208"/>
      <c r="C309" s="208"/>
      <c r="D309" s="208"/>
      <c r="E309" s="208"/>
      <c r="F309" s="208"/>
      <c r="G309" s="208"/>
      <c r="H309" s="208"/>
      <c r="I309" s="208"/>
      <c r="J309" s="208"/>
      <c r="K309" s="212"/>
      <c r="L309" s="212"/>
      <c r="M309" s="212"/>
      <c r="N309" s="212"/>
      <c r="O309" s="212"/>
      <c r="P309" s="212"/>
      <c r="Q309" s="212"/>
      <c r="R309" s="212"/>
      <c r="S309" s="212"/>
      <c r="T309" s="212"/>
    </row>
    <row r="310" spans="2:20" ht="16.5">
      <c r="B310" s="208"/>
      <c r="C310" s="208"/>
      <c r="D310" s="208"/>
      <c r="E310" s="208"/>
      <c r="F310" s="208"/>
      <c r="G310" s="208"/>
      <c r="H310" s="208"/>
      <c r="I310" s="208"/>
      <c r="J310" s="208"/>
      <c r="K310" s="212"/>
      <c r="L310" s="212"/>
      <c r="M310" s="212"/>
      <c r="N310" s="212"/>
      <c r="O310" s="212"/>
      <c r="P310" s="212"/>
      <c r="Q310" s="212"/>
      <c r="R310" s="212"/>
      <c r="S310" s="212"/>
      <c r="T310" s="212"/>
    </row>
    <row r="311" spans="2:20" ht="16.5">
      <c r="B311" s="208"/>
      <c r="C311" s="208"/>
      <c r="D311" s="208"/>
      <c r="E311" s="208"/>
      <c r="F311" s="208"/>
      <c r="G311" s="208"/>
      <c r="H311" s="208"/>
      <c r="I311" s="208"/>
      <c r="J311" s="208"/>
      <c r="K311" s="212"/>
      <c r="L311" s="212"/>
      <c r="M311" s="212"/>
      <c r="N311" s="212"/>
      <c r="O311" s="212"/>
      <c r="P311" s="212"/>
      <c r="Q311" s="212"/>
      <c r="R311" s="212"/>
      <c r="S311" s="212"/>
      <c r="T311" s="212"/>
    </row>
    <row r="312" spans="2:20" ht="16.5">
      <c r="B312" s="208"/>
      <c r="C312" s="208"/>
      <c r="D312" s="208"/>
      <c r="E312" s="208"/>
      <c r="F312" s="208"/>
      <c r="G312" s="208"/>
      <c r="H312" s="208"/>
      <c r="I312" s="208"/>
      <c r="J312" s="208"/>
      <c r="K312" s="212"/>
      <c r="L312" s="212"/>
      <c r="M312" s="212"/>
      <c r="N312" s="212"/>
      <c r="O312" s="212"/>
      <c r="P312" s="212"/>
      <c r="Q312" s="212"/>
      <c r="R312" s="212"/>
      <c r="S312" s="212"/>
      <c r="T312" s="212"/>
    </row>
    <row r="313" spans="2:20" ht="16.5">
      <c r="B313" s="208"/>
      <c r="C313" s="208"/>
      <c r="D313" s="208"/>
      <c r="E313" s="208"/>
      <c r="F313" s="208"/>
      <c r="G313" s="208"/>
      <c r="H313" s="208"/>
      <c r="I313" s="208"/>
      <c r="J313" s="208"/>
      <c r="K313" s="212"/>
      <c r="L313" s="212"/>
      <c r="M313" s="212"/>
      <c r="N313" s="212"/>
      <c r="O313" s="212"/>
      <c r="P313" s="212"/>
      <c r="Q313" s="212"/>
      <c r="R313" s="212"/>
      <c r="S313" s="212"/>
      <c r="T313" s="212"/>
    </row>
    <row r="314" spans="2:20" ht="16.5">
      <c r="B314" s="208"/>
      <c r="C314" s="208"/>
      <c r="D314" s="208"/>
      <c r="E314" s="208"/>
      <c r="F314" s="208"/>
      <c r="G314" s="208"/>
      <c r="H314" s="208"/>
      <c r="I314" s="208"/>
      <c r="J314" s="208"/>
      <c r="K314" s="212"/>
      <c r="L314" s="212"/>
      <c r="M314" s="212"/>
      <c r="N314" s="212"/>
      <c r="O314" s="212"/>
      <c r="P314" s="212"/>
      <c r="Q314" s="212"/>
      <c r="R314" s="212"/>
      <c r="S314" s="212"/>
      <c r="T314" s="212"/>
    </row>
    <row r="315" spans="2:20" ht="16.5">
      <c r="B315" s="208"/>
      <c r="C315" s="208"/>
      <c r="D315" s="208"/>
      <c r="E315" s="208"/>
      <c r="F315" s="208"/>
      <c r="G315" s="208"/>
      <c r="H315" s="208"/>
      <c r="I315" s="208"/>
      <c r="J315" s="208"/>
      <c r="K315" s="212"/>
      <c r="L315" s="212"/>
      <c r="M315" s="212"/>
      <c r="N315" s="212"/>
      <c r="O315" s="212"/>
      <c r="P315" s="212"/>
      <c r="Q315" s="212"/>
      <c r="R315" s="212"/>
      <c r="S315" s="212"/>
      <c r="T315" s="212"/>
    </row>
    <row r="316" spans="2:20" ht="16.5">
      <c r="B316" s="208"/>
      <c r="C316" s="208"/>
      <c r="D316" s="208"/>
      <c r="E316" s="208"/>
      <c r="F316" s="208"/>
      <c r="G316" s="208"/>
      <c r="H316" s="208"/>
      <c r="I316" s="208"/>
      <c r="J316" s="208"/>
      <c r="K316" s="212"/>
      <c r="L316" s="212"/>
      <c r="M316" s="212"/>
      <c r="N316" s="212"/>
      <c r="O316" s="212"/>
      <c r="P316" s="212"/>
      <c r="Q316" s="212"/>
      <c r="R316" s="212"/>
      <c r="S316" s="212"/>
      <c r="T316" s="212"/>
    </row>
    <row r="317" spans="2:20" ht="16.5">
      <c r="B317" s="208"/>
      <c r="C317" s="208"/>
      <c r="D317" s="208"/>
      <c r="E317" s="208"/>
      <c r="F317" s="208"/>
      <c r="G317" s="208"/>
      <c r="H317" s="208"/>
      <c r="I317" s="208"/>
      <c r="J317" s="208"/>
      <c r="K317" s="212"/>
      <c r="L317" s="212"/>
      <c r="M317" s="212"/>
      <c r="N317" s="212"/>
      <c r="O317" s="212"/>
      <c r="P317" s="212"/>
      <c r="Q317" s="212"/>
      <c r="R317" s="212"/>
      <c r="S317" s="212"/>
      <c r="T317" s="212"/>
    </row>
    <row r="318" spans="2:20" ht="16.5">
      <c r="B318" s="208"/>
      <c r="C318" s="208"/>
      <c r="D318" s="208"/>
      <c r="E318" s="208"/>
      <c r="F318" s="208"/>
      <c r="G318" s="208"/>
      <c r="H318" s="208"/>
      <c r="I318" s="208"/>
      <c r="J318" s="208"/>
      <c r="K318" s="212"/>
      <c r="L318" s="212"/>
      <c r="M318" s="212"/>
      <c r="N318" s="212"/>
      <c r="O318" s="212"/>
      <c r="P318" s="212"/>
      <c r="Q318" s="212"/>
      <c r="R318" s="212"/>
      <c r="S318" s="212"/>
      <c r="T318" s="212"/>
    </row>
    <row r="319" spans="2:20" ht="16.5">
      <c r="B319" s="208"/>
      <c r="C319" s="208"/>
      <c r="D319" s="208"/>
      <c r="E319" s="208"/>
      <c r="F319" s="208"/>
      <c r="G319" s="208"/>
      <c r="H319" s="208"/>
      <c r="I319" s="208"/>
      <c r="J319" s="208"/>
      <c r="K319" s="212"/>
      <c r="L319" s="212"/>
      <c r="M319" s="212"/>
      <c r="N319" s="212"/>
      <c r="O319" s="212"/>
      <c r="P319" s="212"/>
      <c r="Q319" s="212"/>
      <c r="R319" s="212"/>
      <c r="S319" s="212"/>
      <c r="T319" s="212"/>
    </row>
    <row r="320" spans="2:20" ht="16.5">
      <c r="B320" s="208"/>
      <c r="C320" s="208"/>
      <c r="D320" s="208"/>
      <c r="E320" s="208"/>
      <c r="F320" s="208"/>
      <c r="G320" s="208"/>
      <c r="H320" s="208"/>
      <c r="I320" s="208"/>
      <c r="J320" s="208"/>
      <c r="K320" s="212"/>
      <c r="L320" s="212"/>
      <c r="M320" s="212"/>
      <c r="N320" s="212"/>
      <c r="O320" s="212"/>
      <c r="P320" s="212"/>
      <c r="Q320" s="212"/>
      <c r="R320" s="212"/>
      <c r="S320" s="212"/>
      <c r="T320" s="212"/>
    </row>
    <row r="321" spans="2:20" ht="16.5">
      <c r="B321" s="208"/>
      <c r="C321" s="208"/>
      <c r="D321" s="208"/>
      <c r="E321" s="208"/>
      <c r="F321" s="208"/>
      <c r="G321" s="208"/>
      <c r="H321" s="208"/>
      <c r="I321" s="208"/>
      <c r="J321" s="208"/>
      <c r="K321" s="212"/>
      <c r="L321" s="212"/>
      <c r="M321" s="212"/>
      <c r="N321" s="212"/>
      <c r="O321" s="212"/>
      <c r="P321" s="212"/>
      <c r="Q321" s="212"/>
      <c r="R321" s="212"/>
      <c r="S321" s="212"/>
      <c r="T321" s="212"/>
    </row>
    <row r="322" spans="2:20" ht="16.5">
      <c r="B322" s="208"/>
      <c r="C322" s="208"/>
      <c r="D322" s="208"/>
      <c r="E322" s="208"/>
      <c r="F322" s="208"/>
      <c r="G322" s="208"/>
      <c r="H322" s="208"/>
      <c r="I322" s="208"/>
      <c r="J322" s="208"/>
      <c r="K322" s="212"/>
      <c r="L322" s="212"/>
      <c r="M322" s="212"/>
      <c r="N322" s="212"/>
      <c r="O322" s="212"/>
      <c r="P322" s="212"/>
      <c r="Q322" s="212"/>
      <c r="R322" s="212"/>
      <c r="S322" s="212"/>
      <c r="T322" s="212"/>
    </row>
    <row r="323" spans="2:20" ht="16.5">
      <c r="B323" s="208"/>
      <c r="C323" s="208"/>
      <c r="D323" s="208"/>
      <c r="E323" s="208"/>
      <c r="F323" s="208"/>
      <c r="G323" s="208"/>
      <c r="H323" s="208"/>
      <c r="I323" s="208"/>
      <c r="J323" s="208"/>
      <c r="K323" s="212"/>
      <c r="L323" s="212"/>
      <c r="M323" s="212"/>
      <c r="N323" s="212"/>
      <c r="O323" s="212"/>
      <c r="P323" s="212"/>
      <c r="Q323" s="212"/>
      <c r="R323" s="212"/>
      <c r="S323" s="212"/>
      <c r="T323" s="212"/>
    </row>
    <row r="324" spans="2:20" ht="16.5">
      <c r="B324" s="208"/>
      <c r="C324" s="208"/>
      <c r="D324" s="208"/>
      <c r="E324" s="208"/>
      <c r="F324" s="208"/>
      <c r="G324" s="208"/>
      <c r="H324" s="208"/>
      <c r="I324" s="208"/>
      <c r="J324" s="208"/>
      <c r="K324" s="212"/>
      <c r="L324" s="212"/>
      <c r="M324" s="212"/>
      <c r="N324" s="212"/>
      <c r="O324" s="212"/>
      <c r="P324" s="212"/>
      <c r="Q324" s="212"/>
      <c r="R324" s="212"/>
      <c r="S324" s="212"/>
      <c r="T324" s="212"/>
    </row>
    <row r="325" spans="2:20" ht="16.5">
      <c r="B325" s="208"/>
      <c r="C325" s="208"/>
      <c r="D325" s="208"/>
      <c r="E325" s="208"/>
      <c r="F325" s="208"/>
      <c r="G325" s="208"/>
      <c r="H325" s="208"/>
      <c r="I325" s="208"/>
      <c r="J325" s="208"/>
      <c r="K325" s="212"/>
      <c r="L325" s="212"/>
      <c r="M325" s="212"/>
      <c r="N325" s="212"/>
      <c r="O325" s="212"/>
      <c r="P325" s="212"/>
      <c r="Q325" s="212"/>
      <c r="R325" s="212"/>
      <c r="S325" s="212"/>
      <c r="T325" s="212"/>
    </row>
    <row r="326" spans="2:20" ht="16.5">
      <c r="B326" s="208"/>
      <c r="C326" s="208"/>
      <c r="D326" s="208"/>
      <c r="E326" s="208"/>
      <c r="F326" s="208"/>
      <c r="G326" s="208"/>
      <c r="H326" s="208"/>
      <c r="I326" s="208"/>
      <c r="J326" s="208"/>
      <c r="K326" s="212"/>
      <c r="L326" s="212"/>
      <c r="M326" s="212"/>
      <c r="N326" s="212"/>
      <c r="O326" s="212"/>
      <c r="P326" s="212"/>
      <c r="Q326" s="212"/>
      <c r="R326" s="212"/>
      <c r="S326" s="212"/>
      <c r="T326" s="212"/>
    </row>
    <row r="327" spans="2:20" ht="16.5">
      <c r="B327" s="208"/>
      <c r="C327" s="208"/>
      <c r="D327" s="208"/>
      <c r="E327" s="208"/>
      <c r="F327" s="208"/>
      <c r="G327" s="208"/>
      <c r="H327" s="208"/>
      <c r="I327" s="208"/>
      <c r="J327" s="208"/>
      <c r="K327" s="212"/>
      <c r="L327" s="212"/>
      <c r="M327" s="212"/>
      <c r="N327" s="212"/>
      <c r="O327" s="212"/>
      <c r="P327" s="212"/>
      <c r="Q327" s="212"/>
      <c r="R327" s="212"/>
      <c r="S327" s="212"/>
      <c r="T327" s="212"/>
    </row>
    <row r="328" spans="2:20" ht="16.5">
      <c r="B328" s="208"/>
      <c r="C328" s="208"/>
      <c r="D328" s="208"/>
      <c r="E328" s="208"/>
      <c r="F328" s="208"/>
      <c r="G328" s="208"/>
      <c r="H328" s="208"/>
      <c r="I328" s="208"/>
      <c r="J328" s="208"/>
      <c r="K328" s="212"/>
      <c r="L328" s="212"/>
      <c r="M328" s="212"/>
      <c r="N328" s="212"/>
      <c r="O328" s="212"/>
      <c r="P328" s="212"/>
      <c r="Q328" s="212"/>
      <c r="R328" s="212"/>
      <c r="S328" s="212"/>
      <c r="T328" s="212"/>
    </row>
    <row r="329" spans="2:20" ht="16.5">
      <c r="B329" s="208"/>
      <c r="C329" s="208"/>
      <c r="D329" s="208"/>
      <c r="E329" s="208"/>
      <c r="F329" s="208"/>
      <c r="G329" s="208"/>
      <c r="H329" s="208"/>
      <c r="I329" s="208"/>
      <c r="J329" s="208"/>
      <c r="K329" s="212"/>
      <c r="L329" s="212"/>
      <c r="M329" s="212"/>
      <c r="N329" s="212"/>
      <c r="O329" s="212"/>
      <c r="P329" s="212"/>
      <c r="Q329" s="212"/>
      <c r="R329" s="212"/>
      <c r="S329" s="212"/>
      <c r="T329" s="212"/>
    </row>
    <row r="330" spans="2:20" ht="16.5">
      <c r="B330" s="208"/>
      <c r="C330" s="208"/>
      <c r="D330" s="208"/>
      <c r="E330" s="208"/>
      <c r="F330" s="208"/>
      <c r="G330" s="208"/>
      <c r="H330" s="208"/>
      <c r="I330" s="208"/>
      <c r="J330" s="208"/>
      <c r="K330" s="212"/>
      <c r="L330" s="212"/>
      <c r="M330" s="212"/>
      <c r="N330" s="212"/>
      <c r="O330" s="212"/>
      <c r="P330" s="212"/>
      <c r="Q330" s="212"/>
      <c r="R330" s="212"/>
      <c r="S330" s="212"/>
      <c r="T330" s="212"/>
    </row>
    <row r="331" spans="2:20" ht="16.5">
      <c r="B331" s="208"/>
      <c r="C331" s="208"/>
      <c r="D331" s="208"/>
      <c r="E331" s="208"/>
      <c r="F331" s="208"/>
      <c r="G331" s="208"/>
      <c r="H331" s="208"/>
      <c r="I331" s="208"/>
      <c r="J331" s="208"/>
      <c r="K331" s="212"/>
      <c r="L331" s="212"/>
      <c r="M331" s="212"/>
      <c r="N331" s="212"/>
      <c r="O331" s="212"/>
      <c r="P331" s="212"/>
      <c r="Q331" s="212"/>
      <c r="R331" s="212"/>
      <c r="S331" s="212"/>
      <c r="T331" s="212"/>
    </row>
    <row r="332" spans="2:20" ht="16.5">
      <c r="B332" s="208"/>
      <c r="C332" s="208"/>
      <c r="D332" s="208"/>
      <c r="E332" s="208"/>
      <c r="F332" s="208"/>
      <c r="G332" s="208"/>
      <c r="H332" s="208"/>
      <c r="I332" s="208"/>
      <c r="J332" s="208"/>
      <c r="K332" s="212"/>
      <c r="L332" s="212"/>
      <c r="M332" s="212"/>
      <c r="N332" s="212"/>
      <c r="O332" s="212"/>
      <c r="P332" s="212"/>
      <c r="Q332" s="212"/>
      <c r="R332" s="212"/>
      <c r="S332" s="212"/>
      <c r="T332" s="212"/>
    </row>
    <row r="333" spans="2:20" ht="16.5">
      <c r="B333" s="208"/>
      <c r="C333" s="208"/>
      <c r="D333" s="208"/>
      <c r="E333" s="208"/>
      <c r="F333" s="208"/>
      <c r="G333" s="208"/>
      <c r="H333" s="208"/>
      <c r="I333" s="208"/>
      <c r="J333" s="208"/>
      <c r="K333" s="212"/>
      <c r="L333" s="212"/>
      <c r="M333" s="212"/>
      <c r="N333" s="212"/>
      <c r="O333" s="212"/>
      <c r="P333" s="212"/>
      <c r="Q333" s="212"/>
      <c r="R333" s="212"/>
      <c r="S333" s="212"/>
      <c r="T333" s="212"/>
    </row>
    <row r="334" spans="2:20" ht="16.5">
      <c r="B334" s="208"/>
      <c r="C334" s="208"/>
      <c r="D334" s="208"/>
      <c r="E334" s="208"/>
      <c r="F334" s="208"/>
      <c r="G334" s="208"/>
      <c r="H334" s="208"/>
      <c r="I334" s="208"/>
      <c r="J334" s="208"/>
      <c r="K334" s="212"/>
      <c r="L334" s="212"/>
      <c r="M334" s="212"/>
      <c r="N334" s="212"/>
      <c r="O334" s="212"/>
      <c r="P334" s="212"/>
      <c r="Q334" s="212"/>
      <c r="R334" s="212"/>
      <c r="S334" s="212"/>
      <c r="T334" s="212"/>
    </row>
    <row r="335" spans="2:20" ht="16.5">
      <c r="B335" s="208"/>
      <c r="C335" s="208"/>
      <c r="D335" s="208"/>
      <c r="E335" s="208"/>
      <c r="F335" s="208"/>
      <c r="G335" s="208"/>
      <c r="H335" s="208"/>
      <c r="I335" s="208"/>
      <c r="J335" s="208"/>
      <c r="K335" s="212"/>
      <c r="L335" s="212"/>
      <c r="M335" s="212"/>
      <c r="N335" s="212"/>
      <c r="O335" s="212"/>
      <c r="P335" s="212"/>
      <c r="Q335" s="212"/>
      <c r="R335" s="212"/>
      <c r="S335" s="212"/>
      <c r="T335" s="212"/>
    </row>
    <row r="336" spans="2:20" ht="16.5">
      <c r="B336" s="208"/>
      <c r="C336" s="208"/>
      <c r="D336" s="208"/>
      <c r="E336" s="208"/>
      <c r="F336" s="208"/>
      <c r="G336" s="208"/>
      <c r="H336" s="208"/>
      <c r="I336" s="208"/>
      <c r="J336" s="208"/>
      <c r="K336" s="212"/>
      <c r="L336" s="212"/>
      <c r="M336" s="212"/>
      <c r="N336" s="212"/>
      <c r="O336" s="212"/>
      <c r="P336" s="212"/>
      <c r="Q336" s="212"/>
      <c r="R336" s="212"/>
      <c r="S336" s="212"/>
      <c r="T336" s="212"/>
    </row>
    <row r="337" spans="2:20" ht="16.5">
      <c r="B337" s="208"/>
      <c r="C337" s="208"/>
      <c r="D337" s="208"/>
      <c r="E337" s="208"/>
      <c r="F337" s="208"/>
      <c r="G337" s="208"/>
      <c r="H337" s="208"/>
      <c r="I337" s="208"/>
      <c r="J337" s="208"/>
      <c r="K337" s="212"/>
      <c r="L337" s="212"/>
      <c r="M337" s="212"/>
      <c r="N337" s="212"/>
      <c r="O337" s="212"/>
      <c r="P337" s="212"/>
      <c r="Q337" s="212"/>
      <c r="R337" s="212"/>
      <c r="S337" s="212"/>
      <c r="T337" s="212"/>
    </row>
    <row r="338" spans="2:20" ht="16.5">
      <c r="B338" s="208"/>
      <c r="C338" s="208"/>
      <c r="D338" s="208"/>
      <c r="E338" s="208"/>
      <c r="F338" s="208"/>
      <c r="G338" s="208"/>
      <c r="H338" s="208"/>
      <c r="I338" s="208"/>
      <c r="J338" s="208"/>
      <c r="K338" s="212"/>
      <c r="L338" s="212"/>
      <c r="M338" s="212"/>
      <c r="N338" s="212"/>
      <c r="O338" s="212"/>
      <c r="P338" s="212"/>
      <c r="Q338" s="212"/>
      <c r="R338" s="212"/>
      <c r="S338" s="212"/>
      <c r="T338" s="212"/>
    </row>
    <row r="339" spans="2:20" ht="16.5">
      <c r="B339" s="208"/>
      <c r="C339" s="208"/>
      <c r="D339" s="208"/>
      <c r="E339" s="208"/>
      <c r="F339" s="208"/>
      <c r="G339" s="208"/>
      <c r="H339" s="208"/>
      <c r="I339" s="208"/>
      <c r="J339" s="208"/>
      <c r="K339" s="212"/>
      <c r="L339" s="212"/>
      <c r="M339" s="212"/>
      <c r="N339" s="212"/>
      <c r="O339" s="212"/>
      <c r="P339" s="212"/>
      <c r="Q339" s="212"/>
      <c r="R339" s="212"/>
      <c r="S339" s="212"/>
      <c r="T339" s="212"/>
    </row>
  </sheetData>
  <sheetProtection sheet="1" objects="1"/>
  <mergeCells count="206">
    <mergeCell ref="N57:N66"/>
    <mergeCell ref="N67:N89"/>
    <mergeCell ref="Q116:R116"/>
    <mergeCell ref="B117:L117"/>
    <mergeCell ref="Q117:R117"/>
    <mergeCell ref="Q114:R115"/>
    <mergeCell ref="N110:O111"/>
    <mergeCell ref="N1:R1"/>
    <mergeCell ref="O67:P67"/>
    <mergeCell ref="N98:R98"/>
    <mergeCell ref="N106:R106"/>
    <mergeCell ref="B107:L107"/>
    <mergeCell ref="B108:L108"/>
    <mergeCell ref="N108:R108"/>
    <mergeCell ref="B109:L109"/>
    <mergeCell ref="N109:O109"/>
    <mergeCell ref="Q109:R109"/>
    <mergeCell ref="O30:P45"/>
    <mergeCell ref="N2:R10"/>
    <mergeCell ref="N11:R14"/>
    <mergeCell ref="N15:R17"/>
    <mergeCell ref="N18:R21"/>
    <mergeCell ref="N22:R25"/>
    <mergeCell ref="N30:N37"/>
    <mergeCell ref="N38:N45"/>
    <mergeCell ref="N46:N56"/>
    <mergeCell ref="C126:D128"/>
    <mergeCell ref="D147:E155"/>
    <mergeCell ref="B110:L110"/>
    <mergeCell ref="B111:L111"/>
    <mergeCell ref="B112:L112"/>
    <mergeCell ref="B113:L113"/>
    <mergeCell ref="B114:L114"/>
    <mergeCell ref="B115:L115"/>
    <mergeCell ref="B116:L116"/>
    <mergeCell ref="B147:B155"/>
    <mergeCell ref="B157:B158"/>
    <mergeCell ref="B159:B168"/>
    <mergeCell ref="B185:B186"/>
    <mergeCell ref="B203:B208"/>
    <mergeCell ref="B210:B215"/>
    <mergeCell ref="B193:K193"/>
    <mergeCell ref="B195:C195"/>
    <mergeCell ref="D195:E195"/>
    <mergeCell ref="C189:E189"/>
    <mergeCell ref="B190:E190"/>
    <mergeCell ref="B191:K191"/>
    <mergeCell ref="B192:K192"/>
    <mergeCell ref="B184:E184"/>
    <mergeCell ref="C187:E187"/>
    <mergeCell ref="C188:E188"/>
    <mergeCell ref="B172:C180"/>
    <mergeCell ref="C185:E186"/>
    <mergeCell ref="I172:O180"/>
    <mergeCell ref="N157:T158"/>
    <mergeCell ref="O147:P155"/>
    <mergeCell ref="C157:D158"/>
    <mergeCell ref="K157:L158"/>
    <mergeCell ref="R147:T155"/>
    <mergeCell ref="A2:A16"/>
    <mergeCell ref="A17:A29"/>
    <mergeCell ref="B121:B122"/>
    <mergeCell ref="B123:B125"/>
    <mergeCell ref="B126:B128"/>
    <mergeCell ref="B129:B131"/>
    <mergeCell ref="B132:B134"/>
    <mergeCell ref="B135:B137"/>
    <mergeCell ref="B138:B140"/>
    <mergeCell ref="B239:B246"/>
    <mergeCell ref="K205:K206"/>
    <mergeCell ref="K229:K233"/>
    <mergeCell ref="M2:M29"/>
    <mergeCell ref="M30:M45"/>
    <mergeCell ref="M46:M56"/>
    <mergeCell ref="M57:M66"/>
    <mergeCell ref="M67:M75"/>
    <mergeCell ref="M76:M81"/>
    <mergeCell ref="M82:M89"/>
    <mergeCell ref="M90:M105"/>
    <mergeCell ref="B217:C223"/>
    <mergeCell ref="C214:D215"/>
    <mergeCell ref="K207:M209"/>
    <mergeCell ref="M231:O232"/>
    <mergeCell ref="O211:Q214"/>
    <mergeCell ref="D172:G180"/>
    <mergeCell ref="C205:D206"/>
    <mergeCell ref="F159:J168"/>
    <mergeCell ref="B118:L118"/>
    <mergeCell ref="B119:L119"/>
    <mergeCell ref="N123:T123"/>
    <mergeCell ref="D146:E146"/>
    <mergeCell ref="F146:I146"/>
    <mergeCell ref="O57:O66"/>
    <mergeCell ref="O228:O230"/>
    <mergeCell ref="P57:P66"/>
    <mergeCell ref="P226:P227"/>
    <mergeCell ref="Q226:Q229"/>
    <mergeCell ref="K226:N228"/>
    <mergeCell ref="E129:L131"/>
    <mergeCell ref="B142:T144"/>
    <mergeCell ref="E121:L122"/>
    <mergeCell ref="C123:D125"/>
    <mergeCell ref="F184:K190"/>
    <mergeCell ref="N165:Q168"/>
    <mergeCell ref="S207:T209"/>
    <mergeCell ref="K159:L168"/>
    <mergeCell ref="O124:T125"/>
    <mergeCell ref="D170:G171"/>
    <mergeCell ref="O220:Q222"/>
    <mergeCell ref="F147:I155"/>
    <mergeCell ref="F195:I195"/>
    <mergeCell ref="J195:T195"/>
    <mergeCell ref="K146:M146"/>
    <mergeCell ref="O146:P146"/>
    <mergeCell ref="R146:T146"/>
    <mergeCell ref="B224:C224"/>
    <mergeCell ref="C121:D122"/>
    <mergeCell ref="C129:D131"/>
    <mergeCell ref="C132:D134"/>
    <mergeCell ref="E138:L140"/>
    <mergeCell ref="Q233:T240"/>
    <mergeCell ref="M189:T193"/>
    <mergeCell ref="K147:M155"/>
    <mergeCell ref="I170:O171"/>
    <mergeCell ref="F157:J158"/>
    <mergeCell ref="C200:E201"/>
    <mergeCell ref="M182:T183"/>
    <mergeCell ref="R165:T168"/>
    <mergeCell ref="K234:O236"/>
    <mergeCell ref="Q230:T231"/>
    <mergeCell ref="O207:Q209"/>
    <mergeCell ref="M185:N187"/>
    <mergeCell ref="O185:P187"/>
    <mergeCell ref="Q185:R187"/>
    <mergeCell ref="S185:T187"/>
    <mergeCell ref="N200:R201"/>
    <mergeCell ref="O133:T140"/>
    <mergeCell ref="N161:T162"/>
    <mergeCell ref="C138:D140"/>
    <mergeCell ref="B196:T198"/>
    <mergeCell ref="E210:F213"/>
    <mergeCell ref="N159:Q160"/>
    <mergeCell ref="N120:O121"/>
    <mergeCell ref="Q118:R119"/>
    <mergeCell ref="O126:T127"/>
    <mergeCell ref="K224:N225"/>
    <mergeCell ref="K218:M221"/>
    <mergeCell ref="R159:T160"/>
    <mergeCell ref="Q172:T180"/>
    <mergeCell ref="E215:H223"/>
    <mergeCell ref="Q170:T171"/>
    <mergeCell ref="G210:H213"/>
    <mergeCell ref="O224:P225"/>
    <mergeCell ref="N220:N221"/>
    <mergeCell ref="N164:T164"/>
    <mergeCell ref="M184:N184"/>
    <mergeCell ref="O184:P184"/>
    <mergeCell ref="Q184:R184"/>
    <mergeCell ref="S184:T184"/>
    <mergeCell ref="M188:T188"/>
    <mergeCell ref="E135:L137"/>
    <mergeCell ref="Q120:R121"/>
    <mergeCell ref="E132:L134"/>
    <mergeCell ref="E126:L128"/>
    <mergeCell ref="S226:T229"/>
    <mergeCell ref="Q224:T225"/>
    <mergeCell ref="S211:T214"/>
    <mergeCell ref="S220:T222"/>
    <mergeCell ref="O217:Q218"/>
    <mergeCell ref="N118:O119"/>
    <mergeCell ref="R220:R221"/>
    <mergeCell ref="T205:T206"/>
    <mergeCell ref="K210:M210"/>
    <mergeCell ref="S210:T210"/>
    <mergeCell ref="S223:T223"/>
    <mergeCell ref="N163:T163"/>
    <mergeCell ref="N124:N125"/>
    <mergeCell ref="N126:N127"/>
    <mergeCell ref="N128:N132"/>
    <mergeCell ref="N133:N140"/>
    <mergeCell ref="N229:N230"/>
    <mergeCell ref="E123:L125"/>
    <mergeCell ref="C159:D161"/>
    <mergeCell ref="B170:C171"/>
    <mergeCell ref="B228:C233"/>
    <mergeCell ref="E203:H208"/>
    <mergeCell ref="B225:C226"/>
    <mergeCell ref="Q112:R113"/>
    <mergeCell ref="N115:O116"/>
    <mergeCell ref="O46:P56"/>
    <mergeCell ref="N99:P105"/>
    <mergeCell ref="Q99:R105"/>
    <mergeCell ref="Q67:R89"/>
    <mergeCell ref="O68:P81"/>
    <mergeCell ref="N90:O94"/>
    <mergeCell ref="Q90:R93"/>
    <mergeCell ref="Q94:R97"/>
    <mergeCell ref="N95:O97"/>
    <mergeCell ref="O203:Q205"/>
    <mergeCell ref="K211:M214"/>
    <mergeCell ref="E225:H233"/>
    <mergeCell ref="C135:D137"/>
    <mergeCell ref="B182:K183"/>
    <mergeCell ref="Q110:R111"/>
    <mergeCell ref="O82:P89"/>
    <mergeCell ref="O128:T132"/>
  </mergeCells>
  <phoneticPr fontId="203" type="noConversion"/>
  <conditionalFormatting sqref="B2:B105">
    <cfRule type="containsText" dxfId="0" priority="1" operator="containsText" text="-">
      <formula>NOT(ISERROR(SEARCH("-",B2)))</formula>
    </cfRule>
  </conditionalFormatting>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showRowColHeaders="0" workbookViewId="0">
      <pane ySplit="1" topLeftCell="A2" activePane="bottomLeft" state="frozen"/>
      <selection pane="bottomLeft"/>
    </sheetView>
  </sheetViews>
  <sheetFormatPr defaultColWidth="10" defaultRowHeight="14.25"/>
  <cols>
    <col min="1" max="1" width="3.375" style="31" customWidth="1"/>
    <col min="2" max="2" width="28.375" style="31" customWidth="1"/>
    <col min="3" max="3" width="11" style="31" customWidth="1"/>
    <col min="4" max="4" width="5.625" style="31" customWidth="1"/>
    <col min="5" max="5" width="16.75" style="31" customWidth="1"/>
    <col min="6" max="6" width="20" style="31" customWidth="1"/>
    <col min="7" max="7" width="4.75" style="31" customWidth="1"/>
    <col min="8" max="8" width="11.75" style="31" customWidth="1"/>
    <col min="9" max="9" width="13" style="32" customWidth="1"/>
    <col min="10" max="10" width="8.625" style="32" customWidth="1"/>
    <col min="11" max="11" width="9.125" style="32" customWidth="1"/>
    <col min="12" max="12" width="8.875" style="32" customWidth="1"/>
    <col min="13" max="13" width="16.375" style="32" customWidth="1"/>
    <col min="14" max="14" width="13.875" style="32" customWidth="1"/>
    <col min="15" max="15" width="11.875" style="32" customWidth="1"/>
    <col min="16" max="16" width="8.875" style="32" customWidth="1"/>
    <col min="17" max="17" width="30.5" style="32" customWidth="1"/>
    <col min="18" max="18" width="18.5" style="32" customWidth="1"/>
    <col min="19" max="19" width="7.5" style="32" customWidth="1"/>
    <col min="20" max="20" width="6" style="32" customWidth="1"/>
    <col min="21" max="21" width="10.625" style="32" customWidth="1"/>
    <col min="22" max="22" width="7.25" style="32" customWidth="1"/>
    <col min="23" max="23" width="10.5" style="32" customWidth="1"/>
    <col min="24" max="24" width="13.5" style="32" customWidth="1"/>
    <col min="25" max="25" width="10.75" style="32" customWidth="1"/>
    <col min="26" max="26" width="7.75" style="32" customWidth="1"/>
    <col min="27" max="27" width="9.625" style="32" customWidth="1"/>
    <col min="28" max="28" width="13" style="32" customWidth="1"/>
    <col min="29" max="32" width="8.875" style="32" customWidth="1"/>
    <col min="33" max="33" width="8.875" style="32" hidden="1"/>
    <col min="34" max="34" width="9.625" style="32" hidden="1"/>
    <col min="35" max="16382" width="8.875" style="32" hidden="1"/>
    <col min="16383" max="16383" width="8.875" style="33" hidden="1"/>
    <col min="16384" max="16384" width="8.875" style="33" customWidth="1"/>
  </cols>
  <sheetData>
    <row r="1" spans="2:34" ht="21.95" customHeight="1">
      <c r="B1" s="34" t="s">
        <v>5144</v>
      </c>
      <c r="C1" s="35" t="s">
        <v>5145</v>
      </c>
      <c r="D1" s="36" t="s">
        <v>5146</v>
      </c>
      <c r="E1" s="35" t="s">
        <v>5147</v>
      </c>
      <c r="F1" s="35" t="s">
        <v>5148</v>
      </c>
      <c r="G1" s="36" t="s">
        <v>5149</v>
      </c>
      <c r="H1" s="35" t="s">
        <v>4563</v>
      </c>
      <c r="I1" s="72" t="s">
        <v>4564</v>
      </c>
      <c r="J1" s="72" t="s">
        <v>162</v>
      </c>
      <c r="K1" s="3477" t="s">
        <v>268</v>
      </c>
      <c r="L1" s="3478"/>
      <c r="M1" s="3478"/>
      <c r="N1" s="3478"/>
      <c r="O1" s="3478"/>
      <c r="P1" s="73"/>
      <c r="Q1" s="90" t="s">
        <v>5150</v>
      </c>
      <c r="R1" s="91" t="s">
        <v>312</v>
      </c>
      <c r="S1" s="92" t="s">
        <v>36</v>
      </c>
      <c r="T1" s="92" t="s">
        <v>176</v>
      </c>
      <c r="U1" s="92" t="s">
        <v>5151</v>
      </c>
      <c r="V1" s="91" t="s">
        <v>5152</v>
      </c>
      <c r="W1" s="91" t="s">
        <v>5153</v>
      </c>
      <c r="X1" s="91" t="s">
        <v>5154</v>
      </c>
      <c r="Y1" s="125" t="s">
        <v>4563</v>
      </c>
      <c r="Z1" s="125" t="s">
        <v>162</v>
      </c>
      <c r="AA1" s="3479" t="s">
        <v>268</v>
      </c>
      <c r="AB1" s="3480"/>
      <c r="AC1" s="3480"/>
      <c r="AD1" s="3480"/>
      <c r="AE1" s="3480"/>
      <c r="AF1" s="126"/>
      <c r="AG1" s="148"/>
      <c r="AH1" s="148"/>
    </row>
    <row r="2" spans="2:34" ht="14.25" customHeight="1">
      <c r="B2" s="37" t="s">
        <v>5155</v>
      </c>
      <c r="C2" s="38">
        <v>1</v>
      </c>
      <c r="D2" s="38">
        <v>0</v>
      </c>
      <c r="E2" s="38" t="s">
        <v>5156</v>
      </c>
      <c r="F2" s="38" t="s">
        <v>5157</v>
      </c>
      <c r="G2" s="38" t="s">
        <v>175</v>
      </c>
      <c r="H2" s="38" t="s">
        <v>4572</v>
      </c>
      <c r="I2" s="74" t="s">
        <v>5158</v>
      </c>
      <c r="J2" s="3493" t="s">
        <v>5159</v>
      </c>
      <c r="K2" s="3286" t="s">
        <v>5160</v>
      </c>
      <c r="L2" s="3287"/>
      <c r="M2" s="3287"/>
      <c r="N2" s="3287"/>
      <c r="O2" s="3287"/>
      <c r="P2" s="73"/>
      <c r="Q2" s="37" t="s">
        <v>5161</v>
      </c>
      <c r="R2" s="38" t="s">
        <v>109</v>
      </c>
      <c r="S2" s="38">
        <v>13</v>
      </c>
      <c r="T2" s="38">
        <v>4</v>
      </c>
      <c r="U2" s="38">
        <v>1</v>
      </c>
      <c r="V2" s="38" t="s">
        <v>5162</v>
      </c>
      <c r="W2" s="1063" t="s">
        <v>5163</v>
      </c>
      <c r="X2" s="93" t="s">
        <v>5164</v>
      </c>
      <c r="Y2" s="74" t="s">
        <v>3276</v>
      </c>
      <c r="Z2" s="3502" t="s">
        <v>3964</v>
      </c>
      <c r="AA2" s="3426" t="s">
        <v>5165</v>
      </c>
      <c r="AB2" s="127"/>
      <c r="AC2" s="127"/>
      <c r="AD2" s="128"/>
      <c r="AE2" s="128"/>
      <c r="AF2" s="126"/>
      <c r="AG2" s="149"/>
      <c r="AH2" s="149"/>
    </row>
    <row r="3" spans="2:34" ht="14.25" customHeight="1">
      <c r="B3" s="39" t="s">
        <v>5166</v>
      </c>
      <c r="C3" s="40">
        <v>2</v>
      </c>
      <c r="D3" s="40">
        <v>0</v>
      </c>
      <c r="E3" s="40" t="s">
        <v>1491</v>
      </c>
      <c r="F3" s="40" t="s">
        <v>5167</v>
      </c>
      <c r="G3" s="40" t="s">
        <v>516</v>
      </c>
      <c r="H3" s="40" t="s">
        <v>13</v>
      </c>
      <c r="I3" s="75" t="s">
        <v>4819</v>
      </c>
      <c r="J3" s="3493"/>
      <c r="K3" s="3286"/>
      <c r="L3" s="3287"/>
      <c r="M3" s="3287"/>
      <c r="N3" s="3287"/>
      <c r="O3" s="3287"/>
      <c r="P3" s="73"/>
      <c r="Q3" s="37" t="s">
        <v>5168</v>
      </c>
      <c r="R3" s="38" t="s">
        <v>109</v>
      </c>
      <c r="S3" s="38">
        <v>14</v>
      </c>
      <c r="T3" s="38">
        <v>5</v>
      </c>
      <c r="U3" s="38">
        <v>2</v>
      </c>
      <c r="V3" s="38">
        <v>4</v>
      </c>
      <c r="W3" s="1063" t="s">
        <v>5169</v>
      </c>
      <c r="X3" s="93" t="s">
        <v>5164</v>
      </c>
      <c r="Y3" s="74" t="s">
        <v>4572</v>
      </c>
      <c r="Z3" s="3502"/>
      <c r="AA3" s="3426"/>
      <c r="AB3" s="127"/>
      <c r="AC3" s="127"/>
      <c r="AD3" s="128"/>
      <c r="AE3" s="128"/>
      <c r="AF3" s="129"/>
      <c r="AG3" s="149"/>
      <c r="AH3" s="149"/>
    </row>
    <row r="4" spans="2:34" ht="14.25" customHeight="1">
      <c r="B4" s="37" t="s">
        <v>5170</v>
      </c>
      <c r="C4" s="38">
        <v>3</v>
      </c>
      <c r="D4" s="38" t="s">
        <v>92</v>
      </c>
      <c r="E4" s="38" t="s">
        <v>92</v>
      </c>
      <c r="F4" s="38" t="s">
        <v>92</v>
      </c>
      <c r="G4" s="38" t="s">
        <v>516</v>
      </c>
      <c r="H4" s="38" t="s">
        <v>92</v>
      </c>
      <c r="I4" s="1064" t="s">
        <v>5171</v>
      </c>
      <c r="J4" s="3493"/>
      <c r="K4" s="3286"/>
      <c r="L4" s="3287"/>
      <c r="M4" s="3287"/>
      <c r="N4" s="3287"/>
      <c r="O4" s="3287"/>
      <c r="P4" s="73"/>
      <c r="Q4" s="41" t="s">
        <v>5172</v>
      </c>
      <c r="R4" s="42" t="s">
        <v>109</v>
      </c>
      <c r="S4" s="42">
        <v>15</v>
      </c>
      <c r="T4" s="42">
        <v>6</v>
      </c>
      <c r="U4" s="42">
        <v>2</v>
      </c>
      <c r="V4" s="42">
        <v>4</v>
      </c>
      <c r="W4" s="1065" t="s">
        <v>5169</v>
      </c>
      <c r="X4" s="94" t="s">
        <v>5164</v>
      </c>
      <c r="Y4" s="76" t="s">
        <v>3276</v>
      </c>
      <c r="Z4" s="3502"/>
      <c r="AA4" s="3426"/>
      <c r="AB4" s="127"/>
      <c r="AC4" s="127"/>
      <c r="AD4" s="128"/>
      <c r="AE4" s="128"/>
      <c r="AF4" s="126"/>
      <c r="AG4" s="149"/>
      <c r="AH4" s="149"/>
    </row>
    <row r="5" spans="2:34" ht="14.25" customHeight="1">
      <c r="B5" s="39" t="s">
        <v>5173</v>
      </c>
      <c r="C5" s="40">
        <v>5</v>
      </c>
      <c r="D5" s="40">
        <v>0</v>
      </c>
      <c r="E5" s="40" t="s">
        <v>1491</v>
      </c>
      <c r="F5" s="40" t="s">
        <v>5167</v>
      </c>
      <c r="G5" s="40" t="s">
        <v>516</v>
      </c>
      <c r="H5" s="40" t="s">
        <v>3276</v>
      </c>
      <c r="I5" s="75" t="s">
        <v>4819</v>
      </c>
      <c r="J5" s="3493"/>
      <c r="K5" s="3286"/>
      <c r="L5" s="3287"/>
      <c r="M5" s="3287"/>
      <c r="N5" s="3287"/>
      <c r="O5" s="3287"/>
      <c r="P5" s="73"/>
      <c r="Q5" s="37" t="s">
        <v>5174</v>
      </c>
      <c r="R5" s="95" t="s">
        <v>109</v>
      </c>
      <c r="S5" s="38">
        <v>16</v>
      </c>
      <c r="T5" s="38">
        <v>5</v>
      </c>
      <c r="U5" s="38">
        <v>2</v>
      </c>
      <c r="V5" s="38">
        <v>1</v>
      </c>
      <c r="W5" s="1063" t="s">
        <v>5163</v>
      </c>
      <c r="X5" s="38" t="s">
        <v>92</v>
      </c>
      <c r="Y5" s="74" t="s">
        <v>3276</v>
      </c>
      <c r="Z5" s="3502"/>
      <c r="AA5" s="3426"/>
      <c r="AB5" s="127"/>
      <c r="AC5" s="127"/>
      <c r="AD5" s="128"/>
      <c r="AE5" s="128"/>
      <c r="AF5" s="126"/>
      <c r="AG5" s="149"/>
      <c r="AH5" s="149"/>
    </row>
    <row r="6" spans="2:34" ht="14.25" customHeight="1">
      <c r="B6" s="37" t="s">
        <v>5175</v>
      </c>
      <c r="C6" s="38">
        <v>8</v>
      </c>
      <c r="D6" s="38">
        <v>0</v>
      </c>
      <c r="E6" s="38" t="s">
        <v>5156</v>
      </c>
      <c r="F6" s="38" t="s">
        <v>5157</v>
      </c>
      <c r="G6" s="38" t="s">
        <v>516</v>
      </c>
      <c r="H6" s="38" t="s">
        <v>3276</v>
      </c>
      <c r="I6" s="74" t="s">
        <v>4819</v>
      </c>
      <c r="J6" s="3493"/>
      <c r="K6" s="3286"/>
      <c r="L6" s="3287"/>
      <c r="M6" s="3287"/>
      <c r="N6" s="3287"/>
      <c r="O6" s="3287"/>
      <c r="P6" s="73"/>
      <c r="Q6" s="41" t="s">
        <v>5176</v>
      </c>
      <c r="R6" s="38" t="s">
        <v>109</v>
      </c>
      <c r="S6" s="42">
        <v>14</v>
      </c>
      <c r="T6" s="42">
        <v>6</v>
      </c>
      <c r="U6" s="42">
        <v>2</v>
      </c>
      <c r="V6" s="42" t="s">
        <v>5177</v>
      </c>
      <c r="W6" s="1065" t="s">
        <v>5169</v>
      </c>
      <c r="X6" s="94" t="s">
        <v>5178</v>
      </c>
      <c r="Y6" s="76" t="s">
        <v>4572</v>
      </c>
      <c r="Z6" s="3502"/>
      <c r="AA6" s="3426"/>
      <c r="AB6" s="127"/>
      <c r="AC6" s="127"/>
      <c r="AD6" s="128"/>
      <c r="AE6" s="128"/>
      <c r="AF6" s="126"/>
      <c r="AG6" s="149"/>
      <c r="AH6" s="149"/>
    </row>
    <row r="7" spans="2:34" ht="14.25" customHeight="1">
      <c r="B7" s="39" t="s">
        <v>5179</v>
      </c>
      <c r="C7" s="40">
        <v>15</v>
      </c>
      <c r="D7" s="40" t="s">
        <v>92</v>
      </c>
      <c r="E7" s="40" t="s">
        <v>92</v>
      </c>
      <c r="F7" s="40" t="s">
        <v>92</v>
      </c>
      <c r="G7" s="40" t="s">
        <v>516</v>
      </c>
      <c r="H7" s="40" t="s">
        <v>3276</v>
      </c>
      <c r="I7" s="75" t="s">
        <v>5180</v>
      </c>
      <c r="J7" s="3493"/>
      <c r="K7" s="3286"/>
      <c r="L7" s="3287"/>
      <c r="M7" s="3287"/>
      <c r="N7" s="3287"/>
      <c r="O7" s="3287"/>
      <c r="P7" s="73"/>
      <c r="Q7" s="37" t="s">
        <v>5181</v>
      </c>
      <c r="R7" s="38" t="s">
        <v>109</v>
      </c>
      <c r="S7" s="38">
        <v>13</v>
      </c>
      <c r="T7" s="38">
        <v>7</v>
      </c>
      <c r="U7" s="38">
        <v>2</v>
      </c>
      <c r="V7" s="38" t="s">
        <v>5177</v>
      </c>
      <c r="W7" s="1063" t="s">
        <v>5169</v>
      </c>
      <c r="X7" s="93" t="s">
        <v>5178</v>
      </c>
      <c r="Y7" s="74" t="s">
        <v>3276</v>
      </c>
      <c r="Z7" s="3502"/>
      <c r="AA7" s="3426"/>
      <c r="AB7" s="127"/>
      <c r="AC7" s="127"/>
      <c r="AD7" s="128"/>
      <c r="AE7" s="128"/>
      <c r="AF7" s="126"/>
      <c r="AG7" s="149"/>
      <c r="AH7" s="149"/>
    </row>
    <row r="8" spans="2:34" ht="14.25" customHeight="1">
      <c r="B8" s="37" t="s">
        <v>5182</v>
      </c>
      <c r="C8" s="38">
        <v>19</v>
      </c>
      <c r="D8" s="38" t="s">
        <v>92</v>
      </c>
      <c r="E8" s="38" t="s">
        <v>92</v>
      </c>
      <c r="F8" s="38" t="s">
        <v>92</v>
      </c>
      <c r="G8" s="38" t="s">
        <v>516</v>
      </c>
      <c r="H8" s="38" t="s">
        <v>92</v>
      </c>
      <c r="I8" s="1064" t="s">
        <v>5183</v>
      </c>
      <c r="J8" s="3493"/>
      <c r="K8" s="3286"/>
      <c r="L8" s="3287"/>
      <c r="M8" s="3287"/>
      <c r="N8" s="3287"/>
      <c r="O8" s="3287"/>
      <c r="P8" s="73"/>
      <c r="Q8" s="41" t="s">
        <v>5184</v>
      </c>
      <c r="R8" s="42" t="s">
        <v>109</v>
      </c>
      <c r="S8" s="42">
        <v>13</v>
      </c>
      <c r="T8" s="42">
        <v>9</v>
      </c>
      <c r="U8" s="42">
        <v>2</v>
      </c>
      <c r="V8" s="42" t="s">
        <v>5185</v>
      </c>
      <c r="W8" s="1065" t="s">
        <v>5169</v>
      </c>
      <c r="X8" s="94" t="s">
        <v>5186</v>
      </c>
      <c r="Y8" s="76" t="s">
        <v>3276</v>
      </c>
      <c r="Z8" s="3502"/>
      <c r="AA8" s="3426"/>
      <c r="AB8" s="127"/>
      <c r="AC8" s="127"/>
      <c r="AD8" s="128"/>
      <c r="AE8" s="128"/>
      <c r="AF8" s="126"/>
      <c r="AG8" s="149"/>
      <c r="AH8" s="149"/>
    </row>
    <row r="9" spans="2:34" ht="14.25" customHeight="1">
      <c r="B9" s="37" t="s">
        <v>5187</v>
      </c>
      <c r="C9" s="38">
        <v>20</v>
      </c>
      <c r="D9" s="38" t="s">
        <v>92</v>
      </c>
      <c r="E9" s="38" t="s">
        <v>92</v>
      </c>
      <c r="F9" s="38" t="s">
        <v>92</v>
      </c>
      <c r="G9" s="38" t="s">
        <v>516</v>
      </c>
      <c r="H9" s="38" t="s">
        <v>4572</v>
      </c>
      <c r="I9" s="74" t="s">
        <v>5188</v>
      </c>
      <c r="J9" s="3493"/>
      <c r="K9" s="3286"/>
      <c r="L9" s="3287"/>
      <c r="M9" s="3287"/>
      <c r="N9" s="3287"/>
      <c r="O9" s="3287"/>
      <c r="P9" s="73"/>
      <c r="Q9" s="37" t="s">
        <v>5189</v>
      </c>
      <c r="R9" s="38" t="s">
        <v>109</v>
      </c>
      <c r="S9" s="38">
        <v>13</v>
      </c>
      <c r="T9" s="38">
        <v>1</v>
      </c>
      <c r="U9" s="38">
        <v>0</v>
      </c>
      <c r="V9" s="38">
        <v>1</v>
      </c>
      <c r="W9" s="1063" t="s">
        <v>5169</v>
      </c>
      <c r="X9" s="93" t="s">
        <v>92</v>
      </c>
      <c r="Y9" s="130" t="s">
        <v>4572</v>
      </c>
      <c r="Z9" s="3502"/>
      <c r="AA9" s="3426"/>
      <c r="AB9" s="127"/>
      <c r="AC9" s="127"/>
      <c r="AD9" s="128"/>
      <c r="AE9" s="128"/>
      <c r="AF9" s="126"/>
      <c r="AG9" s="149"/>
      <c r="AH9" s="149"/>
    </row>
    <row r="10" spans="2:34" ht="14.25" customHeight="1">
      <c r="B10" s="41" t="s">
        <v>5190</v>
      </c>
      <c r="C10" s="42" t="s">
        <v>5191</v>
      </c>
      <c r="D10" s="42" t="s">
        <v>92</v>
      </c>
      <c r="E10" s="42" t="s">
        <v>5192</v>
      </c>
      <c r="F10" s="42" t="s">
        <v>5193</v>
      </c>
      <c r="G10" s="42" t="s">
        <v>1531</v>
      </c>
      <c r="H10" s="42" t="s">
        <v>92</v>
      </c>
      <c r="I10" s="76" t="s">
        <v>92</v>
      </c>
      <c r="J10" s="3493"/>
      <c r="K10" s="3286"/>
      <c r="L10" s="3287"/>
      <c r="M10" s="3287"/>
      <c r="N10" s="3287"/>
      <c r="O10" s="3287"/>
      <c r="P10" s="73"/>
      <c r="Q10" s="41" t="s">
        <v>5194</v>
      </c>
      <c r="R10" s="42" t="s">
        <v>109</v>
      </c>
      <c r="S10" s="42">
        <v>16</v>
      </c>
      <c r="T10" s="42">
        <v>3</v>
      </c>
      <c r="U10" s="42">
        <v>0</v>
      </c>
      <c r="V10" s="42">
        <v>1</v>
      </c>
      <c r="W10" s="1065" t="s">
        <v>5169</v>
      </c>
      <c r="X10" s="94" t="s">
        <v>92</v>
      </c>
      <c r="Y10" s="74" t="s">
        <v>4572</v>
      </c>
      <c r="Z10" s="3502"/>
      <c r="AA10" s="3426"/>
      <c r="AB10" s="127"/>
      <c r="AC10" s="127"/>
      <c r="AD10" s="128"/>
      <c r="AE10" s="128"/>
      <c r="AF10" s="126"/>
    </row>
    <row r="11" spans="2:34" ht="14.25" customHeight="1">
      <c r="B11" s="43" t="s">
        <v>5195</v>
      </c>
      <c r="C11" s="44">
        <v>8</v>
      </c>
      <c r="D11" s="44" t="s">
        <v>5196</v>
      </c>
      <c r="E11" s="44" t="s">
        <v>5192</v>
      </c>
      <c r="F11" s="44" t="s">
        <v>5197</v>
      </c>
      <c r="G11" s="44" t="s">
        <v>1531</v>
      </c>
      <c r="H11" s="44" t="s">
        <v>92</v>
      </c>
      <c r="I11" s="77" t="s">
        <v>4819</v>
      </c>
      <c r="J11" s="3493"/>
      <c r="K11" s="3286"/>
      <c r="L11" s="3287"/>
      <c r="M11" s="3287"/>
      <c r="N11" s="3287"/>
      <c r="O11" s="3287"/>
      <c r="P11" s="73"/>
      <c r="Q11" s="96" t="s">
        <v>5198</v>
      </c>
      <c r="R11" s="97" t="s">
        <v>5199</v>
      </c>
      <c r="S11" s="97">
        <v>11</v>
      </c>
      <c r="T11" s="97">
        <v>20</v>
      </c>
      <c r="U11" s="97">
        <v>24</v>
      </c>
      <c r="V11" s="97">
        <v>4</v>
      </c>
      <c r="W11" s="1066" t="s">
        <v>5163</v>
      </c>
      <c r="X11" s="1067" t="s">
        <v>5169</v>
      </c>
      <c r="Y11" s="131" t="s">
        <v>4572</v>
      </c>
      <c r="Z11" s="3503" t="s">
        <v>5200</v>
      </c>
      <c r="AA11" s="3426"/>
      <c r="AB11" s="127"/>
      <c r="AC11" s="127"/>
      <c r="AD11" s="128"/>
      <c r="AE11" s="128"/>
      <c r="AF11" s="126"/>
    </row>
    <row r="12" spans="2:34" ht="14.25" customHeight="1">
      <c r="B12" s="37" t="s">
        <v>5201</v>
      </c>
      <c r="C12" s="38">
        <v>10</v>
      </c>
      <c r="D12" s="38" t="s">
        <v>92</v>
      </c>
      <c r="E12" s="38" t="s">
        <v>92</v>
      </c>
      <c r="F12" s="38" t="s">
        <v>92</v>
      </c>
      <c r="G12" s="38" t="s">
        <v>516</v>
      </c>
      <c r="H12" s="38" t="s">
        <v>4572</v>
      </c>
      <c r="I12" s="74" t="s">
        <v>5202</v>
      </c>
      <c r="J12" s="3493"/>
      <c r="K12" s="3286"/>
      <c r="L12" s="3287"/>
      <c r="M12" s="3287"/>
      <c r="N12" s="3287"/>
      <c r="O12" s="3287"/>
      <c r="P12" s="73"/>
      <c r="Q12" s="37" t="s">
        <v>5203</v>
      </c>
      <c r="R12" s="38" t="s">
        <v>5199</v>
      </c>
      <c r="S12" s="38">
        <v>12</v>
      </c>
      <c r="T12" s="38">
        <v>12</v>
      </c>
      <c r="U12" s="38">
        <v>1</v>
      </c>
      <c r="V12" s="38" t="s">
        <v>3943</v>
      </c>
      <c r="W12" s="1063" t="s">
        <v>5204</v>
      </c>
      <c r="X12" s="93" t="s">
        <v>5205</v>
      </c>
      <c r="Y12" s="74" t="s">
        <v>13</v>
      </c>
      <c r="Z12" s="3503"/>
      <c r="AA12" s="3426"/>
      <c r="AB12" s="127"/>
      <c r="AC12" s="127"/>
      <c r="AD12" s="128"/>
      <c r="AE12" s="128"/>
      <c r="AF12" s="126"/>
    </row>
    <row r="13" spans="2:34" ht="14.25" customHeight="1">
      <c r="B13" s="45" t="s">
        <v>5206</v>
      </c>
      <c r="C13" s="46" t="s">
        <v>5207</v>
      </c>
      <c r="D13" s="46" t="s">
        <v>92</v>
      </c>
      <c r="E13" s="46" t="s">
        <v>5208</v>
      </c>
      <c r="F13" s="46" t="s">
        <v>92</v>
      </c>
      <c r="G13" s="46" t="s">
        <v>175</v>
      </c>
      <c r="H13" s="3491" t="s">
        <v>5209</v>
      </c>
      <c r="I13" s="3492" t="s">
        <v>92</v>
      </c>
      <c r="J13" s="3494" t="s">
        <v>5210</v>
      </c>
      <c r="K13" s="3288" t="s">
        <v>5211</v>
      </c>
      <c r="L13" s="3288"/>
      <c r="M13" s="3288"/>
      <c r="N13" s="3288"/>
      <c r="O13" s="3289"/>
      <c r="P13" s="73"/>
      <c r="Q13" s="96" t="s">
        <v>5212</v>
      </c>
      <c r="R13" s="97" t="s">
        <v>5199</v>
      </c>
      <c r="S13" s="97">
        <v>15</v>
      </c>
      <c r="T13" s="97">
        <v>14</v>
      </c>
      <c r="U13" s="97">
        <v>2</v>
      </c>
      <c r="V13" s="97" t="s">
        <v>3943</v>
      </c>
      <c r="W13" s="1066" t="s">
        <v>5169</v>
      </c>
      <c r="X13" s="98" t="s">
        <v>5213</v>
      </c>
      <c r="Y13" s="131" t="s">
        <v>3276</v>
      </c>
      <c r="Z13" s="3503"/>
      <c r="AA13" s="3426"/>
      <c r="AB13" s="127"/>
      <c r="AC13" s="127"/>
      <c r="AD13" s="128"/>
      <c r="AE13" s="128"/>
      <c r="AF13" s="126"/>
    </row>
    <row r="14" spans="2:34" ht="14.25" customHeight="1">
      <c r="B14" s="45" t="s">
        <v>5214</v>
      </c>
      <c r="C14" s="47" t="s">
        <v>5215</v>
      </c>
      <c r="D14" s="47" t="s">
        <v>92</v>
      </c>
      <c r="E14" s="47" t="s">
        <v>5208</v>
      </c>
      <c r="F14" s="47" t="s">
        <v>92</v>
      </c>
      <c r="G14" s="47" t="s">
        <v>175</v>
      </c>
      <c r="H14" s="3491"/>
      <c r="I14" s="3492"/>
      <c r="J14" s="3494"/>
      <c r="K14" s="3290"/>
      <c r="L14" s="3290"/>
      <c r="M14" s="3290"/>
      <c r="N14" s="3290"/>
      <c r="O14" s="3291"/>
      <c r="P14" s="73"/>
      <c r="Q14" s="99" t="s">
        <v>5216</v>
      </c>
      <c r="R14" s="100" t="s">
        <v>5217</v>
      </c>
      <c r="S14" s="100">
        <v>11</v>
      </c>
      <c r="T14" s="100">
        <v>4</v>
      </c>
      <c r="U14" s="100">
        <v>0</v>
      </c>
      <c r="V14" s="100">
        <v>1</v>
      </c>
      <c r="W14" s="1068" t="s">
        <v>5169</v>
      </c>
      <c r="X14" s="100" t="s">
        <v>92</v>
      </c>
      <c r="Y14" s="132" t="s">
        <v>5218</v>
      </c>
      <c r="Z14" s="3504" t="s">
        <v>5219</v>
      </c>
      <c r="AA14" s="3426"/>
      <c r="AB14" s="127"/>
      <c r="AC14" s="127"/>
      <c r="AD14" s="128"/>
      <c r="AE14" s="128"/>
      <c r="AF14" s="126"/>
    </row>
    <row r="15" spans="2:34" ht="14.25" customHeight="1">
      <c r="B15" s="45" t="s">
        <v>5220</v>
      </c>
      <c r="C15" s="46" t="s">
        <v>5221</v>
      </c>
      <c r="D15" s="46" t="s">
        <v>92</v>
      </c>
      <c r="E15" s="46" t="s">
        <v>5208</v>
      </c>
      <c r="F15" s="46" t="s">
        <v>92</v>
      </c>
      <c r="G15" s="46" t="s">
        <v>175</v>
      </c>
      <c r="H15" s="3491"/>
      <c r="I15" s="3492"/>
      <c r="J15" s="3494"/>
      <c r="K15" s="3290"/>
      <c r="L15" s="3290"/>
      <c r="M15" s="3290"/>
      <c r="N15" s="3290"/>
      <c r="O15" s="3291"/>
      <c r="P15" s="73"/>
      <c r="Q15" s="37" t="s">
        <v>5222</v>
      </c>
      <c r="R15" s="38" t="s">
        <v>5223</v>
      </c>
      <c r="S15" s="38">
        <v>10</v>
      </c>
      <c r="T15" s="38">
        <v>3</v>
      </c>
      <c r="U15" s="38">
        <v>0</v>
      </c>
      <c r="V15" s="38" t="s">
        <v>5224</v>
      </c>
      <c r="W15" s="38" t="s">
        <v>5213</v>
      </c>
      <c r="X15" s="38" t="s">
        <v>5178</v>
      </c>
      <c r="Y15" s="74" t="s">
        <v>13</v>
      </c>
      <c r="Z15" s="3504"/>
      <c r="AA15" s="3426"/>
      <c r="AB15" s="127"/>
      <c r="AC15" s="127"/>
      <c r="AD15" s="128"/>
      <c r="AE15" s="128"/>
      <c r="AF15" s="126"/>
    </row>
    <row r="16" spans="2:34" ht="14.25" customHeight="1">
      <c r="B16" s="48" t="s">
        <v>5225</v>
      </c>
      <c r="C16" s="49">
        <v>2</v>
      </c>
      <c r="D16" s="49" t="s">
        <v>92</v>
      </c>
      <c r="E16" s="49" t="s">
        <v>92</v>
      </c>
      <c r="F16" s="49" t="s">
        <v>92</v>
      </c>
      <c r="G16" s="49" t="s">
        <v>175</v>
      </c>
      <c r="H16" s="49" t="s">
        <v>5226</v>
      </c>
      <c r="I16" s="1069" t="s">
        <v>5227</v>
      </c>
      <c r="J16" s="3494"/>
      <c r="K16" s="3292"/>
      <c r="L16" s="3292"/>
      <c r="M16" s="3292"/>
      <c r="N16" s="3292"/>
      <c r="O16" s="3293"/>
      <c r="P16" s="73"/>
      <c r="Q16" s="99" t="s">
        <v>4549</v>
      </c>
      <c r="R16" s="100" t="s">
        <v>5217</v>
      </c>
      <c r="S16" s="100">
        <v>10</v>
      </c>
      <c r="T16" s="100">
        <v>0.5</v>
      </c>
      <c r="U16" s="100">
        <v>0</v>
      </c>
      <c r="V16" s="100">
        <v>1</v>
      </c>
      <c r="W16" s="1068" t="s">
        <v>5169</v>
      </c>
      <c r="X16" s="100" t="s">
        <v>92</v>
      </c>
      <c r="Y16" s="132" t="s">
        <v>4572</v>
      </c>
      <c r="Z16" s="3504"/>
      <c r="AA16" s="3426"/>
      <c r="AB16" s="127"/>
      <c r="AC16" s="127"/>
      <c r="AD16" s="128"/>
      <c r="AE16" s="128"/>
      <c r="AF16" s="126"/>
    </row>
    <row r="17" spans="2:34" ht="14.25" customHeight="1">
      <c r="B17" s="50" t="s">
        <v>5228</v>
      </c>
      <c r="C17" s="46">
        <v>8</v>
      </c>
      <c r="D17" s="46" t="s">
        <v>92</v>
      </c>
      <c r="E17" s="46" t="s">
        <v>92</v>
      </c>
      <c r="F17" s="46" t="s">
        <v>92</v>
      </c>
      <c r="G17" s="46" t="s">
        <v>175</v>
      </c>
      <c r="H17" s="46" t="s">
        <v>3276</v>
      </c>
      <c r="I17" s="78">
        <v>40</v>
      </c>
      <c r="J17" s="3494"/>
      <c r="K17" s="3273" t="s">
        <v>5229</v>
      </c>
      <c r="L17" s="3274"/>
      <c r="M17" s="3274"/>
      <c r="N17" s="3274"/>
      <c r="O17" s="3274"/>
      <c r="P17" s="73"/>
      <c r="Q17" s="101" t="s">
        <v>5230</v>
      </c>
      <c r="R17" s="102" t="s">
        <v>5231</v>
      </c>
      <c r="S17" s="102">
        <v>4</v>
      </c>
      <c r="T17" s="102">
        <v>2</v>
      </c>
      <c r="U17" s="102">
        <v>0</v>
      </c>
      <c r="V17" s="102">
        <v>3</v>
      </c>
      <c r="W17" s="1070" t="s">
        <v>5232</v>
      </c>
      <c r="X17" s="103" t="s">
        <v>5164</v>
      </c>
      <c r="Y17" s="133" t="s">
        <v>4572</v>
      </c>
      <c r="Z17" s="3505" t="s">
        <v>5233</v>
      </c>
      <c r="AA17" s="3426"/>
      <c r="AB17" s="128"/>
      <c r="AC17" s="128"/>
      <c r="AD17" s="128"/>
      <c r="AE17" s="128"/>
      <c r="AF17" s="126"/>
    </row>
    <row r="18" spans="2:34" ht="14.25" customHeight="1">
      <c r="B18" s="51" t="s">
        <v>5234</v>
      </c>
      <c r="C18" s="47">
        <v>12</v>
      </c>
      <c r="D18" s="47" t="s">
        <v>92</v>
      </c>
      <c r="E18" s="47" t="s">
        <v>92</v>
      </c>
      <c r="F18" s="47" t="s">
        <v>92</v>
      </c>
      <c r="G18" s="47" t="s">
        <v>516</v>
      </c>
      <c r="H18" s="47" t="s">
        <v>4572</v>
      </c>
      <c r="I18" s="80" t="s">
        <v>5235</v>
      </c>
      <c r="J18" s="3494"/>
      <c r="K18" s="3275"/>
      <c r="L18" s="3276"/>
      <c r="M18" s="3276"/>
      <c r="N18" s="3276"/>
      <c r="O18" s="3276"/>
      <c r="P18" s="73"/>
      <c r="Q18" s="37" t="s">
        <v>5236</v>
      </c>
      <c r="R18" s="38" t="s">
        <v>5231</v>
      </c>
      <c r="S18" s="38">
        <v>12</v>
      </c>
      <c r="T18" s="38">
        <v>4</v>
      </c>
      <c r="U18" s="38">
        <v>0</v>
      </c>
      <c r="V18" s="38">
        <v>22</v>
      </c>
      <c r="W18" s="1063" t="s">
        <v>5237</v>
      </c>
      <c r="X18" s="93" t="s">
        <v>5164</v>
      </c>
      <c r="Y18" s="74" t="s">
        <v>4572</v>
      </c>
      <c r="Z18" s="3505"/>
      <c r="AA18" s="3426"/>
      <c r="AB18" s="128"/>
      <c r="AC18" s="128"/>
      <c r="AD18" s="128"/>
      <c r="AE18" s="128"/>
      <c r="AF18" s="126"/>
    </row>
    <row r="19" spans="2:34" ht="14.25" customHeight="1">
      <c r="B19" s="50" t="s">
        <v>5238</v>
      </c>
      <c r="C19" s="46">
        <v>1</v>
      </c>
      <c r="D19" s="46" t="s">
        <v>92</v>
      </c>
      <c r="E19" s="46" t="s">
        <v>92</v>
      </c>
      <c r="F19" s="46" t="s">
        <v>92</v>
      </c>
      <c r="G19" s="46" t="s">
        <v>516</v>
      </c>
      <c r="H19" s="46" t="s">
        <v>4572</v>
      </c>
      <c r="I19" s="78" t="s">
        <v>5239</v>
      </c>
      <c r="J19" s="3494"/>
      <c r="K19" s="3275"/>
      <c r="L19" s="3276"/>
      <c r="M19" s="3276"/>
      <c r="N19" s="3276"/>
      <c r="O19" s="3276"/>
      <c r="P19" s="73"/>
      <c r="Q19" s="101" t="s">
        <v>5240</v>
      </c>
      <c r="R19" s="102" t="s">
        <v>5241</v>
      </c>
      <c r="S19" s="102">
        <v>14</v>
      </c>
      <c r="T19" s="102">
        <v>3</v>
      </c>
      <c r="U19" s="102">
        <v>0</v>
      </c>
      <c r="V19" s="102">
        <v>6</v>
      </c>
      <c r="W19" s="1070" t="s">
        <v>5169</v>
      </c>
      <c r="X19" s="103" t="s">
        <v>5164</v>
      </c>
      <c r="Y19" s="133" t="s">
        <v>4572</v>
      </c>
      <c r="Z19" s="3505"/>
      <c r="AA19" s="3426"/>
      <c r="AB19" s="128"/>
      <c r="AC19" s="128"/>
      <c r="AD19" s="128"/>
      <c r="AE19" s="128"/>
      <c r="AF19" s="126"/>
    </row>
    <row r="20" spans="2:34" ht="14.25" customHeight="1">
      <c r="B20" s="48" t="s">
        <v>5242</v>
      </c>
      <c r="C20" s="49">
        <v>20</v>
      </c>
      <c r="D20" s="49" t="s">
        <v>92</v>
      </c>
      <c r="E20" s="49" t="s">
        <v>92</v>
      </c>
      <c r="F20" s="49" t="s">
        <v>92</v>
      </c>
      <c r="G20" s="49" t="s">
        <v>516</v>
      </c>
      <c r="H20" s="49" t="s">
        <v>5243</v>
      </c>
      <c r="I20" s="79" t="s">
        <v>5244</v>
      </c>
      <c r="J20" s="3494"/>
      <c r="K20" s="3275"/>
      <c r="L20" s="3276"/>
      <c r="M20" s="3276"/>
      <c r="N20" s="3276"/>
      <c r="O20" s="3276"/>
      <c r="P20" s="73"/>
      <c r="Q20" s="37" t="s">
        <v>5245</v>
      </c>
      <c r="R20" s="38" t="s">
        <v>5231</v>
      </c>
      <c r="S20" s="38">
        <v>11</v>
      </c>
      <c r="T20" s="38">
        <v>32</v>
      </c>
      <c r="U20" s="38" t="s">
        <v>5246</v>
      </c>
      <c r="V20" s="38" t="s">
        <v>5247</v>
      </c>
      <c r="W20" s="1063" t="s">
        <v>5169</v>
      </c>
      <c r="X20" s="93" t="s">
        <v>5248</v>
      </c>
      <c r="Y20" s="74" t="s">
        <v>4572</v>
      </c>
      <c r="Z20" s="3505"/>
      <c r="AA20" s="3426"/>
      <c r="AB20" s="128"/>
      <c r="AC20" s="128"/>
      <c r="AD20" s="128"/>
      <c r="AE20" s="128"/>
      <c r="AF20" s="126"/>
    </row>
    <row r="21" spans="2:34" ht="14.25" customHeight="1">
      <c r="B21" s="50" t="s">
        <v>5249</v>
      </c>
      <c r="C21" s="46" t="s">
        <v>5250</v>
      </c>
      <c r="D21" s="46" t="s">
        <v>92</v>
      </c>
      <c r="E21" s="46" t="s">
        <v>92</v>
      </c>
      <c r="F21" s="46" t="s">
        <v>92</v>
      </c>
      <c r="G21" s="46" t="s">
        <v>1531</v>
      </c>
      <c r="H21" s="46" t="s">
        <v>3276</v>
      </c>
      <c r="I21" s="78" t="s">
        <v>5251</v>
      </c>
      <c r="J21" s="3494"/>
      <c r="K21" s="3275"/>
      <c r="L21" s="3276"/>
      <c r="M21" s="3276"/>
      <c r="N21" s="3276"/>
      <c r="O21" s="3276"/>
      <c r="P21" s="73"/>
      <c r="Q21" s="104" t="s">
        <v>5252</v>
      </c>
      <c r="R21" s="102" t="s">
        <v>5253</v>
      </c>
      <c r="S21" s="102">
        <v>11</v>
      </c>
      <c r="T21" s="102">
        <v>65</v>
      </c>
      <c r="U21" s="102" t="s">
        <v>5246</v>
      </c>
      <c r="V21" s="102" t="s">
        <v>5254</v>
      </c>
      <c r="W21" s="1070" t="s">
        <v>5169</v>
      </c>
      <c r="X21" s="103" t="s">
        <v>5248</v>
      </c>
      <c r="Y21" s="133" t="s">
        <v>4572</v>
      </c>
      <c r="Z21" s="3505"/>
      <c r="AA21" s="3426"/>
      <c r="AB21" s="3303" t="s">
        <v>5255</v>
      </c>
      <c r="AC21" s="3304"/>
      <c r="AD21" s="3304"/>
      <c r="AE21" s="3305"/>
      <c r="AF21" s="126"/>
    </row>
    <row r="22" spans="2:34" ht="14.25" customHeight="1">
      <c r="B22" s="51" t="s">
        <v>5256</v>
      </c>
      <c r="C22" s="47">
        <v>15</v>
      </c>
      <c r="D22" s="47" t="s">
        <v>92</v>
      </c>
      <c r="E22" s="47" t="s">
        <v>92</v>
      </c>
      <c r="F22" s="47" t="s">
        <v>92</v>
      </c>
      <c r="G22" s="47" t="s">
        <v>516</v>
      </c>
      <c r="H22" s="47" t="s">
        <v>4572</v>
      </c>
      <c r="I22" s="80" t="s">
        <v>5188</v>
      </c>
      <c r="J22" s="3494"/>
      <c r="K22" s="3275"/>
      <c r="L22" s="3276"/>
      <c r="M22" s="3276"/>
      <c r="N22" s="3276"/>
      <c r="O22" s="3276"/>
      <c r="P22" s="73"/>
      <c r="Q22" s="104" t="s">
        <v>5257</v>
      </c>
      <c r="R22" s="38" t="s">
        <v>5258</v>
      </c>
      <c r="S22" s="38">
        <v>11</v>
      </c>
      <c r="T22" s="38">
        <v>75</v>
      </c>
      <c r="U22" s="38" t="s">
        <v>5246</v>
      </c>
      <c r="V22" s="38" t="s">
        <v>5259</v>
      </c>
      <c r="W22" s="1063" t="s">
        <v>5169</v>
      </c>
      <c r="X22" s="93" t="s">
        <v>5260</v>
      </c>
      <c r="Y22" s="74" t="s">
        <v>5261</v>
      </c>
      <c r="Z22" s="3505"/>
      <c r="AA22" s="3426"/>
      <c r="AB22" s="3306"/>
      <c r="AC22" s="3307"/>
      <c r="AD22" s="3307"/>
      <c r="AE22" s="3308"/>
      <c r="AF22" s="126"/>
    </row>
    <row r="23" spans="2:34" ht="14.25" customHeight="1">
      <c r="B23" s="50" t="s">
        <v>5262</v>
      </c>
      <c r="C23" s="46">
        <v>4</v>
      </c>
      <c r="D23" s="46" t="s">
        <v>92</v>
      </c>
      <c r="E23" s="46" t="s">
        <v>5263</v>
      </c>
      <c r="F23" s="46" t="s">
        <v>92</v>
      </c>
      <c r="G23" s="46" t="s">
        <v>516</v>
      </c>
      <c r="H23" s="46" t="s">
        <v>4572</v>
      </c>
      <c r="I23" s="78" t="s">
        <v>5264</v>
      </c>
      <c r="J23" s="3494"/>
      <c r="K23" s="3275"/>
      <c r="L23" s="3276"/>
      <c r="M23" s="3276"/>
      <c r="N23" s="3276"/>
      <c r="O23" s="3276"/>
      <c r="P23" s="73"/>
      <c r="Q23" s="104" t="s">
        <v>5265</v>
      </c>
      <c r="R23" s="102" t="s">
        <v>5258</v>
      </c>
      <c r="S23" s="102">
        <v>12</v>
      </c>
      <c r="T23" s="102">
        <v>24</v>
      </c>
      <c r="U23" s="102" t="s">
        <v>5246</v>
      </c>
      <c r="V23" s="102" t="s">
        <v>5266</v>
      </c>
      <c r="W23" s="1070" t="s">
        <v>5169</v>
      </c>
      <c r="X23" s="103" t="s">
        <v>5248</v>
      </c>
      <c r="Y23" s="133" t="s">
        <v>4572</v>
      </c>
      <c r="Z23" s="3505"/>
      <c r="AA23" s="3426"/>
      <c r="AB23" s="3309"/>
      <c r="AC23" s="3310"/>
      <c r="AD23" s="3310"/>
      <c r="AE23" s="3311"/>
      <c r="AF23" s="126"/>
    </row>
    <row r="24" spans="2:34" ht="14.25" customHeight="1">
      <c r="B24" s="51" t="s">
        <v>5267</v>
      </c>
      <c r="C24" s="47">
        <v>3</v>
      </c>
      <c r="D24" s="47" t="s">
        <v>92</v>
      </c>
      <c r="E24" s="47" t="s">
        <v>92</v>
      </c>
      <c r="F24" s="47" t="s">
        <v>92</v>
      </c>
      <c r="G24" s="47" t="s">
        <v>516</v>
      </c>
      <c r="H24" s="47" t="s">
        <v>4572</v>
      </c>
      <c r="I24" s="1071" t="s">
        <v>5268</v>
      </c>
      <c r="J24" s="3494"/>
      <c r="K24" s="3275"/>
      <c r="L24" s="3276"/>
      <c r="M24" s="3276"/>
      <c r="N24" s="3276"/>
      <c r="O24" s="3276"/>
      <c r="P24" s="73"/>
      <c r="Q24" s="105" t="s">
        <v>5269</v>
      </c>
      <c r="R24" s="106" t="s">
        <v>109</v>
      </c>
      <c r="S24" s="106">
        <v>12</v>
      </c>
      <c r="T24" s="106">
        <v>6</v>
      </c>
      <c r="U24" s="106">
        <v>2</v>
      </c>
      <c r="V24" s="106">
        <v>80</v>
      </c>
      <c r="W24" s="1072" t="s">
        <v>5169</v>
      </c>
      <c r="X24" s="107" t="s">
        <v>5213</v>
      </c>
      <c r="Y24" s="134" t="s">
        <v>4572</v>
      </c>
      <c r="Z24" s="3506" t="s">
        <v>5270</v>
      </c>
      <c r="AA24" s="135"/>
      <c r="AB24" s="135"/>
      <c r="AC24" s="135"/>
      <c r="AD24" s="135"/>
      <c r="AE24" s="135"/>
      <c r="AF24" s="126"/>
    </row>
    <row r="25" spans="2:34" ht="14.25" customHeight="1">
      <c r="B25" s="50" t="s">
        <v>5271</v>
      </c>
      <c r="C25" s="46">
        <v>3</v>
      </c>
      <c r="D25" s="46" t="s">
        <v>92</v>
      </c>
      <c r="E25" s="46" t="s">
        <v>92</v>
      </c>
      <c r="F25" s="46" t="s">
        <v>92</v>
      </c>
      <c r="G25" s="46" t="s">
        <v>516</v>
      </c>
      <c r="H25" s="46" t="s">
        <v>5272</v>
      </c>
      <c r="I25" s="1073" t="s">
        <v>5273</v>
      </c>
      <c r="J25" s="3494"/>
      <c r="K25" s="3275"/>
      <c r="L25" s="3276"/>
      <c r="M25" s="3276"/>
      <c r="N25" s="3276"/>
      <c r="O25" s="3276"/>
      <c r="P25" s="73"/>
      <c r="Q25" s="51" t="s">
        <v>1788</v>
      </c>
      <c r="R25" s="47" t="s">
        <v>109</v>
      </c>
      <c r="S25" s="47">
        <v>12</v>
      </c>
      <c r="T25" s="47">
        <v>7</v>
      </c>
      <c r="U25" s="47">
        <v>2</v>
      </c>
      <c r="V25" s="47">
        <v>200</v>
      </c>
      <c r="W25" s="1074" t="s">
        <v>5169</v>
      </c>
      <c r="X25" s="49" t="s">
        <v>5213</v>
      </c>
      <c r="Y25" s="80" t="s">
        <v>4572</v>
      </c>
      <c r="Z25" s="3507"/>
      <c r="AA25" s="135"/>
      <c r="AB25" s="135"/>
      <c r="AC25" s="136"/>
      <c r="AD25" s="136"/>
      <c r="AE25" s="136"/>
      <c r="AF25" s="126"/>
    </row>
    <row r="26" spans="2:34" ht="14.25" customHeight="1">
      <c r="B26" s="52" t="s">
        <v>5274</v>
      </c>
      <c r="C26" s="53">
        <v>2</v>
      </c>
      <c r="D26" s="53" t="s">
        <v>92</v>
      </c>
      <c r="E26" s="53" t="s">
        <v>92</v>
      </c>
      <c r="F26" s="53" t="s">
        <v>92</v>
      </c>
      <c r="G26" s="53" t="s">
        <v>175</v>
      </c>
      <c r="H26" s="53" t="s">
        <v>4572</v>
      </c>
      <c r="I26" s="81" t="s">
        <v>4819</v>
      </c>
      <c r="J26" s="3494"/>
      <c r="K26" s="3277"/>
      <c r="L26" s="3278"/>
      <c r="M26" s="3278"/>
      <c r="N26" s="3278"/>
      <c r="O26" s="3278"/>
      <c r="P26" s="73"/>
      <c r="Q26" s="105" t="s">
        <v>5275</v>
      </c>
      <c r="R26" s="106" t="s">
        <v>109</v>
      </c>
      <c r="S26" s="106">
        <v>12</v>
      </c>
      <c r="T26" s="106">
        <v>6</v>
      </c>
      <c r="U26" s="106">
        <v>2</v>
      </c>
      <c r="V26" s="106">
        <v>50</v>
      </c>
      <c r="W26" s="1072" t="s">
        <v>5169</v>
      </c>
      <c r="X26" s="107" t="s">
        <v>5164</v>
      </c>
      <c r="Y26" s="134" t="s">
        <v>4572</v>
      </c>
      <c r="Z26" s="3507"/>
      <c r="AA26" s="135"/>
      <c r="AB26" s="135"/>
      <c r="AC26" s="136"/>
      <c r="AD26" s="136"/>
      <c r="AE26" s="136"/>
      <c r="AF26" s="126"/>
    </row>
    <row r="27" spans="2:34" ht="14.25" customHeight="1">
      <c r="B27" s="54" t="s">
        <v>5276</v>
      </c>
      <c r="C27" s="55">
        <v>1</v>
      </c>
      <c r="D27" s="55">
        <v>0</v>
      </c>
      <c r="E27" s="55" t="s">
        <v>1491</v>
      </c>
      <c r="F27" s="55" t="s">
        <v>5167</v>
      </c>
      <c r="G27" s="55" t="s">
        <v>175</v>
      </c>
      <c r="H27" s="55" t="s">
        <v>4572</v>
      </c>
      <c r="I27" s="82" t="s">
        <v>5277</v>
      </c>
      <c r="J27" s="3495" t="s">
        <v>1491</v>
      </c>
      <c r="K27" s="3279" t="s">
        <v>5278</v>
      </c>
      <c r="L27" s="3280"/>
      <c r="M27" s="3280"/>
      <c r="N27" s="3280"/>
      <c r="O27" s="3281"/>
      <c r="P27" s="73"/>
      <c r="Q27" s="51" t="s">
        <v>5279</v>
      </c>
      <c r="R27" s="47" t="s">
        <v>109</v>
      </c>
      <c r="S27" s="47">
        <v>14</v>
      </c>
      <c r="T27" s="47">
        <v>5</v>
      </c>
      <c r="U27" s="47">
        <v>2</v>
      </c>
      <c r="V27" s="47" t="s">
        <v>5162</v>
      </c>
      <c r="W27" s="1074" t="s">
        <v>5163</v>
      </c>
      <c r="X27" s="49" t="s">
        <v>5164</v>
      </c>
      <c r="Y27" s="80" t="s">
        <v>3276</v>
      </c>
      <c r="Z27" s="3507"/>
      <c r="AA27" s="135"/>
      <c r="AB27" s="135"/>
      <c r="AC27" s="136"/>
      <c r="AD27" s="136"/>
      <c r="AE27" s="136"/>
      <c r="AF27" s="126"/>
    </row>
    <row r="28" spans="2:34" ht="14.25" customHeight="1">
      <c r="B28" s="51" t="s">
        <v>5280</v>
      </c>
      <c r="C28" s="47">
        <v>1</v>
      </c>
      <c r="D28" s="47">
        <v>0</v>
      </c>
      <c r="E28" s="47" t="s">
        <v>1497</v>
      </c>
      <c r="F28" s="47" t="s">
        <v>5167</v>
      </c>
      <c r="G28" s="47" t="s">
        <v>516</v>
      </c>
      <c r="H28" s="47" t="s">
        <v>4654</v>
      </c>
      <c r="I28" s="80" t="s">
        <v>4819</v>
      </c>
      <c r="J28" s="3495"/>
      <c r="K28" s="3282"/>
      <c r="L28" s="3282"/>
      <c r="M28" s="3282"/>
      <c r="N28" s="3282"/>
      <c r="O28" s="3283"/>
      <c r="P28" s="73"/>
      <c r="Q28" s="105" t="s">
        <v>5281</v>
      </c>
      <c r="R28" s="106" t="s">
        <v>109</v>
      </c>
      <c r="S28" s="106">
        <v>11</v>
      </c>
      <c r="T28" s="106">
        <v>1</v>
      </c>
      <c r="U28" s="106">
        <v>0</v>
      </c>
      <c r="V28" s="106">
        <v>1</v>
      </c>
      <c r="W28" s="1072" t="s">
        <v>5169</v>
      </c>
      <c r="X28" s="107" t="s">
        <v>92</v>
      </c>
      <c r="Y28" s="134" t="s">
        <v>3276</v>
      </c>
      <c r="Z28" s="3507"/>
      <c r="AA28" s="136"/>
      <c r="AB28" s="136"/>
      <c r="AC28" s="136"/>
      <c r="AD28" s="136"/>
      <c r="AE28" s="136"/>
      <c r="AF28" s="126"/>
    </row>
    <row r="29" spans="2:34" ht="14.25" customHeight="1">
      <c r="B29" s="54" t="s">
        <v>5282</v>
      </c>
      <c r="C29" s="55">
        <v>1</v>
      </c>
      <c r="D29" s="55">
        <v>0</v>
      </c>
      <c r="E29" s="55" t="s">
        <v>5283</v>
      </c>
      <c r="F29" s="55" t="s">
        <v>5167</v>
      </c>
      <c r="G29" s="55" t="s">
        <v>516</v>
      </c>
      <c r="H29" s="55" t="s">
        <v>4572</v>
      </c>
      <c r="I29" s="82" t="s">
        <v>5284</v>
      </c>
      <c r="J29" s="3495"/>
      <c r="K29" s="3284"/>
      <c r="L29" s="3284"/>
      <c r="M29" s="3284"/>
      <c r="N29" s="3284"/>
      <c r="O29" s="3285"/>
      <c r="P29" s="83"/>
      <c r="Q29" s="51" t="s">
        <v>5285</v>
      </c>
      <c r="R29" s="47" t="s">
        <v>109</v>
      </c>
      <c r="S29" s="47">
        <v>14</v>
      </c>
      <c r="T29" s="47">
        <v>4</v>
      </c>
      <c r="U29" s="47">
        <v>0</v>
      </c>
      <c r="V29" s="47">
        <v>2</v>
      </c>
      <c r="W29" s="1074" t="s">
        <v>5169</v>
      </c>
      <c r="X29" s="49" t="s">
        <v>5164</v>
      </c>
      <c r="Y29" s="80" t="s">
        <v>4572</v>
      </c>
      <c r="Z29" s="3507"/>
      <c r="AA29" s="136"/>
      <c r="AB29" s="136"/>
      <c r="AC29" s="136"/>
      <c r="AD29" s="136"/>
      <c r="AE29" s="136"/>
      <c r="AF29" s="126"/>
    </row>
    <row r="30" spans="2:34" ht="14.25" customHeight="1">
      <c r="B30" s="51" t="s">
        <v>5286</v>
      </c>
      <c r="C30" s="47" t="s">
        <v>5287</v>
      </c>
      <c r="D30" s="47">
        <v>0</v>
      </c>
      <c r="E30" s="47" t="s">
        <v>5288</v>
      </c>
      <c r="F30" s="47" t="s">
        <v>5167</v>
      </c>
      <c r="G30" s="47" t="s">
        <v>516</v>
      </c>
      <c r="H30" s="47" t="s">
        <v>4572</v>
      </c>
      <c r="I30" s="80" t="s">
        <v>5289</v>
      </c>
      <c r="J30" s="3495"/>
      <c r="K30" s="3325" t="s">
        <v>5290</v>
      </c>
      <c r="L30" s="3325"/>
      <c r="M30" s="3325"/>
      <c r="N30" s="3325"/>
      <c r="O30" s="3326"/>
      <c r="P30" s="83"/>
      <c r="Q30" s="105" t="s">
        <v>5291</v>
      </c>
      <c r="R30" s="106" t="s">
        <v>109</v>
      </c>
      <c r="S30" s="106">
        <v>14</v>
      </c>
      <c r="T30" s="106">
        <v>6</v>
      </c>
      <c r="U30" s="106">
        <v>2</v>
      </c>
      <c r="V30" s="106">
        <v>5</v>
      </c>
      <c r="W30" s="1072" t="s">
        <v>5169</v>
      </c>
      <c r="X30" s="107" t="s">
        <v>5213</v>
      </c>
      <c r="Y30" s="134" t="s">
        <v>4572</v>
      </c>
      <c r="Z30" s="3507"/>
      <c r="AA30" s="136"/>
      <c r="AB30" s="136"/>
      <c r="AC30" s="136"/>
      <c r="AD30" s="136"/>
      <c r="AE30" s="136"/>
      <c r="AF30" s="126"/>
    </row>
    <row r="31" spans="2:34" ht="14.25" customHeight="1">
      <c r="B31" s="56" t="s">
        <v>5292</v>
      </c>
      <c r="C31" s="57" t="s">
        <v>5293</v>
      </c>
      <c r="D31" s="57">
        <v>0</v>
      </c>
      <c r="E31" s="57" t="s">
        <v>5294</v>
      </c>
      <c r="F31" s="57" t="s">
        <v>5167</v>
      </c>
      <c r="G31" s="57" t="s">
        <v>516</v>
      </c>
      <c r="H31" s="57" t="s">
        <v>3276</v>
      </c>
      <c r="I31" s="84">
        <v>15</v>
      </c>
      <c r="J31" s="3495"/>
      <c r="K31" s="3327"/>
      <c r="L31" s="3327"/>
      <c r="M31" s="3327"/>
      <c r="N31" s="3327"/>
      <c r="O31" s="3328"/>
      <c r="P31" s="83"/>
      <c r="Q31" s="51" t="s">
        <v>5295</v>
      </c>
      <c r="R31" s="47" t="s">
        <v>362</v>
      </c>
      <c r="S31" s="47" t="s">
        <v>5296</v>
      </c>
      <c r="T31" s="47">
        <v>-1</v>
      </c>
      <c r="U31" s="47">
        <v>0</v>
      </c>
      <c r="V31" s="47">
        <v>1</v>
      </c>
      <c r="W31" s="1074" t="s">
        <v>5169</v>
      </c>
      <c r="X31" s="49" t="s">
        <v>92</v>
      </c>
      <c r="Y31" s="80" t="s">
        <v>3276</v>
      </c>
      <c r="Z31" s="3507"/>
      <c r="AA31" s="136"/>
      <c r="AB31" s="136"/>
      <c r="AC31" s="136"/>
      <c r="AD31" s="136"/>
      <c r="AE31" s="136"/>
      <c r="AF31" s="126"/>
      <c r="AG31" s="149"/>
      <c r="AH31" s="149"/>
    </row>
    <row r="32" spans="2:34" ht="14.25" customHeight="1">
      <c r="B32" s="51" t="s">
        <v>5297</v>
      </c>
      <c r="C32" s="47" t="s">
        <v>4646</v>
      </c>
      <c r="D32" s="47">
        <v>0</v>
      </c>
      <c r="E32" s="47" t="s">
        <v>1497</v>
      </c>
      <c r="F32" s="47" t="s">
        <v>5167</v>
      </c>
      <c r="G32" s="47" t="s">
        <v>516</v>
      </c>
      <c r="H32" s="47" t="s">
        <v>4572</v>
      </c>
      <c r="I32" s="1071" t="s">
        <v>4580</v>
      </c>
      <c r="J32" s="3495"/>
      <c r="K32" s="3329"/>
      <c r="L32" s="3329"/>
      <c r="M32" s="3329"/>
      <c r="N32" s="3329"/>
      <c r="O32" s="3330"/>
      <c r="P32" s="83"/>
      <c r="Q32" s="105" t="s">
        <v>5298</v>
      </c>
      <c r="R32" s="106" t="s">
        <v>362</v>
      </c>
      <c r="S32" s="106" t="s">
        <v>5296</v>
      </c>
      <c r="T32" s="106">
        <v>-1</v>
      </c>
      <c r="U32" s="106">
        <v>0</v>
      </c>
      <c r="V32" s="106">
        <v>1</v>
      </c>
      <c r="W32" s="1072" t="s">
        <v>5169</v>
      </c>
      <c r="X32" s="107" t="s">
        <v>92</v>
      </c>
      <c r="Y32" s="134" t="s">
        <v>4572</v>
      </c>
      <c r="Z32" s="3507"/>
      <c r="AA32" s="136"/>
      <c r="AB32" s="136"/>
      <c r="AC32" s="136"/>
      <c r="AD32" s="136"/>
      <c r="AE32" s="136"/>
      <c r="AF32" s="126"/>
      <c r="AG32" s="149"/>
      <c r="AH32" s="149"/>
    </row>
    <row r="33" spans="2:34" ht="14.25" customHeight="1">
      <c r="B33" s="54" t="s">
        <v>5299</v>
      </c>
      <c r="C33" s="55" t="s">
        <v>5300</v>
      </c>
      <c r="D33" s="55">
        <v>0</v>
      </c>
      <c r="E33" s="55" t="s">
        <v>1497</v>
      </c>
      <c r="F33" s="55" t="s">
        <v>5301</v>
      </c>
      <c r="G33" s="55" t="s">
        <v>175</v>
      </c>
      <c r="H33" s="55" t="s">
        <v>4572</v>
      </c>
      <c r="I33" s="82" t="s">
        <v>5302</v>
      </c>
      <c r="J33" s="3495"/>
      <c r="K33" s="83"/>
      <c r="L33" s="83"/>
      <c r="M33" s="83"/>
      <c r="N33" s="83"/>
      <c r="O33" s="83"/>
      <c r="P33" s="83"/>
      <c r="Q33" s="51" t="s">
        <v>5303</v>
      </c>
      <c r="R33" s="47" t="s">
        <v>110</v>
      </c>
      <c r="S33" s="47">
        <v>8</v>
      </c>
      <c r="T33" s="47">
        <v>4</v>
      </c>
      <c r="U33" s="47">
        <v>0</v>
      </c>
      <c r="V33" s="47">
        <v>1</v>
      </c>
      <c r="W33" s="1074" t="s">
        <v>5169</v>
      </c>
      <c r="X33" s="49" t="s">
        <v>92</v>
      </c>
      <c r="Y33" s="80" t="s">
        <v>4572</v>
      </c>
      <c r="Z33" s="3507"/>
      <c r="AA33" s="136"/>
      <c r="AB33" s="136"/>
      <c r="AC33" s="136"/>
      <c r="AD33" s="136"/>
      <c r="AE33" s="136"/>
      <c r="AF33" s="126"/>
      <c r="AG33" s="149"/>
      <c r="AH33" s="149"/>
    </row>
    <row r="34" spans="2:34" ht="14.25" customHeight="1">
      <c r="B34" s="51" t="s">
        <v>5304</v>
      </c>
      <c r="C34" s="47" t="s">
        <v>5305</v>
      </c>
      <c r="D34" s="47">
        <v>0</v>
      </c>
      <c r="E34" s="47" t="s">
        <v>5306</v>
      </c>
      <c r="F34" s="47" t="s">
        <v>5167</v>
      </c>
      <c r="G34" s="47" t="s">
        <v>175</v>
      </c>
      <c r="H34" s="47" t="s">
        <v>4572</v>
      </c>
      <c r="I34" s="1071" t="s">
        <v>4580</v>
      </c>
      <c r="J34" s="3495"/>
      <c r="K34" s="83"/>
      <c r="L34" s="83"/>
      <c r="M34" s="83"/>
      <c r="N34" s="83"/>
      <c r="O34" s="83"/>
      <c r="P34" s="83"/>
      <c r="Q34" s="105" t="s">
        <v>5307</v>
      </c>
      <c r="R34" s="106" t="s">
        <v>109</v>
      </c>
      <c r="S34" s="106">
        <v>10</v>
      </c>
      <c r="T34" s="106">
        <v>4</v>
      </c>
      <c r="U34" s="106">
        <v>0</v>
      </c>
      <c r="V34" s="106">
        <v>1</v>
      </c>
      <c r="W34" s="1072" t="s">
        <v>5169</v>
      </c>
      <c r="X34" s="107" t="s">
        <v>92</v>
      </c>
      <c r="Y34" s="134" t="s">
        <v>4572</v>
      </c>
      <c r="Z34" s="3507"/>
      <c r="AA34" s="136"/>
      <c r="AB34" s="136"/>
      <c r="AC34" s="136"/>
      <c r="AD34" s="136"/>
      <c r="AE34" s="136"/>
      <c r="AF34" s="126"/>
      <c r="AG34" s="149"/>
      <c r="AH34" s="149"/>
    </row>
    <row r="35" spans="2:34" ht="14.25" customHeight="1">
      <c r="B35" s="54" t="s">
        <v>5308</v>
      </c>
      <c r="C35" s="55" t="s">
        <v>4646</v>
      </c>
      <c r="D35" s="55">
        <v>0</v>
      </c>
      <c r="E35" s="55" t="s">
        <v>1491</v>
      </c>
      <c r="F35" s="55" t="s">
        <v>5167</v>
      </c>
      <c r="G35" s="55" t="s">
        <v>516</v>
      </c>
      <c r="H35" s="55" t="s">
        <v>4572</v>
      </c>
      <c r="I35" s="82" t="s">
        <v>5309</v>
      </c>
      <c r="J35" s="3495"/>
      <c r="K35" s="83"/>
      <c r="L35" s="83"/>
      <c r="M35" s="83"/>
      <c r="N35" s="83"/>
      <c r="O35" s="83"/>
      <c r="P35" s="83"/>
      <c r="Q35" s="51" t="s">
        <v>5310</v>
      </c>
      <c r="R35" s="47" t="s">
        <v>5311</v>
      </c>
      <c r="S35" s="47">
        <v>10</v>
      </c>
      <c r="T35" s="47">
        <v>4</v>
      </c>
      <c r="U35" s="47">
        <v>0</v>
      </c>
      <c r="V35" s="47">
        <v>1</v>
      </c>
      <c r="W35" s="1074" t="s">
        <v>5169</v>
      </c>
      <c r="X35" s="49" t="s">
        <v>92</v>
      </c>
      <c r="Y35" s="80" t="s">
        <v>4572</v>
      </c>
      <c r="Z35" s="3507"/>
      <c r="AA35" s="136"/>
      <c r="AB35" s="136"/>
      <c r="AC35" s="136"/>
      <c r="AD35" s="136"/>
      <c r="AE35" s="136"/>
      <c r="AF35" s="126"/>
      <c r="AG35" s="149"/>
      <c r="AH35" s="149"/>
    </row>
    <row r="36" spans="2:34" ht="14.25" customHeight="1">
      <c r="B36" s="51" t="s">
        <v>5312</v>
      </c>
      <c r="C36" s="47">
        <v>3</v>
      </c>
      <c r="D36" s="47">
        <v>0</v>
      </c>
      <c r="E36" s="47" t="s">
        <v>5313</v>
      </c>
      <c r="F36" s="47" t="s">
        <v>5167</v>
      </c>
      <c r="G36" s="47" t="s">
        <v>516</v>
      </c>
      <c r="H36" s="47" t="s">
        <v>5314</v>
      </c>
      <c r="I36" s="80" t="s">
        <v>4819</v>
      </c>
      <c r="J36" s="3495"/>
      <c r="K36" s="83"/>
      <c r="L36" s="3331" t="s">
        <v>5315</v>
      </c>
      <c r="M36" s="3331"/>
      <c r="N36" s="3331"/>
      <c r="O36" s="3331"/>
      <c r="P36" s="73"/>
      <c r="Q36" s="105" t="s">
        <v>5316</v>
      </c>
      <c r="R36" s="106" t="s">
        <v>5317</v>
      </c>
      <c r="S36" s="106">
        <v>9</v>
      </c>
      <c r="T36" s="106">
        <v>3</v>
      </c>
      <c r="U36" s="106">
        <v>0</v>
      </c>
      <c r="V36" s="106">
        <v>2</v>
      </c>
      <c r="W36" s="1072" t="s">
        <v>5169</v>
      </c>
      <c r="X36" s="107" t="s">
        <v>5164</v>
      </c>
      <c r="Y36" s="134" t="s">
        <v>4572</v>
      </c>
      <c r="Z36" s="3507"/>
      <c r="AA36" s="136"/>
      <c r="AB36" s="136"/>
      <c r="AC36" s="136"/>
      <c r="AD36" s="136"/>
      <c r="AE36" s="136"/>
      <c r="AF36" s="126"/>
      <c r="AG36" s="149"/>
      <c r="AH36" s="149"/>
    </row>
    <row r="37" spans="2:34" ht="14.25" customHeight="1">
      <c r="B37" s="54" t="s">
        <v>5318</v>
      </c>
      <c r="C37" s="55">
        <v>3</v>
      </c>
      <c r="D37" s="55">
        <v>0</v>
      </c>
      <c r="E37" s="55" t="s">
        <v>5319</v>
      </c>
      <c r="F37" s="55" t="s">
        <v>5167</v>
      </c>
      <c r="G37" s="55" t="s">
        <v>516</v>
      </c>
      <c r="H37" s="55" t="s">
        <v>5314</v>
      </c>
      <c r="I37" s="82" t="s">
        <v>4819</v>
      </c>
      <c r="J37" s="3495"/>
      <c r="K37" s="83"/>
      <c r="L37" s="3331"/>
      <c r="M37" s="3331"/>
      <c r="N37" s="3331"/>
      <c r="O37" s="3331"/>
      <c r="P37" s="73"/>
      <c r="Q37" s="108" t="s">
        <v>5320</v>
      </c>
      <c r="R37" s="109" t="s">
        <v>5199</v>
      </c>
      <c r="S37" s="109">
        <v>19</v>
      </c>
      <c r="T37" s="109">
        <v>65</v>
      </c>
      <c r="U37" s="109">
        <v>10</v>
      </c>
      <c r="V37" s="109">
        <v>300</v>
      </c>
      <c r="W37" s="1075" t="s">
        <v>5169</v>
      </c>
      <c r="X37" s="110" t="s">
        <v>5213</v>
      </c>
      <c r="Y37" s="137" t="s">
        <v>4572</v>
      </c>
      <c r="Z37" s="3421" t="s">
        <v>5321</v>
      </c>
      <c r="AA37" s="136"/>
      <c r="AB37" s="136"/>
      <c r="AC37" s="136"/>
      <c r="AD37" s="136"/>
      <c r="AE37" s="136"/>
      <c r="AF37" s="126"/>
      <c r="AG37" s="149"/>
      <c r="AH37" s="149"/>
    </row>
    <row r="38" spans="2:34" ht="14.25" customHeight="1">
      <c r="B38" s="51" t="s">
        <v>5322</v>
      </c>
      <c r="C38" s="47">
        <v>2</v>
      </c>
      <c r="D38" s="47">
        <v>0</v>
      </c>
      <c r="E38" s="47" t="s">
        <v>1491</v>
      </c>
      <c r="F38" s="47" t="s">
        <v>5167</v>
      </c>
      <c r="G38" s="47" t="s">
        <v>516</v>
      </c>
      <c r="H38" s="47" t="s">
        <v>5314</v>
      </c>
      <c r="I38" s="80" t="s">
        <v>4819</v>
      </c>
      <c r="J38" s="3495"/>
      <c r="K38" s="83"/>
      <c r="L38" s="3331"/>
      <c r="M38" s="3331"/>
      <c r="N38" s="3331"/>
      <c r="O38" s="3331"/>
      <c r="P38" s="73"/>
      <c r="Q38" s="51" t="s">
        <v>5323</v>
      </c>
      <c r="R38" s="47" t="s">
        <v>5324</v>
      </c>
      <c r="S38" s="47">
        <v>20</v>
      </c>
      <c r="T38" s="47">
        <v>45</v>
      </c>
      <c r="U38" s="47">
        <v>15</v>
      </c>
      <c r="V38" s="47">
        <v>1</v>
      </c>
      <c r="W38" s="1074" t="s">
        <v>5163</v>
      </c>
      <c r="X38" s="49" t="s">
        <v>5325</v>
      </c>
      <c r="Y38" s="80" t="s">
        <v>4572</v>
      </c>
      <c r="Z38" s="3421"/>
      <c r="AA38" s="136"/>
      <c r="AB38" s="136"/>
      <c r="AC38" s="136"/>
      <c r="AD38" s="136"/>
      <c r="AE38" s="136"/>
      <c r="AF38" s="126"/>
      <c r="AG38" s="149"/>
      <c r="AH38" s="149"/>
    </row>
    <row r="39" spans="2:34" ht="14.25" customHeight="1">
      <c r="B39" s="54" t="s">
        <v>5326</v>
      </c>
      <c r="C39" s="55">
        <v>4</v>
      </c>
      <c r="D39" s="55">
        <v>0</v>
      </c>
      <c r="E39" s="55" t="s">
        <v>5283</v>
      </c>
      <c r="F39" s="55" t="s">
        <v>5167</v>
      </c>
      <c r="G39" s="58" t="s">
        <v>516</v>
      </c>
      <c r="H39" s="55" t="s">
        <v>5327</v>
      </c>
      <c r="I39" s="82" t="s">
        <v>4819</v>
      </c>
      <c r="J39" s="3495"/>
      <c r="K39" s="83"/>
      <c r="L39" s="3331"/>
      <c r="M39" s="3331"/>
      <c r="N39" s="3331"/>
      <c r="O39" s="3331"/>
      <c r="P39" s="73"/>
      <c r="Q39" s="108" t="s">
        <v>5328</v>
      </c>
      <c r="R39" s="109" t="s">
        <v>5324</v>
      </c>
      <c r="S39" s="109">
        <v>19</v>
      </c>
      <c r="T39" s="109">
        <v>53</v>
      </c>
      <c r="U39" s="109">
        <v>20</v>
      </c>
      <c r="V39" s="109">
        <v>2</v>
      </c>
      <c r="W39" s="1075" t="s">
        <v>5163</v>
      </c>
      <c r="X39" s="110" t="s">
        <v>5325</v>
      </c>
      <c r="Y39" s="137" t="s">
        <v>4572</v>
      </c>
      <c r="Z39" s="3421"/>
      <c r="AA39" s="3294" t="s">
        <v>5329</v>
      </c>
      <c r="AB39" s="3295"/>
      <c r="AC39" s="3295"/>
      <c r="AD39" s="3295"/>
      <c r="AE39" s="3296"/>
      <c r="AF39" s="126"/>
      <c r="AG39" s="149"/>
      <c r="AH39" s="149"/>
    </row>
    <row r="40" spans="2:34" ht="14.25" customHeight="1">
      <c r="B40" s="59" t="s">
        <v>5330</v>
      </c>
      <c r="C40" s="60">
        <v>4</v>
      </c>
      <c r="D40" s="60">
        <v>0</v>
      </c>
      <c r="E40" s="60" t="s">
        <v>5283</v>
      </c>
      <c r="F40" s="60" t="s">
        <v>5167</v>
      </c>
      <c r="G40" s="61" t="s">
        <v>516</v>
      </c>
      <c r="H40" s="60" t="s">
        <v>5331</v>
      </c>
      <c r="I40" s="85" t="s">
        <v>4819</v>
      </c>
      <c r="J40" s="3495"/>
      <c r="K40" s="83"/>
      <c r="L40" s="3331"/>
      <c r="M40" s="3331"/>
      <c r="N40" s="3331"/>
      <c r="O40" s="3331"/>
      <c r="P40" s="73"/>
      <c r="Q40" s="51" t="s">
        <v>5332</v>
      </c>
      <c r="R40" s="47" t="s">
        <v>5199</v>
      </c>
      <c r="S40" s="47">
        <v>18</v>
      </c>
      <c r="T40" s="47">
        <v>35</v>
      </c>
      <c r="U40" s="47">
        <v>7</v>
      </c>
      <c r="V40" s="47" t="s">
        <v>5333</v>
      </c>
      <c r="W40" s="1074" t="s">
        <v>5169</v>
      </c>
      <c r="X40" s="49" t="s">
        <v>5213</v>
      </c>
      <c r="Y40" s="80" t="s">
        <v>3276</v>
      </c>
      <c r="Z40" s="3421"/>
      <c r="AA40" s="3297"/>
      <c r="AB40" s="3298"/>
      <c r="AC40" s="3298"/>
      <c r="AD40" s="3298"/>
      <c r="AE40" s="3299"/>
      <c r="AF40" s="126"/>
    </row>
    <row r="41" spans="2:34" ht="14.25" customHeight="1">
      <c r="B41" s="54" t="s">
        <v>5334</v>
      </c>
      <c r="C41" s="58">
        <v>1</v>
      </c>
      <c r="D41" s="55">
        <v>0</v>
      </c>
      <c r="E41" s="55" t="s">
        <v>5306</v>
      </c>
      <c r="F41" s="55" t="s">
        <v>5167</v>
      </c>
      <c r="G41" s="58" t="s">
        <v>175</v>
      </c>
      <c r="H41" s="55" t="s">
        <v>5335</v>
      </c>
      <c r="I41" s="82" t="s">
        <v>5336</v>
      </c>
      <c r="J41" s="3495"/>
      <c r="K41" s="83"/>
      <c r="L41" s="3331"/>
      <c r="M41" s="3331"/>
      <c r="N41" s="3331"/>
      <c r="O41" s="3331"/>
      <c r="P41" s="73"/>
      <c r="Q41" s="108" t="s">
        <v>5337</v>
      </c>
      <c r="R41" s="109" t="s">
        <v>5199</v>
      </c>
      <c r="S41" s="109">
        <v>18</v>
      </c>
      <c r="T41" s="109">
        <v>60</v>
      </c>
      <c r="U41" s="109">
        <v>15</v>
      </c>
      <c r="V41" s="109">
        <v>2</v>
      </c>
      <c r="W41" s="1075" t="s">
        <v>5163</v>
      </c>
      <c r="X41" s="110" t="s">
        <v>5325</v>
      </c>
      <c r="Y41" s="137" t="s">
        <v>4572</v>
      </c>
      <c r="Z41" s="3421"/>
      <c r="AA41" s="3300"/>
      <c r="AB41" s="3301"/>
      <c r="AC41" s="3301"/>
      <c r="AD41" s="3301"/>
      <c r="AE41" s="3302"/>
      <c r="AF41" s="126"/>
    </row>
    <row r="42" spans="2:34" ht="14.25" customHeight="1">
      <c r="B42" s="62" t="s">
        <v>5338</v>
      </c>
      <c r="C42" s="63">
        <v>2</v>
      </c>
      <c r="D42" s="64">
        <v>0</v>
      </c>
      <c r="E42" s="64" t="s">
        <v>5339</v>
      </c>
      <c r="F42" s="64" t="s">
        <v>5157</v>
      </c>
      <c r="G42" s="63" t="s">
        <v>175</v>
      </c>
      <c r="H42" s="64" t="s">
        <v>4572</v>
      </c>
      <c r="I42" s="86" t="s">
        <v>5340</v>
      </c>
      <c r="J42" s="3496" t="s">
        <v>5341</v>
      </c>
      <c r="K42" s="83"/>
      <c r="L42" s="3331"/>
      <c r="M42" s="3331"/>
      <c r="N42" s="3331"/>
      <c r="O42" s="3331"/>
      <c r="P42" s="73"/>
      <c r="Q42" s="51" t="s">
        <v>5342</v>
      </c>
      <c r="R42" s="47" t="s">
        <v>5199</v>
      </c>
      <c r="S42" s="47">
        <v>16</v>
      </c>
      <c r="T42" s="47">
        <v>64</v>
      </c>
      <c r="U42" s="47">
        <v>10</v>
      </c>
      <c r="V42" s="47">
        <v>2</v>
      </c>
      <c r="W42" s="1074" t="s">
        <v>5169</v>
      </c>
      <c r="X42" s="49" t="s">
        <v>5213</v>
      </c>
      <c r="Y42" s="80" t="s">
        <v>4572</v>
      </c>
      <c r="Z42" s="3421"/>
      <c r="AA42" s="3332" t="s">
        <v>5343</v>
      </c>
      <c r="AB42" s="3333"/>
      <c r="AC42" s="3333"/>
      <c r="AD42" s="3333"/>
      <c r="AE42" s="3334"/>
      <c r="AF42" s="126"/>
    </row>
    <row r="43" spans="2:34" ht="14.25" customHeight="1">
      <c r="B43" s="51" t="s">
        <v>5344</v>
      </c>
      <c r="C43" s="49">
        <v>2</v>
      </c>
      <c r="D43" s="47">
        <v>0</v>
      </c>
      <c r="E43" s="47" t="s">
        <v>5345</v>
      </c>
      <c r="F43" s="47" t="s">
        <v>5157</v>
      </c>
      <c r="G43" s="49" t="s">
        <v>175</v>
      </c>
      <c r="H43" s="47" t="s">
        <v>3276</v>
      </c>
      <c r="I43" s="80">
        <v>160</v>
      </c>
      <c r="J43" s="3496"/>
      <c r="K43" s="83"/>
      <c r="L43" s="3331"/>
      <c r="M43" s="3331"/>
      <c r="N43" s="3331"/>
      <c r="O43" s="3331"/>
      <c r="P43" s="73"/>
      <c r="Q43" s="108" t="s">
        <v>5346</v>
      </c>
      <c r="R43" s="109" t="s">
        <v>5324</v>
      </c>
      <c r="S43" s="109" t="s">
        <v>5347</v>
      </c>
      <c r="T43" s="109">
        <v>35</v>
      </c>
      <c r="U43" s="109">
        <v>20</v>
      </c>
      <c r="V43" s="109">
        <v>1</v>
      </c>
      <c r="W43" s="1075" t="s">
        <v>5163</v>
      </c>
      <c r="X43" s="110" t="s">
        <v>92</v>
      </c>
      <c r="Y43" s="137" t="s">
        <v>3276</v>
      </c>
      <c r="Z43" s="3421"/>
      <c r="AA43" s="3335"/>
      <c r="AB43" s="3336"/>
      <c r="AC43" s="3336"/>
      <c r="AD43" s="3336"/>
      <c r="AE43" s="3337"/>
      <c r="AF43" s="126"/>
    </row>
    <row r="44" spans="2:34" ht="14.25" customHeight="1">
      <c r="B44" s="62" t="s">
        <v>5348</v>
      </c>
      <c r="C44" s="63">
        <v>2</v>
      </c>
      <c r="D44" s="64">
        <v>0</v>
      </c>
      <c r="E44" s="64" t="s">
        <v>5349</v>
      </c>
      <c r="F44" s="64" t="s">
        <v>5350</v>
      </c>
      <c r="G44" s="63" t="s">
        <v>516</v>
      </c>
      <c r="H44" s="64" t="s">
        <v>4572</v>
      </c>
      <c r="I44" s="1076" t="s">
        <v>5351</v>
      </c>
      <c r="J44" s="3496"/>
      <c r="K44" s="83"/>
      <c r="L44" s="3331"/>
      <c r="M44" s="3331"/>
      <c r="N44" s="3331"/>
      <c r="O44" s="3331"/>
      <c r="P44" s="73"/>
      <c r="Q44" s="51" t="s">
        <v>5352</v>
      </c>
      <c r="R44" s="49" t="s">
        <v>5199</v>
      </c>
      <c r="S44" s="47">
        <v>15</v>
      </c>
      <c r="T44" s="49">
        <v>20</v>
      </c>
      <c r="U44" s="49">
        <v>4</v>
      </c>
      <c r="V44" s="49">
        <v>8</v>
      </c>
      <c r="W44" s="1077" t="s">
        <v>5169</v>
      </c>
      <c r="X44" s="49" t="s">
        <v>5164</v>
      </c>
      <c r="Y44" s="79" t="s">
        <v>3276</v>
      </c>
      <c r="Z44" s="3421"/>
      <c r="AA44" s="3335"/>
      <c r="AB44" s="3336"/>
      <c r="AC44" s="3336"/>
      <c r="AD44" s="3336"/>
      <c r="AE44" s="3337"/>
      <c r="AF44" s="126"/>
    </row>
    <row r="45" spans="2:34" ht="14.25" customHeight="1">
      <c r="B45" s="51" t="s">
        <v>5353</v>
      </c>
      <c r="C45" s="49">
        <v>3</v>
      </c>
      <c r="D45" s="47">
        <v>0</v>
      </c>
      <c r="E45" s="47" t="s">
        <v>5354</v>
      </c>
      <c r="F45" s="47" t="s">
        <v>5157</v>
      </c>
      <c r="G45" s="49" t="s">
        <v>516</v>
      </c>
      <c r="H45" s="47" t="s">
        <v>3276</v>
      </c>
      <c r="I45" s="80">
        <v>35</v>
      </c>
      <c r="J45" s="3496"/>
      <c r="K45" s="83"/>
      <c r="L45" s="3331"/>
      <c r="M45" s="3331"/>
      <c r="N45" s="3331"/>
      <c r="O45" s="3331"/>
      <c r="P45" s="73"/>
      <c r="Q45" s="111" t="s">
        <v>5355</v>
      </c>
      <c r="R45" s="112" t="s">
        <v>377</v>
      </c>
      <c r="S45" s="113">
        <v>14</v>
      </c>
      <c r="T45" s="114">
        <v>-2</v>
      </c>
      <c r="U45" s="114">
        <v>0</v>
      </c>
      <c r="V45" s="114" t="s">
        <v>92</v>
      </c>
      <c r="W45" s="114" t="s">
        <v>92</v>
      </c>
      <c r="X45" s="113" t="s">
        <v>92</v>
      </c>
      <c r="Y45" s="138" t="s">
        <v>3276</v>
      </c>
      <c r="Z45" s="3421"/>
      <c r="AA45" s="3338"/>
      <c r="AB45" s="3339"/>
      <c r="AC45" s="3339"/>
      <c r="AD45" s="3339"/>
      <c r="AE45" s="3340"/>
      <c r="AF45" s="126"/>
    </row>
    <row r="46" spans="2:34" ht="14.25" customHeight="1">
      <c r="B46" s="62" t="s">
        <v>5356</v>
      </c>
      <c r="C46" s="63">
        <v>4</v>
      </c>
      <c r="D46" s="64">
        <v>1</v>
      </c>
      <c r="E46" s="64" t="s">
        <v>5357</v>
      </c>
      <c r="F46" s="64" t="s">
        <v>5157</v>
      </c>
      <c r="G46" s="63" t="s">
        <v>516</v>
      </c>
      <c r="H46" s="64" t="s">
        <v>5314</v>
      </c>
      <c r="I46" s="86" t="s">
        <v>4819</v>
      </c>
      <c r="J46" s="3496"/>
      <c r="K46" s="83"/>
      <c r="L46" s="87"/>
      <c r="M46" s="87"/>
      <c r="N46" s="87"/>
      <c r="O46" s="87"/>
      <c r="P46" s="73"/>
      <c r="Q46" s="50" t="s">
        <v>5358</v>
      </c>
      <c r="R46" s="46" t="s">
        <v>5199</v>
      </c>
      <c r="S46" s="46" t="s">
        <v>92</v>
      </c>
      <c r="T46" s="46">
        <v>6</v>
      </c>
      <c r="U46" s="46">
        <v>0</v>
      </c>
      <c r="V46" s="46">
        <v>9</v>
      </c>
      <c r="W46" s="1078" t="s">
        <v>5169</v>
      </c>
      <c r="X46" s="115" t="s">
        <v>5164</v>
      </c>
      <c r="Y46" s="78" t="s">
        <v>4572</v>
      </c>
      <c r="Z46" s="3421"/>
      <c r="AA46" s="139"/>
      <c r="AB46" s="136"/>
      <c r="AC46" s="136"/>
      <c r="AD46" s="136"/>
      <c r="AE46" s="136"/>
      <c r="AF46" s="126"/>
    </row>
    <row r="47" spans="2:34" ht="14.25" customHeight="1">
      <c r="B47" s="51" t="s">
        <v>5359</v>
      </c>
      <c r="C47" s="49">
        <v>4</v>
      </c>
      <c r="D47" s="47">
        <v>1</v>
      </c>
      <c r="E47" s="47" t="s">
        <v>5357</v>
      </c>
      <c r="F47" s="47" t="s">
        <v>5157</v>
      </c>
      <c r="G47" s="49" t="s">
        <v>516</v>
      </c>
      <c r="H47" s="47" t="s">
        <v>5314</v>
      </c>
      <c r="I47" s="80" t="s">
        <v>4819</v>
      </c>
      <c r="J47" s="3496"/>
      <c r="K47" s="83"/>
      <c r="L47" s="87"/>
      <c r="M47" s="87"/>
      <c r="N47" s="87"/>
      <c r="O47" s="87"/>
      <c r="P47" s="73"/>
      <c r="Q47" s="51" t="s">
        <v>5360</v>
      </c>
      <c r="R47" s="47" t="s">
        <v>5199</v>
      </c>
      <c r="S47" s="47">
        <v>12</v>
      </c>
      <c r="T47" s="47">
        <v>20</v>
      </c>
      <c r="U47" s="47">
        <v>2</v>
      </c>
      <c r="V47" s="47" t="s">
        <v>5361</v>
      </c>
      <c r="W47" s="1074" t="s">
        <v>5163</v>
      </c>
      <c r="X47" s="49" t="s">
        <v>5325</v>
      </c>
      <c r="Y47" s="80" t="s">
        <v>13</v>
      </c>
      <c r="Z47" s="3421"/>
      <c r="AA47" s="139"/>
      <c r="AB47" s="136"/>
      <c r="AC47" s="136"/>
      <c r="AD47" s="136"/>
      <c r="AE47" s="136"/>
      <c r="AF47" s="126"/>
    </row>
    <row r="48" spans="2:34" ht="14.25" customHeight="1">
      <c r="B48" s="62" t="s">
        <v>5362</v>
      </c>
      <c r="C48" s="63">
        <v>4</v>
      </c>
      <c r="D48" s="64">
        <v>1</v>
      </c>
      <c r="E48" s="64" t="s">
        <v>5357</v>
      </c>
      <c r="F48" s="64" t="s">
        <v>5157</v>
      </c>
      <c r="G48" s="63" t="s">
        <v>516</v>
      </c>
      <c r="H48" s="64" t="s">
        <v>5314</v>
      </c>
      <c r="I48" s="86" t="s">
        <v>4819</v>
      </c>
      <c r="J48" s="3496"/>
      <c r="K48" s="83"/>
      <c r="L48" s="87"/>
      <c r="M48" s="87"/>
      <c r="N48" s="87"/>
      <c r="O48" s="87"/>
      <c r="P48" s="73"/>
      <c r="Q48" s="108" t="s">
        <v>5363</v>
      </c>
      <c r="R48" s="109" t="s">
        <v>5324</v>
      </c>
      <c r="S48" s="109">
        <v>12</v>
      </c>
      <c r="T48" s="109">
        <v>3</v>
      </c>
      <c r="U48" s="109">
        <v>0</v>
      </c>
      <c r="V48" s="109" t="s">
        <v>5361</v>
      </c>
      <c r="W48" s="1075" t="s">
        <v>5163</v>
      </c>
      <c r="X48" s="110" t="s">
        <v>5325</v>
      </c>
      <c r="Y48" s="137" t="s">
        <v>4572</v>
      </c>
      <c r="Z48" s="3421"/>
      <c r="AA48" s="139"/>
      <c r="AB48" s="136"/>
      <c r="AC48" s="136"/>
      <c r="AD48" s="136"/>
      <c r="AE48" s="136"/>
      <c r="AF48" s="126"/>
    </row>
    <row r="49" spans="2:32" ht="14.25" customHeight="1">
      <c r="B49" s="51" t="s">
        <v>5364</v>
      </c>
      <c r="C49" s="49">
        <v>5</v>
      </c>
      <c r="D49" s="47">
        <v>1</v>
      </c>
      <c r="E49" s="47" t="s">
        <v>5365</v>
      </c>
      <c r="F49" s="47" t="s">
        <v>5157</v>
      </c>
      <c r="G49" s="49" t="s">
        <v>516</v>
      </c>
      <c r="H49" s="47" t="s">
        <v>5314</v>
      </c>
      <c r="I49" s="80" t="s">
        <v>4819</v>
      </c>
      <c r="J49" s="3496"/>
      <c r="K49" s="83"/>
      <c r="L49" s="87"/>
      <c r="M49" s="87"/>
      <c r="N49" s="87"/>
      <c r="O49" s="87"/>
      <c r="P49" s="73"/>
      <c r="Q49" s="116" t="s">
        <v>5366</v>
      </c>
      <c r="R49" s="117" t="s">
        <v>5231</v>
      </c>
      <c r="S49" s="117">
        <v>9</v>
      </c>
      <c r="T49" s="117">
        <v>3</v>
      </c>
      <c r="U49" s="117">
        <v>0</v>
      </c>
      <c r="V49" s="117" t="s">
        <v>5361</v>
      </c>
      <c r="W49" s="1079" t="s">
        <v>5163</v>
      </c>
      <c r="X49" s="1080" t="s">
        <v>5163</v>
      </c>
      <c r="Y49" s="140" t="s">
        <v>5314</v>
      </c>
      <c r="Z49" s="3422" t="s">
        <v>5367</v>
      </c>
      <c r="AA49" s="139"/>
      <c r="AB49" s="136"/>
      <c r="AC49" s="136"/>
      <c r="AD49" s="136"/>
      <c r="AE49" s="136"/>
      <c r="AF49" s="126"/>
    </row>
    <row r="50" spans="2:32" ht="14.25" customHeight="1">
      <c r="B50" s="62" t="s">
        <v>5368</v>
      </c>
      <c r="C50" s="63">
        <v>4</v>
      </c>
      <c r="D50" s="64">
        <v>0</v>
      </c>
      <c r="E50" s="64" t="s">
        <v>5357</v>
      </c>
      <c r="F50" s="64" t="s">
        <v>5157</v>
      </c>
      <c r="G50" s="63" t="s">
        <v>516</v>
      </c>
      <c r="H50" s="64" t="s">
        <v>5314</v>
      </c>
      <c r="I50" s="86" t="s">
        <v>4819</v>
      </c>
      <c r="J50" s="3496"/>
      <c r="K50" s="83"/>
      <c r="L50" s="87"/>
      <c r="M50" s="87"/>
      <c r="N50" s="87"/>
      <c r="O50" s="87"/>
      <c r="P50" s="73"/>
      <c r="Q50" s="51" t="s">
        <v>5369</v>
      </c>
      <c r="R50" s="47" t="s">
        <v>5231</v>
      </c>
      <c r="S50" s="47">
        <v>9</v>
      </c>
      <c r="T50" s="47">
        <v>3</v>
      </c>
      <c r="U50" s="47">
        <v>0</v>
      </c>
      <c r="V50" s="47" t="s">
        <v>5370</v>
      </c>
      <c r="W50" s="1074" t="s">
        <v>5237</v>
      </c>
      <c r="X50" s="49" t="s">
        <v>5213</v>
      </c>
      <c r="Y50" s="80" t="s">
        <v>5314</v>
      </c>
      <c r="Z50" s="3422"/>
      <c r="AA50" s="136"/>
      <c r="AB50" s="136"/>
      <c r="AC50" s="136"/>
      <c r="AD50" s="136"/>
      <c r="AE50" s="136"/>
      <c r="AF50" s="126"/>
    </row>
    <row r="51" spans="2:32" ht="14.25" customHeight="1">
      <c r="B51" s="51" t="s">
        <v>5371</v>
      </c>
      <c r="C51" s="49">
        <v>5</v>
      </c>
      <c r="D51" s="47">
        <v>1</v>
      </c>
      <c r="E51" s="47" t="s">
        <v>5365</v>
      </c>
      <c r="F51" s="47" t="s">
        <v>5157</v>
      </c>
      <c r="G51" s="49" t="s">
        <v>516</v>
      </c>
      <c r="H51" s="47" t="s">
        <v>5314</v>
      </c>
      <c r="I51" s="80" t="s">
        <v>4819</v>
      </c>
      <c r="J51" s="3496"/>
      <c r="K51" s="83"/>
      <c r="L51" s="87"/>
      <c r="M51" s="87"/>
      <c r="N51" s="87"/>
      <c r="O51" s="87"/>
      <c r="P51" s="73"/>
      <c r="Q51" s="116" t="s">
        <v>5372</v>
      </c>
      <c r="R51" s="117" t="s">
        <v>5373</v>
      </c>
      <c r="S51" s="117">
        <v>12</v>
      </c>
      <c r="T51" s="117">
        <v>4</v>
      </c>
      <c r="U51" s="117">
        <v>0</v>
      </c>
      <c r="V51" s="117">
        <v>13</v>
      </c>
      <c r="W51" s="1079" t="s">
        <v>5237</v>
      </c>
      <c r="X51" s="118" t="s">
        <v>5213</v>
      </c>
      <c r="Y51" s="140" t="s">
        <v>4572</v>
      </c>
      <c r="Z51" s="3422"/>
      <c r="AA51" s="136"/>
      <c r="AB51" s="136"/>
      <c r="AC51" s="136"/>
      <c r="AD51" s="136"/>
      <c r="AE51" s="136"/>
      <c r="AF51" s="126"/>
    </row>
    <row r="52" spans="2:32" ht="14.25" customHeight="1">
      <c r="B52" s="62" t="s">
        <v>5374</v>
      </c>
      <c r="C52" s="63">
        <v>4</v>
      </c>
      <c r="D52" s="64">
        <v>1</v>
      </c>
      <c r="E52" s="64" t="s">
        <v>5365</v>
      </c>
      <c r="F52" s="64" t="s">
        <v>5157</v>
      </c>
      <c r="G52" s="63" t="s">
        <v>516</v>
      </c>
      <c r="H52" s="64" t="s">
        <v>5314</v>
      </c>
      <c r="I52" s="86" t="s">
        <v>4819</v>
      </c>
      <c r="J52" s="3496"/>
      <c r="K52" s="83"/>
      <c r="L52" s="87"/>
      <c r="M52" s="87"/>
      <c r="N52" s="87"/>
      <c r="O52" s="87"/>
      <c r="P52" s="73"/>
      <c r="Q52" s="51" t="s">
        <v>5375</v>
      </c>
      <c r="R52" s="47" t="s">
        <v>5373</v>
      </c>
      <c r="S52" s="119" t="s">
        <v>5376</v>
      </c>
      <c r="T52" s="47">
        <v>3</v>
      </c>
      <c r="U52" s="47">
        <v>0</v>
      </c>
      <c r="V52" s="47">
        <v>1</v>
      </c>
      <c r="W52" s="1074" t="s">
        <v>5169</v>
      </c>
      <c r="X52" s="49" t="s">
        <v>92</v>
      </c>
      <c r="Y52" s="80" t="s">
        <v>4572</v>
      </c>
      <c r="Z52" s="3422"/>
      <c r="AA52" s="136"/>
      <c r="AB52" s="136"/>
      <c r="AC52" s="136"/>
      <c r="AD52" s="136"/>
      <c r="AE52" s="136"/>
      <c r="AF52" s="126"/>
    </row>
    <row r="53" spans="2:32" ht="14.25" customHeight="1">
      <c r="B53" s="51" t="s">
        <v>5377</v>
      </c>
      <c r="C53" s="49">
        <v>3</v>
      </c>
      <c r="D53" s="47">
        <v>0</v>
      </c>
      <c r="E53" s="47" t="s">
        <v>5357</v>
      </c>
      <c r="F53" s="47" t="s">
        <v>5157</v>
      </c>
      <c r="G53" s="49" t="s">
        <v>516</v>
      </c>
      <c r="H53" s="47" t="s">
        <v>5314</v>
      </c>
      <c r="I53" s="80" t="s">
        <v>4819</v>
      </c>
      <c r="J53" s="3496"/>
      <c r="K53" s="83"/>
      <c r="L53" s="87"/>
      <c r="M53" s="87"/>
      <c r="N53" s="87"/>
      <c r="O53" s="87"/>
      <c r="P53" s="73"/>
      <c r="Q53" s="116" t="s">
        <v>5378</v>
      </c>
      <c r="R53" s="117" t="s">
        <v>5231</v>
      </c>
      <c r="S53" s="117">
        <v>8</v>
      </c>
      <c r="T53" s="117">
        <v>5</v>
      </c>
      <c r="U53" s="117">
        <v>0</v>
      </c>
      <c r="V53" s="117">
        <v>12</v>
      </c>
      <c r="W53" s="1079" t="s">
        <v>5169</v>
      </c>
      <c r="X53" s="118" t="s">
        <v>5164</v>
      </c>
      <c r="Y53" s="140" t="s">
        <v>5379</v>
      </c>
      <c r="Z53" s="3422"/>
      <c r="AA53" s="136"/>
      <c r="AB53" s="136"/>
      <c r="AC53" s="136"/>
      <c r="AD53" s="136"/>
      <c r="AE53" s="136"/>
      <c r="AF53" s="126"/>
    </row>
    <row r="54" spans="2:32" ht="14.25" customHeight="1">
      <c r="B54" s="62" t="s">
        <v>5380</v>
      </c>
      <c r="C54" s="63">
        <v>4</v>
      </c>
      <c r="D54" s="64">
        <v>0</v>
      </c>
      <c r="E54" s="64" t="s">
        <v>5156</v>
      </c>
      <c r="F54" s="64" t="s">
        <v>5157</v>
      </c>
      <c r="G54" s="63" t="s">
        <v>516</v>
      </c>
      <c r="H54" s="64" t="s">
        <v>3276</v>
      </c>
      <c r="I54" s="86">
        <v>40</v>
      </c>
      <c r="J54" s="3496"/>
      <c r="K54" s="83"/>
      <c r="L54" s="87"/>
      <c r="M54" s="87"/>
      <c r="N54" s="87"/>
      <c r="O54" s="87"/>
      <c r="P54" s="73"/>
      <c r="Q54" s="51" t="s">
        <v>5381</v>
      </c>
      <c r="R54" s="47" t="s">
        <v>5241</v>
      </c>
      <c r="S54" s="47">
        <v>13</v>
      </c>
      <c r="T54" s="47">
        <v>5</v>
      </c>
      <c r="U54" s="47">
        <v>0</v>
      </c>
      <c r="V54" s="47">
        <v>9</v>
      </c>
      <c r="W54" s="1074" t="s">
        <v>5232</v>
      </c>
      <c r="X54" s="49" t="s">
        <v>5164</v>
      </c>
      <c r="Y54" s="80" t="s">
        <v>4572</v>
      </c>
      <c r="Z54" s="3422"/>
      <c r="AA54" s="136"/>
      <c r="AB54" s="136"/>
      <c r="AC54" s="136"/>
      <c r="AD54" s="136"/>
      <c r="AE54" s="136"/>
      <c r="AF54" s="126"/>
    </row>
    <row r="55" spans="2:32" ht="14.25" customHeight="1">
      <c r="B55" s="51" t="s">
        <v>5382</v>
      </c>
      <c r="C55" s="49">
        <v>6</v>
      </c>
      <c r="D55" s="47">
        <v>0</v>
      </c>
      <c r="E55" s="47" t="s">
        <v>5156</v>
      </c>
      <c r="F55" s="47" t="s">
        <v>5157</v>
      </c>
      <c r="G55" s="49" t="s">
        <v>516</v>
      </c>
      <c r="H55" s="47" t="s">
        <v>4572</v>
      </c>
      <c r="I55" s="80" t="s">
        <v>4819</v>
      </c>
      <c r="J55" s="3496"/>
      <c r="K55" s="83"/>
      <c r="L55" s="87"/>
      <c r="M55" s="87"/>
      <c r="N55" s="87"/>
      <c r="O55" s="87"/>
      <c r="P55" s="73"/>
      <c r="Q55" s="116" t="s">
        <v>5383</v>
      </c>
      <c r="R55" s="117" t="s">
        <v>5253</v>
      </c>
      <c r="S55" s="117">
        <v>10</v>
      </c>
      <c r="T55" s="117">
        <v>12</v>
      </c>
      <c r="U55" s="117" t="s">
        <v>5246</v>
      </c>
      <c r="V55" s="117" t="s">
        <v>5384</v>
      </c>
      <c r="W55" s="1079" t="s">
        <v>5169</v>
      </c>
      <c r="X55" s="118" t="s">
        <v>5260</v>
      </c>
      <c r="Y55" s="140" t="s">
        <v>4572</v>
      </c>
      <c r="Z55" s="3422"/>
      <c r="AA55" s="135"/>
      <c r="AB55" s="136"/>
      <c r="AC55" s="136"/>
      <c r="AD55" s="136"/>
      <c r="AE55" s="136"/>
      <c r="AF55" s="126"/>
    </row>
    <row r="56" spans="2:32" ht="14.25" customHeight="1">
      <c r="B56" s="62" t="s">
        <v>5385</v>
      </c>
      <c r="C56" s="63">
        <v>5</v>
      </c>
      <c r="D56" s="64">
        <v>1</v>
      </c>
      <c r="E56" s="64" t="s">
        <v>5386</v>
      </c>
      <c r="F56" s="64" t="s">
        <v>5157</v>
      </c>
      <c r="G56" s="63" t="s">
        <v>516</v>
      </c>
      <c r="H56" s="64" t="s">
        <v>3276</v>
      </c>
      <c r="I56" s="86">
        <v>120</v>
      </c>
      <c r="J56" s="3496"/>
      <c r="K56" s="83"/>
      <c r="L56" s="87"/>
      <c r="M56" s="87"/>
      <c r="N56" s="87"/>
      <c r="O56" s="87"/>
      <c r="P56" s="73"/>
      <c r="Q56" s="51" t="s">
        <v>5387</v>
      </c>
      <c r="R56" s="47" t="s">
        <v>5253</v>
      </c>
      <c r="S56" s="47">
        <v>10</v>
      </c>
      <c r="T56" s="47">
        <v>11</v>
      </c>
      <c r="U56" s="47" t="s">
        <v>5246</v>
      </c>
      <c r="V56" s="47" t="s">
        <v>4026</v>
      </c>
      <c r="W56" s="1074" t="s">
        <v>5169</v>
      </c>
      <c r="X56" s="49" t="s">
        <v>5213</v>
      </c>
      <c r="Y56" s="80" t="s">
        <v>4572</v>
      </c>
      <c r="Z56" s="3422"/>
      <c r="AA56" s="135"/>
      <c r="AB56" s="136"/>
      <c r="AC56" s="136"/>
      <c r="AD56" s="136"/>
      <c r="AE56" s="136"/>
      <c r="AF56" s="126"/>
    </row>
    <row r="57" spans="2:32" ht="14.25" customHeight="1">
      <c r="B57" s="65" t="s">
        <v>5388</v>
      </c>
      <c r="C57" s="66">
        <v>12</v>
      </c>
      <c r="D57" s="66">
        <v>1</v>
      </c>
      <c r="E57" s="66" t="s">
        <v>5192</v>
      </c>
      <c r="F57" s="66" t="s">
        <v>5157</v>
      </c>
      <c r="G57" s="66" t="s">
        <v>516</v>
      </c>
      <c r="H57" s="66" t="s">
        <v>3276</v>
      </c>
      <c r="I57" s="88" t="s">
        <v>4819</v>
      </c>
      <c r="J57" s="3496"/>
      <c r="K57" s="83"/>
      <c r="L57" s="87"/>
      <c r="M57" s="87"/>
      <c r="N57" s="87"/>
      <c r="O57" s="87"/>
      <c r="P57" s="73"/>
      <c r="Q57" s="116" t="s">
        <v>5389</v>
      </c>
      <c r="R57" s="117" t="s">
        <v>5390</v>
      </c>
      <c r="S57" s="117">
        <v>7</v>
      </c>
      <c r="T57" s="117">
        <v>90</v>
      </c>
      <c r="U57" s="117" t="s">
        <v>5246</v>
      </c>
      <c r="V57" s="117" t="s">
        <v>5391</v>
      </c>
      <c r="W57" s="1079" t="s">
        <v>5204</v>
      </c>
      <c r="X57" s="118" t="s">
        <v>5392</v>
      </c>
      <c r="Y57" s="140" t="s">
        <v>4572</v>
      </c>
      <c r="Z57" s="3423"/>
      <c r="AA57" s="136"/>
      <c r="AB57" s="136"/>
      <c r="AC57" s="136"/>
      <c r="AD57" s="136"/>
      <c r="AE57" s="136"/>
      <c r="AF57" s="126"/>
    </row>
    <row r="58" spans="2:32" ht="14.25" customHeight="1">
      <c r="B58" s="62" t="s">
        <v>5393</v>
      </c>
      <c r="C58" s="63" t="s">
        <v>5394</v>
      </c>
      <c r="D58" s="64">
        <v>1</v>
      </c>
      <c r="E58" s="64" t="s">
        <v>5192</v>
      </c>
      <c r="F58" s="64" t="s">
        <v>5157</v>
      </c>
      <c r="G58" s="63" t="s">
        <v>175</v>
      </c>
      <c r="H58" s="64" t="s">
        <v>4572</v>
      </c>
      <c r="I58" s="86" t="s">
        <v>4819</v>
      </c>
      <c r="J58" s="3496"/>
      <c r="K58" s="83"/>
      <c r="L58" s="87"/>
      <c r="M58" s="87"/>
      <c r="N58" s="87"/>
      <c r="O58" s="87"/>
      <c r="P58" s="73"/>
      <c r="Q58" s="120" t="s">
        <v>5395</v>
      </c>
      <c r="R58" s="121" t="s">
        <v>5311</v>
      </c>
      <c r="S58" s="121">
        <v>13</v>
      </c>
      <c r="T58" s="121">
        <v>16</v>
      </c>
      <c r="U58" s="121">
        <v>6</v>
      </c>
      <c r="V58" s="121" t="s">
        <v>4253</v>
      </c>
      <c r="W58" s="1081" t="s">
        <v>5169</v>
      </c>
      <c r="X58" s="122" t="s">
        <v>5213</v>
      </c>
      <c r="Y58" s="141" t="s">
        <v>3276</v>
      </c>
      <c r="Z58" s="3424" t="s">
        <v>5396</v>
      </c>
      <c r="AA58" s="139"/>
      <c r="AB58" s="136"/>
      <c r="AC58" s="136"/>
      <c r="AD58" s="136"/>
      <c r="AE58" s="136"/>
      <c r="AF58" s="126"/>
    </row>
    <row r="59" spans="2:32" ht="14.25" customHeight="1">
      <c r="B59" s="67" t="s">
        <v>5397</v>
      </c>
      <c r="C59" s="68">
        <v>1</v>
      </c>
      <c r="D59" s="69">
        <v>0</v>
      </c>
      <c r="E59" s="69" t="s">
        <v>1644</v>
      </c>
      <c r="F59" s="69" t="s">
        <v>5398</v>
      </c>
      <c r="G59" s="68" t="s">
        <v>175</v>
      </c>
      <c r="H59" s="69" t="s">
        <v>4572</v>
      </c>
      <c r="I59" s="89" t="s">
        <v>5399</v>
      </c>
      <c r="J59" s="3497" t="s">
        <v>5400</v>
      </c>
      <c r="K59" s="83"/>
      <c r="L59" s="83"/>
      <c r="M59" s="73"/>
      <c r="N59" s="73"/>
      <c r="O59" s="73"/>
      <c r="P59" s="73"/>
      <c r="Q59" s="51" t="s">
        <v>5401</v>
      </c>
      <c r="R59" s="47" t="s">
        <v>5311</v>
      </c>
      <c r="S59" s="123">
        <v>11</v>
      </c>
      <c r="T59" s="47">
        <v>8</v>
      </c>
      <c r="U59" s="47">
        <v>4</v>
      </c>
      <c r="V59" s="47" t="s">
        <v>3943</v>
      </c>
      <c r="W59" s="1074" t="s">
        <v>5169</v>
      </c>
      <c r="X59" s="49" t="s">
        <v>5213</v>
      </c>
      <c r="Y59" s="80" t="s">
        <v>4572</v>
      </c>
      <c r="Z59" s="3424"/>
      <c r="AA59" s="139"/>
      <c r="AB59" s="136"/>
      <c r="AC59" s="136"/>
      <c r="AD59" s="136"/>
      <c r="AE59" s="136"/>
      <c r="AF59" s="126"/>
    </row>
    <row r="60" spans="2:32" ht="14.25" customHeight="1">
      <c r="B60" s="51" t="s">
        <v>5402</v>
      </c>
      <c r="C60" s="49">
        <v>2</v>
      </c>
      <c r="D60" s="47">
        <v>0</v>
      </c>
      <c r="E60" s="47" t="s">
        <v>1644</v>
      </c>
      <c r="F60" s="47" t="s">
        <v>5398</v>
      </c>
      <c r="G60" s="49" t="s">
        <v>516</v>
      </c>
      <c r="H60" s="47" t="s">
        <v>3276</v>
      </c>
      <c r="I60" s="80">
        <v>20</v>
      </c>
      <c r="J60" s="3498"/>
      <c r="K60" s="83"/>
      <c r="L60" s="83"/>
      <c r="M60" s="73"/>
      <c r="N60" s="73"/>
      <c r="O60" s="73"/>
      <c r="P60" s="73"/>
      <c r="Q60" s="120" t="s">
        <v>5403</v>
      </c>
      <c r="R60" s="121" t="s">
        <v>5311</v>
      </c>
      <c r="S60" s="124" t="s">
        <v>4844</v>
      </c>
      <c r="T60" s="121">
        <v>6</v>
      </c>
      <c r="U60" s="121">
        <v>2</v>
      </c>
      <c r="V60" s="121" t="s">
        <v>4000</v>
      </c>
      <c r="W60" s="1081" t="s">
        <v>5169</v>
      </c>
      <c r="X60" s="122" t="s">
        <v>5213</v>
      </c>
      <c r="Y60" s="141" t="s">
        <v>3276</v>
      </c>
      <c r="Z60" s="3424"/>
      <c r="AA60" s="3481" t="s">
        <v>5404</v>
      </c>
      <c r="AB60" s="3482"/>
      <c r="AC60" s="3482"/>
      <c r="AD60" s="3482"/>
      <c r="AE60" s="3483"/>
      <c r="AF60" s="126"/>
    </row>
    <row r="61" spans="2:32" ht="14.25" customHeight="1">
      <c r="B61" s="70" t="s">
        <v>5405</v>
      </c>
      <c r="C61" s="68">
        <v>1</v>
      </c>
      <c r="D61" s="71">
        <v>0</v>
      </c>
      <c r="E61" s="71" t="s">
        <v>1644</v>
      </c>
      <c r="F61" s="71" t="s">
        <v>5398</v>
      </c>
      <c r="G61" s="68" t="s">
        <v>175</v>
      </c>
      <c r="H61" s="71" t="s">
        <v>4572</v>
      </c>
      <c r="I61" s="1082" t="s">
        <v>5351</v>
      </c>
      <c r="J61" s="3498"/>
      <c r="K61" s="83"/>
      <c r="L61" s="83"/>
      <c r="M61" s="73"/>
      <c r="N61" s="73"/>
      <c r="O61" s="73"/>
      <c r="P61" s="73"/>
      <c r="Q61" s="51" t="s">
        <v>5406</v>
      </c>
      <c r="R61" s="47" t="s">
        <v>2502</v>
      </c>
      <c r="S61" s="123" t="s">
        <v>4705</v>
      </c>
      <c r="T61" s="47">
        <v>4</v>
      </c>
      <c r="U61" s="47">
        <v>2</v>
      </c>
      <c r="V61" s="123" t="s">
        <v>5407</v>
      </c>
      <c r="W61" s="47" t="s">
        <v>92</v>
      </c>
      <c r="X61" s="49" t="s">
        <v>5164</v>
      </c>
      <c r="Y61" s="80" t="s">
        <v>4572</v>
      </c>
      <c r="Z61" s="3424"/>
      <c r="AA61" s="142" t="s">
        <v>329</v>
      </c>
      <c r="AB61" s="143">
        <v>5</v>
      </c>
      <c r="AC61" s="143">
        <v>6</v>
      </c>
      <c r="AD61" s="143">
        <v>7</v>
      </c>
      <c r="AE61" s="144">
        <v>8</v>
      </c>
      <c r="AF61" s="126"/>
    </row>
    <row r="62" spans="2:32" ht="14.25" customHeight="1">
      <c r="B62" s="51" t="s">
        <v>5408</v>
      </c>
      <c r="C62" s="49">
        <v>1</v>
      </c>
      <c r="D62" s="47">
        <v>0</v>
      </c>
      <c r="E62" s="47" t="s">
        <v>1644</v>
      </c>
      <c r="F62" s="47" t="s">
        <v>5398</v>
      </c>
      <c r="G62" s="49" t="s">
        <v>516</v>
      </c>
      <c r="H62" s="47" t="s">
        <v>3276</v>
      </c>
      <c r="I62" s="80" t="s">
        <v>4819</v>
      </c>
      <c r="J62" s="3498"/>
      <c r="K62" s="83"/>
      <c r="L62" s="83"/>
      <c r="M62" s="73"/>
      <c r="N62" s="73"/>
      <c r="O62" s="73"/>
      <c r="P62" s="73"/>
      <c r="Q62" s="120" t="s">
        <v>5409</v>
      </c>
      <c r="R62" s="121" t="s">
        <v>5311</v>
      </c>
      <c r="S62" s="124" t="s">
        <v>4701</v>
      </c>
      <c r="T62" s="121">
        <v>35</v>
      </c>
      <c r="U62" s="121">
        <v>3</v>
      </c>
      <c r="V62" s="121" t="s">
        <v>4026</v>
      </c>
      <c r="W62" s="1081" t="s">
        <v>5169</v>
      </c>
      <c r="X62" s="122" t="s">
        <v>5213</v>
      </c>
      <c r="Y62" s="141" t="s">
        <v>3276</v>
      </c>
      <c r="Z62" s="3424"/>
      <c r="AA62" s="145" t="s">
        <v>5410</v>
      </c>
      <c r="AB62" s="146">
        <v>3</v>
      </c>
      <c r="AC62" s="146">
        <v>4</v>
      </c>
      <c r="AD62" s="146">
        <v>6</v>
      </c>
      <c r="AE62" s="147">
        <v>8</v>
      </c>
      <c r="AF62" s="126"/>
    </row>
    <row r="63" spans="2:32" ht="14.25" customHeight="1">
      <c r="B63" s="67" t="s">
        <v>5411</v>
      </c>
      <c r="C63" s="68">
        <v>2</v>
      </c>
      <c r="D63" s="69">
        <v>0</v>
      </c>
      <c r="E63" s="69" t="s">
        <v>1644</v>
      </c>
      <c r="F63" s="69" t="s">
        <v>5398</v>
      </c>
      <c r="G63" s="68" t="s">
        <v>516</v>
      </c>
      <c r="H63" s="69" t="s">
        <v>4572</v>
      </c>
      <c r="I63" s="1082" t="s">
        <v>5351</v>
      </c>
      <c r="J63" s="3498"/>
      <c r="K63" s="83"/>
      <c r="L63" s="83"/>
      <c r="M63" s="73"/>
      <c r="N63" s="73"/>
      <c r="O63" s="73"/>
      <c r="P63" s="73"/>
      <c r="Q63" s="51" t="s">
        <v>5412</v>
      </c>
      <c r="R63" s="47" t="s">
        <v>5311</v>
      </c>
      <c r="S63" s="123" t="s">
        <v>5413</v>
      </c>
      <c r="T63" s="47">
        <v>30</v>
      </c>
      <c r="U63" s="47">
        <v>3</v>
      </c>
      <c r="V63" s="123" t="s">
        <v>4006</v>
      </c>
      <c r="W63" s="1074" t="s">
        <v>5169</v>
      </c>
      <c r="X63" s="49" t="s">
        <v>5213</v>
      </c>
      <c r="Y63" s="80" t="s">
        <v>3276</v>
      </c>
      <c r="Z63" s="3424"/>
      <c r="AA63" s="142" t="s">
        <v>329</v>
      </c>
      <c r="AB63" s="143">
        <v>9</v>
      </c>
      <c r="AC63" s="143">
        <v>10</v>
      </c>
      <c r="AD63" s="143">
        <v>11</v>
      </c>
      <c r="AE63" s="144">
        <v>12</v>
      </c>
      <c r="AF63" s="126"/>
    </row>
    <row r="64" spans="2:32" ht="14.25" customHeight="1">
      <c r="B64" s="51" t="s">
        <v>5414</v>
      </c>
      <c r="C64" s="49">
        <v>2</v>
      </c>
      <c r="D64" s="47">
        <v>0</v>
      </c>
      <c r="E64" s="47" t="s">
        <v>1644</v>
      </c>
      <c r="F64" s="47" t="s">
        <v>5398</v>
      </c>
      <c r="G64" s="49" t="s">
        <v>516</v>
      </c>
      <c r="H64" s="47" t="s">
        <v>5314</v>
      </c>
      <c r="I64" s="80" t="s">
        <v>4819</v>
      </c>
      <c r="J64" s="3498"/>
      <c r="K64" s="83"/>
      <c r="L64" s="83"/>
      <c r="M64" s="73"/>
      <c r="N64" s="73"/>
      <c r="O64" s="73"/>
      <c r="P64" s="73"/>
      <c r="Q64" s="120" t="s">
        <v>5415</v>
      </c>
      <c r="R64" s="121" t="s">
        <v>5311</v>
      </c>
      <c r="S64" s="124" t="s">
        <v>5416</v>
      </c>
      <c r="T64" s="121">
        <v>16</v>
      </c>
      <c r="U64" s="121">
        <v>2</v>
      </c>
      <c r="V64" s="121" t="s">
        <v>3665</v>
      </c>
      <c r="W64" s="1081" t="s">
        <v>5169</v>
      </c>
      <c r="X64" s="122" t="s">
        <v>5164</v>
      </c>
      <c r="Y64" s="141" t="s">
        <v>3276</v>
      </c>
      <c r="Z64" s="3425"/>
      <c r="AA64" s="145" t="s">
        <v>5410</v>
      </c>
      <c r="AB64" s="146">
        <v>12</v>
      </c>
      <c r="AC64" s="146">
        <v>18</v>
      </c>
      <c r="AD64" s="146">
        <v>27</v>
      </c>
      <c r="AE64" s="147">
        <v>40</v>
      </c>
      <c r="AF64" s="126"/>
    </row>
    <row r="65" spans="2:34" ht="14.25" customHeight="1">
      <c r="B65" s="70" t="s">
        <v>5417</v>
      </c>
      <c r="C65" s="68">
        <v>1</v>
      </c>
      <c r="D65" s="71">
        <v>0</v>
      </c>
      <c r="E65" s="71" t="s">
        <v>1764</v>
      </c>
      <c r="F65" s="71" t="s">
        <v>5418</v>
      </c>
      <c r="G65" s="68" t="s">
        <v>175</v>
      </c>
      <c r="H65" s="71" t="s">
        <v>4572</v>
      </c>
      <c r="I65" s="169" t="s">
        <v>5419</v>
      </c>
      <c r="J65" s="3498"/>
      <c r="K65" s="83"/>
      <c r="L65" s="83"/>
      <c r="M65" s="73"/>
      <c r="N65" s="73"/>
      <c r="O65" s="73"/>
      <c r="P65" s="73"/>
      <c r="Q65" s="177"/>
      <c r="R65" s="178"/>
      <c r="S65" s="178"/>
      <c r="T65" s="178"/>
      <c r="U65" s="178"/>
      <c r="V65" s="178"/>
      <c r="W65" s="178"/>
      <c r="X65" s="179"/>
      <c r="Y65" s="195"/>
      <c r="Z65" s="135"/>
      <c r="AA65" s="142" t="s">
        <v>329</v>
      </c>
      <c r="AB65" s="143">
        <v>13</v>
      </c>
      <c r="AC65" s="143">
        <v>14</v>
      </c>
      <c r="AD65" s="143">
        <v>15</v>
      </c>
      <c r="AE65" s="144">
        <v>16</v>
      </c>
      <c r="AF65" s="126"/>
      <c r="AG65" s="149"/>
      <c r="AH65" s="149"/>
    </row>
    <row r="66" spans="2:34" ht="14.25" customHeight="1">
      <c r="B66" s="51" t="s">
        <v>5420</v>
      </c>
      <c r="C66" s="49">
        <v>2</v>
      </c>
      <c r="D66" s="47">
        <v>1</v>
      </c>
      <c r="E66" s="47" t="s">
        <v>1764</v>
      </c>
      <c r="F66" s="47" t="s">
        <v>5418</v>
      </c>
      <c r="G66" s="49" t="s">
        <v>516</v>
      </c>
      <c r="H66" s="47" t="s">
        <v>5314</v>
      </c>
      <c r="I66" s="80" t="s">
        <v>4819</v>
      </c>
      <c r="J66" s="3498"/>
      <c r="K66" s="83"/>
      <c r="L66" s="83"/>
      <c r="M66" s="73"/>
      <c r="N66" s="73"/>
      <c r="O66" s="73"/>
      <c r="P66" s="73"/>
      <c r="Q66" s="180"/>
      <c r="R66" s="181"/>
      <c r="S66" s="181"/>
      <c r="T66" s="181"/>
      <c r="U66" s="181"/>
      <c r="V66" s="181"/>
      <c r="W66" s="181"/>
      <c r="X66" s="182"/>
      <c r="Y66" s="196"/>
      <c r="Z66" s="135"/>
      <c r="AA66" s="145" t="s">
        <v>5410</v>
      </c>
      <c r="AB66" s="146">
        <v>60</v>
      </c>
      <c r="AC66" s="146">
        <v>90</v>
      </c>
      <c r="AD66" s="146">
        <v>135</v>
      </c>
      <c r="AE66" s="147">
        <v>200</v>
      </c>
      <c r="AF66" s="126"/>
      <c r="AG66" s="149"/>
      <c r="AH66" s="149"/>
    </row>
    <row r="67" spans="2:34" ht="14.25" customHeight="1">
      <c r="B67" s="67" t="s">
        <v>5421</v>
      </c>
      <c r="C67" s="68">
        <v>2</v>
      </c>
      <c r="D67" s="69">
        <v>1</v>
      </c>
      <c r="E67" s="69" t="s">
        <v>1764</v>
      </c>
      <c r="F67" s="69" t="s">
        <v>5418</v>
      </c>
      <c r="G67" s="68" t="s">
        <v>175</v>
      </c>
      <c r="H67" s="69" t="s">
        <v>4572</v>
      </c>
      <c r="I67" s="1083" t="s">
        <v>5422</v>
      </c>
      <c r="J67" s="3498"/>
      <c r="P67" s="73"/>
      <c r="Q67" s="177"/>
      <c r="R67" s="178"/>
      <c r="S67" s="178"/>
      <c r="T67" s="178"/>
      <c r="U67" s="178"/>
      <c r="V67" s="178"/>
      <c r="W67" s="179"/>
      <c r="X67" s="178"/>
      <c r="Y67" s="197"/>
      <c r="Z67" s="135"/>
      <c r="AA67" s="142" t="s">
        <v>329</v>
      </c>
      <c r="AB67" s="143">
        <v>17</v>
      </c>
      <c r="AC67" s="143">
        <v>18</v>
      </c>
      <c r="AD67" s="143">
        <v>19</v>
      </c>
      <c r="AE67" s="144">
        <v>20</v>
      </c>
      <c r="AF67" s="126"/>
      <c r="AG67" s="149"/>
      <c r="AH67" s="149"/>
    </row>
    <row r="68" spans="2:34" ht="14.25" customHeight="1">
      <c r="B68" s="150" t="s">
        <v>5423</v>
      </c>
      <c r="C68" s="151">
        <v>9</v>
      </c>
      <c r="D68" s="152">
        <v>1</v>
      </c>
      <c r="E68" s="152" t="s">
        <v>92</v>
      </c>
      <c r="F68" s="152" t="s">
        <v>5424</v>
      </c>
      <c r="G68" s="151" t="s">
        <v>516</v>
      </c>
      <c r="H68" s="152" t="s">
        <v>3276</v>
      </c>
      <c r="I68" s="170">
        <v>40</v>
      </c>
      <c r="J68" s="3499" t="s">
        <v>5425</v>
      </c>
      <c r="K68" s="3501" t="s">
        <v>5426</v>
      </c>
      <c r="L68" s="3349" t="s">
        <v>5427</v>
      </c>
      <c r="M68" s="3349"/>
      <c r="N68" s="3349"/>
      <c r="O68" s="3349"/>
      <c r="P68" s="73"/>
      <c r="Q68" s="183"/>
      <c r="R68" s="184"/>
      <c r="S68" s="184"/>
      <c r="T68" s="184"/>
      <c r="U68" s="184"/>
      <c r="V68" s="184"/>
      <c r="W68" s="185"/>
      <c r="X68" s="184"/>
      <c r="Y68" s="198"/>
      <c r="Z68" s="135"/>
      <c r="AA68" s="199" t="s">
        <v>5410</v>
      </c>
      <c r="AB68" s="200">
        <v>300</v>
      </c>
      <c r="AC68" s="200">
        <v>450</v>
      </c>
      <c r="AD68" s="200">
        <v>675</v>
      </c>
      <c r="AE68" s="201">
        <v>1000</v>
      </c>
      <c r="AF68" s="126"/>
    </row>
    <row r="69" spans="2:34" ht="14.25" customHeight="1">
      <c r="B69" s="153" t="s">
        <v>5428</v>
      </c>
      <c r="C69" s="49">
        <v>25</v>
      </c>
      <c r="D69" s="154">
        <v>1</v>
      </c>
      <c r="E69" s="154" t="s">
        <v>92</v>
      </c>
      <c r="F69" s="154" t="s">
        <v>5424</v>
      </c>
      <c r="G69" s="49" t="s">
        <v>516</v>
      </c>
      <c r="H69" s="154" t="s">
        <v>3276</v>
      </c>
      <c r="I69" s="171" t="s">
        <v>4819</v>
      </c>
      <c r="J69" s="3499"/>
      <c r="K69" s="3501"/>
      <c r="L69" s="3349"/>
      <c r="M69" s="3349"/>
      <c r="N69" s="3349"/>
      <c r="O69" s="3349"/>
      <c r="P69" s="73"/>
      <c r="Q69" s="186"/>
      <c r="R69" s="182"/>
      <c r="S69" s="182"/>
      <c r="T69" s="182"/>
      <c r="U69" s="182"/>
      <c r="V69" s="182"/>
      <c r="W69" s="182"/>
      <c r="X69" s="136"/>
      <c r="Y69" s="136"/>
      <c r="Z69" s="136"/>
      <c r="AA69" s="3484" t="s">
        <v>5429</v>
      </c>
      <c r="AB69" s="3484"/>
      <c r="AC69" s="3484"/>
      <c r="AD69" s="3484"/>
      <c r="AE69" s="3484"/>
      <c r="AF69" s="126"/>
    </row>
    <row r="70" spans="2:34" ht="14.25" customHeight="1">
      <c r="B70" s="150" t="s">
        <v>5430</v>
      </c>
      <c r="C70" s="151">
        <v>30</v>
      </c>
      <c r="D70" s="152">
        <v>2</v>
      </c>
      <c r="E70" s="152" t="s">
        <v>92</v>
      </c>
      <c r="F70" s="152" t="s">
        <v>5424</v>
      </c>
      <c r="G70" s="151" t="s">
        <v>516</v>
      </c>
      <c r="H70" s="152" t="s">
        <v>3276</v>
      </c>
      <c r="I70" s="170" t="s">
        <v>4819</v>
      </c>
      <c r="J70" s="3499"/>
      <c r="K70" s="3501"/>
      <c r="L70" s="3349"/>
      <c r="M70" s="3349"/>
      <c r="N70" s="3349"/>
      <c r="O70" s="3349"/>
      <c r="P70" s="73"/>
      <c r="Q70" s="3145" t="s">
        <v>5431</v>
      </c>
      <c r="R70" s="3211"/>
      <c r="S70" s="3211"/>
      <c r="T70" s="3211"/>
      <c r="U70" s="3211"/>
      <c r="V70" s="3211"/>
      <c r="W70" s="3211"/>
      <c r="X70" s="3211"/>
      <c r="Y70" s="3211"/>
      <c r="Z70" s="3212"/>
      <c r="AA70" s="136"/>
      <c r="AB70" s="202"/>
      <c r="AC70" s="136"/>
      <c r="AD70" s="136"/>
      <c r="AE70" s="136"/>
      <c r="AF70" s="126"/>
    </row>
    <row r="71" spans="2:34" ht="14.25" customHeight="1">
      <c r="B71" s="155" t="s">
        <v>5432</v>
      </c>
      <c r="C71" s="156">
        <v>15</v>
      </c>
      <c r="D71" s="157">
        <v>0</v>
      </c>
      <c r="E71" s="157" t="s">
        <v>5433</v>
      </c>
      <c r="F71" s="157" t="s">
        <v>5434</v>
      </c>
      <c r="G71" s="156" t="s">
        <v>516</v>
      </c>
      <c r="H71" s="157" t="s">
        <v>5314</v>
      </c>
      <c r="I71" s="172" t="s">
        <v>4819</v>
      </c>
      <c r="J71" s="3499"/>
      <c r="K71" s="3501"/>
      <c r="L71" s="3349"/>
      <c r="M71" s="3349"/>
      <c r="N71" s="3349"/>
      <c r="O71" s="3349"/>
      <c r="P71" s="73"/>
      <c r="Q71" s="3313" t="s">
        <v>5435</v>
      </c>
      <c r="R71" s="3341"/>
      <c r="S71" s="3341"/>
      <c r="T71" s="3341"/>
      <c r="U71" s="3341"/>
      <c r="V71" s="3341"/>
      <c r="W71" s="3341"/>
      <c r="X71" s="3341"/>
      <c r="Y71" s="3341"/>
      <c r="Z71" s="3342"/>
      <c r="AA71" s="136"/>
      <c r="AB71" s="202"/>
      <c r="AC71" s="136"/>
      <c r="AD71" s="136"/>
      <c r="AE71" s="136"/>
      <c r="AF71" s="126"/>
    </row>
    <row r="72" spans="2:34" ht="14.25" customHeight="1">
      <c r="B72" s="150" t="s">
        <v>5436</v>
      </c>
      <c r="C72" s="151">
        <v>10</v>
      </c>
      <c r="D72" s="152">
        <v>1</v>
      </c>
      <c r="E72" s="152" t="s">
        <v>92</v>
      </c>
      <c r="F72" s="152" t="s">
        <v>5424</v>
      </c>
      <c r="G72" s="151" t="s">
        <v>516</v>
      </c>
      <c r="H72" s="152" t="s">
        <v>5314</v>
      </c>
      <c r="I72" s="170" t="s">
        <v>4819</v>
      </c>
      <c r="J72" s="3499"/>
      <c r="K72" s="3501"/>
      <c r="L72" s="3312" t="s">
        <v>5437</v>
      </c>
      <c r="M72" s="3312"/>
      <c r="N72" s="3312"/>
      <c r="O72" s="3312"/>
      <c r="P72" s="73"/>
      <c r="Q72" s="3343"/>
      <c r="R72" s="3344"/>
      <c r="S72" s="3344"/>
      <c r="T72" s="3344"/>
      <c r="U72" s="3344"/>
      <c r="V72" s="3344"/>
      <c r="W72" s="3344"/>
      <c r="X72" s="3344"/>
      <c r="Y72" s="3344"/>
      <c r="Z72" s="3345"/>
      <c r="AA72" s="136"/>
      <c r="AB72" s="202"/>
      <c r="AC72" s="136"/>
      <c r="AD72" s="136"/>
      <c r="AE72" s="136"/>
      <c r="AF72" s="126"/>
    </row>
    <row r="73" spans="2:34" ht="14.25" customHeight="1">
      <c r="B73" s="153" t="s">
        <v>5438</v>
      </c>
      <c r="C73" s="49">
        <v>15</v>
      </c>
      <c r="D73" s="154">
        <v>1</v>
      </c>
      <c r="E73" s="154" t="s">
        <v>92</v>
      </c>
      <c r="F73" s="154" t="s">
        <v>5424</v>
      </c>
      <c r="G73" s="49" t="s">
        <v>516</v>
      </c>
      <c r="H73" s="154" t="s">
        <v>5314</v>
      </c>
      <c r="I73" s="171" t="s">
        <v>4819</v>
      </c>
      <c r="J73" s="3499"/>
      <c r="K73" s="3501"/>
      <c r="L73" s="3312"/>
      <c r="M73" s="3312"/>
      <c r="N73" s="3312"/>
      <c r="O73" s="3312"/>
      <c r="P73" s="73"/>
      <c r="Q73" s="3346"/>
      <c r="R73" s="3347"/>
      <c r="S73" s="3347"/>
      <c r="T73" s="3347"/>
      <c r="U73" s="3347"/>
      <c r="V73" s="3347"/>
      <c r="W73" s="3347"/>
      <c r="X73" s="3347"/>
      <c r="Y73" s="3347"/>
      <c r="Z73" s="3348"/>
      <c r="AA73" s="136"/>
      <c r="AB73" s="202"/>
      <c r="AC73" s="136"/>
      <c r="AD73" s="136"/>
      <c r="AE73" s="136"/>
      <c r="AF73" s="126"/>
    </row>
    <row r="74" spans="2:34" ht="14.25" customHeight="1">
      <c r="B74" s="150" t="s">
        <v>5439</v>
      </c>
      <c r="C74" s="151">
        <v>20</v>
      </c>
      <c r="D74" s="152">
        <v>2</v>
      </c>
      <c r="E74" s="152" t="s">
        <v>92</v>
      </c>
      <c r="F74" s="152" t="s">
        <v>5424</v>
      </c>
      <c r="G74" s="151" t="s">
        <v>516</v>
      </c>
      <c r="H74" s="152" t="s">
        <v>5314</v>
      </c>
      <c r="I74" s="170" t="s">
        <v>4819</v>
      </c>
      <c r="J74" s="3499"/>
      <c r="K74" s="3501"/>
      <c r="L74" s="3312"/>
      <c r="M74" s="3312"/>
      <c r="N74" s="3312"/>
      <c r="O74" s="3312"/>
      <c r="P74" s="73"/>
      <c r="Q74" s="3313" t="s">
        <v>5440</v>
      </c>
      <c r="R74" s="3314"/>
      <c r="S74" s="3314"/>
      <c r="T74" s="3314"/>
      <c r="U74" s="3314"/>
      <c r="V74" s="3314"/>
      <c r="W74" s="3314"/>
      <c r="X74" s="3314"/>
      <c r="Y74" s="3314"/>
      <c r="Z74" s="3315"/>
      <c r="AA74" s="136"/>
      <c r="AB74" s="202"/>
      <c r="AC74" s="136"/>
      <c r="AD74" s="136"/>
      <c r="AE74" s="136"/>
      <c r="AF74" s="126"/>
    </row>
    <row r="75" spans="2:34" ht="14.25" customHeight="1">
      <c r="B75" s="158" t="s">
        <v>5441</v>
      </c>
      <c r="C75" s="159">
        <v>2</v>
      </c>
      <c r="D75" s="159" t="s">
        <v>92</v>
      </c>
      <c r="E75" s="159" t="s">
        <v>92</v>
      </c>
      <c r="F75" s="159" t="s">
        <v>1401</v>
      </c>
      <c r="G75" s="159" t="s">
        <v>516</v>
      </c>
      <c r="H75" s="159" t="s">
        <v>5314</v>
      </c>
      <c r="I75" s="173" t="s">
        <v>4819</v>
      </c>
      <c r="J75" s="3499"/>
      <c r="K75" s="3501"/>
      <c r="L75" s="3312"/>
      <c r="M75" s="3312"/>
      <c r="N75" s="3312"/>
      <c r="O75" s="3312"/>
      <c r="P75" s="73"/>
      <c r="Q75" s="3316"/>
      <c r="R75" s="3317"/>
      <c r="S75" s="3317"/>
      <c r="T75" s="3317"/>
      <c r="U75" s="3317"/>
      <c r="V75" s="3317"/>
      <c r="W75" s="3317"/>
      <c r="X75" s="3317"/>
      <c r="Y75" s="3317"/>
      <c r="Z75" s="3318"/>
      <c r="AA75" s="136"/>
      <c r="AB75" s="202"/>
      <c r="AC75" s="136"/>
      <c r="AD75" s="136"/>
      <c r="AE75" s="136"/>
      <c r="AF75" s="126"/>
      <c r="AG75" s="149"/>
      <c r="AH75" s="149"/>
    </row>
    <row r="76" spans="2:34" ht="14.25" customHeight="1">
      <c r="B76" s="160" t="s">
        <v>50</v>
      </c>
      <c r="C76" s="161" t="s">
        <v>172</v>
      </c>
      <c r="D76" s="162"/>
      <c r="E76" s="162" t="s">
        <v>92</v>
      </c>
      <c r="F76" s="162"/>
      <c r="G76" s="161"/>
      <c r="H76" s="162"/>
      <c r="I76" s="162"/>
      <c r="J76" s="3500" t="s">
        <v>1493</v>
      </c>
      <c r="K76" s="73"/>
      <c r="L76" s="73"/>
      <c r="M76" s="73"/>
      <c r="N76" s="174"/>
      <c r="O76" s="73"/>
      <c r="P76" s="73"/>
      <c r="Q76" s="3316"/>
      <c r="R76" s="3317"/>
      <c r="S76" s="3317"/>
      <c r="T76" s="3317"/>
      <c r="U76" s="3317"/>
      <c r="V76" s="3317"/>
      <c r="W76" s="3317"/>
      <c r="X76" s="3317"/>
      <c r="Y76" s="3317"/>
      <c r="Z76" s="3318"/>
      <c r="AA76" s="136"/>
      <c r="AB76" s="202"/>
      <c r="AC76" s="136"/>
      <c r="AD76" s="136"/>
      <c r="AE76" s="136"/>
      <c r="AF76" s="126"/>
      <c r="AG76" s="149"/>
      <c r="AH76" s="149"/>
    </row>
    <row r="77" spans="2:34" ht="14.25" customHeight="1">
      <c r="B77" s="160"/>
      <c r="C77" s="162"/>
      <c r="D77" s="162"/>
      <c r="E77" s="162"/>
      <c r="F77" s="162"/>
      <c r="G77" s="162"/>
      <c r="H77" s="162"/>
      <c r="I77" s="162"/>
      <c r="J77" s="3500"/>
      <c r="K77" s="73"/>
      <c r="L77" s="73"/>
      <c r="M77" s="73"/>
      <c r="N77" s="174"/>
      <c r="O77" s="73"/>
      <c r="P77" s="73"/>
      <c r="Q77" s="3485" t="s">
        <v>5442</v>
      </c>
      <c r="R77" s="3486"/>
      <c r="S77" s="3486"/>
      <c r="T77" s="3486"/>
      <c r="U77" s="3486"/>
      <c r="V77" s="3486"/>
      <c r="W77" s="3486"/>
      <c r="X77" s="3486"/>
      <c r="Y77" s="3486"/>
      <c r="Z77" s="3487"/>
      <c r="AA77" s="136"/>
      <c r="AB77" s="202"/>
      <c r="AC77" s="136"/>
      <c r="AD77" s="136"/>
      <c r="AE77" s="136"/>
      <c r="AF77" s="126"/>
      <c r="AG77" s="149"/>
      <c r="AH77" s="149"/>
    </row>
    <row r="78" spans="2:34" ht="14.25" customHeight="1">
      <c r="B78" s="160"/>
      <c r="C78" s="162"/>
      <c r="D78" s="162"/>
      <c r="E78" s="162"/>
      <c r="F78" s="162"/>
      <c r="G78" s="162"/>
      <c r="H78" s="162"/>
      <c r="I78" s="162"/>
      <c r="J78" s="3500"/>
      <c r="K78" s="73"/>
      <c r="L78" s="73"/>
      <c r="M78" s="73"/>
      <c r="N78" s="174"/>
      <c r="O78" s="73"/>
      <c r="P78" s="73"/>
      <c r="Q78" s="3319" t="s">
        <v>5443</v>
      </c>
      <c r="R78" s="3430"/>
      <c r="S78" s="3430"/>
      <c r="T78" s="3430"/>
      <c r="U78" s="3430"/>
      <c r="V78" s="3430"/>
      <c r="W78" s="3430"/>
      <c r="X78" s="3430"/>
      <c r="Y78" s="3430"/>
      <c r="Z78" s="3431"/>
      <c r="AA78" s="136"/>
      <c r="AB78" s="202"/>
      <c r="AC78" s="136"/>
      <c r="AD78" s="136"/>
      <c r="AE78" s="136"/>
      <c r="AF78" s="126"/>
      <c r="AG78" s="149"/>
      <c r="AH78" s="149"/>
    </row>
    <row r="79" spans="2:34" ht="14.25" customHeight="1">
      <c r="B79" s="160"/>
      <c r="C79" s="162"/>
      <c r="D79" s="162"/>
      <c r="E79" s="162"/>
      <c r="F79" s="162"/>
      <c r="G79" s="162"/>
      <c r="H79" s="162"/>
      <c r="I79" s="162"/>
      <c r="J79" s="3500"/>
      <c r="K79" s="83"/>
      <c r="L79" s="73"/>
      <c r="M79" s="73"/>
      <c r="N79" s="73"/>
      <c r="O79" s="73"/>
      <c r="P79" s="73"/>
      <c r="Q79" s="3319"/>
      <c r="R79" s="3430"/>
      <c r="S79" s="3430"/>
      <c r="T79" s="3430"/>
      <c r="U79" s="3430"/>
      <c r="V79" s="3430"/>
      <c r="W79" s="3430"/>
      <c r="X79" s="3430"/>
      <c r="Y79" s="3430"/>
      <c r="Z79" s="3431"/>
      <c r="AA79" s="136"/>
      <c r="AB79" s="202"/>
      <c r="AC79" s="136"/>
      <c r="AD79" s="136"/>
      <c r="AE79" s="136"/>
      <c r="AF79" s="126"/>
      <c r="AG79" s="149"/>
      <c r="AH79" s="149"/>
    </row>
    <row r="80" spans="2:34" ht="14.25" customHeight="1">
      <c r="B80" s="160"/>
      <c r="C80" s="162"/>
      <c r="D80" s="162"/>
      <c r="E80" s="162"/>
      <c r="F80" s="162"/>
      <c r="G80" s="162"/>
      <c r="H80" s="162"/>
      <c r="I80" s="162"/>
      <c r="J80" s="3500"/>
      <c r="K80" s="83"/>
      <c r="L80" s="73"/>
      <c r="M80" s="73"/>
      <c r="N80" s="73"/>
      <c r="O80" s="73"/>
      <c r="P80" s="73"/>
      <c r="Q80" s="3319"/>
      <c r="R80" s="3430"/>
      <c r="S80" s="3430"/>
      <c r="T80" s="3430"/>
      <c r="U80" s="3430"/>
      <c r="V80" s="3430"/>
      <c r="W80" s="3430"/>
      <c r="X80" s="3430"/>
      <c r="Y80" s="3430"/>
      <c r="Z80" s="3431"/>
      <c r="AA80" s="136"/>
      <c r="AB80" s="202"/>
      <c r="AC80" s="136"/>
      <c r="AD80" s="136"/>
      <c r="AE80" s="136"/>
      <c r="AF80" s="126"/>
      <c r="AG80" s="149"/>
      <c r="AH80" s="149"/>
    </row>
    <row r="81" spans="2:34" ht="14.25" customHeight="1">
      <c r="B81" s="160"/>
      <c r="C81" s="162"/>
      <c r="D81" s="162"/>
      <c r="E81" s="162"/>
      <c r="F81" s="162"/>
      <c r="G81" s="162"/>
      <c r="H81" s="162"/>
      <c r="I81" s="162"/>
      <c r="J81" s="3500"/>
      <c r="K81" s="83"/>
      <c r="L81" s="73"/>
      <c r="M81" s="73"/>
      <c r="N81" s="73"/>
      <c r="O81" s="73"/>
      <c r="P81" s="73"/>
      <c r="Q81" s="3432" t="s">
        <v>5444</v>
      </c>
      <c r="R81" s="3433"/>
      <c r="S81" s="3433"/>
      <c r="T81" s="3433"/>
      <c r="U81" s="3433"/>
      <c r="V81" s="3433"/>
      <c r="W81" s="3433"/>
      <c r="X81" s="3433"/>
      <c r="Y81" s="3433"/>
      <c r="Z81" s="3434"/>
      <c r="AA81" s="135"/>
      <c r="AB81" s="73"/>
      <c r="AC81" s="73"/>
      <c r="AD81" s="73"/>
      <c r="AE81" s="73"/>
    </row>
    <row r="82" spans="2:34" ht="14.25" customHeight="1">
      <c r="B82" s="160"/>
      <c r="C82" s="162"/>
      <c r="D82" s="162"/>
      <c r="E82" s="162"/>
      <c r="F82" s="162"/>
      <c r="G82" s="162"/>
      <c r="H82" s="162"/>
      <c r="I82" s="162"/>
      <c r="J82" s="3500"/>
      <c r="K82" s="83"/>
      <c r="L82" s="73"/>
      <c r="M82" s="73"/>
      <c r="N82" s="73"/>
      <c r="O82" s="73"/>
      <c r="P82" s="73"/>
      <c r="Q82" s="3319"/>
      <c r="R82" s="3430"/>
      <c r="S82" s="3430"/>
      <c r="T82" s="3430"/>
      <c r="U82" s="3430"/>
      <c r="V82" s="3430"/>
      <c r="W82" s="3430"/>
      <c r="X82" s="3430"/>
      <c r="Y82" s="3430"/>
      <c r="Z82" s="3431"/>
      <c r="AA82" s="135"/>
      <c r="AB82" s="73"/>
      <c r="AC82" s="73"/>
      <c r="AD82" s="73"/>
      <c r="AE82" s="73"/>
    </row>
    <row r="83" spans="2:34" ht="14.25" customHeight="1">
      <c r="B83" s="163"/>
      <c r="C83" s="163"/>
      <c r="D83" s="163"/>
      <c r="E83" s="163"/>
      <c r="F83" s="163"/>
      <c r="G83" s="163"/>
      <c r="H83" s="163"/>
      <c r="I83" s="73"/>
      <c r="J83" s="73"/>
      <c r="K83" s="83"/>
      <c r="L83" s="73"/>
      <c r="M83" s="83"/>
      <c r="N83" s="174"/>
      <c r="O83" s="73"/>
      <c r="P83" s="73"/>
      <c r="Q83" s="3435"/>
      <c r="R83" s="3436"/>
      <c r="S83" s="3436"/>
      <c r="T83" s="3436"/>
      <c r="U83" s="3436"/>
      <c r="V83" s="3436"/>
      <c r="W83" s="3436"/>
      <c r="X83" s="3436"/>
      <c r="Y83" s="3436"/>
      <c r="Z83" s="3437"/>
      <c r="AA83" s="135"/>
      <c r="AB83" s="73"/>
      <c r="AC83" s="73"/>
      <c r="AD83" s="73"/>
      <c r="AE83" s="73"/>
    </row>
    <row r="84" spans="2:34" ht="14.25" customHeight="1">
      <c r="B84" s="3488" t="s">
        <v>4983</v>
      </c>
      <c r="C84" s="3489"/>
      <c r="D84" s="3489"/>
      <c r="E84" s="3489"/>
      <c r="F84" s="3489"/>
      <c r="G84" s="3489"/>
      <c r="H84" s="3489"/>
      <c r="I84" s="3489"/>
      <c r="J84" s="3490"/>
      <c r="K84" s="83"/>
      <c r="L84" s="83"/>
      <c r="M84" s="83"/>
      <c r="N84" s="174"/>
      <c r="O84" s="73"/>
      <c r="P84" s="73"/>
      <c r="Q84" s="3319" t="s">
        <v>5445</v>
      </c>
      <c r="R84" s="3320"/>
      <c r="S84" s="3320"/>
      <c r="T84" s="3320"/>
      <c r="U84" s="3320"/>
      <c r="V84" s="3320"/>
      <c r="W84" s="3320"/>
      <c r="X84" s="3320"/>
      <c r="Y84" s="3320"/>
      <c r="Z84" s="3321"/>
      <c r="AA84" s="135"/>
      <c r="AB84" s="202"/>
      <c r="AC84" s="136"/>
      <c r="AD84" s="136"/>
      <c r="AE84" s="136"/>
      <c r="AF84" s="126"/>
      <c r="AG84" s="149"/>
      <c r="AH84" s="149"/>
    </row>
    <row r="85" spans="2:34" ht="14.25" customHeight="1">
      <c r="B85" s="3455" t="s">
        <v>5446</v>
      </c>
      <c r="C85" s="3456"/>
      <c r="D85" s="3456"/>
      <c r="E85" s="3456"/>
      <c r="F85" s="3456"/>
      <c r="G85" s="3456"/>
      <c r="H85" s="3456"/>
      <c r="I85" s="3456"/>
      <c r="J85" s="3457"/>
      <c r="K85" s="83"/>
      <c r="L85" s="83"/>
      <c r="M85" s="83"/>
      <c r="N85" s="174"/>
      <c r="O85" s="73"/>
      <c r="P85" s="73"/>
      <c r="Q85" s="3322"/>
      <c r="R85" s="3323"/>
      <c r="S85" s="3323"/>
      <c r="T85" s="3323"/>
      <c r="U85" s="3323"/>
      <c r="V85" s="3323"/>
      <c r="W85" s="3323"/>
      <c r="X85" s="3323"/>
      <c r="Y85" s="3323"/>
      <c r="Z85" s="3324"/>
      <c r="AA85" s="135"/>
      <c r="AB85" s="202"/>
      <c r="AC85" s="136"/>
      <c r="AD85" s="136"/>
      <c r="AE85" s="136"/>
      <c r="AF85" s="126"/>
      <c r="AG85" s="149"/>
      <c r="AH85" s="149"/>
    </row>
    <row r="86" spans="2:34" ht="14.25" customHeight="1">
      <c r="B86" s="3455" t="s">
        <v>5447</v>
      </c>
      <c r="C86" s="3456"/>
      <c r="D86" s="3456"/>
      <c r="E86" s="3456"/>
      <c r="F86" s="3456"/>
      <c r="G86" s="3456"/>
      <c r="H86" s="3456"/>
      <c r="I86" s="3456"/>
      <c r="J86" s="3457"/>
      <c r="K86" s="83"/>
      <c r="L86" s="83"/>
      <c r="M86" s="83"/>
      <c r="N86" s="174"/>
      <c r="O86" s="73"/>
      <c r="P86" s="73"/>
      <c r="Q86" s="3319" t="s">
        <v>5448</v>
      </c>
      <c r="R86" s="3320"/>
      <c r="S86" s="3320"/>
      <c r="T86" s="3320"/>
      <c r="U86" s="3320"/>
      <c r="V86" s="3320"/>
      <c r="W86" s="3320"/>
      <c r="X86" s="3320"/>
      <c r="Y86" s="3320"/>
      <c r="Z86" s="3321"/>
      <c r="AA86" s="135"/>
      <c r="AB86" s="202"/>
      <c r="AC86" s="136"/>
      <c r="AD86" s="136"/>
      <c r="AE86" s="136"/>
      <c r="AF86" s="126"/>
      <c r="AG86" s="149"/>
      <c r="AH86" s="149"/>
    </row>
    <row r="87" spans="2:34" ht="14.25" customHeight="1">
      <c r="B87" s="3455" t="s">
        <v>5449</v>
      </c>
      <c r="C87" s="3456"/>
      <c r="D87" s="3456"/>
      <c r="E87" s="3456"/>
      <c r="F87" s="3456"/>
      <c r="G87" s="3456"/>
      <c r="H87" s="3456"/>
      <c r="I87" s="3456"/>
      <c r="J87" s="3457"/>
      <c r="K87" s="83"/>
      <c r="L87" s="83"/>
      <c r="M87" s="83"/>
      <c r="N87" s="174"/>
      <c r="O87" s="73"/>
      <c r="P87" s="73"/>
      <c r="Q87" s="3409"/>
      <c r="R87" s="3410"/>
      <c r="S87" s="3410"/>
      <c r="T87" s="3410"/>
      <c r="U87" s="3410"/>
      <c r="V87" s="3410"/>
      <c r="W87" s="3410"/>
      <c r="X87" s="3410"/>
      <c r="Y87" s="3410"/>
      <c r="Z87" s="3411"/>
      <c r="AA87" s="73"/>
      <c r="AB87" s="73"/>
      <c r="AC87" s="73"/>
      <c r="AD87" s="73"/>
      <c r="AE87" s="73"/>
      <c r="AF87" s="126"/>
      <c r="AG87" s="149"/>
      <c r="AH87" s="149"/>
    </row>
    <row r="88" spans="2:34" ht="14.25" customHeight="1">
      <c r="B88" s="3455" t="s">
        <v>5450</v>
      </c>
      <c r="C88" s="3456"/>
      <c r="D88" s="3456"/>
      <c r="E88" s="3456"/>
      <c r="F88" s="3456"/>
      <c r="G88" s="3456"/>
      <c r="H88" s="3456"/>
      <c r="I88" s="3456"/>
      <c r="J88" s="3457"/>
      <c r="K88" s="83"/>
      <c r="L88" s="83"/>
      <c r="M88" s="83"/>
      <c r="N88" s="174"/>
      <c r="O88" s="73"/>
      <c r="P88" s="73"/>
      <c r="Q88" s="73"/>
      <c r="R88" s="73"/>
      <c r="S88" s="73"/>
      <c r="T88" s="73"/>
      <c r="U88" s="73"/>
      <c r="V88" s="73"/>
      <c r="W88" s="73"/>
      <c r="X88" s="73"/>
      <c r="Y88" s="73"/>
      <c r="Z88" s="73"/>
      <c r="AA88" s="73"/>
      <c r="AB88" s="73"/>
      <c r="AC88" s="73"/>
      <c r="AD88" s="73"/>
      <c r="AE88" s="73"/>
      <c r="AF88" s="126"/>
      <c r="AG88" s="149"/>
      <c r="AH88" s="149"/>
    </row>
    <row r="89" spans="2:34" ht="14.25" customHeight="1">
      <c r="B89" s="3458" t="s">
        <v>5451</v>
      </c>
      <c r="C89" s="2943"/>
      <c r="D89" s="2943"/>
      <c r="E89" s="2943"/>
      <c r="F89" s="2943"/>
      <c r="G89" s="2943"/>
      <c r="H89" s="2943"/>
      <c r="I89" s="2943"/>
      <c r="J89" s="3459"/>
      <c r="K89" s="83"/>
      <c r="L89" s="83"/>
      <c r="M89" s="83"/>
      <c r="N89" s="174"/>
      <c r="O89" s="73"/>
      <c r="P89" s="73"/>
      <c r="Q89" s="73"/>
      <c r="R89" s="73"/>
      <c r="S89" s="73"/>
      <c r="T89" s="73"/>
      <c r="U89" s="73"/>
      <c r="V89" s="73"/>
      <c r="W89" s="73"/>
      <c r="X89" s="73"/>
      <c r="Y89" s="73"/>
      <c r="Z89" s="73"/>
      <c r="AA89" s="73"/>
      <c r="AB89" s="73"/>
      <c r="AC89" s="73"/>
      <c r="AD89" s="73"/>
      <c r="AE89" s="73"/>
      <c r="AF89" s="126"/>
      <c r="AG89" s="149"/>
      <c r="AH89" s="149"/>
    </row>
    <row r="90" spans="2:34" ht="14.25" customHeight="1">
      <c r="B90" s="164"/>
      <c r="C90" s="164"/>
      <c r="D90" s="164"/>
      <c r="E90" s="164"/>
      <c r="F90" s="164"/>
      <c r="G90" s="164"/>
      <c r="H90" s="164"/>
      <c r="I90" s="164"/>
      <c r="J90" s="164"/>
      <c r="K90" s="83"/>
      <c r="L90" s="83"/>
      <c r="M90" s="83"/>
      <c r="N90" s="174"/>
      <c r="O90" s="73"/>
      <c r="P90" s="73"/>
      <c r="Q90" s="2334" t="s">
        <v>5452</v>
      </c>
      <c r="R90" s="2335"/>
      <c r="S90" s="2335"/>
      <c r="T90" s="2335"/>
      <c r="U90" s="2335"/>
      <c r="V90" s="2335"/>
      <c r="W90" s="2335"/>
      <c r="X90" s="2335"/>
      <c r="Y90" s="2335"/>
      <c r="Z90" s="2335"/>
      <c r="AA90" s="2335"/>
      <c r="AB90" s="2335"/>
      <c r="AC90" s="2335"/>
      <c r="AD90" s="2335"/>
      <c r="AE90" s="2336"/>
      <c r="AF90" s="126"/>
    </row>
    <row r="91" spans="2:34" ht="14.25" customHeight="1">
      <c r="B91" s="163"/>
      <c r="C91" s="163"/>
      <c r="D91" s="163"/>
      <c r="E91" s="163"/>
      <c r="F91" s="163"/>
      <c r="G91" s="163"/>
      <c r="H91" s="163"/>
      <c r="I91" s="73"/>
      <c r="J91" s="73"/>
      <c r="K91" s="83"/>
      <c r="L91" s="83"/>
      <c r="M91" s="73"/>
      <c r="N91" s="73"/>
      <c r="O91" s="73"/>
      <c r="P91" s="73"/>
      <c r="Q91" s="2337"/>
      <c r="R91" s="2338"/>
      <c r="S91" s="2338"/>
      <c r="T91" s="2338"/>
      <c r="U91" s="2338"/>
      <c r="V91" s="2338"/>
      <c r="W91" s="2338"/>
      <c r="X91" s="2338"/>
      <c r="Y91" s="2338"/>
      <c r="Z91" s="2338"/>
      <c r="AA91" s="2338"/>
      <c r="AB91" s="2338"/>
      <c r="AC91" s="2338"/>
      <c r="AD91" s="2338"/>
      <c r="AE91" s="2339"/>
      <c r="AF91" s="126"/>
    </row>
    <row r="92" spans="2:34" ht="14.25" customHeight="1">
      <c r="B92" s="163"/>
      <c r="C92" s="163"/>
      <c r="D92" s="163"/>
      <c r="E92" s="163"/>
      <c r="F92" s="163"/>
      <c r="G92" s="163"/>
      <c r="H92" s="163"/>
      <c r="I92" s="73"/>
      <c r="J92" s="73"/>
      <c r="K92" s="83"/>
      <c r="L92" s="83"/>
      <c r="M92" s="73"/>
      <c r="N92" s="73"/>
      <c r="O92" s="73"/>
      <c r="P92" s="73"/>
      <c r="Q92" s="2340"/>
      <c r="R92" s="2341"/>
      <c r="S92" s="2341"/>
      <c r="T92" s="2341"/>
      <c r="U92" s="2341"/>
      <c r="V92" s="2341"/>
      <c r="W92" s="2341"/>
      <c r="X92" s="2341"/>
      <c r="Y92" s="2341"/>
      <c r="Z92" s="2341"/>
      <c r="AA92" s="2341"/>
      <c r="AB92" s="2341"/>
      <c r="AC92" s="2341"/>
      <c r="AD92" s="2341"/>
      <c r="AE92" s="2342"/>
      <c r="AF92" s="126"/>
    </row>
    <row r="93" spans="2:34" ht="14.25" customHeight="1">
      <c r="B93" s="163"/>
      <c r="C93" s="163"/>
      <c r="D93" s="163"/>
      <c r="E93" s="163"/>
      <c r="F93" s="163"/>
      <c r="G93" s="163"/>
      <c r="H93" s="163"/>
      <c r="I93" s="73"/>
      <c r="J93" s="73"/>
      <c r="K93" s="83"/>
      <c r="L93" s="83"/>
      <c r="M93" s="73"/>
      <c r="N93" s="73"/>
      <c r="O93" s="73"/>
      <c r="P93" s="73"/>
      <c r="Q93" s="187"/>
      <c r="R93" s="187"/>
      <c r="S93" s="187"/>
      <c r="T93" s="187"/>
      <c r="U93" s="187"/>
      <c r="V93" s="187"/>
      <c r="W93" s="187"/>
      <c r="X93" s="187"/>
      <c r="Y93" s="187"/>
      <c r="Z93" s="187"/>
      <c r="AA93" s="187"/>
      <c r="AB93" s="187"/>
      <c r="AC93" s="187"/>
      <c r="AD93" s="187"/>
      <c r="AE93" s="187"/>
      <c r="AF93" s="126"/>
    </row>
    <row r="94" spans="2:34" ht="14.25" customHeight="1">
      <c r="B94" s="163"/>
      <c r="C94" s="163"/>
      <c r="D94" s="163"/>
      <c r="E94" s="163"/>
      <c r="F94" s="163"/>
      <c r="G94" s="163"/>
      <c r="H94" s="163"/>
      <c r="I94" s="73"/>
      <c r="J94" s="73"/>
      <c r="K94" s="83"/>
      <c r="L94" s="83"/>
      <c r="M94" s="73"/>
      <c r="N94" s="73"/>
      <c r="O94" s="73"/>
      <c r="P94" s="73"/>
      <c r="Q94" s="2534" t="s">
        <v>5453</v>
      </c>
      <c r="R94" s="2535"/>
      <c r="S94" s="2535"/>
      <c r="T94" s="2535"/>
      <c r="U94" s="2535"/>
      <c r="V94" s="2536"/>
      <c r="W94" s="188"/>
      <c r="X94" s="3412" t="s">
        <v>5454</v>
      </c>
      <c r="Y94" s="3413"/>
      <c r="Z94" s="3413"/>
      <c r="AA94" s="3413"/>
      <c r="AB94" s="3413"/>
      <c r="AC94" s="3413"/>
      <c r="AD94" s="3413"/>
      <c r="AE94" s="3414"/>
      <c r="AF94" s="126"/>
    </row>
    <row r="95" spans="2:34" ht="14.25" customHeight="1">
      <c r="B95" s="163"/>
      <c r="C95" s="163"/>
      <c r="D95" s="163"/>
      <c r="E95" s="163"/>
      <c r="F95" s="163"/>
      <c r="G95" s="163"/>
      <c r="H95" s="163"/>
      <c r="I95" s="73"/>
      <c r="J95" s="73"/>
      <c r="K95" s="83"/>
      <c r="L95" s="83"/>
      <c r="M95" s="73"/>
      <c r="N95" s="73"/>
      <c r="O95" s="73"/>
      <c r="P95" s="73"/>
      <c r="Q95" s="2551"/>
      <c r="R95" s="2552"/>
      <c r="S95" s="2552"/>
      <c r="T95" s="2552"/>
      <c r="U95" s="2552"/>
      <c r="V95" s="2553"/>
      <c r="W95" s="188"/>
      <c r="X95" s="3415"/>
      <c r="Y95" s="3416"/>
      <c r="Z95" s="3416"/>
      <c r="AA95" s="3416"/>
      <c r="AB95" s="3416"/>
      <c r="AC95" s="3416"/>
      <c r="AD95" s="3416"/>
      <c r="AE95" s="3469"/>
      <c r="AF95" s="126"/>
    </row>
    <row r="96" spans="2:34" ht="14.25" customHeight="1">
      <c r="B96" s="163"/>
      <c r="C96" s="163"/>
      <c r="D96" s="163"/>
      <c r="E96" s="163"/>
      <c r="F96" s="163"/>
      <c r="G96" s="163"/>
      <c r="H96" s="163"/>
      <c r="I96" s="73"/>
      <c r="J96" s="73"/>
      <c r="K96" s="83"/>
      <c r="L96" s="83"/>
      <c r="M96" s="73"/>
      <c r="N96" s="73"/>
      <c r="O96" s="73"/>
      <c r="P96" s="73"/>
      <c r="Q96" s="2360" t="s">
        <v>5455</v>
      </c>
      <c r="R96" s="2361"/>
      <c r="S96" s="2361"/>
      <c r="T96" s="2361"/>
      <c r="U96" s="2361"/>
      <c r="V96" s="2362"/>
      <c r="W96" s="189"/>
      <c r="X96" s="3366" t="s">
        <v>5456</v>
      </c>
      <c r="Y96" s="3355"/>
      <c r="Z96" s="3355"/>
      <c r="AA96" s="3355"/>
      <c r="AB96" s="3367"/>
      <c r="AC96" s="3427" t="s">
        <v>5457</v>
      </c>
      <c r="AD96" s="3355"/>
      <c r="AE96" s="3356"/>
      <c r="AF96" s="126"/>
    </row>
    <row r="97" spans="1:32" ht="14.25" customHeight="1">
      <c r="B97" s="163"/>
      <c r="C97" s="163"/>
      <c r="D97" s="163"/>
      <c r="E97" s="163"/>
      <c r="F97" s="163"/>
      <c r="G97" s="163"/>
      <c r="H97" s="163"/>
      <c r="I97" s="73"/>
      <c r="J97" s="73"/>
      <c r="K97" s="83"/>
      <c r="L97" s="83"/>
      <c r="M97" s="73"/>
      <c r="N97" s="73"/>
      <c r="O97" s="73"/>
      <c r="P97" s="73"/>
      <c r="Q97" s="2363"/>
      <c r="R97" s="2364"/>
      <c r="S97" s="2364"/>
      <c r="T97" s="2364"/>
      <c r="U97" s="2364"/>
      <c r="V97" s="2365"/>
      <c r="W97" s="189"/>
      <c r="X97" s="2343"/>
      <c r="Y97" s="2305"/>
      <c r="Z97" s="2305"/>
      <c r="AA97" s="2305"/>
      <c r="AB97" s="3396"/>
      <c r="AC97" s="203" t="s">
        <v>5458</v>
      </c>
      <c r="AD97" s="3427" t="s">
        <v>5459</v>
      </c>
      <c r="AE97" s="3356"/>
      <c r="AF97" s="126"/>
    </row>
    <row r="98" spans="1:32" ht="14.25" customHeight="1">
      <c r="B98" s="163"/>
      <c r="C98" s="163"/>
      <c r="D98" s="163"/>
      <c r="E98" s="163"/>
      <c r="F98" s="163"/>
      <c r="G98" s="163"/>
      <c r="H98" s="163"/>
      <c r="I98" s="73"/>
      <c r="J98" s="73"/>
      <c r="K98" s="3276"/>
      <c r="L98" s="3276"/>
      <c r="M98" s="73"/>
      <c r="N98" s="3276"/>
      <c r="O98" s="3276"/>
      <c r="P98" s="73"/>
      <c r="Q98" s="2363"/>
      <c r="R98" s="2364"/>
      <c r="S98" s="2364"/>
      <c r="T98" s="2364"/>
      <c r="U98" s="2364"/>
      <c r="V98" s="2365"/>
      <c r="W98" s="189"/>
      <c r="X98" s="2343"/>
      <c r="Y98" s="2305"/>
      <c r="Z98" s="2305"/>
      <c r="AA98" s="2305"/>
      <c r="AB98" s="3368"/>
      <c r="AC98" s="204" t="s">
        <v>5460</v>
      </c>
      <c r="AD98" s="3460" t="s">
        <v>5461</v>
      </c>
      <c r="AE98" s="3406"/>
      <c r="AF98" s="126"/>
    </row>
    <row r="99" spans="1:32" ht="14.25" customHeight="1">
      <c r="B99" s="163"/>
      <c r="C99" s="163"/>
      <c r="D99" s="163"/>
      <c r="E99" s="163"/>
      <c r="F99" s="163"/>
      <c r="G99" s="163"/>
      <c r="H99" s="163"/>
      <c r="I99" s="73"/>
      <c r="J99" s="73"/>
      <c r="K99" s="3276"/>
      <c r="L99" s="3276"/>
      <c r="M99" s="73"/>
      <c r="N99" s="3276"/>
      <c r="O99" s="3276"/>
      <c r="P99" s="73"/>
      <c r="Q99" s="2363"/>
      <c r="R99" s="2364"/>
      <c r="S99" s="2364"/>
      <c r="T99" s="2364"/>
      <c r="U99" s="2364"/>
      <c r="V99" s="2365"/>
      <c r="W99" s="189"/>
      <c r="X99" s="2343"/>
      <c r="Y99" s="2305"/>
      <c r="Z99" s="2305"/>
      <c r="AA99" s="2305"/>
      <c r="AB99" s="3368"/>
      <c r="AC99" s="205" t="s">
        <v>5462</v>
      </c>
      <c r="AD99" s="3428" t="s">
        <v>5463</v>
      </c>
      <c r="AE99" s="3359"/>
      <c r="AF99" s="126"/>
    </row>
    <row r="100" spans="1:32" ht="14.25" customHeight="1">
      <c r="B100" s="163"/>
      <c r="C100" s="163"/>
      <c r="D100" s="163"/>
      <c r="E100" s="163"/>
      <c r="F100" s="163"/>
      <c r="G100" s="163"/>
      <c r="H100" s="163"/>
      <c r="I100" s="73"/>
      <c r="J100" s="73"/>
      <c r="K100" s="3276"/>
      <c r="L100" s="3276"/>
      <c r="M100" s="73"/>
      <c r="N100" s="3276"/>
      <c r="O100" s="3276"/>
      <c r="P100" s="73"/>
      <c r="Q100" s="2366"/>
      <c r="R100" s="2367"/>
      <c r="S100" s="2367"/>
      <c r="T100" s="2367"/>
      <c r="U100" s="2367"/>
      <c r="V100" s="2368"/>
      <c r="W100" s="189"/>
      <c r="X100" s="3453"/>
      <c r="Y100" s="3358"/>
      <c r="Z100" s="3358"/>
      <c r="AA100" s="3358"/>
      <c r="AB100" s="3396"/>
      <c r="AC100" s="205" t="s">
        <v>5464</v>
      </c>
      <c r="AD100" s="3428" t="s">
        <v>5465</v>
      </c>
      <c r="AE100" s="3359"/>
      <c r="AF100" s="126"/>
    </row>
    <row r="101" spans="1:32" ht="14.25" customHeight="1">
      <c r="B101" s="163"/>
      <c r="C101" s="163"/>
      <c r="D101" s="163"/>
      <c r="E101" s="163"/>
      <c r="F101" s="163"/>
      <c r="G101" s="163"/>
      <c r="H101" s="163"/>
      <c r="I101" s="73"/>
      <c r="J101" s="73"/>
      <c r="K101" s="3276"/>
      <c r="L101" s="3276"/>
      <c r="M101" s="73"/>
      <c r="N101" s="3276"/>
      <c r="O101" s="3276"/>
      <c r="P101" s="73"/>
      <c r="Q101" s="190"/>
      <c r="R101" s="190"/>
      <c r="S101" s="190"/>
      <c r="T101" s="190"/>
      <c r="U101" s="190"/>
      <c r="V101" s="190"/>
      <c r="W101" s="189"/>
      <c r="X101" s="3461" t="s">
        <v>5466</v>
      </c>
      <c r="Y101" s="3462"/>
      <c r="Z101" s="3462"/>
      <c r="AA101" s="3462"/>
      <c r="AB101" s="3463"/>
      <c r="AC101" s="3462"/>
      <c r="AD101" s="3462"/>
      <c r="AE101" s="3464"/>
      <c r="AF101" s="126"/>
    </row>
    <row r="102" spans="1:32" ht="14.25" customHeight="1">
      <c r="B102" s="163"/>
      <c r="C102" s="163"/>
      <c r="D102" s="163"/>
      <c r="E102" s="163"/>
      <c r="F102" s="163"/>
      <c r="G102" s="163"/>
      <c r="H102" s="163"/>
      <c r="I102" s="73"/>
      <c r="J102" s="73"/>
      <c r="K102" s="3276"/>
      <c r="L102" s="3276"/>
      <c r="M102" s="73"/>
      <c r="N102" s="3276"/>
      <c r="O102" s="3276"/>
      <c r="P102" s="73"/>
      <c r="Q102" s="3471" t="s">
        <v>5467</v>
      </c>
      <c r="R102" s="3472"/>
      <c r="S102" s="3472"/>
      <c r="T102" s="3472"/>
      <c r="U102" s="3472"/>
      <c r="V102" s="3473"/>
      <c r="W102" s="191"/>
      <c r="X102" s="3465"/>
      <c r="Y102" s="3466"/>
      <c r="Z102" s="3466"/>
      <c r="AA102" s="3466"/>
      <c r="AB102" s="3467"/>
      <c r="AC102" s="3466"/>
      <c r="AD102" s="3466"/>
      <c r="AE102" s="3468"/>
      <c r="AF102" s="126"/>
    </row>
    <row r="103" spans="1:32" ht="27.2" customHeight="1">
      <c r="B103" s="163"/>
      <c r="C103" s="163"/>
      <c r="D103" s="163"/>
      <c r="E103" s="163"/>
      <c r="F103" s="163"/>
      <c r="G103" s="163"/>
      <c r="H103" s="163"/>
      <c r="I103" s="73"/>
      <c r="J103" s="73"/>
      <c r="K103" s="3276"/>
      <c r="L103" s="3276"/>
      <c r="M103" s="73"/>
      <c r="N103" s="3276"/>
      <c r="O103" s="3276"/>
      <c r="P103" s="73"/>
      <c r="Q103" s="3474"/>
      <c r="R103" s="3475"/>
      <c r="S103" s="3475"/>
      <c r="T103" s="3475"/>
      <c r="U103" s="3475"/>
      <c r="V103" s="3476"/>
      <c r="W103" s="191"/>
      <c r="X103" s="191"/>
      <c r="Y103" s="191"/>
      <c r="Z103" s="191"/>
      <c r="AA103" s="191"/>
      <c r="AB103" s="191"/>
      <c r="AC103" s="191"/>
      <c r="AD103" s="189"/>
      <c r="AE103" s="189"/>
      <c r="AF103" s="126"/>
    </row>
    <row r="104" spans="1:32" ht="27.2" customHeight="1">
      <c r="B104" s="163"/>
      <c r="C104" s="163"/>
      <c r="D104" s="163"/>
      <c r="E104" s="163"/>
      <c r="F104" s="163"/>
      <c r="G104" s="163"/>
      <c r="H104" s="163"/>
      <c r="I104" s="73"/>
      <c r="J104" s="73"/>
      <c r="K104" s="3276"/>
      <c r="L104" s="3276"/>
      <c r="M104" s="73"/>
      <c r="N104" s="3276"/>
      <c r="O104" s="3276"/>
      <c r="P104" s="73"/>
      <c r="Q104" s="1993" t="s">
        <v>5468</v>
      </c>
      <c r="R104" s="1895"/>
      <c r="S104" s="1895"/>
      <c r="T104" s="1895"/>
      <c r="U104" s="1895"/>
      <c r="V104" s="2474"/>
      <c r="W104" s="192"/>
      <c r="X104" s="3412" t="s">
        <v>5469</v>
      </c>
      <c r="Y104" s="3413"/>
      <c r="Z104" s="3413"/>
      <c r="AA104" s="3413"/>
      <c r="AB104" s="3413"/>
      <c r="AC104" s="3413"/>
      <c r="AD104" s="3413"/>
      <c r="AE104" s="3414"/>
      <c r="AF104" s="126"/>
    </row>
    <row r="105" spans="1:32" ht="27.2" customHeight="1">
      <c r="A105" s="165"/>
      <c r="B105" s="163"/>
      <c r="C105" s="163"/>
      <c r="D105" s="163"/>
      <c r="E105" s="163"/>
      <c r="F105" s="163"/>
      <c r="G105" s="163"/>
      <c r="H105" s="163"/>
      <c r="I105" s="73"/>
      <c r="J105" s="73"/>
      <c r="K105" s="3276"/>
      <c r="L105" s="3276"/>
      <c r="M105" s="73"/>
      <c r="N105" s="3276"/>
      <c r="O105" s="3276"/>
      <c r="P105" s="73"/>
      <c r="Q105" s="3470"/>
      <c r="R105" s="2602"/>
      <c r="S105" s="2602"/>
      <c r="T105" s="2602"/>
      <c r="U105" s="2602"/>
      <c r="V105" s="2603"/>
      <c r="W105" s="192"/>
      <c r="X105" s="3415"/>
      <c r="Y105" s="3416"/>
      <c r="Z105" s="3416"/>
      <c r="AA105" s="3416"/>
      <c r="AB105" s="3416"/>
      <c r="AC105" s="3417"/>
      <c r="AD105" s="3417"/>
      <c r="AE105" s="3418"/>
      <c r="AF105" s="126"/>
    </row>
    <row r="106" spans="1:32" ht="27.2" customHeight="1">
      <c r="A106" s="165"/>
      <c r="B106" s="163"/>
      <c r="C106" s="163"/>
      <c r="D106" s="163"/>
      <c r="E106" s="163"/>
      <c r="F106" s="163"/>
      <c r="G106" s="163"/>
      <c r="H106" s="163"/>
      <c r="I106" s="73"/>
      <c r="J106" s="73"/>
      <c r="K106" s="3353"/>
      <c r="L106" s="3353"/>
      <c r="M106" s="3353"/>
      <c r="N106" s="3353"/>
      <c r="O106" s="3353"/>
      <c r="P106" s="73"/>
      <c r="Q106" s="2547" t="s">
        <v>5470</v>
      </c>
      <c r="R106" s="3438"/>
      <c r="S106" s="3371" t="s">
        <v>5471</v>
      </c>
      <c r="T106" s="2548"/>
      <c r="U106" s="2548"/>
      <c r="V106" s="3372"/>
      <c r="W106" s="189"/>
      <c r="X106" s="3366" t="s">
        <v>5472</v>
      </c>
      <c r="Y106" s="3355"/>
      <c r="Z106" s="3355"/>
      <c r="AA106" s="3367"/>
      <c r="AB106" s="3427" t="s">
        <v>5473</v>
      </c>
      <c r="AC106" s="2305" t="s">
        <v>5474</v>
      </c>
      <c r="AD106" s="2305"/>
      <c r="AE106" s="2306"/>
      <c r="AF106" s="126"/>
    </row>
    <row r="107" spans="1:32" ht="27.2" customHeight="1">
      <c r="A107" s="165"/>
      <c r="B107" s="163"/>
      <c r="C107" s="163"/>
      <c r="D107" s="163"/>
      <c r="E107" s="163"/>
      <c r="F107" s="163"/>
      <c r="G107" s="163"/>
      <c r="H107" s="163"/>
      <c r="I107" s="73"/>
      <c r="J107" s="73"/>
      <c r="K107" s="73"/>
      <c r="L107" s="73"/>
      <c r="M107" s="73"/>
      <c r="N107" s="73"/>
      <c r="O107" s="73"/>
      <c r="P107" s="73"/>
      <c r="Q107" s="2547"/>
      <c r="R107" s="3438"/>
      <c r="S107" s="3371"/>
      <c r="T107" s="2548"/>
      <c r="U107" s="2548"/>
      <c r="V107" s="3372"/>
      <c r="W107" s="189"/>
      <c r="X107" s="2343"/>
      <c r="Y107" s="2305"/>
      <c r="Z107" s="2305"/>
      <c r="AA107" s="3368"/>
      <c r="AB107" s="3428"/>
      <c r="AC107" s="2305"/>
      <c r="AD107" s="2305"/>
      <c r="AE107" s="2306"/>
      <c r="AF107" s="126"/>
    </row>
    <row r="108" spans="1:32" ht="15" customHeight="1">
      <c r="A108" s="165"/>
      <c r="B108" s="163"/>
      <c r="C108" s="163"/>
      <c r="D108" s="163"/>
      <c r="E108" s="163"/>
      <c r="F108" s="163"/>
      <c r="G108" s="163"/>
      <c r="H108" s="163"/>
      <c r="I108" s="73"/>
      <c r="J108" s="73"/>
      <c r="K108" s="3353"/>
      <c r="L108" s="3353"/>
      <c r="M108" s="3353"/>
      <c r="N108" s="3353"/>
      <c r="O108" s="3353"/>
      <c r="P108" s="73"/>
      <c r="Q108" s="2547"/>
      <c r="R108" s="3438"/>
      <c r="S108" s="3373"/>
      <c r="T108" s="3374"/>
      <c r="U108" s="3374"/>
      <c r="V108" s="3375"/>
      <c r="W108" s="189"/>
      <c r="X108" s="2343"/>
      <c r="Y108" s="2305"/>
      <c r="Z108" s="2305"/>
      <c r="AA108" s="2305"/>
      <c r="AB108" s="3377" t="s">
        <v>5475</v>
      </c>
      <c r="AC108" s="3354" t="s">
        <v>5476</v>
      </c>
      <c r="AD108" s="3355"/>
      <c r="AE108" s="3356"/>
      <c r="AF108" s="126"/>
    </row>
    <row r="109" spans="1:32" ht="17.25">
      <c r="A109" s="165"/>
      <c r="B109" s="163"/>
      <c r="C109" s="163"/>
      <c r="D109" s="163"/>
      <c r="E109" s="163"/>
      <c r="F109" s="163"/>
      <c r="G109" s="163"/>
      <c r="H109" s="163"/>
      <c r="I109" s="73"/>
      <c r="J109" s="73"/>
      <c r="K109" s="3353"/>
      <c r="L109" s="3353"/>
      <c r="M109" s="73"/>
      <c r="N109" s="3353"/>
      <c r="O109" s="3353"/>
      <c r="P109" s="73"/>
      <c r="Q109" s="2547"/>
      <c r="R109" s="3438"/>
      <c r="S109" s="3362" t="s">
        <v>5477</v>
      </c>
      <c r="T109" s="2364"/>
      <c r="U109" s="2364" t="s">
        <v>5478</v>
      </c>
      <c r="V109" s="2365" t="s">
        <v>5479</v>
      </c>
      <c r="W109" s="189"/>
      <c r="X109" s="2343"/>
      <c r="Y109" s="2305"/>
      <c r="Z109" s="2305"/>
      <c r="AA109" s="2305"/>
      <c r="AB109" s="3377"/>
      <c r="AC109" s="3357"/>
      <c r="AD109" s="3358"/>
      <c r="AE109" s="3359"/>
      <c r="AF109" s="126"/>
    </row>
    <row r="110" spans="1:32" ht="17.25">
      <c r="A110" s="165"/>
      <c r="B110" s="163"/>
      <c r="C110" s="163"/>
      <c r="D110" s="163"/>
      <c r="E110" s="163"/>
      <c r="F110" s="163"/>
      <c r="G110" s="163"/>
      <c r="H110" s="163"/>
      <c r="I110" s="73"/>
      <c r="J110" s="73"/>
      <c r="K110" s="3353"/>
      <c r="L110" s="3353"/>
      <c r="M110" s="146"/>
      <c r="N110" s="3353"/>
      <c r="O110" s="3353"/>
      <c r="P110" s="73"/>
      <c r="Q110" s="2547"/>
      <c r="R110" s="3438"/>
      <c r="S110" s="3362"/>
      <c r="T110" s="2364"/>
      <c r="U110" s="2364"/>
      <c r="V110" s="2365"/>
      <c r="W110" s="189"/>
      <c r="X110" s="3166" t="s">
        <v>5480</v>
      </c>
      <c r="Y110" s="3167"/>
      <c r="Z110" s="3167"/>
      <c r="AA110" s="3397"/>
      <c r="AB110" s="3429" t="s">
        <v>5481</v>
      </c>
      <c r="AC110" s="3377" t="s">
        <v>5482</v>
      </c>
      <c r="AD110" s="2305"/>
      <c r="AE110" s="2306"/>
      <c r="AF110" s="126"/>
    </row>
    <row r="111" spans="1:32" ht="16.149999999999999" customHeight="1">
      <c r="A111" s="165"/>
      <c r="B111" s="163"/>
      <c r="C111" s="163"/>
      <c r="D111" s="163"/>
      <c r="E111" s="163"/>
      <c r="F111" s="163"/>
      <c r="G111" s="163"/>
      <c r="H111" s="163"/>
      <c r="I111" s="73"/>
      <c r="J111" s="73"/>
      <c r="K111" s="3353"/>
      <c r="L111" s="3353"/>
      <c r="M111" s="146"/>
      <c r="N111" s="3353"/>
      <c r="O111" s="3353"/>
      <c r="P111" s="73"/>
      <c r="Q111" s="2547"/>
      <c r="R111" s="3438"/>
      <c r="S111" s="3362"/>
      <c r="T111" s="2364"/>
      <c r="U111" s="2364"/>
      <c r="V111" s="2365"/>
      <c r="W111" s="189"/>
      <c r="X111" s="3166"/>
      <c r="Y111" s="3167"/>
      <c r="Z111" s="3167"/>
      <c r="AA111" s="3397"/>
      <c r="AB111" s="3167"/>
      <c r="AC111" s="3377"/>
      <c r="AD111" s="2305"/>
      <c r="AE111" s="2306"/>
      <c r="AF111" s="126"/>
    </row>
    <row r="112" spans="1:32" ht="17.25">
      <c r="A112" s="165"/>
      <c r="B112" s="163"/>
      <c r="C112" s="163"/>
      <c r="D112" s="163"/>
      <c r="E112" s="163"/>
      <c r="F112" s="163"/>
      <c r="G112" s="163"/>
      <c r="H112" s="163"/>
      <c r="I112" s="73"/>
      <c r="J112" s="73"/>
      <c r="K112" s="3353"/>
      <c r="L112" s="3353"/>
      <c r="M112" s="146"/>
      <c r="N112" s="3353"/>
      <c r="O112" s="3353"/>
      <c r="P112" s="73"/>
      <c r="Q112" s="3439"/>
      <c r="R112" s="3440"/>
      <c r="S112" s="3363"/>
      <c r="T112" s="3364"/>
      <c r="U112" s="3364"/>
      <c r="V112" s="3452"/>
      <c r="W112" s="189"/>
      <c r="X112" s="3166"/>
      <c r="Y112" s="3167"/>
      <c r="Z112" s="3167"/>
      <c r="AA112" s="3397"/>
      <c r="AB112" s="3391"/>
      <c r="AC112" s="3404"/>
      <c r="AD112" s="3405"/>
      <c r="AE112" s="3406"/>
      <c r="AF112" s="126"/>
    </row>
    <row r="113" spans="1:32" ht="17.25">
      <c r="A113" s="165"/>
      <c r="B113" s="163"/>
      <c r="C113" s="163"/>
      <c r="D113" s="163"/>
      <c r="E113" s="163"/>
      <c r="F113" s="163"/>
      <c r="G113" s="163"/>
      <c r="H113" s="163"/>
      <c r="I113" s="73"/>
      <c r="J113" s="73"/>
      <c r="K113" s="3353"/>
      <c r="L113" s="3353"/>
      <c r="M113" s="146"/>
      <c r="N113" s="3353"/>
      <c r="O113" s="3353"/>
      <c r="P113" s="73"/>
      <c r="Q113" s="2363" t="s">
        <v>5483</v>
      </c>
      <c r="R113" s="2364"/>
      <c r="S113" s="2364"/>
      <c r="T113" s="2364"/>
      <c r="U113" s="2364"/>
      <c r="V113" s="2365"/>
      <c r="W113" s="189"/>
      <c r="X113" s="3166"/>
      <c r="Y113" s="3167"/>
      <c r="Z113" s="3167"/>
      <c r="AA113" s="3397"/>
      <c r="AB113" s="3388" t="s">
        <v>5484</v>
      </c>
      <c r="AC113" s="3167"/>
      <c r="AD113" s="3167"/>
      <c r="AE113" s="3389"/>
      <c r="AF113" s="126"/>
    </row>
    <row r="114" spans="1:32" ht="17.25">
      <c r="A114" s="165"/>
      <c r="B114" s="163"/>
      <c r="C114" s="163"/>
      <c r="D114" s="163"/>
      <c r="E114" s="163"/>
      <c r="F114" s="163"/>
      <c r="G114" s="163"/>
      <c r="H114" s="163"/>
      <c r="I114" s="73"/>
      <c r="J114" s="73"/>
      <c r="K114" s="2914"/>
      <c r="L114" s="2914"/>
      <c r="M114" s="175"/>
      <c r="N114" s="2914"/>
      <c r="O114" s="2914"/>
      <c r="P114" s="176"/>
      <c r="Q114" s="2363"/>
      <c r="R114" s="2364"/>
      <c r="S114" s="2364"/>
      <c r="T114" s="2364"/>
      <c r="U114" s="2364"/>
      <c r="V114" s="2365"/>
      <c r="W114" s="189"/>
      <c r="X114" s="3446" t="s">
        <v>5485</v>
      </c>
      <c r="Y114" s="3447"/>
      <c r="Z114" s="3447"/>
      <c r="AA114" s="3448"/>
      <c r="AB114" s="3390"/>
      <c r="AC114" s="3391"/>
      <c r="AD114" s="3391"/>
      <c r="AE114" s="3392"/>
      <c r="AF114" s="126"/>
    </row>
    <row r="115" spans="1:32" ht="17.25">
      <c r="A115" s="165"/>
      <c r="B115" s="163"/>
      <c r="C115" s="163"/>
      <c r="D115" s="163"/>
      <c r="E115" s="163"/>
      <c r="F115" s="163"/>
      <c r="G115" s="163"/>
      <c r="H115" s="163"/>
      <c r="I115" s="73"/>
      <c r="J115" s="73"/>
      <c r="K115" s="2914"/>
      <c r="L115" s="2914"/>
      <c r="M115" s="175"/>
      <c r="N115" s="2914"/>
      <c r="O115" s="2914"/>
      <c r="P115" s="176"/>
      <c r="Q115" s="2366"/>
      <c r="R115" s="2367"/>
      <c r="S115" s="2367"/>
      <c r="T115" s="2367"/>
      <c r="U115" s="2367"/>
      <c r="V115" s="2368"/>
      <c r="W115" s="189"/>
      <c r="X115" s="3366" t="s">
        <v>5486</v>
      </c>
      <c r="Y115" s="3355" t="s">
        <v>5487</v>
      </c>
      <c r="Z115" s="3355" t="s">
        <v>5488</v>
      </c>
      <c r="AA115" s="3355"/>
      <c r="AB115" s="3355"/>
      <c r="AC115" s="3367"/>
      <c r="AD115" s="3354" t="s">
        <v>5489</v>
      </c>
      <c r="AE115" s="3356"/>
      <c r="AF115" s="126"/>
    </row>
    <row r="116" spans="1:32" ht="17.25">
      <c r="A116" s="165"/>
      <c r="B116" s="163"/>
      <c r="C116" s="163"/>
      <c r="D116" s="163"/>
      <c r="E116" s="163"/>
      <c r="F116" s="163"/>
      <c r="G116" s="163"/>
      <c r="H116" s="163"/>
      <c r="I116" s="73"/>
      <c r="J116" s="73"/>
      <c r="K116" s="2914"/>
      <c r="L116" s="2914"/>
      <c r="M116" s="175"/>
      <c r="N116" s="2914"/>
      <c r="O116" s="2914"/>
      <c r="P116" s="176"/>
      <c r="Q116" s="187"/>
      <c r="R116" s="187"/>
      <c r="S116" s="187"/>
      <c r="T116" s="187"/>
      <c r="U116" s="187"/>
      <c r="V116" s="187"/>
      <c r="W116" s="193"/>
      <c r="X116" s="3453"/>
      <c r="Y116" s="3358"/>
      <c r="Z116" s="3358"/>
      <c r="AA116" s="3358"/>
      <c r="AB116" s="3358"/>
      <c r="AC116" s="3396"/>
      <c r="AD116" s="3377"/>
      <c r="AE116" s="2306"/>
      <c r="AF116" s="126"/>
    </row>
    <row r="117" spans="1:32" ht="17.25">
      <c r="A117" s="165"/>
      <c r="B117" s="163"/>
      <c r="C117" s="163"/>
      <c r="D117" s="163"/>
      <c r="E117" s="163"/>
      <c r="F117" s="163"/>
      <c r="G117" s="163"/>
      <c r="H117" s="163"/>
      <c r="I117" s="73"/>
      <c r="J117" s="73"/>
      <c r="K117" s="2914"/>
      <c r="L117" s="2914"/>
      <c r="M117" s="175"/>
      <c r="N117" s="2914"/>
      <c r="O117" s="2914"/>
      <c r="P117" s="176"/>
      <c r="Q117" s="187"/>
      <c r="R117" s="187"/>
      <c r="S117" s="187"/>
      <c r="T117" s="187"/>
      <c r="U117" s="187"/>
      <c r="V117" s="187"/>
      <c r="W117" s="193"/>
      <c r="X117" s="3366" t="s">
        <v>5490</v>
      </c>
      <c r="Y117" s="3355" t="s">
        <v>5491</v>
      </c>
      <c r="Z117" s="3355" t="s">
        <v>5492</v>
      </c>
      <c r="AA117" s="3355"/>
      <c r="AB117" s="3355"/>
      <c r="AC117" s="3367"/>
      <c r="AD117" s="3377"/>
      <c r="AE117" s="2306"/>
      <c r="AF117" s="126"/>
    </row>
    <row r="118" spans="1:32" ht="17.25">
      <c r="A118" s="165"/>
      <c r="B118" s="163"/>
      <c r="C118" s="163"/>
      <c r="D118" s="163"/>
      <c r="E118" s="163"/>
      <c r="F118" s="163"/>
      <c r="G118" s="163"/>
      <c r="H118" s="163"/>
      <c r="I118" s="73"/>
      <c r="J118" s="73"/>
      <c r="K118" s="176"/>
      <c r="L118" s="176"/>
      <c r="M118" s="176"/>
      <c r="N118" s="176"/>
      <c r="O118" s="176"/>
      <c r="P118" s="176"/>
      <c r="Q118" s="187"/>
      <c r="R118" s="187"/>
      <c r="S118" s="187"/>
      <c r="T118" s="187"/>
      <c r="U118" s="187"/>
      <c r="V118" s="187"/>
      <c r="W118" s="193"/>
      <c r="X118" s="3453"/>
      <c r="Y118" s="3358"/>
      <c r="Z118" s="3358"/>
      <c r="AA118" s="3358"/>
      <c r="AB118" s="3358"/>
      <c r="AC118" s="3396"/>
      <c r="AD118" s="3377"/>
      <c r="AE118" s="2306"/>
      <c r="AF118" s="126"/>
    </row>
    <row r="119" spans="1:32" ht="17.25">
      <c r="A119" s="165"/>
      <c r="B119" s="163"/>
      <c r="C119" s="163"/>
      <c r="D119" s="163"/>
      <c r="E119" s="163"/>
      <c r="F119" s="163"/>
      <c r="G119" s="163"/>
      <c r="H119" s="163"/>
      <c r="I119" s="73"/>
      <c r="J119" s="73"/>
      <c r="K119" s="176"/>
      <c r="L119" s="176"/>
      <c r="M119" s="176"/>
      <c r="N119" s="176"/>
      <c r="O119" s="176"/>
      <c r="P119" s="176"/>
      <c r="Q119" s="187"/>
      <c r="R119" s="187"/>
      <c r="S119" s="187"/>
      <c r="T119" s="187"/>
      <c r="U119" s="187"/>
      <c r="V119" s="187"/>
      <c r="W119" s="193"/>
      <c r="X119" s="3366" t="s">
        <v>5493</v>
      </c>
      <c r="Y119" s="3355" t="s">
        <v>1501</v>
      </c>
      <c r="Z119" s="3355" t="s">
        <v>5494</v>
      </c>
      <c r="AA119" s="3355"/>
      <c r="AB119" s="3355"/>
      <c r="AC119" s="3367"/>
      <c r="AD119" s="3377"/>
      <c r="AE119" s="2306"/>
    </row>
    <row r="120" spans="1:32" ht="17.25">
      <c r="A120" s="165"/>
      <c r="B120" s="166"/>
      <c r="C120" s="166"/>
      <c r="D120" s="166"/>
      <c r="E120" s="166"/>
      <c r="F120" s="166"/>
      <c r="G120" s="166"/>
      <c r="H120" s="166"/>
      <c r="I120" s="176"/>
      <c r="J120" s="176"/>
      <c r="K120" s="176"/>
      <c r="L120" s="176"/>
      <c r="M120" s="176"/>
      <c r="N120" s="176"/>
      <c r="O120" s="176"/>
      <c r="P120" s="176"/>
      <c r="Q120" s="187"/>
      <c r="R120" s="187"/>
      <c r="S120" s="187"/>
      <c r="T120" s="187"/>
      <c r="U120" s="187"/>
      <c r="V120" s="187"/>
      <c r="W120" s="193"/>
      <c r="X120" s="2346"/>
      <c r="Y120" s="2307"/>
      <c r="Z120" s="2307"/>
      <c r="AA120" s="2307"/>
      <c r="AB120" s="2307"/>
      <c r="AC120" s="3454"/>
      <c r="AD120" s="3378"/>
      <c r="AE120" s="2308"/>
    </row>
    <row r="121" spans="1:32" ht="16.5">
      <c r="A121" s="165"/>
      <c r="B121" s="166"/>
      <c r="C121" s="166"/>
      <c r="D121" s="166"/>
      <c r="E121" s="166"/>
      <c r="F121" s="166"/>
      <c r="G121" s="166"/>
      <c r="H121" s="166"/>
      <c r="I121" s="166"/>
      <c r="J121" s="176"/>
      <c r="K121" s="176"/>
      <c r="L121" s="176"/>
      <c r="M121" s="176"/>
      <c r="N121" s="176"/>
      <c r="O121" s="176"/>
      <c r="P121" s="176"/>
      <c r="Q121" s="136"/>
      <c r="R121" s="136"/>
      <c r="S121" s="136"/>
      <c r="T121" s="136"/>
      <c r="U121" s="136"/>
      <c r="V121" s="136"/>
      <c r="W121" s="136"/>
      <c r="X121" s="136"/>
      <c r="Y121" s="136"/>
      <c r="Z121" s="136"/>
      <c r="AA121" s="136"/>
      <c r="AB121" s="136"/>
      <c r="AC121" s="136"/>
      <c r="AD121" s="136"/>
      <c r="AE121" s="136"/>
    </row>
    <row r="122" spans="1:32" ht="16.5">
      <c r="A122" s="165"/>
      <c r="B122" s="166"/>
      <c r="C122" s="166"/>
      <c r="D122" s="166"/>
      <c r="E122" s="166"/>
      <c r="F122" s="166"/>
      <c r="G122" s="166"/>
      <c r="H122" s="166"/>
      <c r="I122" s="166"/>
      <c r="J122" s="176"/>
      <c r="K122" s="176"/>
      <c r="L122" s="176"/>
      <c r="M122" s="176"/>
      <c r="N122" s="176"/>
      <c r="O122" s="176"/>
      <c r="P122" s="176"/>
      <c r="Q122" s="3398" t="s">
        <v>5495</v>
      </c>
      <c r="R122" s="3399"/>
      <c r="S122" s="3399"/>
      <c r="T122" s="3399"/>
      <c r="U122" s="3399"/>
      <c r="V122" s="3399"/>
      <c r="W122" s="3399"/>
      <c r="X122" s="3399"/>
      <c r="Y122" s="3399"/>
      <c r="Z122" s="3399"/>
      <c r="AA122" s="3399"/>
      <c r="AB122" s="3399"/>
      <c r="AC122" s="3399"/>
      <c r="AD122" s="3399"/>
      <c r="AE122" s="3400"/>
    </row>
    <row r="123" spans="1:32" ht="16.5">
      <c r="A123" s="165"/>
      <c r="B123" s="167"/>
      <c r="C123" s="166"/>
      <c r="D123" s="166"/>
      <c r="E123" s="168"/>
      <c r="F123" s="168"/>
      <c r="G123" s="168"/>
      <c r="H123" s="168"/>
      <c r="I123" s="168"/>
      <c r="J123" s="176"/>
      <c r="K123" s="176"/>
      <c r="L123" s="176"/>
      <c r="M123" s="176"/>
      <c r="N123" s="176"/>
      <c r="O123" s="176"/>
      <c r="P123" s="176"/>
      <c r="Q123" s="3401"/>
      <c r="R123" s="3402"/>
      <c r="S123" s="3402"/>
      <c r="T123" s="3402"/>
      <c r="U123" s="3402"/>
      <c r="V123" s="3402"/>
      <c r="W123" s="3402"/>
      <c r="X123" s="3402"/>
      <c r="Y123" s="3402"/>
      <c r="Z123" s="3402"/>
      <c r="AA123" s="3402"/>
      <c r="AB123" s="3402"/>
      <c r="AC123" s="3402"/>
      <c r="AD123" s="3402"/>
      <c r="AE123" s="3403"/>
    </row>
    <row r="124" spans="1:32" ht="16.5">
      <c r="A124" s="165"/>
      <c r="B124" s="167"/>
      <c r="C124" s="166"/>
      <c r="D124" s="166"/>
      <c r="E124" s="168"/>
      <c r="F124" s="168"/>
      <c r="G124" s="168"/>
      <c r="H124" s="168"/>
      <c r="I124" s="168"/>
      <c r="J124" s="176"/>
      <c r="K124" s="176"/>
      <c r="L124" s="168"/>
      <c r="M124" s="168"/>
      <c r="N124" s="168"/>
      <c r="O124" s="168"/>
      <c r="P124" s="168"/>
      <c r="Q124" s="3401"/>
      <c r="R124" s="3402"/>
      <c r="S124" s="3402"/>
      <c r="T124" s="3402"/>
      <c r="U124" s="3402"/>
      <c r="V124" s="3402"/>
      <c r="W124" s="3402"/>
      <c r="X124" s="3402"/>
      <c r="Y124" s="3402"/>
      <c r="Z124" s="3402"/>
      <c r="AA124" s="3402"/>
      <c r="AB124" s="3402"/>
      <c r="AC124" s="3402"/>
      <c r="AD124" s="3402"/>
      <c r="AE124" s="3403"/>
    </row>
    <row r="125" spans="1:32" ht="17.25">
      <c r="A125" s="165"/>
      <c r="B125" s="167"/>
      <c r="C125" s="166"/>
      <c r="D125" s="166"/>
      <c r="E125" s="168"/>
      <c r="F125" s="168"/>
      <c r="G125" s="168"/>
      <c r="H125" s="168"/>
      <c r="I125" s="168"/>
      <c r="J125" s="176"/>
      <c r="K125" s="176"/>
      <c r="L125" s="168"/>
      <c r="M125" s="168"/>
      <c r="N125" s="168"/>
      <c r="O125" s="168"/>
      <c r="P125" s="168"/>
      <c r="Q125" s="3449" t="s">
        <v>5496</v>
      </c>
      <c r="R125" s="3450"/>
      <c r="S125" s="3450"/>
      <c r="T125" s="3450"/>
      <c r="U125" s="3450"/>
      <c r="V125" s="3450" t="s">
        <v>165</v>
      </c>
      <c r="W125" s="3450"/>
      <c r="X125" s="3450" t="s">
        <v>5497</v>
      </c>
      <c r="Y125" s="3450"/>
      <c r="Z125" s="3450"/>
      <c r="AA125" s="3450"/>
      <c r="AB125" s="3450"/>
      <c r="AC125" s="3450"/>
      <c r="AD125" s="3450"/>
      <c r="AE125" s="3451"/>
    </row>
    <row r="126" spans="1:32" ht="16.5">
      <c r="A126" s="165"/>
      <c r="B126" s="167"/>
      <c r="C126" s="166"/>
      <c r="D126" s="166"/>
      <c r="E126" s="168"/>
      <c r="F126" s="168"/>
      <c r="G126" s="168"/>
      <c r="H126" s="168"/>
      <c r="I126" s="168"/>
      <c r="J126" s="176"/>
      <c r="K126" s="176"/>
      <c r="L126" s="168"/>
      <c r="M126" s="168"/>
      <c r="N126" s="168"/>
      <c r="O126" s="168"/>
      <c r="P126" s="168"/>
      <c r="Q126" s="3360" t="s">
        <v>5498</v>
      </c>
      <c r="R126" s="3361"/>
      <c r="S126" s="3361"/>
      <c r="T126" s="3361"/>
      <c r="U126" s="3361"/>
      <c r="V126" s="2920" t="s">
        <v>5499</v>
      </c>
      <c r="W126" s="2914"/>
      <c r="X126" s="2914" t="s">
        <v>5500</v>
      </c>
      <c r="Y126" s="2914"/>
      <c r="Z126" s="2914"/>
      <c r="AA126" s="2914"/>
      <c r="AB126" s="2914"/>
      <c r="AC126" s="2914"/>
      <c r="AD126" s="2914"/>
      <c r="AE126" s="3350"/>
    </row>
    <row r="127" spans="1:32" ht="16.5">
      <c r="A127" s="165"/>
      <c r="B127" s="167"/>
      <c r="C127" s="166"/>
      <c r="D127" s="166"/>
      <c r="E127" s="168"/>
      <c r="F127" s="168"/>
      <c r="G127" s="168"/>
      <c r="H127" s="168"/>
      <c r="I127" s="168"/>
      <c r="J127" s="176"/>
      <c r="K127" s="176"/>
      <c r="L127" s="168"/>
      <c r="M127" s="168"/>
      <c r="N127" s="168"/>
      <c r="O127" s="168"/>
      <c r="P127" s="168"/>
      <c r="Q127" s="3360"/>
      <c r="R127" s="3361"/>
      <c r="S127" s="3361"/>
      <c r="T127" s="3361"/>
      <c r="U127" s="3361"/>
      <c r="V127" s="2914"/>
      <c r="W127" s="2914"/>
      <c r="X127" s="2914"/>
      <c r="Y127" s="2914"/>
      <c r="Z127" s="2914"/>
      <c r="AA127" s="2914"/>
      <c r="AB127" s="2914"/>
      <c r="AC127" s="2914"/>
      <c r="AD127" s="2914"/>
      <c r="AE127" s="3350"/>
    </row>
    <row r="128" spans="1:32" ht="16.5">
      <c r="A128" s="165"/>
      <c r="B128" s="167"/>
      <c r="C128" s="166"/>
      <c r="D128" s="166"/>
      <c r="E128" s="168"/>
      <c r="F128" s="168"/>
      <c r="G128" s="168"/>
      <c r="H128" s="168"/>
      <c r="I128" s="168"/>
      <c r="J128" s="176"/>
      <c r="K128" s="176"/>
      <c r="L128" s="168"/>
      <c r="M128" s="168"/>
      <c r="N128" s="168"/>
      <c r="O128" s="168"/>
      <c r="P128" s="168"/>
      <c r="Q128" s="3360"/>
      <c r="R128" s="3361"/>
      <c r="S128" s="3361"/>
      <c r="T128" s="3361"/>
      <c r="U128" s="3361"/>
      <c r="V128" s="2914"/>
      <c r="W128" s="2914"/>
      <c r="X128" s="2914"/>
      <c r="Y128" s="2914"/>
      <c r="Z128" s="2914"/>
      <c r="AA128" s="2914"/>
      <c r="AB128" s="2914"/>
      <c r="AC128" s="2914"/>
      <c r="AD128" s="2914"/>
      <c r="AE128" s="3350"/>
    </row>
    <row r="129" spans="1:31" ht="16.5">
      <c r="A129" s="165"/>
      <c r="B129" s="167"/>
      <c r="C129" s="166"/>
      <c r="D129" s="166"/>
      <c r="E129" s="168"/>
      <c r="F129" s="168"/>
      <c r="G129" s="168"/>
      <c r="H129" s="168"/>
      <c r="I129" s="168"/>
      <c r="J129" s="176"/>
      <c r="K129" s="176"/>
      <c r="L129" s="168"/>
      <c r="M129" s="168"/>
      <c r="N129" s="168"/>
      <c r="O129" s="168"/>
      <c r="P129" s="168"/>
      <c r="Q129" s="3441" t="s">
        <v>5501</v>
      </c>
      <c r="R129" s="3442"/>
      <c r="S129" s="3442"/>
      <c r="T129" s="3442"/>
      <c r="U129" s="3442"/>
      <c r="V129" s="3369" t="s">
        <v>5502</v>
      </c>
      <c r="W129" s="3370"/>
      <c r="X129" s="3370" t="s">
        <v>5503</v>
      </c>
      <c r="Y129" s="3370"/>
      <c r="Z129" s="3370"/>
      <c r="AA129" s="3370"/>
      <c r="AB129" s="3370"/>
      <c r="AC129" s="3370"/>
      <c r="AD129" s="3370"/>
      <c r="AE129" s="3408"/>
    </row>
    <row r="130" spans="1:31" ht="16.5">
      <c r="A130" s="165"/>
      <c r="B130" s="167"/>
      <c r="C130" s="166"/>
      <c r="D130" s="166"/>
      <c r="E130" s="168"/>
      <c r="F130" s="168"/>
      <c r="G130" s="168"/>
      <c r="H130" s="168"/>
      <c r="I130" s="168"/>
      <c r="J130" s="176"/>
      <c r="K130" s="176"/>
      <c r="L130" s="168"/>
      <c r="M130" s="168"/>
      <c r="N130" s="168"/>
      <c r="O130" s="168"/>
      <c r="P130" s="168"/>
      <c r="Q130" s="3441"/>
      <c r="R130" s="3442"/>
      <c r="S130" s="3442"/>
      <c r="T130" s="3442"/>
      <c r="U130" s="3442"/>
      <c r="V130" s="3370"/>
      <c r="W130" s="3370"/>
      <c r="X130" s="3370"/>
      <c r="Y130" s="3370"/>
      <c r="Z130" s="3370"/>
      <c r="AA130" s="3370"/>
      <c r="AB130" s="3370"/>
      <c r="AC130" s="3370"/>
      <c r="AD130" s="3370"/>
      <c r="AE130" s="3408"/>
    </row>
    <row r="131" spans="1:31" ht="16.5">
      <c r="A131" s="165"/>
      <c r="B131" s="167"/>
      <c r="C131" s="166"/>
      <c r="D131" s="166"/>
      <c r="E131" s="168"/>
      <c r="F131" s="168"/>
      <c r="G131" s="168"/>
      <c r="H131" s="168"/>
      <c r="I131" s="168"/>
      <c r="J131" s="176"/>
      <c r="K131" s="176"/>
      <c r="L131" s="168"/>
      <c r="M131" s="168"/>
      <c r="N131" s="168"/>
      <c r="O131" s="168"/>
      <c r="P131" s="168"/>
      <c r="Q131" s="3441"/>
      <c r="R131" s="3442"/>
      <c r="S131" s="3442"/>
      <c r="T131" s="3442"/>
      <c r="U131" s="3442"/>
      <c r="V131" s="3370"/>
      <c r="W131" s="3370"/>
      <c r="X131" s="3370"/>
      <c r="Y131" s="3370"/>
      <c r="Z131" s="3370"/>
      <c r="AA131" s="3370"/>
      <c r="AB131" s="3370"/>
      <c r="AC131" s="3370"/>
      <c r="AD131" s="3370"/>
      <c r="AE131" s="3408"/>
    </row>
    <row r="132" spans="1:31" ht="16.5">
      <c r="A132" s="165"/>
      <c r="B132" s="166"/>
      <c r="C132" s="166"/>
      <c r="D132" s="166"/>
      <c r="E132" s="176"/>
      <c r="F132" s="176"/>
      <c r="G132" s="176"/>
      <c r="H132" s="176"/>
      <c r="I132" s="176"/>
      <c r="J132" s="176"/>
      <c r="K132" s="176"/>
      <c r="L132" s="168"/>
      <c r="M132" s="168"/>
      <c r="N132" s="168"/>
      <c r="O132" s="168"/>
      <c r="P132" s="168"/>
      <c r="Q132" s="3360" t="s">
        <v>5504</v>
      </c>
      <c r="R132" s="3361"/>
      <c r="S132" s="3361"/>
      <c r="T132" s="3361"/>
      <c r="U132" s="3361"/>
      <c r="V132" s="2920" t="s">
        <v>5505</v>
      </c>
      <c r="W132" s="2914"/>
      <c r="X132" s="2914" t="s">
        <v>5506</v>
      </c>
      <c r="Y132" s="2914"/>
      <c r="Z132" s="2914"/>
      <c r="AA132" s="2914"/>
      <c r="AB132" s="2914"/>
      <c r="AC132" s="2914"/>
      <c r="AD132" s="2914"/>
      <c r="AE132" s="3350"/>
    </row>
    <row r="133" spans="1:31" ht="16.5">
      <c r="A133" s="165"/>
      <c r="B133" s="166"/>
      <c r="C133" s="166"/>
      <c r="D133" s="166"/>
      <c r="E133" s="176"/>
      <c r="F133" s="176"/>
      <c r="G133" s="176"/>
      <c r="H133" s="176"/>
      <c r="I133" s="176"/>
      <c r="J133" s="176"/>
      <c r="K133" s="176"/>
      <c r="L133" s="168"/>
      <c r="M133" s="168"/>
      <c r="N133" s="168"/>
      <c r="O133" s="168"/>
      <c r="P133" s="168"/>
      <c r="Q133" s="3360"/>
      <c r="R133" s="3361"/>
      <c r="S133" s="3361"/>
      <c r="T133" s="3361"/>
      <c r="U133" s="3361"/>
      <c r="V133" s="2914"/>
      <c r="W133" s="2914"/>
      <c r="X133" s="2914"/>
      <c r="Y133" s="2914"/>
      <c r="Z133" s="2914"/>
      <c r="AA133" s="2914"/>
      <c r="AB133" s="2914"/>
      <c r="AC133" s="2914"/>
      <c r="AD133" s="2914"/>
      <c r="AE133" s="3350"/>
    </row>
    <row r="134" spans="1:31" ht="16.5">
      <c r="A134" s="165"/>
      <c r="B134" s="166"/>
      <c r="C134" s="166"/>
      <c r="D134" s="166"/>
      <c r="E134" s="176"/>
      <c r="F134" s="176"/>
      <c r="G134" s="176"/>
      <c r="H134" s="176"/>
      <c r="I134" s="176"/>
      <c r="J134" s="176"/>
      <c r="K134" s="176"/>
      <c r="L134" s="168"/>
      <c r="M134" s="168"/>
      <c r="N134" s="168"/>
      <c r="O134" s="168"/>
      <c r="P134" s="168"/>
      <c r="Q134" s="3360"/>
      <c r="R134" s="3361"/>
      <c r="S134" s="3361"/>
      <c r="T134" s="3361"/>
      <c r="U134" s="3361"/>
      <c r="V134" s="2914"/>
      <c r="W134" s="2914"/>
      <c r="X134" s="2914"/>
      <c r="Y134" s="2914"/>
      <c r="Z134" s="2914"/>
      <c r="AA134" s="2914"/>
      <c r="AB134" s="2914"/>
      <c r="AC134" s="2914"/>
      <c r="AD134" s="2914"/>
      <c r="AE134" s="3350"/>
    </row>
    <row r="135" spans="1:31" ht="16.5">
      <c r="A135" s="165"/>
      <c r="B135" s="166"/>
      <c r="C135" s="166"/>
      <c r="D135" s="166"/>
      <c r="E135" s="176"/>
      <c r="F135" s="176"/>
      <c r="G135" s="176"/>
      <c r="H135" s="176"/>
      <c r="I135" s="176"/>
      <c r="J135" s="176"/>
      <c r="K135" s="176"/>
      <c r="L135" s="168"/>
      <c r="M135" s="168"/>
      <c r="N135" s="168"/>
      <c r="O135" s="168"/>
      <c r="P135" s="168"/>
      <c r="Q135" s="3441" t="s">
        <v>5507</v>
      </c>
      <c r="R135" s="3442"/>
      <c r="S135" s="3442"/>
      <c r="T135" s="3442"/>
      <c r="U135" s="3442"/>
      <c r="V135" s="3369" t="s">
        <v>5508</v>
      </c>
      <c r="W135" s="3370"/>
      <c r="X135" s="3370" t="s">
        <v>5509</v>
      </c>
      <c r="Y135" s="3370"/>
      <c r="Z135" s="3370"/>
      <c r="AA135" s="3370"/>
      <c r="AB135" s="3370"/>
      <c r="AC135" s="3370"/>
      <c r="AD135" s="3370"/>
      <c r="AE135" s="3408"/>
    </row>
    <row r="136" spans="1:31" ht="16.5">
      <c r="A136" s="165"/>
      <c r="B136" s="166"/>
      <c r="C136" s="166"/>
      <c r="D136" s="166"/>
      <c r="E136" s="176"/>
      <c r="F136" s="176"/>
      <c r="G136" s="176"/>
      <c r="H136" s="176"/>
      <c r="I136" s="176"/>
      <c r="J136" s="176"/>
      <c r="K136" s="176"/>
      <c r="L136" s="168"/>
      <c r="M136" s="168"/>
      <c r="N136" s="168"/>
      <c r="O136" s="168"/>
      <c r="P136" s="168"/>
      <c r="Q136" s="3441"/>
      <c r="R136" s="3442"/>
      <c r="S136" s="3442"/>
      <c r="T136" s="3442"/>
      <c r="U136" s="3442"/>
      <c r="V136" s="3370"/>
      <c r="W136" s="3370"/>
      <c r="X136" s="3370"/>
      <c r="Y136" s="3370"/>
      <c r="Z136" s="3370"/>
      <c r="AA136" s="3370"/>
      <c r="AB136" s="3370"/>
      <c r="AC136" s="3370"/>
      <c r="AD136" s="3370"/>
      <c r="AE136" s="3408"/>
    </row>
    <row r="137" spans="1:31" ht="16.5">
      <c r="A137" s="165"/>
      <c r="B137" s="166"/>
      <c r="C137" s="166"/>
      <c r="D137" s="166"/>
      <c r="E137" s="176"/>
      <c r="F137" s="176"/>
      <c r="G137" s="176"/>
      <c r="H137" s="176"/>
      <c r="I137" s="176"/>
      <c r="J137" s="176"/>
      <c r="K137" s="176"/>
      <c r="L137" s="168"/>
      <c r="M137" s="168"/>
      <c r="N137" s="168"/>
      <c r="O137" s="168"/>
      <c r="P137" s="168"/>
      <c r="Q137" s="3441"/>
      <c r="R137" s="3442"/>
      <c r="S137" s="3442"/>
      <c r="T137" s="3442"/>
      <c r="U137" s="3442"/>
      <c r="V137" s="3370"/>
      <c r="W137" s="3370"/>
      <c r="X137" s="3370"/>
      <c r="Y137" s="3370"/>
      <c r="Z137" s="3370"/>
      <c r="AA137" s="3370"/>
      <c r="AB137" s="3370"/>
      <c r="AC137" s="3370"/>
      <c r="AD137" s="3370"/>
      <c r="AE137" s="3408"/>
    </row>
    <row r="138" spans="1:31" ht="16.5">
      <c r="A138" s="165"/>
      <c r="B138" s="166"/>
      <c r="C138" s="166"/>
      <c r="D138" s="166"/>
      <c r="E138" s="176"/>
      <c r="F138" s="176"/>
      <c r="G138" s="176"/>
      <c r="H138" s="176"/>
      <c r="I138" s="176"/>
      <c r="J138" s="176"/>
      <c r="K138" s="176"/>
      <c r="L138" s="168"/>
      <c r="M138" s="168"/>
      <c r="N138" s="168"/>
      <c r="O138" s="168"/>
      <c r="P138" s="168"/>
      <c r="Q138" s="3360" t="s">
        <v>5510</v>
      </c>
      <c r="R138" s="3361"/>
      <c r="S138" s="3361"/>
      <c r="T138" s="3361"/>
      <c r="U138" s="3361"/>
      <c r="V138" s="2920" t="s">
        <v>5511</v>
      </c>
      <c r="W138" s="2914"/>
      <c r="X138" s="2914" t="s">
        <v>5512</v>
      </c>
      <c r="Y138" s="2914"/>
      <c r="Z138" s="2914"/>
      <c r="AA138" s="2914"/>
      <c r="AB138" s="2914"/>
      <c r="AC138" s="2914"/>
      <c r="AD138" s="2914"/>
      <c r="AE138" s="3350"/>
    </row>
    <row r="139" spans="1:31" ht="16.5">
      <c r="A139" s="165"/>
      <c r="B139" s="166"/>
      <c r="C139" s="166"/>
      <c r="D139" s="166"/>
      <c r="E139" s="176"/>
      <c r="F139" s="176"/>
      <c r="G139" s="176"/>
      <c r="H139" s="176"/>
      <c r="I139" s="176"/>
      <c r="J139" s="176"/>
      <c r="K139" s="176"/>
      <c r="L139" s="168"/>
      <c r="M139" s="168"/>
      <c r="N139" s="168"/>
      <c r="O139" s="168"/>
      <c r="P139" s="168"/>
      <c r="Q139" s="3360"/>
      <c r="R139" s="3361"/>
      <c r="S139" s="3361"/>
      <c r="T139" s="3361"/>
      <c r="U139" s="3361"/>
      <c r="V139" s="2914"/>
      <c r="W139" s="2914"/>
      <c r="X139" s="2914"/>
      <c r="Y139" s="2914"/>
      <c r="Z139" s="2914"/>
      <c r="AA139" s="2914"/>
      <c r="AB139" s="2914"/>
      <c r="AC139" s="2914"/>
      <c r="AD139" s="2914"/>
      <c r="AE139" s="3350"/>
    </row>
    <row r="140" spans="1:31" ht="16.5">
      <c r="A140" s="165"/>
      <c r="B140" s="166"/>
      <c r="C140" s="166"/>
      <c r="D140" s="166"/>
      <c r="E140" s="176"/>
      <c r="F140" s="176"/>
      <c r="G140" s="176"/>
      <c r="H140" s="176"/>
      <c r="I140" s="176"/>
      <c r="J140" s="176"/>
      <c r="K140" s="176"/>
      <c r="L140" s="168"/>
      <c r="M140" s="168"/>
      <c r="N140" s="168"/>
      <c r="O140" s="168"/>
      <c r="P140" s="168"/>
      <c r="Q140" s="3386"/>
      <c r="R140" s="3387"/>
      <c r="S140" s="3387"/>
      <c r="T140" s="3387"/>
      <c r="U140" s="3387"/>
      <c r="V140" s="3351"/>
      <c r="W140" s="3351"/>
      <c r="X140" s="3351"/>
      <c r="Y140" s="3351"/>
      <c r="Z140" s="3351"/>
      <c r="AA140" s="3351"/>
      <c r="AB140" s="3351"/>
      <c r="AC140" s="3351"/>
      <c r="AD140" s="3351"/>
      <c r="AE140" s="3352"/>
    </row>
    <row r="141" spans="1:31">
      <c r="A141" s="165"/>
      <c r="B141" s="32"/>
      <c r="C141" s="32"/>
      <c r="D141" s="32"/>
      <c r="E141" s="32"/>
      <c r="F141" s="32"/>
      <c r="G141" s="32"/>
      <c r="H141" s="32"/>
    </row>
    <row r="142" spans="1:31" ht="38.25">
      <c r="A142" s="165"/>
      <c r="B142" s="206"/>
      <c r="C142" s="206"/>
      <c r="D142" s="206"/>
      <c r="E142" s="206"/>
      <c r="F142" s="206"/>
      <c r="G142" s="206"/>
      <c r="H142" s="206"/>
      <c r="I142" s="206"/>
      <c r="J142" s="206"/>
      <c r="K142" s="206"/>
      <c r="L142" s="206"/>
      <c r="M142" s="206"/>
      <c r="N142" s="206"/>
      <c r="O142" s="206"/>
      <c r="P142" s="206"/>
      <c r="Q142" s="206"/>
    </row>
    <row r="143" spans="1:31" ht="38.25">
      <c r="A143" s="165"/>
      <c r="B143" s="206"/>
      <c r="C143" s="206"/>
      <c r="D143" s="206"/>
      <c r="E143" s="206"/>
      <c r="F143" s="206"/>
      <c r="G143" s="206"/>
      <c r="H143" s="206"/>
      <c r="I143" s="206"/>
      <c r="J143" s="206"/>
      <c r="K143" s="206"/>
      <c r="L143" s="206"/>
      <c r="M143" s="206"/>
      <c r="N143" s="206"/>
      <c r="O143" s="206"/>
      <c r="P143" s="206"/>
      <c r="Q143" s="206"/>
    </row>
    <row r="144" spans="1:31" ht="38.25">
      <c r="A144" s="165"/>
      <c r="B144" s="206"/>
      <c r="C144" s="206"/>
      <c r="D144" s="206"/>
      <c r="E144" s="206"/>
      <c r="F144" s="206"/>
      <c r="G144" s="206"/>
      <c r="H144" s="206"/>
      <c r="I144" s="206"/>
      <c r="J144" s="206"/>
      <c r="K144" s="206"/>
      <c r="L144" s="206"/>
      <c r="M144" s="206"/>
      <c r="N144" s="206"/>
      <c r="O144" s="206"/>
      <c r="P144" s="206"/>
      <c r="Q144" s="206"/>
    </row>
    <row r="145" spans="1:18" ht="16.5">
      <c r="A145" s="165"/>
      <c r="B145" s="207"/>
      <c r="C145" s="207"/>
      <c r="D145" s="207"/>
      <c r="E145" s="207"/>
      <c r="F145" s="207"/>
      <c r="G145" s="208"/>
      <c r="H145" s="208"/>
      <c r="I145" s="212"/>
      <c r="J145" s="212"/>
      <c r="K145" s="212"/>
      <c r="L145" s="212"/>
      <c r="M145" s="212"/>
      <c r="N145" s="212"/>
      <c r="O145" s="212"/>
      <c r="P145" s="212"/>
      <c r="Q145" s="212"/>
    </row>
    <row r="146" spans="1:18" ht="23.1" customHeight="1">
      <c r="A146" s="165"/>
      <c r="B146" s="209"/>
      <c r="C146" s="207"/>
      <c r="D146" s="3380"/>
      <c r="E146" s="3380"/>
      <c r="F146" s="3380"/>
      <c r="G146" s="3380"/>
      <c r="H146" s="208"/>
      <c r="I146" s="3376"/>
      <c r="J146" s="3376"/>
      <c r="K146" s="212"/>
      <c r="L146" s="3376"/>
      <c r="M146" s="3376"/>
      <c r="N146" s="212"/>
      <c r="O146" s="3376"/>
      <c r="P146" s="3376"/>
      <c r="Q146" s="3376"/>
    </row>
    <row r="147" spans="1:18" ht="16.5">
      <c r="A147" s="165"/>
      <c r="B147" s="3393"/>
      <c r="C147" s="207"/>
      <c r="D147" s="3393"/>
      <c r="E147" s="3445"/>
      <c r="F147" s="3393"/>
      <c r="G147" s="3393"/>
      <c r="H147" s="207"/>
      <c r="I147" s="2981"/>
      <c r="J147" s="2981"/>
      <c r="K147" s="212"/>
      <c r="L147" s="2981"/>
      <c r="M147" s="2981"/>
      <c r="N147" s="212"/>
      <c r="O147" s="2981"/>
      <c r="P147" s="2915"/>
      <c r="Q147" s="2915"/>
    </row>
    <row r="148" spans="1:18" ht="16.5">
      <c r="A148" s="165"/>
      <c r="B148" s="3443"/>
      <c r="C148" s="207"/>
      <c r="D148" s="3445"/>
      <c r="E148" s="3445"/>
      <c r="F148" s="3393"/>
      <c r="G148" s="3393"/>
      <c r="H148" s="207"/>
      <c r="I148" s="2981"/>
      <c r="J148" s="2981"/>
      <c r="K148" s="212"/>
      <c r="L148" s="2981"/>
      <c r="M148" s="2981"/>
      <c r="N148" s="212"/>
      <c r="O148" s="2915"/>
      <c r="P148" s="2915"/>
      <c r="Q148" s="2915"/>
    </row>
    <row r="149" spans="1:18" ht="16.5">
      <c r="A149" s="165"/>
      <c r="B149" s="3443"/>
      <c r="C149" s="207"/>
      <c r="D149" s="3445"/>
      <c r="E149" s="3445"/>
      <c r="F149" s="3393"/>
      <c r="G149" s="3393"/>
      <c r="H149" s="207"/>
      <c r="I149" s="2981"/>
      <c r="J149" s="2981"/>
      <c r="K149" s="212"/>
      <c r="L149" s="2981"/>
      <c r="M149" s="2981"/>
      <c r="N149" s="212"/>
      <c r="O149" s="2915"/>
      <c r="P149" s="2915"/>
      <c r="Q149" s="2915"/>
    </row>
    <row r="150" spans="1:18" ht="16.5">
      <c r="A150" s="165"/>
      <c r="B150" s="3443"/>
      <c r="C150" s="207"/>
      <c r="D150" s="3445"/>
      <c r="E150" s="3445"/>
      <c r="F150" s="3393"/>
      <c r="G150" s="3393"/>
      <c r="H150" s="207"/>
      <c r="I150" s="2981"/>
      <c r="J150" s="2981"/>
      <c r="K150" s="212"/>
      <c r="L150" s="2981"/>
      <c r="M150" s="2981"/>
      <c r="N150" s="212"/>
      <c r="O150" s="2915"/>
      <c r="P150" s="2915"/>
      <c r="Q150" s="2915"/>
    </row>
    <row r="151" spans="1:18" ht="16.5">
      <c r="A151" s="165"/>
      <c r="B151" s="3443"/>
      <c r="C151" s="207"/>
      <c r="D151" s="3445"/>
      <c r="E151" s="3445"/>
      <c r="F151" s="3393"/>
      <c r="G151" s="3393"/>
      <c r="H151" s="207"/>
      <c r="I151" s="2981"/>
      <c r="J151" s="2981"/>
      <c r="K151" s="212"/>
      <c r="L151" s="2981"/>
      <c r="M151" s="2981"/>
      <c r="N151" s="212"/>
      <c r="O151" s="2915"/>
      <c r="P151" s="2915"/>
      <c r="Q151" s="2915"/>
    </row>
    <row r="152" spans="1:18" ht="16.5">
      <c r="A152" s="165"/>
      <c r="B152" s="3443"/>
      <c r="C152" s="207"/>
      <c r="D152" s="3445"/>
      <c r="E152" s="3445"/>
      <c r="F152" s="3393"/>
      <c r="G152" s="3393"/>
      <c r="H152" s="207"/>
      <c r="I152" s="2981"/>
      <c r="J152" s="2981"/>
      <c r="K152" s="212"/>
      <c r="L152" s="2981"/>
      <c r="M152" s="2981"/>
      <c r="N152" s="212"/>
      <c r="O152" s="2915"/>
      <c r="P152" s="2915"/>
      <c r="Q152" s="2915"/>
    </row>
    <row r="153" spans="1:18" ht="16.5">
      <c r="A153" s="165"/>
      <c r="B153" s="3443"/>
      <c r="C153" s="207"/>
      <c r="D153" s="3445"/>
      <c r="E153" s="3445"/>
      <c r="F153" s="3393"/>
      <c r="G153" s="3393"/>
      <c r="H153" s="207"/>
      <c r="I153" s="2981"/>
      <c r="J153" s="2981"/>
      <c r="K153" s="212"/>
      <c r="L153" s="2981"/>
      <c r="M153" s="2981"/>
      <c r="N153" s="212"/>
      <c r="O153" s="2915"/>
      <c r="P153" s="2915"/>
      <c r="Q153" s="2915"/>
    </row>
    <row r="154" spans="1:18" ht="16.5">
      <c r="A154" s="165"/>
      <c r="B154" s="3443"/>
      <c r="C154" s="207"/>
      <c r="D154" s="3445"/>
      <c r="E154" s="3445"/>
      <c r="F154" s="3393"/>
      <c r="G154" s="3393"/>
      <c r="H154" s="207"/>
      <c r="I154" s="2981"/>
      <c r="J154" s="2981"/>
      <c r="K154" s="212"/>
      <c r="L154" s="2981"/>
      <c r="M154" s="2981"/>
      <c r="N154" s="212"/>
      <c r="O154" s="2915"/>
      <c r="P154" s="2915"/>
      <c r="Q154" s="2915"/>
    </row>
    <row r="155" spans="1:18" ht="16.5">
      <c r="A155" s="165"/>
      <c r="B155" s="207"/>
      <c r="C155" s="207"/>
      <c r="D155" s="207"/>
      <c r="E155" s="207"/>
      <c r="F155" s="207"/>
      <c r="G155" s="207"/>
      <c r="H155" s="207"/>
      <c r="I155" s="212"/>
      <c r="J155" s="212"/>
      <c r="K155" s="212"/>
      <c r="L155" s="212"/>
      <c r="M155" s="212"/>
      <c r="N155" s="212"/>
      <c r="O155" s="212"/>
      <c r="P155" s="212"/>
      <c r="Q155" s="212"/>
    </row>
    <row r="156" spans="1:18" ht="16.5">
      <c r="A156" s="165"/>
      <c r="B156" s="207"/>
      <c r="C156" s="207"/>
      <c r="D156" s="207"/>
      <c r="E156" s="207"/>
      <c r="F156" s="207"/>
      <c r="G156" s="207"/>
      <c r="H156" s="207"/>
      <c r="I156" s="212"/>
      <c r="J156" s="212"/>
      <c r="K156" s="212"/>
      <c r="L156" s="212"/>
      <c r="M156" s="212"/>
      <c r="N156" s="212"/>
      <c r="O156" s="212"/>
      <c r="P156" s="212"/>
      <c r="Q156" s="212"/>
    </row>
    <row r="157" spans="1:18" ht="16.5">
      <c r="A157" s="165"/>
      <c r="B157" s="3380"/>
      <c r="C157" s="3380"/>
      <c r="D157" s="3380"/>
      <c r="E157" s="207"/>
      <c r="F157" s="3380"/>
      <c r="G157" s="3380"/>
      <c r="H157" s="3380"/>
      <c r="I157" s="3380"/>
      <c r="J157" s="212"/>
      <c r="K157" s="3376"/>
      <c r="L157" s="3376"/>
      <c r="M157" s="3376"/>
      <c r="N157" s="3376"/>
      <c r="O157" s="3376"/>
      <c r="P157" s="3376"/>
      <c r="Q157" s="3376"/>
    </row>
    <row r="158" spans="1:18" ht="16.5">
      <c r="A158" s="165"/>
      <c r="B158" s="3380"/>
      <c r="C158" s="3380"/>
      <c r="D158" s="3380"/>
      <c r="E158" s="207"/>
      <c r="F158" s="3380"/>
      <c r="G158" s="3380"/>
      <c r="H158" s="3380"/>
      <c r="I158" s="3380"/>
      <c r="J158" s="212"/>
      <c r="K158" s="3376"/>
      <c r="L158" s="3376"/>
      <c r="M158" s="3376"/>
      <c r="N158" s="3376"/>
      <c r="O158" s="3376"/>
      <c r="P158" s="3376"/>
      <c r="Q158" s="3376"/>
    </row>
    <row r="159" spans="1:18" ht="16.5">
      <c r="A159" s="165"/>
      <c r="B159" s="3394"/>
      <c r="C159" s="3393"/>
      <c r="D159" s="3393"/>
      <c r="E159" s="207"/>
      <c r="F159" s="3393"/>
      <c r="G159" s="3393"/>
      <c r="H159" s="3394"/>
      <c r="I159" s="3394"/>
      <c r="J159" s="212"/>
      <c r="K159" s="2981"/>
      <c r="L159" s="2981"/>
      <c r="M159" s="2981"/>
      <c r="N159" s="2981"/>
      <c r="O159" s="3407"/>
      <c r="P159" s="3407"/>
      <c r="Q159" s="3407"/>
      <c r="R159" s="213"/>
    </row>
    <row r="160" spans="1:18" ht="16.5">
      <c r="A160" s="165"/>
      <c r="B160" s="3394"/>
      <c r="C160" s="3393"/>
      <c r="D160" s="3393"/>
      <c r="E160" s="207"/>
      <c r="F160" s="3393"/>
      <c r="G160" s="3393"/>
      <c r="H160" s="3394"/>
      <c r="I160" s="3394"/>
      <c r="J160" s="212"/>
      <c r="K160" s="2981"/>
      <c r="L160" s="2981"/>
      <c r="M160" s="2981"/>
      <c r="N160" s="2981"/>
      <c r="O160" s="3407"/>
      <c r="P160" s="3407"/>
      <c r="Q160" s="3407"/>
      <c r="R160" s="213"/>
    </row>
    <row r="161" spans="2:18" ht="16.5">
      <c r="B161" s="3394"/>
      <c r="C161" s="210"/>
      <c r="D161" s="210"/>
      <c r="E161" s="208"/>
      <c r="F161" s="3393"/>
      <c r="G161" s="3393"/>
      <c r="H161" s="3394"/>
      <c r="I161" s="3394"/>
      <c r="J161" s="212"/>
      <c r="K161" s="3395"/>
      <c r="L161" s="3395"/>
      <c r="M161" s="3395"/>
      <c r="N161" s="3395"/>
      <c r="O161" s="3395"/>
      <c r="P161" s="3395"/>
      <c r="Q161" s="3395"/>
    </row>
    <row r="162" spans="2:18" ht="16.5">
      <c r="B162" s="3394"/>
      <c r="C162" s="210"/>
      <c r="D162" s="210"/>
      <c r="E162" s="208"/>
      <c r="F162" s="3393"/>
      <c r="G162" s="3393"/>
      <c r="H162" s="3394"/>
      <c r="I162" s="3394"/>
      <c r="J162" s="212"/>
      <c r="K162" s="3395"/>
      <c r="L162" s="3395"/>
      <c r="M162" s="3395"/>
      <c r="N162" s="3395"/>
      <c r="O162" s="3395"/>
      <c r="P162" s="3395"/>
      <c r="Q162" s="3395"/>
    </row>
    <row r="163" spans="2:18" ht="16.5">
      <c r="B163" s="3394"/>
      <c r="C163" s="210"/>
      <c r="D163" s="210"/>
      <c r="E163" s="208"/>
      <c r="F163" s="3393"/>
      <c r="G163" s="3393"/>
      <c r="H163" s="3394"/>
      <c r="I163" s="3394"/>
      <c r="J163" s="212"/>
      <c r="K163" s="2981"/>
      <c r="L163" s="2981"/>
      <c r="M163" s="2981"/>
      <c r="N163" s="2981"/>
      <c r="O163" s="2981"/>
      <c r="P163" s="2981"/>
      <c r="Q163" s="2981"/>
    </row>
    <row r="164" spans="2:18" ht="16.5">
      <c r="B164" s="3394"/>
      <c r="C164" s="210"/>
      <c r="D164" s="210"/>
      <c r="E164" s="208"/>
      <c r="F164" s="3393"/>
      <c r="G164" s="3393"/>
      <c r="H164" s="3394"/>
      <c r="I164" s="3394"/>
      <c r="J164" s="212"/>
      <c r="K164" s="2981"/>
      <c r="L164" s="2981"/>
      <c r="M164" s="2981"/>
      <c r="N164" s="2981"/>
      <c r="O164" s="2981"/>
      <c r="P164" s="2981"/>
      <c r="Q164" s="2981"/>
    </row>
    <row r="165" spans="2:18" ht="16.5">
      <c r="B165" s="3394"/>
      <c r="C165" s="210"/>
      <c r="D165" s="210"/>
      <c r="E165" s="208"/>
      <c r="F165" s="3393"/>
      <c r="G165" s="3393"/>
      <c r="H165" s="3394"/>
      <c r="I165" s="3394"/>
      <c r="J165" s="212"/>
      <c r="K165" s="2981"/>
      <c r="L165" s="2981"/>
      <c r="M165" s="2981"/>
      <c r="N165" s="2981"/>
      <c r="O165" s="2981"/>
      <c r="P165" s="2981"/>
      <c r="Q165" s="2981"/>
    </row>
    <row r="166" spans="2:18" ht="16.5">
      <c r="B166" s="3394"/>
      <c r="C166" s="210"/>
      <c r="D166" s="210"/>
      <c r="E166" s="208"/>
      <c r="F166" s="3393"/>
      <c r="G166" s="3393"/>
      <c r="H166" s="3394"/>
      <c r="I166" s="3394"/>
      <c r="J166" s="212"/>
      <c r="K166" s="2981"/>
      <c r="L166" s="2981"/>
      <c r="M166" s="2981"/>
      <c r="N166" s="2981"/>
      <c r="O166" s="2981"/>
      <c r="P166" s="2981"/>
      <c r="Q166" s="2981"/>
    </row>
    <row r="167" spans="2:18" ht="16.5">
      <c r="B167" s="3394"/>
      <c r="C167" s="211"/>
      <c r="D167" s="210"/>
      <c r="E167" s="208"/>
      <c r="F167" s="3393"/>
      <c r="G167" s="3393"/>
      <c r="H167" s="3394"/>
      <c r="I167" s="3394"/>
      <c r="J167" s="212"/>
      <c r="K167" s="2981"/>
      <c r="L167" s="2981"/>
      <c r="M167" s="2981"/>
      <c r="N167" s="2981"/>
      <c r="O167" s="2981"/>
      <c r="P167" s="2981"/>
      <c r="Q167" s="2981"/>
      <c r="R167" s="213"/>
    </row>
    <row r="168" spans="2:18" ht="16.5">
      <c r="B168" s="208"/>
      <c r="D168" s="208"/>
      <c r="E168" s="208"/>
      <c r="F168" s="208"/>
      <c r="G168" s="208"/>
      <c r="H168" s="208"/>
      <c r="I168" s="212"/>
      <c r="J168" s="212"/>
      <c r="K168" s="213"/>
      <c r="L168" s="213"/>
      <c r="M168" s="213"/>
      <c r="N168" s="213"/>
      <c r="O168" s="214"/>
      <c r="P168" s="214"/>
      <c r="Q168" s="214"/>
      <c r="R168" s="213"/>
    </row>
    <row r="169" spans="2:18" ht="16.5">
      <c r="B169" s="208"/>
      <c r="C169" s="208"/>
      <c r="D169" s="208"/>
      <c r="E169" s="208"/>
      <c r="F169" s="208"/>
      <c r="G169" s="208"/>
      <c r="H169" s="208"/>
      <c r="I169" s="212"/>
      <c r="J169" s="212"/>
      <c r="K169" s="213"/>
      <c r="L169" s="213"/>
      <c r="M169" s="213"/>
      <c r="N169" s="213"/>
      <c r="O169" s="214"/>
      <c r="P169" s="214"/>
      <c r="Q169" s="214"/>
      <c r="R169" s="213"/>
    </row>
    <row r="170" spans="2:18" ht="16.5">
      <c r="B170" s="3376"/>
      <c r="C170" s="3376"/>
      <c r="D170" s="3376"/>
      <c r="E170" s="208"/>
      <c r="F170" s="3365"/>
      <c r="G170" s="3365"/>
      <c r="H170" s="208"/>
      <c r="I170" s="3376"/>
      <c r="J170" s="3376"/>
      <c r="K170" s="3376"/>
      <c r="L170" s="3376"/>
      <c r="M170" s="3376"/>
      <c r="N170" s="3376"/>
      <c r="O170" s="3376"/>
      <c r="P170" s="3376"/>
      <c r="Q170" s="3376"/>
      <c r="R170" s="213"/>
    </row>
    <row r="171" spans="2:18" ht="16.5">
      <c r="B171" s="3376"/>
      <c r="C171" s="3376"/>
      <c r="D171" s="3376"/>
      <c r="E171" s="208"/>
      <c r="F171" s="3365"/>
      <c r="G171" s="3365"/>
      <c r="H171" s="208"/>
      <c r="I171" s="3376"/>
      <c r="J171" s="3376"/>
      <c r="K171" s="3376"/>
      <c r="L171" s="3376"/>
      <c r="M171" s="3376"/>
      <c r="N171" s="3376"/>
      <c r="O171" s="3376"/>
      <c r="P171" s="3376"/>
      <c r="Q171" s="3376"/>
      <c r="R171" s="213"/>
    </row>
    <row r="172" spans="2:18" ht="16.5">
      <c r="B172" s="3444"/>
      <c r="C172" s="2981"/>
      <c r="D172" s="2981"/>
      <c r="E172" s="208"/>
      <c r="F172" s="2981"/>
      <c r="G172" s="2981"/>
      <c r="H172" s="208"/>
      <c r="I172" s="2981"/>
      <c r="J172" s="2981"/>
      <c r="K172" s="2981"/>
      <c r="L172" s="2981"/>
      <c r="M172" s="2981"/>
      <c r="N172" s="2981"/>
      <c r="O172" s="2981"/>
      <c r="P172" s="2981"/>
      <c r="Q172" s="2981"/>
      <c r="R172" s="213"/>
    </row>
    <row r="173" spans="2:18" ht="16.5">
      <c r="B173" s="3444"/>
      <c r="C173" s="2981"/>
      <c r="D173" s="2981"/>
      <c r="E173" s="208"/>
      <c r="F173" s="2981"/>
      <c r="G173" s="2981"/>
      <c r="I173" s="2981"/>
      <c r="J173" s="2981"/>
      <c r="K173" s="2981"/>
      <c r="L173" s="2981"/>
      <c r="M173" s="2981"/>
      <c r="N173" s="2981"/>
      <c r="O173" s="2981"/>
      <c r="P173" s="2981"/>
      <c r="Q173" s="2981"/>
      <c r="R173" s="213"/>
    </row>
    <row r="174" spans="2:18" ht="16.5">
      <c r="B174" s="3444"/>
      <c r="C174" s="2981"/>
      <c r="D174" s="2981"/>
      <c r="E174" s="208"/>
      <c r="F174" s="2981"/>
      <c r="G174" s="2981"/>
      <c r="I174" s="2915"/>
      <c r="J174" s="2981"/>
      <c r="K174" s="2981"/>
      <c r="L174" s="2981"/>
      <c r="M174" s="2981"/>
      <c r="N174" s="2981"/>
      <c r="O174" s="2981"/>
      <c r="P174" s="2981"/>
      <c r="Q174" s="2981"/>
      <c r="R174" s="213"/>
    </row>
    <row r="175" spans="2:18" ht="16.5">
      <c r="B175" s="3444"/>
      <c r="C175" s="2981"/>
      <c r="D175" s="2981"/>
      <c r="E175" s="208"/>
      <c r="F175" s="2981"/>
      <c r="G175" s="2981"/>
      <c r="H175" s="208"/>
      <c r="I175" s="2915"/>
      <c r="J175" s="2981"/>
      <c r="K175" s="2981"/>
      <c r="L175" s="2981"/>
      <c r="M175" s="2981"/>
      <c r="N175" s="2981"/>
      <c r="O175" s="2981"/>
      <c r="P175" s="2981"/>
      <c r="Q175" s="2981"/>
    </row>
    <row r="176" spans="2:18" ht="16.5">
      <c r="B176" s="3444"/>
      <c r="C176" s="2981"/>
      <c r="D176" s="2981"/>
      <c r="E176" s="208"/>
      <c r="F176" s="2981"/>
      <c r="G176" s="2981"/>
      <c r="H176" s="208"/>
      <c r="I176" s="2915"/>
      <c r="J176" s="2981"/>
      <c r="K176" s="2981"/>
      <c r="L176" s="2981"/>
      <c r="M176" s="2981"/>
      <c r="N176" s="2981"/>
      <c r="O176" s="2981"/>
      <c r="P176" s="2981"/>
      <c r="Q176" s="2981"/>
    </row>
    <row r="177" spans="2:17" ht="16.5">
      <c r="B177" s="3444"/>
      <c r="C177" s="2981"/>
      <c r="D177" s="2981"/>
      <c r="E177" s="208"/>
      <c r="F177" s="2981"/>
      <c r="G177" s="2981"/>
      <c r="H177" s="208"/>
      <c r="I177" s="211"/>
      <c r="J177" s="2915"/>
      <c r="K177" s="2915"/>
      <c r="L177" s="2915"/>
      <c r="M177" s="2981"/>
      <c r="N177" s="2981"/>
      <c r="O177" s="2981"/>
      <c r="P177" s="2981"/>
      <c r="Q177" s="2981"/>
    </row>
    <row r="178" spans="2:17" ht="16.5">
      <c r="B178" s="3444"/>
      <c r="C178" s="2981"/>
      <c r="D178" s="2981"/>
      <c r="E178" s="208"/>
      <c r="F178" s="2981"/>
      <c r="G178" s="2981"/>
      <c r="H178" s="208"/>
      <c r="I178" s="211"/>
      <c r="J178" s="2915"/>
      <c r="K178" s="2915"/>
      <c r="L178" s="2915"/>
      <c r="M178" s="2981"/>
      <c r="N178" s="2981"/>
      <c r="O178" s="2981"/>
      <c r="P178" s="2981"/>
      <c r="Q178" s="2981"/>
    </row>
    <row r="179" spans="2:17" ht="16.5">
      <c r="B179" s="3444"/>
      <c r="C179" s="2981"/>
      <c r="D179" s="2981"/>
      <c r="E179" s="208"/>
      <c r="F179" s="2981"/>
      <c r="G179" s="2981"/>
      <c r="H179" s="208"/>
      <c r="I179" s="211"/>
      <c r="J179" s="2915"/>
      <c r="K179" s="2915"/>
      <c r="L179" s="2915"/>
      <c r="M179" s="2981"/>
      <c r="N179" s="2981"/>
      <c r="O179" s="2981"/>
      <c r="P179" s="2981"/>
      <c r="Q179" s="2981"/>
    </row>
    <row r="180" spans="2:17" ht="16.5">
      <c r="B180" s="3444"/>
      <c r="C180" s="2981"/>
      <c r="D180" s="2981"/>
      <c r="E180" s="208"/>
      <c r="F180" s="2981"/>
      <c r="G180" s="2981"/>
      <c r="H180" s="208"/>
      <c r="I180" s="2915"/>
      <c r="J180" s="2915"/>
      <c r="K180" s="2915"/>
      <c r="L180" s="2915"/>
      <c r="M180" s="2981"/>
      <c r="N180" s="2981"/>
      <c r="O180" s="2981"/>
      <c r="P180" s="2981"/>
      <c r="Q180" s="2981"/>
    </row>
    <row r="181" spans="2:17" ht="16.5">
      <c r="B181" s="208"/>
      <c r="C181" s="208"/>
      <c r="D181" s="208"/>
      <c r="E181" s="208"/>
      <c r="F181" s="208"/>
      <c r="G181" s="208"/>
      <c r="H181" s="208"/>
      <c r="I181" s="2981"/>
      <c r="J181" s="2981"/>
      <c r="K181" s="2981"/>
      <c r="L181" s="2981"/>
      <c r="M181" s="2981"/>
      <c r="N181" s="2981"/>
      <c r="O181" s="2981"/>
      <c r="P181" s="2981"/>
      <c r="Q181" s="2981"/>
    </row>
    <row r="182" spans="2:17" ht="16.5">
      <c r="B182" s="208"/>
      <c r="C182" s="208"/>
      <c r="D182" s="208"/>
      <c r="E182" s="208"/>
      <c r="F182" s="208"/>
      <c r="G182" s="208"/>
      <c r="H182" s="208"/>
      <c r="I182" s="2981"/>
      <c r="J182" s="2981"/>
      <c r="K182" s="2981"/>
      <c r="L182" s="2981"/>
      <c r="M182" s="2981"/>
      <c r="N182" s="2981"/>
      <c r="O182" s="2981"/>
      <c r="P182" s="2981"/>
      <c r="Q182" s="2981"/>
    </row>
    <row r="183" spans="2:17" ht="16.5">
      <c r="B183" s="208"/>
      <c r="C183" s="208"/>
      <c r="D183" s="208"/>
      <c r="E183" s="208"/>
      <c r="F183" s="208"/>
      <c r="G183" s="208"/>
      <c r="H183" s="208"/>
      <c r="I183" s="2981"/>
      <c r="J183" s="2981"/>
      <c r="K183" s="2981"/>
      <c r="L183" s="2981"/>
      <c r="M183" s="2981"/>
      <c r="N183" s="2981"/>
      <c r="O183" s="2981"/>
      <c r="P183" s="2981"/>
      <c r="Q183" s="2981"/>
    </row>
    <row r="184" spans="2:17" ht="16.5">
      <c r="B184" s="208"/>
      <c r="C184" s="208"/>
      <c r="D184" s="208"/>
      <c r="E184" s="208"/>
      <c r="F184" s="208"/>
      <c r="G184" s="208"/>
      <c r="H184" s="208"/>
      <c r="I184" s="212"/>
      <c r="J184" s="212"/>
      <c r="K184" s="212"/>
      <c r="L184" s="212"/>
      <c r="M184" s="212"/>
      <c r="N184" s="212"/>
      <c r="O184" s="212"/>
      <c r="P184" s="212"/>
      <c r="Q184" s="212"/>
    </row>
    <row r="185" spans="2:17" ht="15" customHeight="1">
      <c r="B185" s="3420"/>
      <c r="C185" s="3420"/>
      <c r="D185" s="3420"/>
      <c r="E185" s="3420"/>
      <c r="F185" s="3420"/>
      <c r="G185" s="3420"/>
      <c r="H185" s="3420"/>
      <c r="I185" s="3420"/>
      <c r="J185" s="3420"/>
      <c r="K185" s="3420"/>
      <c r="L185" s="3420"/>
      <c r="M185" s="3420"/>
      <c r="N185" s="3420"/>
      <c r="O185" s="3420"/>
      <c r="P185" s="3420"/>
      <c r="Q185" s="3420"/>
    </row>
    <row r="186" spans="2:17" ht="15" customHeight="1">
      <c r="B186" s="3420"/>
      <c r="C186" s="3420"/>
      <c r="D186" s="3420"/>
      <c r="E186" s="3420"/>
      <c r="F186" s="3420"/>
      <c r="G186" s="3420"/>
      <c r="H186" s="3420"/>
      <c r="I186" s="3420"/>
      <c r="J186" s="3420"/>
      <c r="K186" s="3420"/>
      <c r="L186" s="3420"/>
      <c r="M186" s="3420"/>
      <c r="N186" s="3420"/>
      <c r="O186" s="3420"/>
      <c r="P186" s="3420"/>
      <c r="Q186" s="3420"/>
    </row>
    <row r="187" spans="2:17" ht="16.899999999999999" customHeight="1">
      <c r="B187" s="2817"/>
      <c r="C187" s="2817"/>
      <c r="D187" s="2817"/>
      <c r="E187" s="2817"/>
      <c r="F187" s="2817"/>
      <c r="G187" s="2817"/>
      <c r="H187" s="2817"/>
      <c r="I187" s="2817"/>
      <c r="J187" s="2817"/>
      <c r="K187" s="2817"/>
      <c r="L187" s="2817"/>
      <c r="M187" s="2817"/>
      <c r="N187" s="2817"/>
      <c r="O187" s="2817"/>
      <c r="P187" s="2817"/>
      <c r="Q187" s="2817"/>
    </row>
    <row r="188" spans="2:17" ht="16.899999999999999" customHeight="1">
      <c r="B188" s="2817"/>
      <c r="C188" s="2817"/>
      <c r="D188" s="2952"/>
      <c r="E188" s="3272"/>
      <c r="F188" s="3272"/>
      <c r="G188" s="3272"/>
      <c r="H188" s="3272"/>
      <c r="I188" s="3272"/>
      <c r="J188" s="3272"/>
      <c r="K188" s="3272"/>
      <c r="L188" s="3272"/>
      <c r="M188" s="3272"/>
      <c r="N188" s="3272"/>
      <c r="O188" s="3272"/>
      <c r="P188" s="3272"/>
      <c r="Q188" s="3272"/>
    </row>
    <row r="189" spans="2:17" ht="16.899999999999999" customHeight="1">
      <c r="B189" s="2817"/>
      <c r="C189" s="2817"/>
      <c r="D189" s="3272"/>
      <c r="E189" s="3272"/>
      <c r="F189" s="3272"/>
      <c r="G189" s="3272"/>
      <c r="H189" s="3272"/>
      <c r="I189" s="3272"/>
      <c r="J189" s="3272"/>
      <c r="K189" s="3272"/>
      <c r="L189" s="3272"/>
      <c r="M189" s="3272"/>
      <c r="N189" s="3272"/>
      <c r="O189" s="3272"/>
      <c r="P189" s="3272"/>
      <c r="Q189" s="3272"/>
    </row>
    <row r="190" spans="2:17" ht="16.899999999999999" customHeight="1">
      <c r="B190" s="2817"/>
      <c r="C190" s="2817"/>
      <c r="D190" s="3272"/>
      <c r="E190" s="3272"/>
      <c r="F190" s="3272"/>
      <c r="G190" s="3272"/>
      <c r="H190" s="3272"/>
      <c r="I190" s="3272"/>
      <c r="J190" s="3272"/>
      <c r="K190" s="3272"/>
      <c r="L190" s="3272"/>
      <c r="M190" s="3272"/>
      <c r="N190" s="3272"/>
      <c r="O190" s="3272"/>
      <c r="P190" s="3272"/>
      <c r="Q190" s="3272"/>
    </row>
    <row r="191" spans="2:17" ht="16.899999999999999" customHeight="1">
      <c r="B191" s="2817"/>
      <c r="C191" s="2817"/>
      <c r="D191" s="3272"/>
      <c r="E191" s="3272"/>
      <c r="F191" s="3272"/>
      <c r="G191" s="3272"/>
      <c r="H191" s="3272"/>
      <c r="I191" s="3272"/>
      <c r="J191" s="3272"/>
      <c r="K191" s="3272"/>
      <c r="L191" s="3272"/>
      <c r="M191" s="3272"/>
      <c r="N191" s="3272"/>
      <c r="O191" s="3272"/>
      <c r="P191" s="3272"/>
      <c r="Q191" s="3272"/>
    </row>
    <row r="192" spans="2:17" ht="16.899999999999999" customHeight="1">
      <c r="B192" s="2817"/>
      <c r="C192" s="2817"/>
      <c r="D192" s="2952"/>
      <c r="E192" s="3272"/>
      <c r="F192" s="3272"/>
      <c r="G192" s="3272"/>
      <c r="H192" s="3272"/>
      <c r="I192" s="3272"/>
      <c r="J192" s="3272"/>
      <c r="K192" s="3272"/>
      <c r="L192" s="3272"/>
      <c r="M192" s="3272"/>
      <c r="N192" s="3272"/>
      <c r="O192" s="3272"/>
      <c r="P192" s="3272"/>
      <c r="Q192" s="3272"/>
    </row>
    <row r="193" spans="2:17" ht="16.899999999999999" customHeight="1">
      <c r="B193" s="2817"/>
      <c r="C193" s="2817"/>
      <c r="D193" s="3272"/>
      <c r="E193" s="3272"/>
      <c r="F193" s="3272"/>
      <c r="G193" s="3272"/>
      <c r="H193" s="3272"/>
      <c r="I193" s="3272"/>
      <c r="J193" s="3272"/>
      <c r="K193" s="3272"/>
      <c r="L193" s="3272"/>
      <c r="M193" s="3272"/>
      <c r="N193" s="3272"/>
      <c r="O193" s="3272"/>
      <c r="P193" s="3272"/>
      <c r="Q193" s="3272"/>
    </row>
    <row r="194" spans="2:17" ht="16.899999999999999" customHeight="1">
      <c r="B194" s="2817"/>
      <c r="C194" s="2817"/>
      <c r="D194" s="3272"/>
      <c r="E194" s="3272"/>
      <c r="F194" s="3272"/>
      <c r="G194" s="3272"/>
      <c r="H194" s="3272"/>
      <c r="I194" s="3272"/>
      <c r="J194" s="3272"/>
      <c r="K194" s="3272"/>
      <c r="L194" s="3272"/>
      <c r="M194" s="3272"/>
      <c r="N194" s="3272"/>
      <c r="O194" s="3272"/>
      <c r="P194" s="3272"/>
      <c r="Q194" s="3272"/>
    </row>
    <row r="195" spans="2:17" ht="16.899999999999999" customHeight="1">
      <c r="B195" s="2817"/>
      <c r="C195" s="2817"/>
      <c r="D195" s="3272"/>
      <c r="E195" s="3272"/>
      <c r="F195" s="3272"/>
      <c r="G195" s="3272"/>
      <c r="H195" s="3272"/>
      <c r="I195" s="3272"/>
      <c r="J195" s="3272"/>
      <c r="K195" s="3272"/>
      <c r="L195" s="3272"/>
      <c r="M195" s="3272"/>
      <c r="N195" s="3272"/>
      <c r="O195" s="3272"/>
      <c r="P195" s="3272"/>
      <c r="Q195" s="3272"/>
    </row>
    <row r="196" spans="2:17" ht="16.899999999999999" customHeight="1">
      <c r="B196" s="2817"/>
      <c r="C196" s="2817"/>
      <c r="D196" s="2952"/>
      <c r="E196" s="3272"/>
      <c r="F196" s="3272"/>
      <c r="G196" s="3272"/>
      <c r="H196" s="3272"/>
      <c r="I196" s="3272"/>
      <c r="J196" s="3272"/>
      <c r="K196" s="3272"/>
      <c r="L196" s="3272"/>
      <c r="M196" s="3272"/>
      <c r="N196" s="3272"/>
      <c r="O196" s="3272"/>
      <c r="P196" s="3272"/>
      <c r="Q196" s="3272"/>
    </row>
    <row r="197" spans="2:17" ht="16.899999999999999" customHeight="1">
      <c r="B197" s="2817"/>
      <c r="C197" s="2817"/>
      <c r="D197" s="3272"/>
      <c r="E197" s="3272"/>
      <c r="F197" s="3272"/>
      <c r="G197" s="3272"/>
      <c r="H197" s="3272"/>
      <c r="I197" s="3272"/>
      <c r="J197" s="3272"/>
      <c r="K197" s="3272"/>
      <c r="L197" s="3272"/>
      <c r="M197" s="3272"/>
      <c r="N197" s="3272"/>
      <c r="O197" s="3272"/>
      <c r="P197" s="3272"/>
      <c r="Q197" s="3272"/>
    </row>
    <row r="198" spans="2:17" ht="16.899999999999999" customHeight="1">
      <c r="B198" s="2817"/>
      <c r="C198" s="2817"/>
      <c r="D198" s="3272"/>
      <c r="E198" s="3272"/>
      <c r="F198" s="3272"/>
      <c r="G198" s="3272"/>
      <c r="H198" s="3272"/>
      <c r="I198" s="3272"/>
      <c r="J198" s="3272"/>
      <c r="K198" s="3272"/>
      <c r="L198" s="3272"/>
      <c r="M198" s="3272"/>
      <c r="N198" s="3272"/>
      <c r="O198" s="3272"/>
      <c r="P198" s="3272"/>
      <c r="Q198" s="3272"/>
    </row>
    <row r="199" spans="2:17" ht="16.899999999999999" customHeight="1">
      <c r="B199" s="2817"/>
      <c r="C199" s="2817"/>
      <c r="D199" s="3272"/>
      <c r="E199" s="3272"/>
      <c r="F199" s="3272"/>
      <c r="G199" s="3272"/>
      <c r="H199" s="3272"/>
      <c r="I199" s="3272"/>
      <c r="J199" s="3272"/>
      <c r="K199" s="3272"/>
      <c r="L199" s="3272"/>
      <c r="M199" s="3272"/>
      <c r="N199" s="3272"/>
      <c r="O199" s="3272"/>
      <c r="P199" s="3272"/>
      <c r="Q199" s="3272"/>
    </row>
    <row r="200" spans="2:17" ht="16.899999999999999" customHeight="1">
      <c r="B200" s="2817"/>
      <c r="C200" s="2817"/>
      <c r="D200" s="2952"/>
      <c r="E200" s="3272"/>
      <c r="F200" s="3272"/>
      <c r="G200" s="3272"/>
      <c r="H200" s="3272"/>
      <c r="I200" s="3272"/>
      <c r="J200" s="3272"/>
      <c r="K200" s="3272"/>
      <c r="L200" s="3272"/>
      <c r="M200" s="3272"/>
      <c r="N200" s="3272"/>
      <c r="O200" s="3272"/>
      <c r="P200" s="3272"/>
      <c r="Q200" s="3272"/>
    </row>
    <row r="201" spans="2:17" ht="16.899999999999999" customHeight="1">
      <c r="B201" s="2817"/>
      <c r="C201" s="2817"/>
      <c r="D201" s="3272"/>
      <c r="E201" s="3272"/>
      <c r="F201" s="3272"/>
      <c r="G201" s="3272"/>
      <c r="H201" s="3272"/>
      <c r="I201" s="3272"/>
      <c r="J201" s="3272"/>
      <c r="K201" s="3272"/>
      <c r="L201" s="3272"/>
      <c r="M201" s="3272"/>
      <c r="N201" s="3272"/>
      <c r="O201" s="3272"/>
      <c r="P201" s="3272"/>
      <c r="Q201" s="3272"/>
    </row>
    <row r="202" spans="2:17" ht="16.899999999999999" customHeight="1">
      <c r="B202" s="2817"/>
      <c r="C202" s="2817"/>
      <c r="D202" s="3272"/>
      <c r="E202" s="3272"/>
      <c r="F202" s="3272"/>
      <c r="G202" s="3272"/>
      <c r="H202" s="3272"/>
      <c r="I202" s="3272"/>
      <c r="J202" s="3272"/>
      <c r="K202" s="3272"/>
      <c r="L202" s="3272"/>
      <c r="M202" s="3272"/>
      <c r="N202" s="3272"/>
      <c r="O202" s="3272"/>
      <c r="P202" s="3272"/>
      <c r="Q202" s="3272"/>
    </row>
    <row r="203" spans="2:17" ht="16.899999999999999" customHeight="1">
      <c r="B203" s="2817"/>
      <c r="C203" s="2817"/>
      <c r="D203" s="3272"/>
      <c r="E203" s="3272"/>
      <c r="F203" s="3272"/>
      <c r="G203" s="3272"/>
      <c r="H203" s="3272"/>
      <c r="I203" s="3272"/>
      <c r="J203" s="3272"/>
      <c r="K203" s="3272"/>
      <c r="L203" s="3272"/>
      <c r="M203" s="3272"/>
      <c r="N203" s="3272"/>
      <c r="O203" s="3272"/>
      <c r="P203" s="3272"/>
      <c r="Q203" s="3272"/>
    </row>
    <row r="204" spans="2:17" ht="16.899999999999999" customHeight="1">
      <c r="B204" s="2817"/>
      <c r="C204" s="2817"/>
      <c r="D204" s="2952"/>
      <c r="E204" s="3272"/>
      <c r="F204" s="3272"/>
      <c r="G204" s="3272"/>
      <c r="H204" s="3272"/>
      <c r="I204" s="3272"/>
      <c r="J204" s="3272"/>
      <c r="K204" s="3272"/>
      <c r="L204" s="3272"/>
      <c r="M204" s="3272"/>
      <c r="N204" s="3272"/>
      <c r="O204" s="3272"/>
      <c r="P204" s="3272"/>
      <c r="Q204" s="3272"/>
    </row>
    <row r="205" spans="2:17" ht="16.899999999999999" customHeight="1">
      <c r="B205" s="2817"/>
      <c r="C205" s="2817"/>
      <c r="D205" s="3272"/>
      <c r="E205" s="3272"/>
      <c r="F205" s="3272"/>
      <c r="G205" s="3272"/>
      <c r="H205" s="3272"/>
      <c r="I205" s="3272"/>
      <c r="J205" s="3272"/>
      <c r="K205" s="3272"/>
      <c r="L205" s="3272"/>
      <c r="M205" s="3272"/>
      <c r="N205" s="3272"/>
      <c r="O205" s="3272"/>
      <c r="P205" s="3272"/>
      <c r="Q205" s="3272"/>
    </row>
    <row r="206" spans="2:17" ht="16.899999999999999" customHeight="1">
      <c r="B206" s="2817"/>
      <c r="C206" s="2817"/>
      <c r="D206" s="3272"/>
      <c r="E206" s="3272"/>
      <c r="F206" s="3272"/>
      <c r="G206" s="3272"/>
      <c r="H206" s="3272"/>
      <c r="I206" s="3272"/>
      <c r="J206" s="3272"/>
      <c r="K206" s="3272"/>
      <c r="L206" s="3272"/>
      <c r="M206" s="3272"/>
      <c r="N206" s="3272"/>
      <c r="O206" s="3272"/>
      <c r="P206" s="3272"/>
      <c r="Q206" s="3272"/>
    </row>
    <row r="207" spans="2:17" ht="16.899999999999999" customHeight="1">
      <c r="B207" s="2817"/>
      <c r="C207" s="2817"/>
      <c r="D207" s="3272"/>
      <c r="E207" s="3272"/>
      <c r="F207" s="3272"/>
      <c r="G207" s="3272"/>
      <c r="H207" s="3272"/>
      <c r="I207" s="3272"/>
      <c r="J207" s="3272"/>
      <c r="K207" s="3272"/>
      <c r="L207" s="3272"/>
      <c r="M207" s="3272"/>
      <c r="N207" s="3272"/>
      <c r="O207" s="3272"/>
      <c r="P207" s="3272"/>
      <c r="Q207" s="3272"/>
    </row>
    <row r="208" spans="2:17" ht="16.899999999999999" customHeight="1">
      <c r="B208" s="2817"/>
      <c r="C208" s="2817"/>
      <c r="D208" s="2952"/>
      <c r="E208" s="3272"/>
      <c r="F208" s="3272"/>
      <c r="G208" s="3272"/>
      <c r="H208" s="3272"/>
      <c r="I208" s="3272"/>
      <c r="J208" s="3272"/>
      <c r="K208" s="3272"/>
      <c r="L208" s="3272"/>
      <c r="M208" s="3272"/>
      <c r="N208" s="3272"/>
      <c r="O208" s="3272"/>
      <c r="P208" s="3272"/>
      <c r="Q208" s="3272"/>
    </row>
    <row r="209" spans="2:24" ht="16.899999999999999" customHeight="1">
      <c r="B209" s="2817"/>
      <c r="C209" s="2817"/>
      <c r="D209" s="3272"/>
      <c r="E209" s="3272"/>
      <c r="F209" s="3272"/>
      <c r="G209" s="3272"/>
      <c r="H209" s="3272"/>
      <c r="I209" s="3272"/>
      <c r="J209" s="3272"/>
      <c r="K209" s="3272"/>
      <c r="L209" s="3272"/>
      <c r="M209" s="3272"/>
      <c r="N209" s="3272"/>
      <c r="O209" s="3272"/>
      <c r="P209" s="3272"/>
      <c r="Q209" s="3272"/>
    </row>
    <row r="210" spans="2:24" ht="16.899999999999999" customHeight="1">
      <c r="B210" s="3384"/>
      <c r="C210" s="3384"/>
      <c r="D210" s="3384"/>
      <c r="E210" s="3384"/>
      <c r="F210" s="3384"/>
      <c r="G210" s="3384"/>
      <c r="H210" s="3384"/>
      <c r="I210" s="3384"/>
      <c r="J210" s="3384"/>
      <c r="K210" s="3384"/>
      <c r="L210" s="3384"/>
      <c r="M210" s="3384"/>
      <c r="N210" s="3384"/>
      <c r="O210" s="3384"/>
      <c r="P210" s="3384"/>
      <c r="Q210" s="3384"/>
    </row>
    <row r="211" spans="2:24" ht="16.899999999999999" customHeight="1">
      <c r="B211" s="3384"/>
      <c r="C211" s="3384"/>
      <c r="D211" s="3384"/>
      <c r="E211" s="3384"/>
      <c r="F211" s="3384"/>
      <c r="G211" s="3384"/>
      <c r="H211" s="3384"/>
      <c r="I211" s="3384"/>
      <c r="J211" s="3384"/>
      <c r="K211" s="3384"/>
      <c r="L211" s="3384"/>
      <c r="M211" s="3384"/>
      <c r="N211" s="3384"/>
      <c r="O211" s="3384"/>
      <c r="P211" s="3384"/>
      <c r="Q211" s="3384"/>
    </row>
    <row r="212" spans="2:24" ht="18" customHeight="1">
      <c r="B212" s="3383"/>
      <c r="C212" s="3383"/>
      <c r="D212" s="3383"/>
      <c r="E212" s="3383"/>
      <c r="F212" s="3383"/>
      <c r="G212" s="3383"/>
      <c r="H212" s="3383"/>
      <c r="I212" s="3383"/>
      <c r="J212" s="3383"/>
      <c r="K212" s="3383"/>
      <c r="L212" s="3383"/>
      <c r="M212" s="3383"/>
      <c r="N212" s="3383"/>
      <c r="O212" s="3383"/>
      <c r="P212" s="3383"/>
      <c r="Q212" s="3383"/>
      <c r="R212" s="217"/>
      <c r="S212" s="217"/>
      <c r="T212" s="217"/>
      <c r="U212" s="217"/>
      <c r="V212" s="217"/>
      <c r="W212" s="217"/>
      <c r="X212" s="217"/>
    </row>
    <row r="213" spans="2:24" ht="18" customHeight="1">
      <c r="B213" s="3383"/>
      <c r="C213" s="3383"/>
      <c r="D213" s="3383"/>
      <c r="E213" s="3383"/>
      <c r="F213" s="3383"/>
      <c r="G213" s="3383"/>
      <c r="H213" s="3383"/>
      <c r="I213" s="3383"/>
      <c r="J213" s="3383"/>
      <c r="K213" s="3383"/>
      <c r="L213" s="3383"/>
      <c r="M213" s="3383"/>
      <c r="N213" s="3383"/>
      <c r="O213" s="3383"/>
      <c r="P213" s="3383"/>
      <c r="Q213" s="3383"/>
      <c r="R213" s="217"/>
      <c r="S213" s="217"/>
      <c r="T213" s="217"/>
      <c r="U213" s="217"/>
      <c r="V213" s="217"/>
      <c r="W213" s="217"/>
      <c r="X213" s="217"/>
    </row>
    <row r="214" spans="2:24" ht="18" customHeight="1">
      <c r="B214" s="3383"/>
      <c r="C214" s="3383"/>
      <c r="D214" s="3383"/>
      <c r="E214" s="3383"/>
      <c r="F214" s="3383"/>
      <c r="G214" s="3383"/>
      <c r="H214" s="3383"/>
      <c r="I214" s="3383"/>
      <c r="J214" s="3383"/>
      <c r="K214" s="3383"/>
      <c r="L214" s="3383"/>
      <c r="M214" s="3383"/>
      <c r="N214" s="3383"/>
      <c r="O214" s="3383"/>
      <c r="P214" s="3383"/>
      <c r="Q214" s="3383"/>
      <c r="R214" s="217"/>
      <c r="S214" s="217"/>
      <c r="T214" s="217"/>
      <c r="U214" s="217"/>
      <c r="V214" s="217"/>
      <c r="W214" s="217"/>
      <c r="X214" s="217"/>
    </row>
    <row r="215" spans="2:24" ht="18" customHeight="1">
      <c r="B215" s="215"/>
      <c r="C215" s="215"/>
      <c r="D215" s="215"/>
      <c r="E215" s="215"/>
      <c r="F215" s="215"/>
      <c r="G215" s="215"/>
      <c r="H215" s="215"/>
      <c r="I215" s="215"/>
      <c r="J215" s="215"/>
      <c r="K215" s="215"/>
      <c r="L215" s="215"/>
      <c r="M215" s="215"/>
      <c r="N215" s="215"/>
      <c r="O215" s="215"/>
      <c r="P215" s="215"/>
      <c r="Q215" s="215"/>
      <c r="R215" s="218"/>
      <c r="S215" s="218"/>
      <c r="T215" s="218"/>
      <c r="U215" s="218"/>
      <c r="V215" s="218"/>
      <c r="W215" s="218"/>
      <c r="X215" s="218"/>
    </row>
    <row r="216" spans="2:24" ht="18" customHeight="1">
      <c r="B216" s="3379"/>
      <c r="C216" s="3379"/>
      <c r="D216" s="3379"/>
      <c r="E216" s="3379"/>
      <c r="F216" s="3379"/>
      <c r="G216" s="3379"/>
      <c r="J216" s="3379"/>
      <c r="K216" s="3379"/>
      <c r="L216" s="3379"/>
      <c r="M216" s="3379"/>
      <c r="N216" s="3379"/>
      <c r="O216" s="3379"/>
      <c r="P216" s="3379"/>
      <c r="Q216" s="3379"/>
    </row>
    <row r="217" spans="2:24" ht="18" customHeight="1">
      <c r="B217" s="3379"/>
      <c r="C217" s="3379"/>
      <c r="D217" s="3379"/>
      <c r="E217" s="3379"/>
      <c r="F217" s="3379"/>
      <c r="G217" s="3379"/>
      <c r="J217" s="3379"/>
      <c r="K217" s="3379"/>
      <c r="L217" s="3379"/>
      <c r="M217" s="3379"/>
      <c r="N217" s="3379"/>
      <c r="O217" s="3379"/>
      <c r="P217" s="3379"/>
      <c r="Q217" s="3379"/>
    </row>
    <row r="218" spans="2:24" ht="18" customHeight="1">
      <c r="B218" s="3419"/>
      <c r="C218" s="3419"/>
      <c r="D218" s="3419"/>
      <c r="E218" s="3419"/>
      <c r="F218" s="3419"/>
      <c r="G218" s="3382"/>
      <c r="J218" s="3382"/>
      <c r="K218" s="3382"/>
      <c r="L218" s="3382"/>
      <c r="M218" s="3382"/>
      <c r="N218" s="3385"/>
      <c r="O218" s="3385"/>
      <c r="P218" s="3385"/>
      <c r="Q218" s="3385"/>
    </row>
    <row r="219" spans="2:24" ht="18" customHeight="1">
      <c r="B219" s="3419"/>
      <c r="C219" s="3419"/>
      <c r="D219" s="3419"/>
      <c r="E219" s="3419"/>
      <c r="F219" s="3419"/>
      <c r="G219" s="3382"/>
      <c r="J219" s="3382"/>
      <c r="K219" s="3382"/>
      <c r="L219" s="3382"/>
      <c r="M219" s="3382"/>
      <c r="N219" s="3382"/>
      <c r="O219" s="3382"/>
      <c r="P219" s="3382"/>
      <c r="Q219" s="3382"/>
    </row>
    <row r="220" spans="2:24" ht="18" customHeight="1">
      <c r="B220" s="3419"/>
      <c r="C220" s="3419"/>
      <c r="D220" s="3419"/>
      <c r="E220" s="3419"/>
      <c r="F220" s="3419"/>
      <c r="G220" s="3382"/>
      <c r="J220" s="3382"/>
      <c r="K220" s="3382"/>
      <c r="L220" s="3382"/>
      <c r="M220" s="3382"/>
      <c r="N220" s="3382"/>
      <c r="O220" s="3382"/>
      <c r="P220" s="3382"/>
      <c r="Q220" s="3382"/>
    </row>
    <row r="221" spans="2:24" ht="18" customHeight="1">
      <c r="B221" s="3419"/>
      <c r="C221" s="3419"/>
      <c r="D221" s="3419"/>
      <c r="E221" s="3419"/>
      <c r="F221" s="3419"/>
      <c r="G221" s="3382"/>
      <c r="J221" s="3382"/>
      <c r="K221" s="3382"/>
      <c r="L221" s="3382"/>
      <c r="M221" s="3382"/>
      <c r="N221" s="3385"/>
      <c r="O221" s="3385"/>
      <c r="P221" s="3385"/>
      <c r="Q221" s="3385"/>
    </row>
    <row r="222" spans="2:24" ht="18" customHeight="1">
      <c r="B222" s="3419"/>
      <c r="C222" s="3419"/>
      <c r="D222" s="3419"/>
      <c r="E222" s="3419"/>
      <c r="F222" s="3419"/>
      <c r="G222" s="3382"/>
      <c r="J222" s="3382"/>
      <c r="K222" s="3382"/>
      <c r="L222" s="3382"/>
      <c r="M222" s="3382"/>
      <c r="N222" s="3382"/>
      <c r="O222" s="3382"/>
      <c r="P222" s="3382"/>
      <c r="Q222" s="3382"/>
    </row>
    <row r="223" spans="2:24" ht="18" customHeight="1">
      <c r="B223" s="3419"/>
      <c r="C223" s="3419"/>
      <c r="D223" s="3419"/>
      <c r="E223" s="3419"/>
      <c r="F223" s="3419"/>
      <c r="G223" s="3382"/>
      <c r="J223" s="3382"/>
      <c r="K223" s="3382"/>
      <c r="L223" s="3382"/>
      <c r="M223" s="3382"/>
      <c r="N223" s="3382"/>
      <c r="O223" s="3382"/>
      <c r="P223" s="3382"/>
      <c r="Q223" s="3382"/>
    </row>
    <row r="224" spans="2:24" ht="18" customHeight="1">
      <c r="B224" s="3419"/>
      <c r="C224" s="3419"/>
      <c r="D224" s="3419"/>
      <c r="E224" s="3419"/>
      <c r="F224" s="3419"/>
      <c r="G224" s="3382"/>
      <c r="J224" s="3381"/>
      <c r="K224" s="3381"/>
      <c r="L224" s="3381"/>
      <c r="M224" s="3381"/>
      <c r="N224" s="3381"/>
      <c r="O224" s="3381"/>
      <c r="P224" s="3381"/>
      <c r="Q224" s="3381"/>
    </row>
    <row r="225" spans="2:24" ht="18" customHeight="1">
      <c r="B225" s="3419"/>
      <c r="C225" s="3419"/>
      <c r="D225" s="3419"/>
      <c r="E225" s="3419"/>
      <c r="F225" s="3419"/>
      <c r="G225" s="3382"/>
      <c r="J225" s="3381"/>
      <c r="K225" s="3381"/>
      <c r="L225" s="3381"/>
      <c r="M225" s="3381"/>
      <c r="N225" s="3381"/>
      <c r="O225" s="3381"/>
      <c r="P225" s="3381"/>
      <c r="Q225" s="3381"/>
    </row>
    <row r="226" spans="2:24" ht="18" customHeight="1">
      <c r="B226" s="3419"/>
      <c r="C226" s="3419"/>
      <c r="D226" s="3419"/>
      <c r="E226" s="3419"/>
      <c r="F226" s="3419"/>
      <c r="G226" s="3382"/>
      <c r="J226" s="3381"/>
      <c r="K226" s="3381"/>
      <c r="L226" s="3381"/>
      <c r="M226" s="3381"/>
      <c r="N226" s="3381"/>
      <c r="O226" s="3381"/>
      <c r="P226" s="3381"/>
      <c r="Q226" s="3381"/>
    </row>
    <row r="227" spans="2:24" ht="18" customHeight="1">
      <c r="B227" s="3419"/>
      <c r="C227" s="3419"/>
      <c r="D227" s="3419"/>
      <c r="E227" s="3419"/>
      <c r="F227" s="3419"/>
      <c r="G227" s="3382"/>
      <c r="J227" s="3381"/>
      <c r="K227" s="3381"/>
      <c r="L227" s="3381"/>
      <c r="M227" s="3381"/>
      <c r="N227" s="3381"/>
      <c r="O227" s="3381"/>
      <c r="P227" s="3381"/>
      <c r="Q227" s="3381"/>
    </row>
    <row r="228" spans="2:24" ht="18" customHeight="1">
      <c r="B228" s="216"/>
      <c r="C228" s="216"/>
      <c r="D228" s="216"/>
      <c r="E228" s="216"/>
      <c r="F228" s="216"/>
      <c r="G228" s="215"/>
      <c r="J228" s="3381"/>
      <c r="K228" s="3381"/>
      <c r="L228" s="3381"/>
      <c r="M228" s="3381"/>
      <c r="N228" s="3381"/>
      <c r="O228" s="3381"/>
      <c r="P228" s="3381"/>
      <c r="Q228" s="3381"/>
    </row>
    <row r="229" spans="2:24" ht="18" customHeight="1">
      <c r="B229" s="216"/>
      <c r="C229" s="216"/>
      <c r="D229" s="216"/>
      <c r="E229" s="216"/>
      <c r="F229" s="216"/>
      <c r="G229" s="215"/>
      <c r="H229" s="215"/>
      <c r="I229" s="215"/>
      <c r="J229" s="215"/>
      <c r="K229" s="215"/>
      <c r="L229" s="215"/>
      <c r="M229" s="215"/>
      <c r="N229" s="215"/>
      <c r="O229" s="215"/>
      <c r="P229" s="215"/>
    </row>
    <row r="230" spans="2:24" ht="18" customHeight="1">
      <c r="C230" s="32"/>
      <c r="D230" s="32"/>
      <c r="E230" s="32"/>
      <c r="F230" s="32"/>
      <c r="G230" s="32"/>
      <c r="H230" s="32"/>
      <c r="J230" s="3379"/>
      <c r="K230" s="3379"/>
      <c r="L230" s="3379"/>
      <c r="M230" s="3379"/>
      <c r="N230" s="3379"/>
      <c r="O230" s="3379"/>
      <c r="P230" s="3379"/>
      <c r="Q230" s="3379"/>
    </row>
    <row r="231" spans="2:24" ht="18" customHeight="1">
      <c r="C231" s="32"/>
      <c r="D231" s="32"/>
      <c r="E231" s="32"/>
      <c r="F231" s="32"/>
      <c r="G231" s="32"/>
      <c r="H231" s="32"/>
      <c r="J231" s="3379"/>
      <c r="K231" s="3379"/>
      <c r="L231" s="3379"/>
      <c r="M231" s="3379"/>
      <c r="N231" s="3379"/>
      <c r="O231" s="3379"/>
      <c r="P231" s="3379"/>
      <c r="Q231" s="3379"/>
    </row>
    <row r="232" spans="2:24" ht="18" customHeight="1">
      <c r="C232" s="32"/>
      <c r="D232" s="32"/>
      <c r="E232" s="32"/>
      <c r="F232" s="32"/>
      <c r="G232" s="32"/>
      <c r="H232" s="32"/>
      <c r="J232" s="3382"/>
      <c r="K232" s="3382"/>
      <c r="L232" s="3382"/>
      <c r="M232" s="3382"/>
      <c r="N232" s="3382"/>
      <c r="O232" s="3382"/>
      <c r="P232" s="3382"/>
      <c r="Q232" s="3382"/>
    </row>
    <row r="233" spans="2:24" ht="18" customHeight="1">
      <c r="C233" s="32"/>
      <c r="D233" s="32"/>
      <c r="E233" s="32"/>
      <c r="F233" s="32"/>
      <c r="G233" s="32"/>
      <c r="H233" s="32"/>
      <c r="J233" s="3382"/>
      <c r="K233" s="3382"/>
      <c r="L233" s="3382"/>
      <c r="M233" s="3382"/>
      <c r="N233" s="3382"/>
      <c r="O233" s="3382"/>
      <c r="P233" s="3382"/>
      <c r="Q233" s="3382"/>
    </row>
    <row r="234" spans="2:24" ht="18" customHeight="1">
      <c r="C234" s="32"/>
      <c r="D234" s="32"/>
      <c r="E234" s="32"/>
      <c r="F234" s="32"/>
      <c r="G234" s="32"/>
      <c r="H234" s="32"/>
      <c r="J234" s="3381"/>
      <c r="K234" s="3381"/>
      <c r="L234" s="3381"/>
      <c r="M234" s="3381"/>
      <c r="N234" s="3381"/>
      <c r="O234" s="3381"/>
      <c r="P234" s="3381"/>
      <c r="Q234" s="3381"/>
    </row>
    <row r="235" spans="2:24" ht="18" customHeight="1">
      <c r="C235" s="32"/>
      <c r="D235" s="32"/>
      <c r="E235" s="32"/>
      <c r="F235" s="32"/>
      <c r="G235" s="32"/>
      <c r="H235" s="32"/>
      <c r="J235" s="3381"/>
      <c r="K235" s="3381"/>
      <c r="L235" s="3381"/>
      <c r="M235" s="3381"/>
      <c r="N235" s="3381"/>
      <c r="O235" s="3381"/>
      <c r="P235" s="3381"/>
      <c r="Q235" s="3381"/>
    </row>
    <row r="236" spans="2:24" ht="18" customHeight="1">
      <c r="C236" s="32"/>
      <c r="D236" s="32"/>
      <c r="E236" s="32"/>
      <c r="F236" s="32"/>
      <c r="G236" s="32"/>
      <c r="H236" s="32"/>
      <c r="J236" s="3381"/>
      <c r="K236" s="3381"/>
      <c r="L236" s="3381"/>
      <c r="M236" s="3381"/>
      <c r="N236" s="3381"/>
      <c r="O236" s="3381"/>
      <c r="P236" s="3381"/>
      <c r="Q236" s="3381"/>
    </row>
    <row r="237" spans="2:24" ht="18" customHeight="1">
      <c r="C237" s="32"/>
      <c r="D237" s="32"/>
      <c r="E237" s="32"/>
      <c r="F237" s="32"/>
      <c r="G237" s="32"/>
      <c r="H237" s="32"/>
      <c r="J237" s="3381"/>
      <c r="K237" s="3381"/>
      <c r="L237" s="3381"/>
      <c r="M237" s="3381"/>
      <c r="N237" s="3381"/>
      <c r="O237" s="3381"/>
      <c r="P237" s="3381"/>
      <c r="Q237" s="3381"/>
    </row>
    <row r="238" spans="2:24" ht="18" customHeight="1">
      <c r="C238" s="32"/>
      <c r="D238" s="32"/>
      <c r="E238" s="32"/>
      <c r="F238" s="32"/>
      <c r="G238" s="32"/>
      <c r="H238" s="32"/>
      <c r="J238" s="3381"/>
      <c r="K238" s="3381"/>
      <c r="L238" s="3381"/>
      <c r="M238" s="3381"/>
      <c r="N238" s="3381"/>
      <c r="O238" s="3381"/>
      <c r="P238" s="3381"/>
      <c r="Q238" s="3381"/>
    </row>
    <row r="239" spans="2:24" ht="18" customHeight="1">
      <c r="C239" s="32"/>
      <c r="D239" s="32"/>
      <c r="E239" s="32"/>
      <c r="F239" s="32"/>
      <c r="G239" s="32"/>
      <c r="H239" s="32"/>
      <c r="J239" s="3381"/>
      <c r="K239" s="3381"/>
      <c r="L239" s="3381"/>
      <c r="M239" s="3381"/>
      <c r="N239" s="3381"/>
      <c r="O239" s="3381"/>
      <c r="P239" s="3381"/>
      <c r="Q239" s="3381"/>
      <c r="R239" s="218"/>
      <c r="S239" s="218"/>
      <c r="T239" s="218"/>
      <c r="U239" s="218"/>
      <c r="V239" s="218"/>
      <c r="W239" s="218"/>
      <c r="X239" s="218"/>
    </row>
    <row r="240" spans="2:24" ht="18" customHeight="1">
      <c r="B240" s="208"/>
      <c r="C240" s="32"/>
      <c r="D240" s="32"/>
      <c r="E240" s="32"/>
      <c r="F240" s="32"/>
      <c r="G240" s="32"/>
      <c r="H240" s="32"/>
      <c r="I240" s="212"/>
      <c r="J240" s="212"/>
      <c r="K240" s="212"/>
      <c r="L240" s="212"/>
      <c r="M240" s="212"/>
      <c r="N240" s="212"/>
      <c r="O240" s="212"/>
      <c r="P240" s="212"/>
      <c r="Q240" s="212"/>
    </row>
    <row r="241" spans="2:17" ht="18" customHeight="1">
      <c r="C241" s="32"/>
      <c r="D241" s="32"/>
      <c r="E241" s="32"/>
      <c r="F241" s="32"/>
      <c r="G241" s="32"/>
      <c r="H241" s="32"/>
      <c r="J241" s="3379"/>
      <c r="K241" s="3379"/>
      <c r="L241" s="3379"/>
      <c r="M241" s="3379"/>
      <c r="N241" s="3379"/>
      <c r="O241" s="3379"/>
      <c r="P241" s="3379"/>
      <c r="Q241" s="3379"/>
    </row>
    <row r="242" spans="2:17" ht="18" customHeight="1">
      <c r="C242" s="32"/>
      <c r="D242" s="32"/>
      <c r="E242" s="32"/>
      <c r="F242" s="32"/>
      <c r="G242" s="32"/>
      <c r="H242" s="32"/>
      <c r="J242" s="3379"/>
      <c r="K242" s="3379"/>
      <c r="L242" s="3379"/>
      <c r="M242" s="3379"/>
      <c r="N242" s="3379"/>
      <c r="O242" s="3379"/>
      <c r="P242" s="3379"/>
      <c r="Q242" s="3379"/>
    </row>
    <row r="243" spans="2:17" ht="18" customHeight="1">
      <c r="C243" s="32"/>
      <c r="D243" s="32"/>
      <c r="E243" s="32"/>
      <c r="F243" s="32"/>
      <c r="G243" s="32"/>
      <c r="H243" s="32"/>
      <c r="J243" s="3382"/>
      <c r="K243" s="3382"/>
      <c r="L243" s="3382"/>
      <c r="M243" s="3382"/>
      <c r="N243" s="3385"/>
      <c r="O243" s="3385"/>
      <c r="P243" s="3385"/>
      <c r="Q243" s="3385"/>
    </row>
    <row r="244" spans="2:17" ht="18" customHeight="1">
      <c r="J244" s="3382"/>
      <c r="K244" s="3382"/>
      <c r="L244" s="3382"/>
      <c r="M244" s="3382"/>
      <c r="N244" s="3382"/>
      <c r="O244" s="3382"/>
      <c r="P244" s="3382"/>
      <c r="Q244" s="3382"/>
    </row>
    <row r="245" spans="2:17" ht="18" customHeight="1">
      <c r="J245" s="3382"/>
      <c r="K245" s="3382"/>
      <c r="L245" s="3382"/>
      <c r="M245" s="3382"/>
      <c r="N245" s="3382"/>
      <c r="O245" s="3382"/>
      <c r="P245" s="3382"/>
      <c r="Q245" s="3382"/>
    </row>
    <row r="246" spans="2:17" ht="18" customHeight="1">
      <c r="J246" s="3382"/>
      <c r="K246" s="3382"/>
      <c r="L246" s="3382"/>
      <c r="M246" s="3382"/>
      <c r="N246" s="3385"/>
      <c r="O246" s="3385"/>
      <c r="P246" s="3385"/>
      <c r="Q246" s="3385"/>
    </row>
    <row r="247" spans="2:17" ht="18" customHeight="1">
      <c r="J247" s="3382"/>
      <c r="K247" s="3382"/>
      <c r="L247" s="3382"/>
      <c r="M247" s="3382"/>
      <c r="N247" s="3382"/>
      <c r="O247" s="3382"/>
      <c r="P247" s="3382"/>
      <c r="Q247" s="3382"/>
    </row>
    <row r="248" spans="2:17" ht="18" customHeight="1">
      <c r="J248" s="3382"/>
      <c r="K248" s="3382"/>
      <c r="L248" s="3382"/>
      <c r="M248" s="3382"/>
      <c r="N248" s="3382"/>
      <c r="O248" s="3382"/>
      <c r="P248" s="3382"/>
      <c r="Q248" s="3382"/>
    </row>
    <row r="249" spans="2:17">
      <c r="J249" s="3381"/>
      <c r="K249" s="3381"/>
      <c r="L249" s="3381"/>
      <c r="M249" s="3381"/>
      <c r="N249" s="3381"/>
      <c r="O249" s="3381"/>
      <c r="P249" s="3381"/>
      <c r="Q249" s="3381"/>
    </row>
    <row r="250" spans="2:17">
      <c r="J250" s="3381"/>
      <c r="K250" s="3381"/>
      <c r="L250" s="3381"/>
      <c r="M250" s="3381"/>
      <c r="N250" s="3381"/>
      <c r="O250" s="3381"/>
      <c r="P250" s="3381"/>
      <c r="Q250" s="3381"/>
    </row>
    <row r="251" spans="2:17">
      <c r="J251" s="3381"/>
      <c r="K251" s="3381"/>
      <c r="L251" s="3381"/>
      <c r="M251" s="3381"/>
      <c r="N251" s="3381"/>
      <c r="O251" s="3381"/>
      <c r="P251" s="3381"/>
      <c r="Q251" s="3381"/>
    </row>
    <row r="252" spans="2:17">
      <c r="J252" s="3381"/>
      <c r="K252" s="3381"/>
      <c r="L252" s="3381"/>
      <c r="M252" s="3381"/>
      <c r="N252" s="3381"/>
      <c r="O252" s="3381"/>
      <c r="P252" s="3381"/>
      <c r="Q252" s="3381"/>
    </row>
    <row r="253" spans="2:17">
      <c r="J253" s="3381"/>
      <c r="K253" s="3381"/>
      <c r="L253" s="3381"/>
      <c r="M253" s="3381"/>
      <c r="N253" s="3381"/>
      <c r="O253" s="3381"/>
      <c r="P253" s="3381"/>
      <c r="Q253" s="3381"/>
    </row>
    <row r="254" spans="2:17">
      <c r="J254" s="3381"/>
      <c r="K254" s="3381"/>
      <c r="L254" s="3381"/>
      <c r="M254" s="3381"/>
      <c r="N254" s="3381"/>
      <c r="O254" s="3381"/>
      <c r="P254" s="3381"/>
      <c r="Q254" s="3381"/>
    </row>
    <row r="255" spans="2:17" ht="16.5">
      <c r="B255" s="208"/>
      <c r="C255" s="208"/>
      <c r="D255" s="208"/>
      <c r="E255" s="208"/>
      <c r="F255" s="208"/>
      <c r="G255" s="208"/>
      <c r="H255" s="208"/>
      <c r="I255" s="212"/>
      <c r="J255" s="212"/>
      <c r="K255" s="212"/>
      <c r="L255" s="212"/>
      <c r="M255" s="212"/>
      <c r="N255" s="212"/>
      <c r="O255" s="212"/>
      <c r="P255" s="212"/>
      <c r="Q255" s="212"/>
    </row>
    <row r="256" spans="2:17" ht="16.5">
      <c r="B256" s="208"/>
      <c r="C256" s="208"/>
      <c r="D256" s="208"/>
      <c r="E256" s="208"/>
      <c r="F256" s="208"/>
      <c r="G256" s="208"/>
      <c r="H256" s="208"/>
      <c r="I256" s="212"/>
      <c r="J256" s="212"/>
      <c r="K256" s="212"/>
      <c r="L256" s="212"/>
      <c r="M256" s="212"/>
      <c r="N256" s="212"/>
      <c r="O256" s="212"/>
      <c r="P256" s="212"/>
      <c r="Q256" s="212"/>
    </row>
    <row r="257" spans="2:17" ht="16.5">
      <c r="B257" s="208"/>
      <c r="C257" s="208"/>
      <c r="D257" s="208"/>
      <c r="E257" s="208"/>
      <c r="F257" s="208"/>
      <c r="G257" s="208"/>
      <c r="H257" s="208"/>
      <c r="I257" s="212"/>
      <c r="J257" s="212"/>
      <c r="K257" s="212"/>
      <c r="L257" s="212"/>
      <c r="M257" s="212"/>
      <c r="N257" s="212"/>
      <c r="O257" s="212"/>
      <c r="P257" s="212"/>
      <c r="Q257" s="212"/>
    </row>
    <row r="258" spans="2:17" ht="16.5">
      <c r="B258" s="208"/>
      <c r="C258" s="208"/>
      <c r="D258" s="208"/>
      <c r="E258" s="208"/>
      <c r="F258" s="208"/>
      <c r="G258" s="208"/>
      <c r="H258" s="208"/>
      <c r="I258" s="212"/>
      <c r="J258" s="212"/>
      <c r="K258" s="212"/>
      <c r="L258" s="212"/>
      <c r="M258" s="212"/>
      <c r="N258" s="212"/>
      <c r="O258" s="212"/>
      <c r="P258" s="212"/>
      <c r="Q258" s="212"/>
    </row>
    <row r="259" spans="2:17" ht="16.5">
      <c r="B259" s="219"/>
      <c r="C259" s="220"/>
      <c r="D259" s="221"/>
      <c r="E259" s="221"/>
      <c r="F259" s="221"/>
      <c r="G259" s="221"/>
      <c r="H259" s="221"/>
      <c r="I259" s="221"/>
      <c r="J259" s="212"/>
      <c r="K259" s="212"/>
      <c r="L259" s="212"/>
      <c r="M259" s="212"/>
      <c r="N259" s="212"/>
      <c r="O259" s="212"/>
      <c r="P259" s="212"/>
      <c r="Q259" s="212"/>
    </row>
    <row r="260" spans="2:17" ht="16.5">
      <c r="B260" s="208"/>
      <c r="C260" s="208"/>
      <c r="D260" s="208"/>
      <c r="E260" s="208"/>
      <c r="F260" s="208"/>
      <c r="G260" s="208"/>
      <c r="H260" s="208"/>
      <c r="I260" s="212"/>
      <c r="J260" s="212"/>
      <c r="K260" s="212"/>
      <c r="L260" s="212"/>
      <c r="M260" s="212"/>
      <c r="N260" s="212"/>
      <c r="O260" s="212"/>
      <c r="P260" s="212"/>
      <c r="Q260" s="212"/>
    </row>
    <row r="261" spans="2:17" ht="16.5">
      <c r="B261" s="208"/>
      <c r="C261" s="208"/>
      <c r="D261" s="208"/>
      <c r="E261" s="208"/>
      <c r="F261" s="208"/>
      <c r="G261" s="208"/>
      <c r="H261" s="208"/>
      <c r="I261" s="212"/>
      <c r="J261" s="212"/>
      <c r="K261" s="212"/>
      <c r="L261" s="212"/>
      <c r="M261" s="212"/>
      <c r="N261" s="212"/>
      <c r="O261" s="212"/>
      <c r="P261" s="212"/>
      <c r="Q261" s="212"/>
    </row>
    <row r="262" spans="2:17" ht="16.5">
      <c r="B262" s="208"/>
      <c r="C262" s="208"/>
      <c r="D262" s="208"/>
      <c r="E262" s="208"/>
      <c r="F262" s="208"/>
      <c r="G262" s="208"/>
      <c r="H262" s="208"/>
      <c r="I262" s="212"/>
      <c r="J262" s="212"/>
      <c r="K262" s="212"/>
      <c r="L262" s="212"/>
      <c r="M262" s="212"/>
      <c r="N262" s="212"/>
      <c r="O262" s="212"/>
      <c r="P262" s="212"/>
      <c r="Q262" s="212"/>
    </row>
    <row r="263" spans="2:17" ht="16.5">
      <c r="B263" s="208"/>
      <c r="C263" s="208"/>
      <c r="D263" s="208"/>
      <c r="E263" s="208"/>
      <c r="F263" s="208"/>
      <c r="G263" s="208"/>
      <c r="H263" s="208"/>
      <c r="I263" s="212"/>
      <c r="J263" s="212"/>
      <c r="K263" s="212"/>
      <c r="L263" s="212"/>
      <c r="M263" s="212"/>
      <c r="N263" s="212"/>
      <c r="O263" s="212"/>
      <c r="P263" s="212"/>
      <c r="Q263" s="212"/>
    </row>
    <row r="264" spans="2:17" ht="16.5">
      <c r="B264" s="208"/>
      <c r="C264" s="208"/>
      <c r="D264" s="208"/>
      <c r="E264" s="208"/>
      <c r="F264" s="208"/>
      <c r="G264" s="208"/>
      <c r="H264" s="208"/>
      <c r="I264" s="212"/>
      <c r="J264" s="212"/>
      <c r="K264" s="212"/>
      <c r="L264" s="212"/>
      <c r="M264" s="212"/>
      <c r="N264" s="212"/>
      <c r="O264" s="212"/>
      <c r="P264" s="212"/>
      <c r="Q264" s="212"/>
    </row>
    <row r="265" spans="2:17" ht="16.5">
      <c r="B265" s="208"/>
      <c r="C265" s="208"/>
      <c r="D265" s="208"/>
      <c r="E265" s="208"/>
      <c r="F265" s="208"/>
      <c r="G265" s="208"/>
      <c r="H265" s="208"/>
      <c r="I265" s="212"/>
      <c r="J265" s="212"/>
      <c r="K265" s="212"/>
      <c r="L265" s="212"/>
      <c r="M265" s="212"/>
      <c r="N265" s="212"/>
      <c r="O265" s="212"/>
      <c r="P265" s="212"/>
      <c r="Q265" s="212"/>
    </row>
    <row r="266" spans="2:17" ht="16.5">
      <c r="B266" s="208"/>
      <c r="C266" s="208"/>
      <c r="D266" s="208"/>
      <c r="E266" s="208"/>
      <c r="F266" s="208"/>
      <c r="G266" s="208"/>
      <c r="H266" s="208"/>
      <c r="I266" s="212"/>
      <c r="J266" s="212"/>
      <c r="K266" s="212"/>
      <c r="L266" s="212"/>
      <c r="M266" s="212"/>
      <c r="N266" s="212"/>
      <c r="O266" s="212"/>
      <c r="P266" s="212"/>
      <c r="Q266" s="212"/>
    </row>
    <row r="267" spans="2:17" ht="16.5">
      <c r="B267" s="208"/>
      <c r="C267" s="208"/>
      <c r="D267" s="208"/>
      <c r="E267" s="208"/>
      <c r="F267" s="208"/>
      <c r="G267" s="208"/>
      <c r="H267" s="208"/>
      <c r="I267" s="212"/>
      <c r="J267" s="212"/>
      <c r="K267" s="212"/>
      <c r="L267" s="212"/>
      <c r="M267" s="212"/>
      <c r="N267" s="212"/>
      <c r="O267" s="212"/>
      <c r="P267" s="212"/>
      <c r="Q267" s="212"/>
    </row>
    <row r="268" spans="2:17" ht="16.5">
      <c r="B268" s="208"/>
      <c r="C268" s="208"/>
      <c r="D268" s="208"/>
      <c r="E268" s="208"/>
      <c r="F268" s="208"/>
      <c r="G268" s="208"/>
      <c r="H268" s="208"/>
      <c r="I268" s="212"/>
      <c r="J268" s="212"/>
      <c r="K268" s="212"/>
      <c r="L268" s="212"/>
      <c r="M268" s="212"/>
      <c r="N268" s="212"/>
      <c r="O268" s="212"/>
      <c r="P268" s="212"/>
      <c r="Q268" s="212"/>
    </row>
    <row r="269" spans="2:17" ht="16.5">
      <c r="B269" s="208"/>
      <c r="C269" s="208"/>
      <c r="D269" s="208"/>
      <c r="E269" s="208"/>
      <c r="F269" s="208"/>
      <c r="G269" s="208"/>
      <c r="H269" s="208"/>
      <c r="I269" s="212"/>
      <c r="J269" s="212"/>
      <c r="K269" s="212"/>
      <c r="L269" s="212"/>
      <c r="M269" s="212"/>
      <c r="N269" s="212"/>
      <c r="O269" s="212"/>
      <c r="P269" s="212"/>
      <c r="Q269" s="212"/>
    </row>
    <row r="270" spans="2:17" ht="16.5">
      <c r="B270" s="208"/>
      <c r="C270" s="208"/>
      <c r="D270" s="208"/>
      <c r="E270" s="208"/>
      <c r="F270" s="208"/>
      <c r="G270" s="208"/>
      <c r="H270" s="208"/>
      <c r="I270" s="212"/>
      <c r="J270" s="212"/>
      <c r="K270" s="212"/>
      <c r="L270" s="212"/>
      <c r="M270" s="212"/>
      <c r="N270" s="212"/>
      <c r="O270" s="212"/>
      <c r="P270" s="212"/>
      <c r="Q270" s="212"/>
    </row>
    <row r="271" spans="2:17" ht="16.5">
      <c r="B271" s="208"/>
      <c r="C271" s="208"/>
      <c r="D271" s="208"/>
      <c r="E271" s="208"/>
      <c r="F271" s="208"/>
      <c r="G271" s="208"/>
      <c r="H271" s="208"/>
      <c r="I271" s="212"/>
      <c r="J271" s="212"/>
      <c r="K271" s="212"/>
      <c r="L271" s="212"/>
      <c r="M271" s="212"/>
      <c r="N271" s="212"/>
      <c r="O271" s="212"/>
      <c r="P271" s="212"/>
      <c r="Q271" s="212"/>
    </row>
    <row r="272" spans="2:17" ht="16.5">
      <c r="B272" s="208"/>
      <c r="C272" s="208"/>
      <c r="D272" s="208"/>
      <c r="E272" s="208"/>
      <c r="F272" s="208"/>
      <c r="G272" s="208"/>
      <c r="H272" s="208"/>
      <c r="I272" s="212"/>
      <c r="J272" s="212"/>
      <c r="K272" s="212"/>
      <c r="L272" s="212"/>
      <c r="M272" s="212"/>
      <c r="N272" s="212"/>
      <c r="O272" s="212"/>
      <c r="P272" s="212"/>
      <c r="Q272" s="212"/>
    </row>
    <row r="273" spans="2:17" ht="16.5">
      <c r="B273" s="208"/>
      <c r="C273" s="208"/>
      <c r="D273" s="208"/>
      <c r="E273" s="208"/>
      <c r="F273" s="208"/>
      <c r="G273" s="208"/>
      <c r="H273" s="208"/>
      <c r="I273" s="212"/>
      <c r="J273" s="212"/>
      <c r="K273" s="212"/>
      <c r="L273" s="212"/>
      <c r="M273" s="212"/>
      <c r="N273" s="212"/>
      <c r="O273" s="212"/>
      <c r="P273" s="212"/>
      <c r="Q273" s="212"/>
    </row>
    <row r="274" spans="2:17" ht="16.5">
      <c r="B274" s="208"/>
      <c r="C274" s="208"/>
      <c r="D274" s="208"/>
      <c r="E274" s="208"/>
      <c r="F274" s="208"/>
      <c r="G274" s="208"/>
      <c r="H274" s="208"/>
      <c r="I274" s="212"/>
      <c r="J274" s="212"/>
      <c r="K274" s="212"/>
      <c r="L274" s="212"/>
      <c r="M274" s="212"/>
      <c r="N274" s="212"/>
      <c r="O274" s="212"/>
      <c r="P274" s="212"/>
      <c r="Q274" s="212"/>
    </row>
    <row r="275" spans="2:17" ht="16.5">
      <c r="B275" s="208"/>
      <c r="C275" s="208"/>
      <c r="D275" s="208"/>
      <c r="E275" s="208"/>
      <c r="F275" s="208"/>
      <c r="G275" s="208"/>
      <c r="H275" s="208"/>
      <c r="I275" s="212"/>
      <c r="J275" s="212"/>
      <c r="K275" s="212"/>
      <c r="L275" s="212"/>
      <c r="M275" s="212"/>
      <c r="N275" s="212"/>
      <c r="O275" s="212"/>
      <c r="P275" s="212"/>
      <c r="Q275" s="212"/>
    </row>
    <row r="276" spans="2:17" ht="16.5">
      <c r="B276" s="208"/>
      <c r="C276" s="208"/>
      <c r="D276" s="208"/>
      <c r="E276" s="208"/>
      <c r="F276" s="208"/>
      <c r="G276" s="208"/>
      <c r="H276" s="208"/>
      <c r="I276" s="212"/>
      <c r="J276" s="212"/>
      <c r="K276" s="212"/>
      <c r="L276" s="212"/>
      <c r="M276" s="212"/>
      <c r="N276" s="212"/>
      <c r="O276" s="212"/>
      <c r="P276" s="212"/>
      <c r="Q276" s="212"/>
    </row>
    <row r="277" spans="2:17" ht="16.5">
      <c r="B277" s="208"/>
      <c r="C277" s="208"/>
      <c r="D277" s="208"/>
      <c r="E277" s="208"/>
      <c r="F277" s="208"/>
      <c r="G277" s="208"/>
      <c r="H277" s="208"/>
      <c r="I277" s="212"/>
      <c r="J277" s="212"/>
      <c r="K277" s="212"/>
      <c r="L277" s="212"/>
      <c r="M277" s="212"/>
      <c r="N277" s="212"/>
      <c r="O277" s="212"/>
      <c r="P277" s="212"/>
      <c r="Q277" s="212"/>
    </row>
    <row r="278" spans="2:17" ht="16.5">
      <c r="B278" s="208"/>
      <c r="C278" s="208"/>
      <c r="D278" s="208"/>
      <c r="E278" s="208"/>
      <c r="F278" s="208"/>
      <c r="G278" s="208"/>
      <c r="H278" s="208"/>
      <c r="I278" s="212"/>
      <c r="J278" s="212"/>
      <c r="K278" s="212"/>
      <c r="L278" s="212"/>
      <c r="M278" s="212"/>
      <c r="N278" s="212"/>
      <c r="O278" s="212"/>
      <c r="P278" s="212"/>
      <c r="Q278" s="212"/>
    </row>
    <row r="279" spans="2:17" ht="16.5">
      <c r="B279" s="208"/>
      <c r="C279" s="208"/>
      <c r="D279" s="208"/>
      <c r="E279" s="208"/>
      <c r="F279" s="208"/>
      <c r="G279" s="208"/>
      <c r="H279" s="208"/>
      <c r="I279" s="212"/>
      <c r="J279" s="212"/>
      <c r="K279" s="212"/>
      <c r="L279" s="212"/>
      <c r="M279" s="212"/>
      <c r="N279" s="212"/>
      <c r="O279" s="212"/>
      <c r="P279" s="212"/>
      <c r="Q279" s="212"/>
    </row>
    <row r="280" spans="2:17" ht="16.5">
      <c r="B280" s="208"/>
      <c r="C280" s="208"/>
      <c r="D280" s="208"/>
      <c r="E280" s="208"/>
      <c r="F280" s="208"/>
      <c r="G280" s="208"/>
      <c r="H280" s="208"/>
      <c r="I280" s="212"/>
      <c r="J280" s="212"/>
      <c r="K280" s="212"/>
      <c r="L280" s="212"/>
      <c r="M280" s="212"/>
      <c r="N280" s="212"/>
      <c r="O280" s="212"/>
      <c r="P280" s="212"/>
      <c r="Q280" s="212"/>
    </row>
    <row r="281" spans="2:17" ht="16.5">
      <c r="B281" s="208"/>
      <c r="C281" s="208"/>
      <c r="D281" s="208"/>
      <c r="E281" s="208"/>
      <c r="F281" s="208"/>
      <c r="G281" s="208"/>
      <c r="H281" s="208"/>
      <c r="I281" s="212"/>
      <c r="J281" s="212"/>
      <c r="K281" s="212"/>
      <c r="L281" s="212"/>
      <c r="M281" s="212"/>
      <c r="N281" s="212"/>
      <c r="O281" s="212"/>
      <c r="P281" s="212"/>
      <c r="Q281" s="212"/>
    </row>
    <row r="282" spans="2:17" ht="16.5">
      <c r="B282" s="208"/>
      <c r="C282" s="208"/>
      <c r="D282" s="208"/>
      <c r="E282" s="208"/>
      <c r="F282" s="208"/>
      <c r="G282" s="208"/>
      <c r="H282" s="208"/>
      <c r="I282" s="212"/>
      <c r="J282" s="212"/>
      <c r="K282" s="212"/>
      <c r="L282" s="212"/>
      <c r="M282" s="212"/>
      <c r="N282" s="212"/>
      <c r="O282" s="212"/>
      <c r="P282" s="212"/>
      <c r="Q282" s="212"/>
    </row>
    <row r="283" spans="2:17" ht="16.5">
      <c r="B283" s="208"/>
      <c r="C283" s="208"/>
      <c r="D283" s="208"/>
      <c r="E283" s="208"/>
      <c r="F283" s="208"/>
      <c r="G283" s="208"/>
      <c r="H283" s="208"/>
      <c r="I283" s="212"/>
      <c r="J283" s="212"/>
      <c r="K283" s="212"/>
      <c r="L283" s="212"/>
      <c r="M283" s="212"/>
      <c r="N283" s="212"/>
      <c r="O283" s="212"/>
      <c r="P283" s="212"/>
      <c r="Q283" s="212"/>
    </row>
    <row r="284" spans="2:17" ht="16.5">
      <c r="B284" s="208"/>
      <c r="C284" s="208"/>
      <c r="D284" s="208"/>
      <c r="E284" s="208"/>
      <c r="F284" s="208"/>
      <c r="G284" s="208"/>
      <c r="H284" s="208"/>
      <c r="I284" s="212"/>
      <c r="J284" s="212"/>
      <c r="K284" s="212"/>
      <c r="L284" s="212"/>
      <c r="M284" s="212"/>
      <c r="N284" s="212"/>
      <c r="O284" s="212"/>
      <c r="P284" s="212"/>
      <c r="Q284" s="212"/>
    </row>
    <row r="285" spans="2:17" ht="16.5">
      <c r="B285" s="208"/>
      <c r="C285" s="208"/>
      <c r="D285" s="208"/>
      <c r="E285" s="208"/>
      <c r="F285" s="208"/>
      <c r="G285" s="208"/>
      <c r="H285" s="208"/>
      <c r="I285" s="212"/>
      <c r="J285" s="212"/>
      <c r="K285" s="212"/>
      <c r="L285" s="212"/>
      <c r="M285" s="212"/>
      <c r="N285" s="212"/>
      <c r="O285" s="212"/>
      <c r="P285" s="212"/>
      <c r="Q285" s="212"/>
    </row>
    <row r="286" spans="2:17" ht="16.5">
      <c r="B286" s="208"/>
      <c r="C286" s="208"/>
      <c r="D286" s="208"/>
      <c r="E286" s="208"/>
      <c r="F286" s="208"/>
      <c r="G286" s="208"/>
      <c r="H286" s="208"/>
      <c r="I286" s="212"/>
      <c r="J286" s="212"/>
      <c r="K286" s="212"/>
      <c r="L286" s="212"/>
      <c r="M286" s="212"/>
      <c r="N286" s="212"/>
      <c r="O286" s="212"/>
      <c r="P286" s="212"/>
      <c r="Q286" s="212"/>
    </row>
    <row r="287" spans="2:17" ht="16.5">
      <c r="B287" s="208"/>
      <c r="C287" s="208"/>
      <c r="D287" s="208"/>
      <c r="E287" s="208"/>
      <c r="F287" s="208"/>
      <c r="G287" s="208"/>
      <c r="H287" s="208"/>
      <c r="I287" s="212"/>
      <c r="J287" s="212"/>
      <c r="K287" s="212"/>
      <c r="L287" s="212"/>
      <c r="M287" s="212"/>
      <c r="N287" s="212"/>
      <c r="O287" s="212"/>
      <c r="P287" s="212"/>
      <c r="Q287" s="212"/>
    </row>
    <row r="288" spans="2:17" ht="16.5">
      <c r="B288" s="208"/>
      <c r="C288" s="208"/>
      <c r="D288" s="208"/>
      <c r="E288" s="208"/>
      <c r="F288" s="208"/>
      <c r="G288" s="208"/>
      <c r="H288" s="208"/>
      <c r="I288" s="212"/>
      <c r="J288" s="212"/>
      <c r="K288" s="212"/>
      <c r="L288" s="212"/>
      <c r="M288" s="212"/>
      <c r="N288" s="212"/>
      <c r="O288" s="212"/>
      <c r="P288" s="212"/>
      <c r="Q288" s="212"/>
    </row>
    <row r="289" spans="2:17" ht="16.5">
      <c r="B289" s="208"/>
      <c r="C289" s="208"/>
      <c r="D289" s="208"/>
      <c r="E289" s="208"/>
      <c r="F289" s="208"/>
      <c r="G289" s="208"/>
      <c r="H289" s="208"/>
      <c r="I289" s="212"/>
      <c r="J289" s="212"/>
      <c r="K289" s="212"/>
      <c r="L289" s="212"/>
      <c r="M289" s="212"/>
      <c r="N289" s="212"/>
      <c r="O289" s="212"/>
      <c r="P289" s="212"/>
      <c r="Q289" s="212"/>
    </row>
    <row r="290" spans="2:17" ht="16.5">
      <c r="B290" s="208"/>
      <c r="C290" s="208"/>
      <c r="D290" s="208"/>
      <c r="E290" s="208"/>
      <c r="F290" s="208"/>
      <c r="G290" s="208"/>
      <c r="H290" s="208"/>
      <c r="I290" s="212"/>
      <c r="J290" s="212"/>
      <c r="K290" s="212"/>
      <c r="L290" s="212"/>
      <c r="M290" s="212"/>
      <c r="N290" s="212"/>
      <c r="O290" s="212"/>
      <c r="P290" s="212"/>
      <c r="Q290" s="212"/>
    </row>
    <row r="291" spans="2:17" ht="16.5">
      <c r="B291" s="208"/>
      <c r="C291" s="208"/>
      <c r="D291" s="208"/>
      <c r="E291" s="208"/>
      <c r="F291" s="208"/>
      <c r="G291" s="208"/>
      <c r="H291" s="208"/>
      <c r="I291" s="212"/>
      <c r="J291" s="212"/>
      <c r="K291" s="212"/>
      <c r="L291" s="212"/>
      <c r="M291" s="212"/>
      <c r="N291" s="212"/>
      <c r="O291" s="212"/>
      <c r="P291" s="212"/>
      <c r="Q291" s="212"/>
    </row>
    <row r="292" spans="2:17" ht="16.5">
      <c r="B292" s="208"/>
      <c r="C292" s="208"/>
      <c r="D292" s="208"/>
      <c r="E292" s="208"/>
      <c r="F292" s="208"/>
      <c r="G292" s="208"/>
      <c r="H292" s="208"/>
      <c r="I292" s="212"/>
      <c r="J292" s="212"/>
      <c r="K292" s="212"/>
      <c r="L292" s="212"/>
      <c r="M292" s="212"/>
      <c r="N292" s="212"/>
      <c r="O292" s="212"/>
      <c r="P292" s="212"/>
      <c r="Q292" s="212"/>
    </row>
    <row r="293" spans="2:17" ht="16.5">
      <c r="B293" s="208"/>
      <c r="C293" s="208"/>
      <c r="D293" s="208"/>
      <c r="E293" s="208"/>
      <c r="F293" s="208"/>
      <c r="G293" s="208"/>
      <c r="H293" s="208"/>
      <c r="I293" s="212"/>
      <c r="J293" s="212"/>
      <c r="K293" s="212"/>
      <c r="L293" s="212"/>
      <c r="M293" s="212"/>
      <c r="N293" s="212"/>
      <c r="O293" s="212"/>
      <c r="P293" s="212"/>
      <c r="Q293" s="212"/>
    </row>
    <row r="294" spans="2:17" ht="16.5">
      <c r="B294" s="208"/>
      <c r="C294" s="208"/>
      <c r="D294" s="208"/>
      <c r="E294" s="208"/>
      <c r="F294" s="208"/>
      <c r="G294" s="208"/>
      <c r="H294" s="208"/>
      <c r="I294" s="212"/>
      <c r="J294" s="212"/>
      <c r="K294" s="212"/>
      <c r="L294" s="212"/>
      <c r="M294" s="212"/>
      <c r="N294" s="212"/>
      <c r="O294" s="212"/>
      <c r="P294" s="212"/>
      <c r="Q294" s="212"/>
    </row>
    <row r="295" spans="2:17" ht="16.5">
      <c r="B295" s="208"/>
      <c r="C295" s="208"/>
      <c r="D295" s="208"/>
      <c r="E295" s="208"/>
      <c r="F295" s="208"/>
      <c r="G295" s="208"/>
      <c r="H295" s="208"/>
      <c r="I295" s="212"/>
      <c r="J295" s="212"/>
      <c r="K295" s="212"/>
      <c r="L295" s="212"/>
      <c r="M295" s="212"/>
      <c r="N295" s="212"/>
      <c r="O295" s="212"/>
      <c r="P295" s="212"/>
      <c r="Q295" s="212"/>
    </row>
    <row r="296" spans="2:17" ht="16.5">
      <c r="B296" s="208"/>
      <c r="C296" s="208"/>
      <c r="D296" s="208"/>
      <c r="E296" s="208"/>
      <c r="F296" s="208"/>
      <c r="G296" s="208"/>
      <c r="H296" s="208"/>
      <c r="I296" s="212"/>
      <c r="J296" s="212"/>
      <c r="K296" s="212"/>
      <c r="L296" s="212"/>
      <c r="M296" s="212"/>
      <c r="N296" s="212"/>
      <c r="O296" s="212"/>
      <c r="P296" s="212"/>
      <c r="Q296" s="212"/>
    </row>
    <row r="297" spans="2:17" ht="16.5">
      <c r="B297" s="208"/>
      <c r="C297" s="208"/>
      <c r="D297" s="208"/>
      <c r="E297" s="208"/>
      <c r="F297" s="208"/>
      <c r="G297" s="208"/>
      <c r="H297" s="208"/>
      <c r="I297" s="212"/>
      <c r="J297" s="212"/>
      <c r="K297" s="212"/>
      <c r="L297" s="212"/>
      <c r="M297" s="212"/>
      <c r="N297" s="212"/>
      <c r="O297" s="212"/>
      <c r="P297" s="212"/>
      <c r="Q297" s="212"/>
    </row>
    <row r="298" spans="2:17" ht="16.5">
      <c r="B298" s="208"/>
      <c r="C298" s="208"/>
      <c r="D298" s="208"/>
      <c r="E298" s="208"/>
      <c r="F298" s="208"/>
      <c r="G298" s="208"/>
      <c r="H298" s="208"/>
      <c r="I298" s="212"/>
      <c r="J298" s="212"/>
      <c r="K298" s="212"/>
      <c r="L298" s="212"/>
      <c r="M298" s="212"/>
      <c r="N298" s="212"/>
      <c r="O298" s="212"/>
      <c r="P298" s="212"/>
      <c r="Q298" s="212"/>
    </row>
    <row r="299" spans="2:17" ht="16.5">
      <c r="B299" s="208"/>
      <c r="C299" s="208"/>
      <c r="D299" s="208"/>
      <c r="E299" s="208"/>
      <c r="F299" s="208"/>
      <c r="G299" s="208"/>
      <c r="H299" s="208"/>
      <c r="I299" s="212"/>
      <c r="J299" s="212"/>
      <c r="K299" s="212"/>
      <c r="L299" s="212"/>
      <c r="M299" s="212"/>
      <c r="N299" s="212"/>
      <c r="O299" s="212"/>
      <c r="P299" s="212"/>
      <c r="Q299" s="212"/>
    </row>
    <row r="300" spans="2:17" ht="16.5">
      <c r="B300" s="208"/>
      <c r="C300" s="208"/>
      <c r="D300" s="208"/>
      <c r="E300" s="208"/>
      <c r="F300" s="208"/>
      <c r="G300" s="208"/>
      <c r="H300" s="208"/>
      <c r="I300" s="212"/>
      <c r="J300" s="212"/>
      <c r="K300" s="212"/>
      <c r="L300" s="212"/>
      <c r="M300" s="212"/>
      <c r="N300" s="212"/>
      <c r="O300" s="212"/>
      <c r="P300" s="212"/>
      <c r="Q300" s="212"/>
    </row>
    <row r="301" spans="2:17" ht="16.5">
      <c r="B301" s="208"/>
      <c r="C301" s="208"/>
      <c r="D301" s="208"/>
      <c r="E301" s="208"/>
      <c r="F301" s="208"/>
      <c r="G301" s="208"/>
      <c r="H301" s="208"/>
      <c r="I301" s="212"/>
      <c r="J301" s="212"/>
      <c r="K301" s="212"/>
      <c r="L301" s="212"/>
      <c r="M301" s="212"/>
      <c r="N301" s="212"/>
      <c r="O301" s="212"/>
      <c r="P301" s="212"/>
      <c r="Q301" s="212"/>
    </row>
    <row r="302" spans="2:17" ht="16.5">
      <c r="B302" s="208"/>
      <c r="C302" s="208"/>
      <c r="D302" s="208"/>
      <c r="E302" s="208"/>
      <c r="F302" s="208"/>
      <c r="G302" s="208"/>
      <c r="H302" s="208"/>
      <c r="I302" s="212"/>
      <c r="J302" s="212"/>
      <c r="K302" s="212"/>
      <c r="L302" s="212"/>
      <c r="M302" s="212"/>
      <c r="N302" s="212"/>
      <c r="O302" s="212"/>
      <c r="P302" s="212"/>
      <c r="Q302" s="212"/>
    </row>
    <row r="303" spans="2:17" ht="16.5">
      <c r="B303" s="208"/>
      <c r="C303" s="208"/>
      <c r="D303" s="208"/>
      <c r="E303" s="208"/>
      <c r="F303" s="208"/>
      <c r="G303" s="208"/>
      <c r="H303" s="208"/>
      <c r="I303" s="212"/>
      <c r="J303" s="212"/>
      <c r="K303" s="212"/>
      <c r="L303" s="212"/>
      <c r="M303" s="212"/>
      <c r="N303" s="212"/>
      <c r="O303" s="212"/>
      <c r="P303" s="212"/>
      <c r="Q303" s="212"/>
    </row>
    <row r="304" spans="2:17" ht="16.5">
      <c r="B304" s="208"/>
      <c r="C304" s="208"/>
      <c r="D304" s="208"/>
      <c r="E304" s="208"/>
      <c r="F304" s="208"/>
      <c r="G304" s="208"/>
      <c r="H304" s="208"/>
      <c r="I304" s="212"/>
      <c r="J304" s="212"/>
      <c r="K304" s="212"/>
      <c r="L304" s="212"/>
      <c r="M304" s="212"/>
      <c r="N304" s="212"/>
      <c r="O304" s="212"/>
      <c r="P304" s="212"/>
      <c r="Q304" s="212"/>
    </row>
    <row r="305" spans="2:17" ht="16.5">
      <c r="B305" s="208"/>
      <c r="C305" s="208"/>
      <c r="D305" s="208"/>
      <c r="E305" s="208"/>
      <c r="F305" s="208"/>
      <c r="G305" s="208"/>
      <c r="H305" s="208"/>
      <c r="I305" s="212"/>
      <c r="J305" s="212"/>
      <c r="K305" s="212"/>
      <c r="L305" s="212"/>
      <c r="M305" s="212"/>
      <c r="N305" s="212"/>
      <c r="O305" s="212"/>
      <c r="P305" s="212"/>
      <c r="Q305" s="212"/>
    </row>
    <row r="306" spans="2:17" ht="16.5">
      <c r="B306" s="208"/>
      <c r="C306" s="208"/>
      <c r="D306" s="208"/>
      <c r="E306" s="208"/>
      <c r="F306" s="208"/>
      <c r="G306" s="208"/>
      <c r="H306" s="208"/>
      <c r="I306" s="212"/>
      <c r="J306" s="212"/>
      <c r="K306" s="212"/>
      <c r="L306" s="212"/>
      <c r="M306" s="212"/>
      <c r="N306" s="212"/>
      <c r="O306" s="212"/>
      <c r="P306" s="212"/>
      <c r="Q306" s="212"/>
    </row>
    <row r="307" spans="2:17" ht="16.5">
      <c r="B307" s="208"/>
      <c r="C307" s="208"/>
      <c r="D307" s="208"/>
      <c r="E307" s="208"/>
      <c r="F307" s="208"/>
      <c r="G307" s="208"/>
      <c r="H307" s="208"/>
      <c r="I307" s="212"/>
      <c r="J307" s="212"/>
      <c r="K307" s="212"/>
      <c r="L307" s="212"/>
      <c r="M307" s="212"/>
      <c r="N307" s="212"/>
      <c r="O307" s="212"/>
      <c r="P307" s="212"/>
      <c r="Q307" s="212"/>
    </row>
    <row r="308" spans="2:17" ht="16.5">
      <c r="B308" s="208"/>
      <c r="C308" s="208"/>
      <c r="D308" s="208"/>
      <c r="E308" s="208"/>
      <c r="F308" s="208"/>
      <c r="G308" s="208"/>
      <c r="H308" s="208"/>
      <c r="I308" s="212"/>
      <c r="J308" s="212"/>
      <c r="K308" s="212"/>
      <c r="L308" s="212"/>
      <c r="M308" s="212"/>
      <c r="N308" s="212"/>
      <c r="O308" s="212"/>
      <c r="P308" s="212"/>
      <c r="Q308" s="212"/>
    </row>
    <row r="309" spans="2:17" ht="16.5">
      <c r="B309" s="208"/>
      <c r="C309" s="208"/>
      <c r="D309" s="208"/>
      <c r="E309" s="208"/>
      <c r="F309" s="208"/>
      <c r="G309" s="208"/>
      <c r="H309" s="208"/>
      <c r="I309" s="212"/>
      <c r="J309" s="212"/>
      <c r="K309" s="212"/>
      <c r="L309" s="212"/>
      <c r="M309" s="212"/>
      <c r="N309" s="212"/>
      <c r="O309" s="212"/>
      <c r="P309" s="212"/>
      <c r="Q309" s="212"/>
    </row>
    <row r="310" spans="2:17" ht="16.5">
      <c r="B310" s="208"/>
      <c r="C310" s="208"/>
      <c r="D310" s="208"/>
      <c r="E310" s="208"/>
      <c r="F310" s="208"/>
      <c r="G310" s="208"/>
      <c r="H310" s="208"/>
      <c r="I310" s="212"/>
      <c r="J310" s="212"/>
      <c r="K310" s="212"/>
      <c r="L310" s="212"/>
      <c r="M310" s="212"/>
      <c r="N310" s="212"/>
      <c r="O310" s="212"/>
      <c r="P310" s="212"/>
      <c r="Q310" s="212"/>
    </row>
    <row r="311" spans="2:17" ht="16.5">
      <c r="B311" s="208"/>
      <c r="C311" s="208"/>
      <c r="D311" s="208"/>
      <c r="E311" s="208"/>
      <c r="F311" s="208"/>
      <c r="G311" s="208"/>
      <c r="H311" s="208"/>
      <c r="I311" s="212"/>
      <c r="J311" s="212"/>
      <c r="K311" s="212"/>
      <c r="L311" s="212"/>
      <c r="M311" s="212"/>
      <c r="N311" s="212"/>
      <c r="O311" s="212"/>
      <c r="P311" s="212"/>
      <c r="Q311" s="212"/>
    </row>
    <row r="312" spans="2:17" ht="16.5">
      <c r="B312" s="208"/>
      <c r="C312" s="208"/>
      <c r="D312" s="208"/>
      <c r="E312" s="208"/>
      <c r="F312" s="208"/>
      <c r="G312" s="208"/>
      <c r="H312" s="208"/>
      <c r="I312" s="212"/>
      <c r="J312" s="212"/>
      <c r="K312" s="212"/>
      <c r="L312" s="212"/>
      <c r="M312" s="212"/>
      <c r="N312" s="212"/>
      <c r="O312" s="212"/>
      <c r="P312" s="212"/>
      <c r="Q312" s="212"/>
    </row>
    <row r="313" spans="2:17" ht="16.5">
      <c r="B313" s="208"/>
      <c r="C313" s="208"/>
      <c r="D313" s="208"/>
      <c r="E313" s="208"/>
      <c r="F313" s="208"/>
      <c r="G313" s="208"/>
      <c r="H313" s="208"/>
      <c r="I313" s="212"/>
      <c r="J313" s="212"/>
      <c r="K313" s="212"/>
      <c r="L313" s="212"/>
      <c r="M313" s="212"/>
      <c r="N313" s="212"/>
      <c r="O313" s="212"/>
      <c r="P313" s="212"/>
      <c r="Q313" s="212"/>
    </row>
    <row r="314" spans="2:17" ht="16.5">
      <c r="B314" s="208"/>
      <c r="C314" s="208"/>
      <c r="D314" s="208"/>
      <c r="E314" s="208"/>
      <c r="F314" s="208"/>
      <c r="G314" s="208"/>
      <c r="H314" s="208"/>
      <c r="I314" s="212"/>
      <c r="J314" s="212"/>
      <c r="K314" s="212"/>
      <c r="L314" s="212"/>
      <c r="M314" s="212"/>
      <c r="N314" s="212"/>
      <c r="O314" s="212"/>
      <c r="P314" s="212"/>
      <c r="Q314" s="212"/>
    </row>
    <row r="315" spans="2:17" ht="16.5">
      <c r="B315" s="208"/>
      <c r="C315" s="208"/>
      <c r="D315" s="208"/>
      <c r="E315" s="208"/>
      <c r="F315" s="208"/>
      <c r="G315" s="208"/>
      <c r="H315" s="208"/>
      <c r="I315" s="212"/>
      <c r="J315" s="212"/>
      <c r="K315" s="212"/>
      <c r="L315" s="212"/>
      <c r="M315" s="212"/>
      <c r="N315" s="212"/>
      <c r="O315" s="212"/>
      <c r="P315" s="212"/>
      <c r="Q315" s="212"/>
    </row>
    <row r="316" spans="2:17" ht="16.5">
      <c r="B316" s="208"/>
      <c r="C316" s="208"/>
      <c r="D316" s="208"/>
      <c r="E316" s="208"/>
      <c r="F316" s="208"/>
      <c r="G316" s="208"/>
      <c r="H316" s="208"/>
      <c r="I316" s="212"/>
      <c r="J316" s="212"/>
      <c r="K316" s="212"/>
      <c r="L316" s="212"/>
      <c r="M316" s="212"/>
      <c r="N316" s="212"/>
      <c r="O316" s="212"/>
      <c r="P316" s="212"/>
      <c r="Q316" s="212"/>
    </row>
    <row r="317" spans="2:17" ht="16.5">
      <c r="B317" s="208"/>
      <c r="C317" s="208"/>
      <c r="D317" s="208"/>
      <c r="E317" s="208"/>
      <c r="F317" s="208"/>
      <c r="G317" s="208"/>
      <c r="H317" s="208"/>
      <c r="I317" s="212"/>
      <c r="J317" s="212"/>
      <c r="K317" s="212"/>
      <c r="L317" s="212"/>
      <c r="M317" s="212"/>
      <c r="N317" s="212"/>
      <c r="O317" s="212"/>
      <c r="P317" s="212"/>
      <c r="Q317" s="212"/>
    </row>
    <row r="318" spans="2:17" ht="16.5">
      <c r="B318" s="208"/>
      <c r="C318" s="208"/>
      <c r="D318" s="208"/>
      <c r="E318" s="208"/>
      <c r="F318" s="208"/>
      <c r="G318" s="208"/>
      <c r="H318" s="208"/>
      <c r="I318" s="212"/>
      <c r="J318" s="212"/>
      <c r="K318" s="212"/>
      <c r="L318" s="212"/>
      <c r="M318" s="212"/>
      <c r="N318" s="212"/>
      <c r="O318" s="212"/>
      <c r="P318" s="212"/>
      <c r="Q318" s="212"/>
    </row>
    <row r="319" spans="2:17" ht="16.5">
      <c r="B319" s="208"/>
      <c r="C319" s="208"/>
      <c r="D319" s="208"/>
      <c r="E319" s="208"/>
      <c r="F319" s="208"/>
      <c r="G319" s="208"/>
      <c r="H319" s="208"/>
      <c r="I319" s="212"/>
      <c r="J319" s="212"/>
      <c r="K319" s="212"/>
      <c r="L319" s="212"/>
      <c r="M319" s="212"/>
      <c r="N319" s="212"/>
      <c r="O319" s="212"/>
      <c r="P319" s="212"/>
      <c r="Q319" s="212"/>
    </row>
    <row r="320" spans="2:17" ht="16.5">
      <c r="B320" s="208"/>
      <c r="C320" s="208"/>
      <c r="D320" s="208"/>
      <c r="E320" s="208"/>
      <c r="F320" s="208"/>
      <c r="G320" s="208"/>
      <c r="H320" s="208"/>
      <c r="I320" s="212"/>
      <c r="J320" s="212"/>
      <c r="K320" s="212"/>
      <c r="L320" s="212"/>
      <c r="M320" s="212"/>
      <c r="N320" s="212"/>
      <c r="O320" s="212"/>
      <c r="P320" s="212"/>
      <c r="Q320" s="212"/>
    </row>
    <row r="321" spans="2:17" ht="16.5">
      <c r="B321" s="208"/>
      <c r="C321" s="208"/>
      <c r="D321" s="208"/>
      <c r="E321" s="208"/>
      <c r="F321" s="208"/>
      <c r="G321" s="208"/>
      <c r="H321" s="208"/>
      <c r="I321" s="212"/>
      <c r="J321" s="212"/>
      <c r="K321" s="212"/>
      <c r="L321" s="212"/>
      <c r="M321" s="212"/>
      <c r="N321" s="212"/>
      <c r="O321" s="212"/>
      <c r="P321" s="212"/>
      <c r="Q321" s="212"/>
    </row>
    <row r="322" spans="2:17" ht="16.5">
      <c r="B322" s="208"/>
      <c r="C322" s="208"/>
      <c r="D322" s="208"/>
      <c r="E322" s="208"/>
      <c r="F322" s="208"/>
      <c r="G322" s="208"/>
      <c r="H322" s="208"/>
      <c r="I322" s="212"/>
      <c r="J322" s="212"/>
      <c r="K322" s="212"/>
      <c r="L322" s="212"/>
      <c r="M322" s="212"/>
      <c r="N322" s="212"/>
      <c r="O322" s="212"/>
      <c r="P322" s="212"/>
      <c r="Q322" s="212"/>
    </row>
    <row r="323" spans="2:17" ht="16.5">
      <c r="B323" s="208"/>
      <c r="C323" s="208"/>
      <c r="D323" s="208"/>
      <c r="E323" s="208"/>
      <c r="F323" s="208"/>
      <c r="G323" s="208"/>
      <c r="H323" s="208"/>
      <c r="I323" s="212"/>
      <c r="J323" s="212"/>
      <c r="K323" s="212"/>
      <c r="L323" s="212"/>
      <c r="M323" s="212"/>
      <c r="N323" s="212"/>
      <c r="O323" s="212"/>
      <c r="P323" s="212"/>
      <c r="Q323" s="212"/>
    </row>
    <row r="324" spans="2:17" ht="16.5">
      <c r="B324" s="208"/>
      <c r="C324" s="208"/>
      <c r="D324" s="208"/>
      <c r="E324" s="208"/>
      <c r="F324" s="208"/>
      <c r="G324" s="208"/>
      <c r="H324" s="208"/>
      <c r="I324" s="212"/>
      <c r="J324" s="212"/>
      <c r="K324" s="212"/>
      <c r="L324" s="212"/>
      <c r="M324" s="212"/>
      <c r="N324" s="212"/>
      <c r="O324" s="212"/>
      <c r="P324" s="212"/>
      <c r="Q324" s="212"/>
    </row>
    <row r="325" spans="2:17" ht="16.5">
      <c r="B325" s="208"/>
      <c r="C325" s="208"/>
      <c r="D325" s="208"/>
      <c r="E325" s="208"/>
      <c r="F325" s="208"/>
      <c r="G325" s="208"/>
      <c r="H325" s="208"/>
      <c r="I325" s="212"/>
      <c r="J325" s="212"/>
      <c r="K325" s="212"/>
      <c r="L325" s="212"/>
      <c r="M325" s="212"/>
      <c r="N325" s="212"/>
      <c r="O325" s="212"/>
      <c r="P325" s="212"/>
      <c r="Q325" s="212"/>
    </row>
    <row r="326" spans="2:17" ht="16.5">
      <c r="B326" s="208"/>
      <c r="C326" s="208"/>
      <c r="D326" s="208"/>
      <c r="E326" s="208"/>
      <c r="F326" s="208"/>
      <c r="G326" s="208"/>
      <c r="H326" s="208"/>
      <c r="I326" s="212"/>
      <c r="J326" s="212"/>
      <c r="K326" s="212"/>
      <c r="L326" s="212"/>
      <c r="M326" s="212"/>
      <c r="N326" s="212"/>
      <c r="O326" s="212"/>
      <c r="P326" s="212"/>
      <c r="Q326" s="212"/>
    </row>
    <row r="327" spans="2:17" ht="16.5">
      <c r="B327" s="208"/>
      <c r="C327" s="208"/>
      <c r="D327" s="208"/>
      <c r="E327" s="208"/>
      <c r="F327" s="208"/>
      <c r="G327" s="208"/>
      <c r="H327" s="208"/>
      <c r="I327" s="212"/>
      <c r="J327" s="212"/>
      <c r="K327" s="212"/>
      <c r="L327" s="212"/>
      <c r="M327" s="212"/>
      <c r="N327" s="212"/>
      <c r="O327" s="212"/>
      <c r="P327" s="212"/>
      <c r="Q327" s="212"/>
    </row>
    <row r="328" spans="2:17" ht="16.5">
      <c r="B328" s="208"/>
      <c r="C328" s="208"/>
      <c r="D328" s="208"/>
      <c r="E328" s="208"/>
      <c r="F328" s="208"/>
      <c r="G328" s="208"/>
      <c r="H328" s="208"/>
      <c r="I328" s="212"/>
      <c r="J328" s="212"/>
      <c r="K328" s="212"/>
      <c r="L328" s="212"/>
      <c r="M328" s="212"/>
      <c r="N328" s="212"/>
      <c r="O328" s="212"/>
      <c r="P328" s="212"/>
      <c r="Q328" s="212"/>
    </row>
    <row r="329" spans="2:17" ht="16.5">
      <c r="B329" s="208"/>
      <c r="C329" s="208"/>
      <c r="D329" s="208"/>
      <c r="E329" s="208"/>
      <c r="F329" s="208"/>
      <c r="G329" s="208"/>
      <c r="H329" s="208"/>
      <c r="I329" s="212"/>
      <c r="J329" s="212"/>
      <c r="K329" s="212"/>
      <c r="L329" s="212"/>
      <c r="M329" s="212"/>
      <c r="N329" s="212"/>
      <c r="O329" s="212"/>
      <c r="P329" s="212"/>
      <c r="Q329" s="212"/>
    </row>
    <row r="330" spans="2:17" ht="16.5">
      <c r="B330" s="208"/>
      <c r="C330" s="208"/>
      <c r="D330" s="208"/>
      <c r="E330" s="208"/>
      <c r="F330" s="208"/>
      <c r="G330" s="208"/>
      <c r="H330" s="208"/>
      <c r="I330" s="212"/>
      <c r="J330" s="212"/>
      <c r="K330" s="212"/>
      <c r="L330" s="212"/>
      <c r="M330" s="212"/>
      <c r="N330" s="212"/>
      <c r="O330" s="212"/>
      <c r="P330" s="212"/>
      <c r="Q330" s="212"/>
    </row>
    <row r="331" spans="2:17" ht="16.5">
      <c r="B331" s="208"/>
      <c r="C331" s="208"/>
      <c r="D331" s="208"/>
      <c r="E331" s="208"/>
      <c r="F331" s="208"/>
      <c r="G331" s="208"/>
      <c r="H331" s="208"/>
      <c r="I331" s="212"/>
      <c r="J331" s="212"/>
      <c r="K331" s="212"/>
      <c r="L331" s="212"/>
      <c r="M331" s="212"/>
      <c r="N331" s="212"/>
      <c r="O331" s="212"/>
      <c r="P331" s="212"/>
      <c r="Q331" s="212"/>
    </row>
    <row r="332" spans="2:17" ht="16.5">
      <c r="B332" s="208"/>
      <c r="C332" s="208"/>
      <c r="D332" s="208"/>
      <c r="E332" s="208"/>
      <c r="F332" s="208"/>
      <c r="G332" s="208"/>
      <c r="H332" s="208"/>
      <c r="I332" s="212"/>
      <c r="J332" s="212"/>
      <c r="K332" s="212"/>
      <c r="L332" s="212"/>
      <c r="M332" s="212"/>
      <c r="N332" s="212"/>
      <c r="O332" s="212"/>
      <c r="P332" s="212"/>
      <c r="Q332" s="212"/>
    </row>
    <row r="333" spans="2:17" ht="16.5">
      <c r="B333" s="208"/>
      <c r="C333" s="208"/>
      <c r="D333" s="208"/>
      <c r="E333" s="208"/>
      <c r="F333" s="208"/>
      <c r="G333" s="208"/>
      <c r="H333" s="208"/>
      <c r="I333" s="212"/>
      <c r="J333" s="212"/>
      <c r="K333" s="212"/>
      <c r="L333" s="212"/>
      <c r="M333" s="212"/>
      <c r="N333" s="212"/>
      <c r="O333" s="212"/>
      <c r="P333" s="212"/>
      <c r="Q333" s="212"/>
    </row>
    <row r="334" spans="2:17" ht="16.5">
      <c r="B334" s="208"/>
      <c r="C334" s="208"/>
      <c r="D334" s="208"/>
      <c r="E334" s="208"/>
      <c r="F334" s="208"/>
      <c r="G334" s="208"/>
      <c r="H334" s="208"/>
      <c r="I334" s="212"/>
      <c r="J334" s="212"/>
      <c r="K334" s="212"/>
      <c r="L334" s="212"/>
      <c r="M334" s="212"/>
      <c r="N334" s="212"/>
      <c r="O334" s="212"/>
      <c r="P334" s="212"/>
      <c r="Q334" s="212"/>
    </row>
    <row r="335" spans="2:17" ht="16.5">
      <c r="B335" s="208"/>
      <c r="C335" s="208"/>
      <c r="D335" s="208"/>
      <c r="E335" s="208"/>
      <c r="F335" s="208"/>
      <c r="G335" s="208"/>
      <c r="H335" s="208"/>
      <c r="I335" s="212"/>
      <c r="J335" s="212"/>
      <c r="K335" s="212"/>
      <c r="L335" s="212"/>
      <c r="M335" s="212"/>
      <c r="N335" s="212"/>
      <c r="O335" s="212"/>
      <c r="P335" s="212"/>
      <c r="Q335" s="212"/>
    </row>
    <row r="336" spans="2:17" ht="16.5">
      <c r="B336" s="208"/>
      <c r="C336" s="208"/>
      <c r="D336" s="208"/>
      <c r="E336" s="208"/>
      <c r="F336" s="208"/>
      <c r="G336" s="208"/>
      <c r="H336" s="208"/>
      <c r="I336" s="212"/>
      <c r="J336" s="212"/>
      <c r="K336" s="212"/>
      <c r="L336" s="212"/>
      <c r="M336" s="212"/>
      <c r="N336" s="212"/>
      <c r="O336" s="212"/>
      <c r="P336" s="212"/>
      <c r="Q336" s="212"/>
    </row>
    <row r="337" spans="2:17" ht="16.5">
      <c r="B337" s="208"/>
      <c r="C337" s="208"/>
      <c r="D337" s="208"/>
      <c r="E337" s="208"/>
      <c r="F337" s="208"/>
      <c r="G337" s="208"/>
      <c r="H337" s="208"/>
      <c r="I337" s="212"/>
      <c r="J337" s="212"/>
      <c r="K337" s="212"/>
      <c r="L337" s="212"/>
      <c r="M337" s="212"/>
      <c r="N337" s="212"/>
      <c r="O337" s="212"/>
      <c r="P337" s="212"/>
      <c r="Q337" s="212"/>
    </row>
    <row r="338" spans="2:17" ht="16.5">
      <c r="B338" s="208"/>
      <c r="C338" s="208"/>
      <c r="D338" s="208"/>
      <c r="E338" s="208"/>
      <c r="F338" s="208"/>
      <c r="G338" s="208"/>
      <c r="H338" s="208"/>
      <c r="I338" s="212"/>
      <c r="J338" s="212"/>
      <c r="K338" s="212"/>
      <c r="L338" s="212"/>
      <c r="M338" s="212"/>
      <c r="N338" s="212"/>
      <c r="O338" s="212"/>
      <c r="P338" s="212"/>
      <c r="Q338" s="212"/>
    </row>
    <row r="339" spans="2:17" ht="16.5">
      <c r="B339" s="208"/>
      <c r="C339" s="208"/>
      <c r="D339" s="208"/>
      <c r="E339" s="208"/>
      <c r="F339" s="208"/>
      <c r="G339" s="208"/>
      <c r="H339" s="208"/>
      <c r="I339" s="212"/>
      <c r="J339" s="212"/>
      <c r="K339" s="212"/>
      <c r="L339" s="212"/>
      <c r="M339" s="212"/>
      <c r="N339" s="212"/>
      <c r="O339" s="212"/>
      <c r="P339" s="212"/>
      <c r="Q339" s="212"/>
    </row>
    <row r="340" spans="2:17" ht="16.5">
      <c r="B340" s="208"/>
      <c r="C340" s="208"/>
      <c r="D340" s="208"/>
      <c r="E340" s="208"/>
      <c r="F340" s="208"/>
      <c r="G340" s="208"/>
      <c r="H340" s="208"/>
      <c r="I340" s="212"/>
      <c r="J340" s="212"/>
      <c r="K340" s="212"/>
      <c r="L340" s="212"/>
      <c r="M340" s="212"/>
      <c r="N340" s="212"/>
      <c r="O340" s="212"/>
      <c r="P340" s="212"/>
      <c r="Q340" s="212"/>
    </row>
    <row r="341" spans="2:17" ht="16.5">
      <c r="B341" s="208"/>
      <c r="C341" s="208"/>
      <c r="D341" s="208"/>
      <c r="E341" s="208"/>
      <c r="F341" s="208"/>
      <c r="G341" s="208"/>
      <c r="H341" s="208"/>
      <c r="I341" s="212"/>
      <c r="J341" s="212"/>
      <c r="K341" s="212"/>
      <c r="L341" s="212"/>
      <c r="M341" s="212"/>
      <c r="N341" s="212"/>
      <c r="O341" s="212"/>
      <c r="P341" s="212"/>
      <c r="Q341" s="212"/>
    </row>
    <row r="342" spans="2:17" ht="16.5">
      <c r="B342" s="208"/>
      <c r="C342" s="208"/>
      <c r="D342" s="208"/>
      <c r="E342" s="208"/>
      <c r="F342" s="208"/>
      <c r="G342" s="208"/>
      <c r="H342" s="208"/>
      <c r="I342" s="212"/>
      <c r="J342" s="212"/>
      <c r="K342" s="212"/>
      <c r="L342" s="212"/>
      <c r="M342" s="212"/>
      <c r="N342" s="212"/>
      <c r="O342" s="212"/>
      <c r="P342" s="212"/>
      <c r="Q342" s="212"/>
    </row>
    <row r="343" spans="2:17" ht="16.5">
      <c r="B343" s="208"/>
      <c r="C343" s="208"/>
      <c r="D343" s="208"/>
      <c r="E343" s="208"/>
      <c r="F343" s="208"/>
      <c r="G343" s="208"/>
      <c r="H343" s="208"/>
      <c r="I343" s="212"/>
      <c r="J343" s="212"/>
      <c r="K343" s="212"/>
      <c r="L343" s="212"/>
      <c r="M343" s="212"/>
      <c r="N343" s="212"/>
      <c r="O343" s="212"/>
      <c r="P343" s="212"/>
      <c r="Q343" s="212"/>
    </row>
    <row r="344" spans="2:17" ht="16.5">
      <c r="B344" s="208"/>
      <c r="C344" s="208"/>
      <c r="D344" s="208"/>
      <c r="E344" s="208"/>
      <c r="F344" s="208"/>
      <c r="G344" s="208"/>
      <c r="H344" s="208"/>
      <c r="I344" s="212"/>
      <c r="J344" s="212"/>
      <c r="K344" s="212"/>
      <c r="L344" s="212"/>
      <c r="M344" s="212"/>
      <c r="N344" s="212"/>
      <c r="O344" s="212"/>
      <c r="P344" s="212"/>
      <c r="Q344" s="212"/>
    </row>
    <row r="345" spans="2:17" ht="16.5">
      <c r="B345" s="208"/>
      <c r="C345" s="208"/>
      <c r="D345" s="208"/>
      <c r="E345" s="208"/>
      <c r="F345" s="208"/>
      <c r="G345" s="208"/>
      <c r="H345" s="208"/>
      <c r="I345" s="212"/>
      <c r="J345" s="212"/>
      <c r="K345" s="212"/>
      <c r="L345" s="212"/>
      <c r="M345" s="212"/>
      <c r="N345" s="212"/>
      <c r="O345" s="212"/>
      <c r="P345" s="212"/>
      <c r="Q345" s="212"/>
    </row>
    <row r="346" spans="2:17" ht="16.5">
      <c r="B346" s="208"/>
      <c r="C346" s="208"/>
      <c r="D346" s="208"/>
      <c r="E346" s="208"/>
      <c r="F346" s="208"/>
      <c r="G346" s="208"/>
      <c r="H346" s="208"/>
      <c r="I346" s="212"/>
      <c r="J346" s="212"/>
      <c r="K346" s="212"/>
      <c r="L346" s="212"/>
      <c r="M346" s="212"/>
      <c r="N346" s="212"/>
      <c r="O346" s="212"/>
      <c r="P346" s="212"/>
      <c r="Q346" s="212"/>
    </row>
    <row r="347" spans="2:17" ht="16.5">
      <c r="B347" s="208"/>
      <c r="C347" s="208"/>
      <c r="D347" s="208"/>
      <c r="E347" s="208"/>
      <c r="F347" s="208"/>
      <c r="G347" s="208"/>
      <c r="H347" s="208"/>
      <c r="I347" s="212"/>
      <c r="J347" s="212"/>
      <c r="K347" s="212"/>
      <c r="L347" s="212"/>
      <c r="M347" s="212"/>
      <c r="N347" s="212"/>
      <c r="O347" s="212"/>
      <c r="P347" s="212"/>
      <c r="Q347" s="212"/>
    </row>
    <row r="348" spans="2:17" ht="16.5">
      <c r="B348" s="208"/>
      <c r="C348" s="208"/>
      <c r="D348" s="208"/>
      <c r="E348" s="208"/>
      <c r="F348" s="208"/>
      <c r="G348" s="208"/>
      <c r="H348" s="208"/>
      <c r="I348" s="212"/>
      <c r="J348" s="212"/>
      <c r="K348" s="212"/>
      <c r="L348" s="212"/>
      <c r="M348" s="212"/>
      <c r="N348" s="212"/>
      <c r="O348" s="212"/>
      <c r="P348" s="212"/>
      <c r="Q348" s="212"/>
    </row>
    <row r="349" spans="2:17" ht="16.5">
      <c r="B349" s="208"/>
      <c r="C349" s="208"/>
      <c r="D349" s="208"/>
      <c r="E349" s="208"/>
      <c r="F349" s="208"/>
      <c r="G349" s="208"/>
      <c r="H349" s="208"/>
      <c r="I349" s="212"/>
      <c r="J349" s="212"/>
      <c r="K349" s="212"/>
      <c r="L349" s="212"/>
      <c r="M349" s="212"/>
      <c r="N349" s="212"/>
      <c r="O349" s="212"/>
      <c r="P349" s="212"/>
      <c r="Q349" s="212"/>
    </row>
    <row r="350" spans="2:17" ht="16.5">
      <c r="B350" s="208"/>
      <c r="C350" s="208"/>
      <c r="D350" s="208"/>
      <c r="E350" s="208"/>
      <c r="F350" s="208"/>
      <c r="G350" s="208"/>
      <c r="H350" s="208"/>
      <c r="I350" s="212"/>
      <c r="J350" s="212"/>
      <c r="K350" s="212"/>
      <c r="L350" s="212"/>
      <c r="M350" s="212"/>
      <c r="N350" s="212"/>
      <c r="O350" s="212"/>
      <c r="P350" s="212"/>
      <c r="Q350" s="212"/>
    </row>
    <row r="351" spans="2:17" ht="16.5">
      <c r="B351" s="208"/>
      <c r="C351" s="208"/>
      <c r="D351" s="208"/>
      <c r="E351" s="208"/>
      <c r="F351" s="208"/>
      <c r="G351" s="208"/>
      <c r="H351" s="208"/>
      <c r="I351" s="212"/>
      <c r="J351" s="212"/>
      <c r="K351" s="212"/>
      <c r="L351" s="212"/>
      <c r="M351" s="212"/>
      <c r="N351" s="212"/>
      <c r="O351" s="212"/>
      <c r="P351" s="212"/>
      <c r="Q351" s="212"/>
    </row>
    <row r="352" spans="2:17" ht="16.5">
      <c r="B352" s="208"/>
      <c r="C352" s="208"/>
      <c r="D352" s="208"/>
      <c r="E352" s="208"/>
      <c r="F352" s="208"/>
      <c r="G352" s="208"/>
      <c r="H352" s="208"/>
      <c r="I352" s="212"/>
      <c r="J352" s="212"/>
      <c r="K352" s="212"/>
      <c r="L352" s="212"/>
      <c r="M352" s="212"/>
      <c r="N352" s="212"/>
      <c r="O352" s="212"/>
      <c r="P352" s="212"/>
      <c r="Q352" s="212"/>
    </row>
    <row r="353" spans="2:17" ht="16.5">
      <c r="B353" s="208"/>
      <c r="C353" s="208"/>
      <c r="D353" s="208"/>
      <c r="E353" s="208"/>
      <c r="F353" s="208"/>
      <c r="G353" s="208"/>
      <c r="H353" s="208"/>
      <c r="I353" s="212"/>
      <c r="J353" s="212"/>
      <c r="K353" s="212"/>
      <c r="L353" s="212"/>
      <c r="M353" s="212"/>
      <c r="N353" s="212"/>
      <c r="O353" s="212"/>
      <c r="P353" s="212"/>
      <c r="Q353" s="212"/>
    </row>
    <row r="354" spans="2:17" ht="16.5">
      <c r="B354" s="208"/>
      <c r="C354" s="208"/>
      <c r="D354" s="208"/>
      <c r="E354" s="208"/>
      <c r="F354" s="208"/>
      <c r="G354" s="208"/>
      <c r="H354" s="208"/>
      <c r="I354" s="212"/>
      <c r="J354" s="212"/>
      <c r="K354" s="212"/>
      <c r="L354" s="212"/>
      <c r="M354" s="212"/>
      <c r="N354" s="212"/>
      <c r="O354" s="212"/>
      <c r="P354" s="212"/>
      <c r="Q354" s="212"/>
    </row>
    <row r="355" spans="2:17" ht="16.5">
      <c r="B355" s="208"/>
      <c r="C355" s="208"/>
      <c r="D355" s="208"/>
      <c r="E355" s="208"/>
      <c r="F355" s="208"/>
      <c r="G355" s="208"/>
      <c r="H355" s="208"/>
      <c r="I355" s="212"/>
      <c r="J355" s="212"/>
      <c r="K355" s="212"/>
      <c r="L355" s="212"/>
      <c r="M355" s="212"/>
      <c r="N355" s="212"/>
      <c r="O355" s="212"/>
      <c r="P355" s="212"/>
      <c r="Q355" s="212"/>
    </row>
  </sheetData>
  <sheetProtection password="D857" sheet="1" objects="1"/>
  <mergeCells count="240">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 ref="B87:J87"/>
    <mergeCell ref="B88:J88"/>
    <mergeCell ref="B89:J89"/>
    <mergeCell ref="AC96:AE96"/>
    <mergeCell ref="AD97:AE97"/>
    <mergeCell ref="AD98:AE98"/>
    <mergeCell ref="AD99:AE99"/>
    <mergeCell ref="AD100:AE100"/>
    <mergeCell ref="K106:O106"/>
    <mergeCell ref="Q90:AE92"/>
    <mergeCell ref="X101:AE102"/>
    <mergeCell ref="X94:AE95"/>
    <mergeCell ref="Q104:V105"/>
    <mergeCell ref="AC106:AE107"/>
    <mergeCell ref="X96:AB100"/>
    <mergeCell ref="K98:L102"/>
    <mergeCell ref="Q102:V103"/>
    <mergeCell ref="K103:L105"/>
    <mergeCell ref="N98:O101"/>
    <mergeCell ref="N102:O105"/>
    <mergeCell ref="B187:C187"/>
    <mergeCell ref="D187:E187"/>
    <mergeCell ref="F187:G187"/>
    <mergeCell ref="H187:Q187"/>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N243:Q243"/>
    <mergeCell ref="N246:Q246"/>
    <mergeCell ref="B147:B154"/>
    <mergeCell ref="B157:B158"/>
    <mergeCell ref="B159:B167"/>
    <mergeCell ref="B170:B171"/>
    <mergeCell ref="B172:B180"/>
    <mergeCell ref="G218:G227"/>
    <mergeCell ref="I174:I176"/>
    <mergeCell ref="B216:G217"/>
    <mergeCell ref="F210:G211"/>
    <mergeCell ref="J216:Q217"/>
    <mergeCell ref="H208:Q209"/>
    <mergeCell ref="N222:Q223"/>
    <mergeCell ref="I170:Q171"/>
    <mergeCell ref="I181:Q183"/>
    <mergeCell ref="D147:E154"/>
    <mergeCell ref="J234:Q239"/>
    <mergeCell ref="H204:Q205"/>
    <mergeCell ref="H210:Q211"/>
    <mergeCell ref="B223:F227"/>
    <mergeCell ref="B194:C195"/>
    <mergeCell ref="K163:Q163"/>
    <mergeCell ref="J177:L177"/>
    <mergeCell ref="B185:Q186"/>
    <mergeCell ref="Z37:Z48"/>
    <mergeCell ref="Z49:Z57"/>
    <mergeCell ref="Z58:Z64"/>
    <mergeCell ref="AA2:AA23"/>
    <mergeCell ref="AB106:AB107"/>
    <mergeCell ref="AB108:AB109"/>
    <mergeCell ref="AB110:AB112"/>
    <mergeCell ref="Q78:Z80"/>
    <mergeCell ref="Q81:Z83"/>
    <mergeCell ref="K159:N160"/>
    <mergeCell ref="Q106:R112"/>
    <mergeCell ref="O147:Q154"/>
    <mergeCell ref="N112:O113"/>
    <mergeCell ref="X135:AE137"/>
    <mergeCell ref="Q96:V100"/>
    <mergeCell ref="C159:D160"/>
    <mergeCell ref="Q129:U131"/>
    <mergeCell ref="J178:L178"/>
    <mergeCell ref="V126:W128"/>
    <mergeCell ref="Q135:U137"/>
    <mergeCell ref="V132:W134"/>
    <mergeCell ref="Z119:AC120"/>
    <mergeCell ref="Z115:AC116"/>
    <mergeCell ref="Q113:V115"/>
    <mergeCell ref="K116:L117"/>
    <mergeCell ref="X132:AE134"/>
    <mergeCell ref="J249:Q254"/>
    <mergeCell ref="Q86:Z87"/>
    <mergeCell ref="C172:D180"/>
    <mergeCell ref="X104:AE105"/>
    <mergeCell ref="J232:Q233"/>
    <mergeCell ref="N244:Q245"/>
    <mergeCell ref="B218:F222"/>
    <mergeCell ref="J243:M248"/>
    <mergeCell ref="N247:Q248"/>
    <mergeCell ref="J241:Q242"/>
    <mergeCell ref="B198:C199"/>
    <mergeCell ref="D198:E199"/>
    <mergeCell ref="F198:G199"/>
    <mergeCell ref="B206:C207"/>
    <mergeCell ref="D206:E207"/>
    <mergeCell ref="F206:G207"/>
    <mergeCell ref="B200:C201"/>
    <mergeCell ref="D200:E201"/>
    <mergeCell ref="F200:G201"/>
    <mergeCell ref="B208:C209"/>
    <mergeCell ref="H198:Q199"/>
    <mergeCell ref="D208:E209"/>
    <mergeCell ref="F208:G209"/>
    <mergeCell ref="C157:D158"/>
    <mergeCell ref="Q138:U140"/>
    <mergeCell ref="K157:Q158"/>
    <mergeCell ref="I147:J154"/>
    <mergeCell ref="AB113:AE114"/>
    <mergeCell ref="F159:G167"/>
    <mergeCell ref="H159:I167"/>
    <mergeCell ref="K161:Q162"/>
    <mergeCell ref="I172:L173"/>
    <mergeCell ref="K114:L115"/>
    <mergeCell ref="V129:W131"/>
    <mergeCell ref="Z117:AC118"/>
    <mergeCell ref="X110:AA113"/>
    <mergeCell ref="Q122:AE124"/>
    <mergeCell ref="AC110:AE112"/>
    <mergeCell ref="N116:O117"/>
    <mergeCell ref="N110:O111"/>
    <mergeCell ref="O164:Q167"/>
    <mergeCell ref="O159:Q160"/>
    <mergeCell ref="F147:G154"/>
    <mergeCell ref="L147:M154"/>
    <mergeCell ref="X129:AE131"/>
    <mergeCell ref="J230:Q231"/>
    <mergeCell ref="V138:W140"/>
    <mergeCell ref="H202:Q203"/>
    <mergeCell ref="F157:G158"/>
    <mergeCell ref="H157:I158"/>
    <mergeCell ref="K164:N167"/>
    <mergeCell ref="H192:Q193"/>
    <mergeCell ref="J174:L176"/>
    <mergeCell ref="F172:G180"/>
    <mergeCell ref="H188:Q189"/>
    <mergeCell ref="H196:Q197"/>
    <mergeCell ref="J224:Q228"/>
    <mergeCell ref="H200:Q201"/>
    <mergeCell ref="H194:Q195"/>
    <mergeCell ref="N219:Q220"/>
    <mergeCell ref="J218:M223"/>
    <mergeCell ref="B212:Q214"/>
    <mergeCell ref="H206:Q207"/>
    <mergeCell ref="B210:C211"/>
    <mergeCell ref="D210:E211"/>
    <mergeCell ref="N218:Q218"/>
    <mergeCell ref="N221:Q221"/>
    <mergeCell ref="J179:L179"/>
    <mergeCell ref="I180:L180"/>
    <mergeCell ref="X138:AE140"/>
    <mergeCell ref="X126:AE128"/>
    <mergeCell ref="K112:L113"/>
    <mergeCell ref="B202:C203"/>
    <mergeCell ref="D202:E203"/>
    <mergeCell ref="F202:G203"/>
    <mergeCell ref="AC108:AE109"/>
    <mergeCell ref="N114:O115"/>
    <mergeCell ref="Q126:U128"/>
    <mergeCell ref="S109:T112"/>
    <mergeCell ref="B196:C197"/>
    <mergeCell ref="D196:E197"/>
    <mergeCell ref="F196:G197"/>
    <mergeCell ref="F170:G171"/>
    <mergeCell ref="Q132:U134"/>
    <mergeCell ref="X106:AA109"/>
    <mergeCell ref="V135:W137"/>
    <mergeCell ref="S106:V108"/>
    <mergeCell ref="D194:E195"/>
    <mergeCell ref="F194:G195"/>
    <mergeCell ref="C170:D171"/>
    <mergeCell ref="K110:L111"/>
    <mergeCell ref="AD115:AE120"/>
    <mergeCell ref="M172:Q180"/>
    <mergeCell ref="K17:O26"/>
    <mergeCell ref="K27:O29"/>
    <mergeCell ref="K2:O12"/>
    <mergeCell ref="K13:O16"/>
    <mergeCell ref="AA39:AE41"/>
    <mergeCell ref="AB21:AE23"/>
    <mergeCell ref="L72:O75"/>
    <mergeCell ref="Q94:V95"/>
    <mergeCell ref="Q74:Z76"/>
    <mergeCell ref="Q84:Z85"/>
    <mergeCell ref="K30:O32"/>
    <mergeCell ref="L36:O45"/>
    <mergeCell ref="AA42:AE45"/>
    <mergeCell ref="Q71:Z73"/>
    <mergeCell ref="L68:O71"/>
    <mergeCell ref="B204:C205"/>
    <mergeCell ref="D204:E205"/>
    <mergeCell ref="F204:G205"/>
    <mergeCell ref="H190:Q191"/>
    <mergeCell ref="B190:C191"/>
    <mergeCell ref="D190:E191"/>
    <mergeCell ref="F190:G191"/>
    <mergeCell ref="B188:C189"/>
    <mergeCell ref="D188:E189"/>
    <mergeCell ref="F188:G189"/>
    <mergeCell ref="B192:C193"/>
    <mergeCell ref="D192:E193"/>
    <mergeCell ref="F192:G193"/>
  </mergeCells>
  <phoneticPr fontId="203"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G137" sqref="G137"/>
    </sheetView>
  </sheetViews>
  <sheetFormatPr defaultColWidth="9" defaultRowHeight="16.5"/>
  <cols>
    <col min="1" max="3" width="9" style="16" customWidth="1"/>
    <col min="4" max="4" width="80.625" style="16" customWidth="1"/>
    <col min="5" max="6" width="9" style="16" customWidth="1"/>
    <col min="7" max="7" width="80.625" style="16" customWidth="1"/>
    <col min="8" max="8" width="9" style="16" customWidth="1"/>
    <col min="9" max="16384" width="9" style="16"/>
  </cols>
  <sheetData>
    <row r="1" spans="3:7" ht="12" customHeight="1"/>
    <row r="2" spans="3:7" ht="19.149999999999999" customHeight="1">
      <c r="C2" s="1715" t="s">
        <v>5513</v>
      </c>
      <c r="D2" s="3542"/>
      <c r="F2" s="3543" t="s">
        <v>5514</v>
      </c>
      <c r="G2" s="3544"/>
    </row>
    <row r="3" spans="3:7">
      <c r="C3" s="17" t="s">
        <v>410</v>
      </c>
      <c r="D3" s="18" t="s">
        <v>5515</v>
      </c>
      <c r="F3" s="17" t="s">
        <v>410</v>
      </c>
      <c r="G3" s="18" t="s">
        <v>5515</v>
      </c>
    </row>
    <row r="4" spans="3:7" ht="55.15" customHeight="1">
      <c r="C4" s="19">
        <v>1</v>
      </c>
      <c r="D4" s="20" t="s">
        <v>5516</v>
      </c>
      <c r="F4" s="19">
        <v>1</v>
      </c>
      <c r="G4" s="20" t="s">
        <v>5517</v>
      </c>
    </row>
    <row r="5" spans="3:7" ht="55.15" customHeight="1">
      <c r="C5" s="21">
        <v>2</v>
      </c>
      <c r="D5" s="22" t="s">
        <v>5518</v>
      </c>
      <c r="F5" s="21">
        <v>2</v>
      </c>
      <c r="G5" s="22" t="s">
        <v>5519</v>
      </c>
    </row>
    <row r="6" spans="3:7" ht="55.15" customHeight="1">
      <c r="C6" s="19">
        <v>3</v>
      </c>
      <c r="D6" s="20" t="s">
        <v>5520</v>
      </c>
      <c r="F6" s="19">
        <v>3</v>
      </c>
      <c r="G6" s="20" t="s">
        <v>5521</v>
      </c>
    </row>
    <row r="7" spans="3:7" ht="55.15" customHeight="1">
      <c r="C7" s="21">
        <v>4</v>
      </c>
      <c r="D7" s="22" t="s">
        <v>5522</v>
      </c>
      <c r="F7" s="21">
        <v>4</v>
      </c>
      <c r="G7" s="22" t="s">
        <v>5523</v>
      </c>
    </row>
    <row r="8" spans="3:7" ht="55.15" customHeight="1">
      <c r="C8" s="19">
        <v>5</v>
      </c>
      <c r="D8" s="20" t="s">
        <v>5524</v>
      </c>
      <c r="F8" s="19">
        <v>5</v>
      </c>
      <c r="G8" s="20" t="s">
        <v>5525</v>
      </c>
    </row>
    <row r="9" spans="3:7" ht="55.15" customHeight="1">
      <c r="C9" s="21">
        <v>6</v>
      </c>
      <c r="D9" s="22" t="s">
        <v>5526</v>
      </c>
      <c r="F9" s="21">
        <v>6</v>
      </c>
      <c r="G9" s="22" t="s">
        <v>5527</v>
      </c>
    </row>
    <row r="10" spans="3:7" ht="55.15" customHeight="1">
      <c r="C10" s="19">
        <v>7</v>
      </c>
      <c r="D10" s="20" t="s">
        <v>5528</v>
      </c>
      <c r="F10" s="19">
        <v>7</v>
      </c>
      <c r="G10" s="20" t="s">
        <v>5529</v>
      </c>
    </row>
    <row r="11" spans="3:7" ht="55.15" customHeight="1">
      <c r="C11" s="21">
        <v>8</v>
      </c>
      <c r="D11" s="22" t="s">
        <v>5530</v>
      </c>
      <c r="F11" s="21">
        <v>8</v>
      </c>
      <c r="G11" s="22" t="s">
        <v>5531</v>
      </c>
    </row>
    <row r="12" spans="3:7" ht="55.15" customHeight="1">
      <c r="C12" s="19">
        <v>9</v>
      </c>
      <c r="D12" s="20" t="s">
        <v>5532</v>
      </c>
      <c r="F12" s="19">
        <v>9</v>
      </c>
      <c r="G12" s="20" t="s">
        <v>5533</v>
      </c>
    </row>
    <row r="13" spans="3:7" ht="55.15" customHeight="1">
      <c r="C13" s="23">
        <v>10</v>
      </c>
      <c r="D13" s="24" t="s">
        <v>5534</v>
      </c>
      <c r="F13" s="23">
        <v>10</v>
      </c>
      <c r="G13" s="25" t="s">
        <v>5535</v>
      </c>
    </row>
    <row r="15" spans="3:7">
      <c r="C15" s="3545" t="s">
        <v>2305</v>
      </c>
      <c r="D15" s="3546"/>
      <c r="F15" s="3545" t="s">
        <v>2306</v>
      </c>
      <c r="G15" s="3546"/>
    </row>
    <row r="16" spans="3:7">
      <c r="C16" s="26" t="s">
        <v>410</v>
      </c>
      <c r="D16" s="27" t="s">
        <v>5536</v>
      </c>
      <c r="E16" s="28"/>
      <c r="F16" s="26" t="s">
        <v>410</v>
      </c>
      <c r="G16" s="27" t="s">
        <v>5536</v>
      </c>
    </row>
    <row r="17" spans="3:7">
      <c r="C17" s="3518">
        <v>0</v>
      </c>
      <c r="D17" s="3547" t="str">
        <f>IF(C17=0,"请在左侧输入数字",VLOOKUP(C17,附表!M114:N213,2,FALSE))</f>
        <v>请在左侧输入数字</v>
      </c>
      <c r="E17" s="28"/>
      <c r="F17" s="3518">
        <v>0</v>
      </c>
      <c r="G17" s="3547" t="str">
        <f>IF(F17=0,"请在左侧输入数字",VLOOKUP(F17,附表!S114:T213,2,FALSE))</f>
        <v>请在左侧输入数字</v>
      </c>
    </row>
    <row r="18" spans="3:7">
      <c r="C18" s="3519"/>
      <c r="D18" s="3548"/>
      <c r="E18" s="28"/>
      <c r="F18" s="3519"/>
      <c r="G18" s="3548"/>
    </row>
    <row r="19" spans="3:7" ht="20.25">
      <c r="C19" s="29"/>
      <c r="D19" s="29"/>
      <c r="E19" s="28"/>
      <c r="F19" s="29"/>
      <c r="G19" s="29"/>
    </row>
    <row r="23" spans="3:7">
      <c r="C23" s="3523" t="s">
        <v>5537</v>
      </c>
      <c r="D23" s="3524"/>
      <c r="E23" s="3524"/>
      <c r="F23" s="3524"/>
      <c r="G23" s="3525"/>
    </row>
    <row r="24" spans="3:7" ht="16.899999999999999" customHeight="1">
      <c r="C24" s="3526"/>
      <c r="D24" s="3527"/>
      <c r="E24" s="3527"/>
      <c r="F24" s="3527"/>
      <c r="G24" s="3528"/>
    </row>
    <row r="25" spans="3:7" ht="20.100000000000001" customHeight="1">
      <c r="C25" s="3529"/>
      <c r="D25" s="3530"/>
      <c r="E25" s="3530"/>
      <c r="F25" s="3530"/>
      <c r="G25" s="3531"/>
    </row>
    <row r="26" spans="3:7" ht="20.25">
      <c r="C26" s="29"/>
      <c r="D26" s="29"/>
      <c r="E26" s="28"/>
      <c r="F26" s="29"/>
      <c r="G26" s="29"/>
    </row>
    <row r="27" spans="3:7">
      <c r="C27" s="3532" t="s">
        <v>5538</v>
      </c>
      <c r="D27" s="3533"/>
      <c r="E27" s="28"/>
      <c r="F27" s="3532" t="s">
        <v>5539</v>
      </c>
      <c r="G27" s="3533"/>
    </row>
    <row r="28" spans="3:7">
      <c r="C28" s="3534"/>
      <c r="D28" s="3535"/>
      <c r="E28" s="28"/>
      <c r="F28" s="3534"/>
      <c r="G28" s="3535"/>
    </row>
    <row r="29" spans="3:7">
      <c r="C29" s="2402" t="s">
        <v>5540</v>
      </c>
      <c r="D29" s="2405"/>
      <c r="E29" s="28"/>
      <c r="F29" s="2402" t="s">
        <v>5541</v>
      </c>
      <c r="G29" s="2405"/>
    </row>
    <row r="30" spans="3:7">
      <c r="C30" s="2312"/>
      <c r="D30" s="2315"/>
      <c r="E30" s="28"/>
      <c r="F30" s="2312"/>
      <c r="G30" s="2315"/>
    </row>
    <row r="31" spans="3:7" ht="15" customHeight="1">
      <c r="C31" s="2312"/>
      <c r="D31" s="2315"/>
      <c r="E31" s="28"/>
      <c r="F31" s="2312"/>
      <c r="G31" s="2315"/>
    </row>
    <row r="32" spans="3:7" ht="15" customHeight="1">
      <c r="C32" s="2322"/>
      <c r="D32" s="2324"/>
      <c r="E32" s="28"/>
      <c r="F32" s="2312"/>
      <c r="G32" s="2315"/>
    </row>
    <row r="33" spans="3:8" ht="15" customHeight="1">
      <c r="C33" s="29"/>
      <c r="D33" s="29"/>
      <c r="E33" s="28"/>
      <c r="F33" s="2312"/>
      <c r="G33" s="2315"/>
    </row>
    <row r="34" spans="3:8" ht="15" customHeight="1">
      <c r="C34" s="3532" t="s">
        <v>5542</v>
      </c>
      <c r="D34" s="3536" t="s">
        <v>5543</v>
      </c>
      <c r="E34" s="28"/>
      <c r="F34" s="2312"/>
      <c r="G34" s="2315"/>
    </row>
    <row r="35" spans="3:8" ht="15" customHeight="1">
      <c r="C35" s="3534"/>
      <c r="D35" s="3537"/>
      <c r="E35" s="28"/>
      <c r="F35" s="2312"/>
      <c r="G35" s="2315"/>
    </row>
    <row r="36" spans="3:8" ht="15" customHeight="1">
      <c r="C36" s="3534"/>
      <c r="D36" s="3537"/>
      <c r="E36" s="28"/>
      <c r="F36" s="2312"/>
      <c r="G36" s="2315"/>
    </row>
    <row r="37" spans="3:8" ht="15" customHeight="1">
      <c r="C37" s="3534"/>
      <c r="D37" s="3537"/>
      <c r="E37" s="28"/>
      <c r="F37" s="2312"/>
      <c r="G37" s="2315"/>
    </row>
    <row r="38" spans="3:8" ht="15" customHeight="1">
      <c r="C38" s="3534"/>
      <c r="D38" s="3537"/>
      <c r="E38" s="28"/>
      <c r="F38" s="2312"/>
      <c r="G38" s="2315"/>
    </row>
    <row r="39" spans="3:8" ht="15" customHeight="1">
      <c r="C39" s="3534"/>
      <c r="D39" s="3537"/>
      <c r="E39" s="28"/>
      <c r="F39" s="2312"/>
      <c r="G39" s="2315"/>
      <c r="H39" s="30" t="s">
        <v>5544</v>
      </c>
    </row>
    <row r="40" spans="3:8">
      <c r="C40" s="3534"/>
      <c r="D40" s="3537" t="s">
        <v>5545</v>
      </c>
      <c r="E40" s="28"/>
      <c r="F40" s="2312"/>
      <c r="G40" s="2315"/>
    </row>
    <row r="41" spans="3:8">
      <c r="C41" s="3534"/>
      <c r="D41" s="3537"/>
      <c r="E41" s="28"/>
      <c r="F41" s="2312"/>
      <c r="G41" s="2315"/>
    </row>
    <row r="42" spans="3:8">
      <c r="C42" s="3540"/>
      <c r="D42" s="3538"/>
      <c r="E42" s="28"/>
      <c r="F42" s="2322"/>
      <c r="G42" s="2324"/>
    </row>
    <row r="43" spans="3:8" ht="20.25">
      <c r="C43" s="29"/>
      <c r="D43" s="29"/>
      <c r="E43" s="28"/>
      <c r="F43" s="29"/>
      <c r="G43" s="29"/>
    </row>
    <row r="44" spans="3:8">
      <c r="C44" s="3523" t="s">
        <v>5546</v>
      </c>
      <c r="D44" s="3524"/>
      <c r="E44" s="3524"/>
      <c r="F44" s="3524"/>
      <c r="G44" s="3525"/>
    </row>
    <row r="45" spans="3:8">
      <c r="C45" s="3526"/>
      <c r="D45" s="3527"/>
      <c r="E45" s="3527"/>
      <c r="F45" s="3527"/>
      <c r="G45" s="3528"/>
    </row>
    <row r="46" spans="3:8">
      <c r="C46" s="3529"/>
      <c r="D46" s="3530"/>
      <c r="E46" s="3530"/>
      <c r="F46" s="3530"/>
      <c r="G46" s="3531"/>
    </row>
    <row r="47" spans="3:8" ht="20.25">
      <c r="C47" s="29"/>
      <c r="D47" s="29"/>
      <c r="E47" s="28"/>
      <c r="F47" s="29"/>
      <c r="G47" s="29"/>
    </row>
    <row r="48" spans="3:8">
      <c r="C48" s="3520" t="s">
        <v>5547</v>
      </c>
      <c r="D48" s="3508" t="s">
        <v>5548</v>
      </c>
      <c r="E48" s="28"/>
      <c r="F48" s="3520" t="s">
        <v>5549</v>
      </c>
      <c r="G48" s="3508" t="s">
        <v>5550</v>
      </c>
    </row>
    <row r="49" spans="3:7">
      <c r="C49" s="3521"/>
      <c r="D49" s="3509"/>
      <c r="E49" s="28"/>
      <c r="F49" s="3521"/>
      <c r="G49" s="3509"/>
    </row>
    <row r="50" spans="3:7">
      <c r="C50" s="3522"/>
      <c r="D50" s="3510"/>
      <c r="E50" s="28"/>
      <c r="F50" s="3522"/>
      <c r="G50" s="3510"/>
    </row>
    <row r="51" spans="3:7">
      <c r="D51" s="28"/>
      <c r="E51" s="28"/>
      <c r="F51" s="2"/>
      <c r="G51" s="2"/>
    </row>
    <row r="52" spans="3:7">
      <c r="C52" s="3520" t="s">
        <v>5551</v>
      </c>
      <c r="D52" s="3508" t="s">
        <v>5552</v>
      </c>
      <c r="E52" s="28"/>
      <c r="F52" s="3520" t="s">
        <v>5553</v>
      </c>
      <c r="G52" s="3511" t="s">
        <v>5554</v>
      </c>
    </row>
    <row r="53" spans="3:7">
      <c r="C53" s="3521"/>
      <c r="D53" s="3509"/>
      <c r="E53" s="28"/>
      <c r="F53" s="3521"/>
      <c r="G53" s="3512"/>
    </row>
    <row r="54" spans="3:7">
      <c r="C54" s="3521"/>
      <c r="D54" s="3509"/>
      <c r="E54" s="28"/>
      <c r="F54" s="3521"/>
      <c r="G54" s="3513" t="s">
        <v>5555</v>
      </c>
    </row>
    <row r="55" spans="3:7">
      <c r="C55" s="3541" t="s">
        <v>5556</v>
      </c>
      <c r="D55" s="3517" t="s">
        <v>5557</v>
      </c>
      <c r="E55" s="28"/>
      <c r="F55" s="3521"/>
      <c r="G55" s="3513"/>
    </row>
    <row r="56" spans="3:7">
      <c r="C56" s="3521"/>
      <c r="D56" s="3539"/>
      <c r="E56" s="28"/>
      <c r="F56" s="3521"/>
      <c r="G56" s="3512"/>
    </row>
    <row r="57" spans="3:7">
      <c r="C57" s="3521"/>
      <c r="D57" s="3509" t="s">
        <v>5558</v>
      </c>
      <c r="E57" s="28"/>
      <c r="F57" s="3521"/>
      <c r="G57" s="3513" t="s">
        <v>5559</v>
      </c>
    </row>
    <row r="58" spans="3:7">
      <c r="C58" s="3521"/>
      <c r="D58" s="3509"/>
      <c r="E58" s="28"/>
      <c r="F58" s="3521"/>
      <c r="G58" s="3514"/>
    </row>
    <row r="59" spans="3:7">
      <c r="C59" s="3541" t="s">
        <v>5560</v>
      </c>
      <c r="D59" s="3517" t="s">
        <v>5561</v>
      </c>
      <c r="E59" s="28"/>
      <c r="F59" s="3521"/>
      <c r="G59" s="3514"/>
    </row>
    <row r="60" spans="3:7">
      <c r="C60" s="3521"/>
      <c r="D60" s="3509"/>
      <c r="E60" s="28"/>
      <c r="F60" s="3521"/>
      <c r="G60" s="3515" t="s">
        <v>5562</v>
      </c>
    </row>
    <row r="61" spans="3:7">
      <c r="C61" s="3521"/>
      <c r="D61" s="3509"/>
      <c r="E61" s="28"/>
      <c r="F61" s="3521"/>
      <c r="G61" s="3514"/>
    </row>
    <row r="62" spans="3:7">
      <c r="C62" s="3522"/>
      <c r="D62" s="3510"/>
      <c r="E62" s="28"/>
      <c r="F62" s="3521"/>
      <c r="G62" s="3514"/>
    </row>
    <row r="63" spans="3:7">
      <c r="C63" s="2"/>
      <c r="D63" s="2"/>
      <c r="E63" s="28"/>
      <c r="F63" s="3522"/>
      <c r="G63" s="3516"/>
    </row>
    <row r="64" spans="3:7">
      <c r="C64" s="2"/>
      <c r="D64" s="2"/>
      <c r="E64" s="28"/>
      <c r="F64" s="2"/>
      <c r="G64" s="2"/>
    </row>
    <row r="65" spans="3:7">
      <c r="C65" s="2"/>
      <c r="D65" s="2"/>
      <c r="E65" s="28"/>
      <c r="F65" s="2"/>
      <c r="G65" s="2"/>
    </row>
    <row r="66" spans="3:7">
      <c r="C66" s="2"/>
      <c r="D66" s="2"/>
      <c r="E66" s="28"/>
      <c r="F66" s="2"/>
      <c r="G66" s="2"/>
    </row>
    <row r="67" spans="3:7">
      <c r="C67" s="2"/>
      <c r="D67" s="2"/>
      <c r="E67" s="28"/>
      <c r="F67" s="2"/>
      <c r="G67" s="2"/>
    </row>
    <row r="68" spans="3:7">
      <c r="C68" s="2"/>
      <c r="D68" s="2"/>
      <c r="E68" s="28"/>
      <c r="F68" s="2"/>
      <c r="G68" s="2"/>
    </row>
    <row r="69" spans="3:7">
      <c r="C69" s="2"/>
      <c r="D69" s="2"/>
      <c r="E69" s="28"/>
      <c r="F69" s="2"/>
      <c r="G69" s="2"/>
    </row>
    <row r="70" spans="3:7">
      <c r="C70" s="2"/>
      <c r="D70" s="2"/>
      <c r="E70" s="28"/>
      <c r="F70" s="2"/>
      <c r="G70" s="2"/>
    </row>
    <row r="71" spans="3:7">
      <c r="C71" s="2"/>
      <c r="D71" s="2"/>
      <c r="E71" s="28"/>
      <c r="F71" s="2"/>
      <c r="G71" s="2"/>
    </row>
    <row r="72" spans="3:7">
      <c r="C72" s="2"/>
      <c r="D72" s="2"/>
      <c r="E72" s="28"/>
      <c r="F72" s="2"/>
      <c r="G72" s="2"/>
    </row>
    <row r="73" spans="3:7">
      <c r="C73" s="2"/>
      <c r="D73" s="2"/>
      <c r="E73" s="28"/>
      <c r="F73" s="2"/>
      <c r="G73" s="2"/>
    </row>
    <row r="74" spans="3:7">
      <c r="C74" s="2"/>
      <c r="D74" s="2"/>
      <c r="E74" s="28"/>
      <c r="F74" s="2"/>
      <c r="G74" s="2"/>
    </row>
    <row r="75" spans="3:7">
      <c r="C75" s="2"/>
      <c r="D75" s="2"/>
      <c r="E75" s="28"/>
      <c r="F75" s="2"/>
      <c r="G75" s="2"/>
    </row>
    <row r="76" spans="3:7">
      <c r="C76" s="2"/>
      <c r="D76" s="2"/>
      <c r="E76" s="28"/>
      <c r="F76" s="2"/>
      <c r="G76" s="2"/>
    </row>
    <row r="77" spans="3:7">
      <c r="C77" s="2"/>
      <c r="D77" s="2"/>
      <c r="E77" s="28"/>
      <c r="F77" s="2"/>
      <c r="G77" s="2"/>
    </row>
    <row r="78" spans="3:7">
      <c r="C78" s="2"/>
      <c r="D78" s="2"/>
      <c r="E78" s="28"/>
      <c r="F78" s="2"/>
      <c r="G78" s="2"/>
    </row>
    <row r="79" spans="3:7">
      <c r="C79" s="2"/>
      <c r="D79" s="2"/>
      <c r="E79" s="28"/>
      <c r="F79" s="2"/>
      <c r="G79" s="2"/>
    </row>
    <row r="80" spans="3:7">
      <c r="C80" s="2"/>
      <c r="D80" s="2"/>
      <c r="E80" s="28"/>
      <c r="F80" s="2"/>
      <c r="G80" s="2"/>
    </row>
    <row r="81" spans="3:7">
      <c r="C81" s="2"/>
      <c r="D81" s="2"/>
      <c r="E81" s="28"/>
      <c r="F81" s="2"/>
      <c r="G81" s="2"/>
    </row>
    <row r="82" spans="3:7">
      <c r="C82" s="2"/>
      <c r="D82" s="2"/>
      <c r="E82" s="28"/>
      <c r="F82" s="2"/>
      <c r="G82" s="2"/>
    </row>
    <row r="83" spans="3:7">
      <c r="C83" s="2"/>
      <c r="D83" s="2"/>
      <c r="E83" s="28"/>
      <c r="F83" s="2"/>
      <c r="G83" s="2"/>
    </row>
    <row r="84" spans="3:7">
      <c r="C84" s="2"/>
      <c r="D84" s="2"/>
      <c r="E84" s="28"/>
      <c r="F84" s="2"/>
      <c r="G84" s="2"/>
    </row>
    <row r="85" spans="3:7">
      <c r="C85" s="2"/>
      <c r="D85" s="2"/>
      <c r="E85" s="28"/>
      <c r="F85" s="2"/>
      <c r="G85" s="2"/>
    </row>
    <row r="86" spans="3:7">
      <c r="C86" s="2"/>
      <c r="D86" s="2"/>
      <c r="E86" s="28"/>
      <c r="F86" s="2"/>
      <c r="G86" s="2"/>
    </row>
    <row r="87" spans="3:7">
      <c r="C87" s="2"/>
      <c r="D87" s="2"/>
      <c r="E87" s="28"/>
      <c r="F87" s="2"/>
      <c r="G87" s="2"/>
    </row>
    <row r="88" spans="3:7">
      <c r="C88" s="2"/>
      <c r="D88" s="2"/>
      <c r="E88" s="28"/>
      <c r="F88" s="2"/>
      <c r="G88" s="2"/>
    </row>
    <row r="89" spans="3:7">
      <c r="C89" s="2"/>
      <c r="D89" s="2"/>
      <c r="E89" s="28"/>
      <c r="F89" s="2"/>
      <c r="G89" s="2"/>
    </row>
    <row r="90" spans="3:7">
      <c r="C90" s="2"/>
      <c r="D90" s="2"/>
      <c r="E90" s="28"/>
      <c r="F90" s="2"/>
      <c r="G90" s="2"/>
    </row>
    <row r="91" spans="3:7">
      <c r="C91" s="2"/>
      <c r="D91" s="2"/>
      <c r="E91" s="28"/>
      <c r="F91" s="2"/>
      <c r="G91" s="2"/>
    </row>
    <row r="92" spans="3:7">
      <c r="C92" s="2"/>
      <c r="D92" s="2"/>
      <c r="E92" s="28"/>
      <c r="F92" s="2"/>
      <c r="G92" s="2"/>
    </row>
    <row r="93" spans="3:7">
      <c r="C93" s="2"/>
      <c r="D93" s="2"/>
      <c r="E93" s="28"/>
      <c r="F93" s="2"/>
      <c r="G93" s="2"/>
    </row>
    <row r="94" spans="3:7" ht="20.25">
      <c r="C94" s="29"/>
      <c r="D94" s="29"/>
      <c r="E94" s="28"/>
      <c r="F94" s="29"/>
      <c r="G94" s="29"/>
    </row>
    <row r="95" spans="3:7" ht="20.25">
      <c r="C95" s="29"/>
      <c r="D95" s="29"/>
      <c r="E95" s="28"/>
      <c r="F95" s="29"/>
      <c r="G95" s="29"/>
    </row>
    <row r="96" spans="3:7" ht="20.25">
      <c r="C96" s="29"/>
      <c r="D96" s="29"/>
      <c r="E96" s="28"/>
      <c r="F96" s="29"/>
      <c r="G96" s="29"/>
    </row>
    <row r="97" spans="3:7" ht="20.25">
      <c r="C97" s="29"/>
      <c r="D97" s="29"/>
      <c r="E97" s="28"/>
      <c r="F97" s="29"/>
      <c r="G97" s="29"/>
    </row>
    <row r="98" spans="3:7" ht="20.25">
      <c r="C98" s="29"/>
      <c r="D98" s="29"/>
      <c r="E98" s="28"/>
      <c r="F98" s="29"/>
      <c r="G98" s="29"/>
    </row>
    <row r="99" spans="3:7" ht="20.25">
      <c r="C99" s="29"/>
      <c r="D99" s="29"/>
      <c r="E99" s="28"/>
      <c r="F99" s="29"/>
      <c r="G99" s="29"/>
    </row>
    <row r="100" spans="3:7" ht="20.25">
      <c r="C100" s="29"/>
      <c r="D100" s="29"/>
      <c r="E100" s="28"/>
      <c r="F100" s="29"/>
      <c r="G100" s="29"/>
    </row>
    <row r="101" spans="3:7" ht="20.25">
      <c r="C101" s="29"/>
      <c r="D101" s="29"/>
      <c r="E101" s="28"/>
      <c r="F101" s="29"/>
      <c r="G101" s="29"/>
    </row>
    <row r="102" spans="3:7" ht="20.25">
      <c r="C102" s="29"/>
      <c r="D102" s="29"/>
      <c r="E102" s="28"/>
      <c r="F102" s="29"/>
      <c r="G102" s="29"/>
    </row>
    <row r="103" spans="3:7" ht="20.25">
      <c r="C103" s="29"/>
      <c r="D103" s="29"/>
      <c r="E103" s="28"/>
      <c r="F103" s="29"/>
      <c r="G103" s="29"/>
    </row>
    <row r="104" spans="3:7" ht="20.25">
      <c r="C104" s="29"/>
      <c r="D104" s="29"/>
      <c r="E104" s="28"/>
      <c r="F104" s="29"/>
      <c r="G104" s="29"/>
    </row>
    <row r="105" spans="3:7" ht="20.25">
      <c r="C105" s="29"/>
      <c r="D105" s="29"/>
      <c r="E105" s="28"/>
      <c r="F105" s="29"/>
      <c r="G105" s="29"/>
    </row>
    <row r="106" spans="3:7" ht="20.25">
      <c r="C106" s="29"/>
      <c r="D106" s="29"/>
      <c r="E106" s="28"/>
      <c r="F106" s="29"/>
      <c r="G106" s="29"/>
    </row>
    <row r="107" spans="3:7" ht="20.25">
      <c r="C107" s="29"/>
      <c r="D107" s="29"/>
      <c r="E107" s="28"/>
      <c r="F107" s="29"/>
      <c r="G107" s="29"/>
    </row>
    <row r="108" spans="3:7" ht="20.25">
      <c r="C108" s="29"/>
      <c r="D108" s="29"/>
      <c r="E108" s="28"/>
      <c r="F108" s="29"/>
      <c r="G108" s="29"/>
    </row>
    <row r="109" spans="3:7" ht="20.25">
      <c r="C109" s="29"/>
      <c r="D109" s="29"/>
      <c r="E109" s="28"/>
      <c r="F109" s="29"/>
      <c r="G109" s="29"/>
    </row>
    <row r="110" spans="3:7" ht="20.25">
      <c r="C110" s="29"/>
      <c r="D110" s="29"/>
      <c r="E110" s="28"/>
      <c r="F110" s="29"/>
      <c r="G110" s="29"/>
    </row>
    <row r="111" spans="3:7" ht="20.25">
      <c r="C111" s="29"/>
      <c r="D111" s="29"/>
      <c r="E111" s="28"/>
      <c r="F111" s="29"/>
      <c r="G111" s="29"/>
    </row>
    <row r="112" spans="3:7" ht="20.25">
      <c r="C112" s="29"/>
      <c r="D112" s="29"/>
      <c r="E112" s="28"/>
      <c r="F112" s="29"/>
      <c r="G112" s="29"/>
    </row>
    <row r="113" spans="3:7" ht="20.25">
      <c r="C113" s="29"/>
      <c r="D113" s="29"/>
      <c r="E113" s="28"/>
      <c r="F113" s="29"/>
      <c r="G113" s="29"/>
    </row>
    <row r="114" spans="3:7" ht="20.25">
      <c r="C114" s="29"/>
      <c r="D114" s="29"/>
      <c r="E114" s="28"/>
      <c r="F114" s="29"/>
      <c r="G114" s="29"/>
    </row>
    <row r="115" spans="3:7" ht="20.25">
      <c r="C115" s="29"/>
      <c r="D115" s="29"/>
      <c r="E115" s="28"/>
      <c r="F115" s="29"/>
      <c r="G115" s="29"/>
    </row>
    <row r="116" spans="3:7" ht="20.25">
      <c r="C116" s="29"/>
      <c r="D116" s="29"/>
      <c r="E116" s="28"/>
      <c r="F116" s="29"/>
      <c r="G116" s="29"/>
    </row>
    <row r="117" spans="3:7" ht="20.25">
      <c r="C117" s="29"/>
      <c r="D117" s="29"/>
      <c r="E117" s="28"/>
      <c r="F117" s="29"/>
      <c r="G117" s="29"/>
    </row>
    <row r="118" spans="3:7" ht="20.25">
      <c r="C118" s="29"/>
      <c r="D118" s="29"/>
      <c r="E118" s="28"/>
      <c r="F118" s="29"/>
      <c r="G118" s="29"/>
    </row>
    <row r="119" spans="3:7" ht="20.25">
      <c r="C119" s="29"/>
      <c r="D119" s="29"/>
      <c r="E119" s="28"/>
      <c r="F119" s="29"/>
      <c r="G119" s="29"/>
    </row>
    <row r="120" spans="3:7" ht="20.25">
      <c r="C120" s="29"/>
      <c r="D120" s="29"/>
      <c r="E120" s="28"/>
      <c r="F120" s="29"/>
      <c r="G120" s="29"/>
    </row>
    <row r="121" spans="3:7" ht="20.25">
      <c r="C121" s="29"/>
      <c r="D121" s="29"/>
      <c r="E121" s="28"/>
      <c r="F121" s="29"/>
      <c r="G121" s="29"/>
    </row>
    <row r="122" spans="3:7" ht="20.25">
      <c r="C122" s="29"/>
      <c r="D122" s="29"/>
      <c r="E122" s="28"/>
      <c r="F122" s="29"/>
      <c r="G122" s="29"/>
    </row>
    <row r="123" spans="3:7" ht="20.25">
      <c r="C123" s="29"/>
      <c r="D123" s="29"/>
      <c r="E123" s="28"/>
      <c r="F123" s="29"/>
      <c r="G123" s="29"/>
    </row>
    <row r="124" spans="3:7" ht="20.25">
      <c r="C124" s="29"/>
      <c r="D124" s="29"/>
      <c r="E124" s="28"/>
      <c r="F124" s="29"/>
      <c r="G124" s="29"/>
    </row>
    <row r="125" spans="3:7" ht="20.25">
      <c r="C125" s="29"/>
      <c r="D125" s="29"/>
      <c r="E125" s="28"/>
      <c r="F125" s="29"/>
      <c r="G125" s="29"/>
    </row>
    <row r="126" spans="3:7" ht="20.25">
      <c r="C126" s="29"/>
      <c r="D126" s="29"/>
      <c r="E126" s="28"/>
      <c r="F126" s="29"/>
      <c r="G126" s="29"/>
    </row>
    <row r="127" spans="3:7" ht="20.25">
      <c r="C127" s="29"/>
      <c r="D127" s="29"/>
      <c r="E127" s="28"/>
      <c r="F127" s="29"/>
      <c r="G127" s="29"/>
    </row>
    <row r="128" spans="3:7" ht="20.25">
      <c r="C128" s="29"/>
      <c r="D128" s="29"/>
      <c r="E128" s="28"/>
      <c r="F128" s="29"/>
      <c r="G128" s="29"/>
    </row>
    <row r="129" spans="3:7" ht="20.25">
      <c r="C129" s="29"/>
      <c r="D129" s="29"/>
      <c r="E129" s="28"/>
      <c r="F129" s="29"/>
      <c r="G129" s="29"/>
    </row>
    <row r="130" spans="3:7" ht="20.25">
      <c r="C130" s="29"/>
      <c r="D130" s="29"/>
      <c r="E130" s="28"/>
      <c r="F130" s="29"/>
      <c r="G130" s="29"/>
    </row>
    <row r="131" spans="3:7" ht="20.25">
      <c r="C131" s="29"/>
      <c r="D131" s="29"/>
      <c r="E131" s="28"/>
      <c r="F131" s="29"/>
      <c r="G131" s="29"/>
    </row>
    <row r="132" spans="3:7" ht="20.25">
      <c r="C132" s="29"/>
      <c r="D132" s="29"/>
      <c r="E132" s="28"/>
      <c r="F132" s="29"/>
      <c r="G132" s="29"/>
    </row>
    <row r="133" spans="3:7" ht="20.25">
      <c r="C133" s="29"/>
      <c r="D133" s="29"/>
      <c r="E133" s="28"/>
      <c r="F133" s="29"/>
      <c r="G133" s="29"/>
    </row>
    <row r="134" spans="3:7" ht="20.25">
      <c r="C134" s="29"/>
      <c r="D134" s="29"/>
      <c r="E134" s="28"/>
      <c r="F134" s="29"/>
      <c r="G134" s="29"/>
    </row>
    <row r="135" spans="3:7" ht="20.25">
      <c r="C135" s="29"/>
      <c r="D135" s="29"/>
      <c r="E135" s="28"/>
      <c r="F135" s="29"/>
      <c r="G135" s="29"/>
    </row>
    <row r="136" spans="3:7" ht="20.25">
      <c r="C136" s="29"/>
      <c r="D136" s="29"/>
      <c r="E136" s="28"/>
      <c r="F136" s="29"/>
      <c r="G136" s="29"/>
    </row>
    <row r="137" spans="3:7" ht="20.25">
      <c r="C137" s="29"/>
      <c r="D137" s="29"/>
      <c r="E137" s="28"/>
      <c r="F137" s="29"/>
      <c r="G137" s="29"/>
    </row>
    <row r="138" spans="3:7" ht="20.25">
      <c r="C138" s="29"/>
      <c r="D138" s="29"/>
      <c r="E138" s="28"/>
      <c r="F138" s="29"/>
      <c r="G138" s="29"/>
    </row>
    <row r="139" spans="3:7" ht="20.25">
      <c r="C139" s="28"/>
      <c r="D139" s="28"/>
      <c r="E139" s="28"/>
      <c r="F139" s="29"/>
      <c r="G139" s="29"/>
    </row>
    <row r="140" spans="3:7" ht="20.25">
      <c r="C140" s="28"/>
      <c r="D140" s="28"/>
      <c r="E140" s="28"/>
      <c r="F140" s="29"/>
      <c r="G140" s="29"/>
    </row>
    <row r="141" spans="3:7" ht="20.25">
      <c r="C141" s="28"/>
      <c r="D141" s="28"/>
      <c r="E141" s="28"/>
      <c r="F141" s="29"/>
      <c r="G141" s="29"/>
    </row>
    <row r="142" spans="3:7" ht="20.25">
      <c r="C142" s="28"/>
      <c r="D142" s="28"/>
      <c r="E142" s="28"/>
      <c r="F142" s="29"/>
      <c r="G142" s="29"/>
    </row>
    <row r="143" spans="3:7" ht="20.25">
      <c r="C143" s="28"/>
      <c r="D143" s="28"/>
      <c r="E143" s="28"/>
      <c r="F143" s="29"/>
      <c r="G143" s="29"/>
    </row>
    <row r="144" spans="3:7" ht="20.25">
      <c r="C144" s="28"/>
      <c r="D144" s="28"/>
      <c r="E144" s="28"/>
      <c r="F144" s="29"/>
      <c r="G144" s="29"/>
    </row>
    <row r="145" spans="3:7" ht="20.25">
      <c r="C145" s="28"/>
      <c r="D145" s="28"/>
      <c r="E145" s="28"/>
      <c r="F145" s="29"/>
      <c r="G145" s="29"/>
    </row>
  </sheetData>
  <sheetProtection password="D857" sheet="1" objects="1"/>
  <mergeCells count="33">
    <mergeCell ref="C2:D2"/>
    <mergeCell ref="F2:G2"/>
    <mergeCell ref="C15:D15"/>
    <mergeCell ref="F15:G15"/>
    <mergeCell ref="C17:C18"/>
    <mergeCell ref="D17:D18"/>
    <mergeCell ref="G17:G18"/>
    <mergeCell ref="C34:C42"/>
    <mergeCell ref="C48:C50"/>
    <mergeCell ref="C52:C54"/>
    <mergeCell ref="C55:C58"/>
    <mergeCell ref="C59:C62"/>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G48:G50"/>
    <mergeCell ref="G52:G53"/>
    <mergeCell ref="G54:G56"/>
    <mergeCell ref="G57:G59"/>
    <mergeCell ref="G60:G63"/>
  </mergeCells>
  <phoneticPr fontId="203"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showGridLines="0" showRowColHeaders="0" zoomScale="85" zoomScaleNormal="85" workbookViewId="0">
      <selection activeCell="D1" sqref="D1:N2"/>
    </sheetView>
  </sheetViews>
  <sheetFormatPr defaultColWidth="9" defaultRowHeight="21.95" customHeight="1"/>
  <cols>
    <col min="1" max="1" width="5.625" style="1" customWidth="1"/>
    <col min="2" max="14" width="9" style="1" customWidth="1"/>
    <col min="15" max="15" width="2.75" style="1" customWidth="1"/>
    <col min="16" max="26" width="9" style="1" customWidth="1"/>
    <col min="27" max="27" width="2.75" style="1" customWidth="1"/>
    <col min="28" max="38" width="9" style="1" customWidth="1"/>
    <col min="39" max="39" width="2.75" style="1" customWidth="1"/>
    <col min="40" max="40" width="9" style="1" customWidth="1"/>
    <col min="41" max="16384" width="9" style="1"/>
  </cols>
  <sheetData>
    <row r="1" spans="4:50" ht="21.95" customHeight="1">
      <c r="D1" s="3565" t="s">
        <v>5563</v>
      </c>
      <c r="E1" s="3565"/>
      <c r="F1" s="3565"/>
      <c r="G1" s="3565"/>
      <c r="H1" s="3565"/>
      <c r="I1" s="3565"/>
      <c r="J1" s="3565"/>
      <c r="K1" s="3565"/>
      <c r="L1" s="3565"/>
      <c r="M1" s="3565"/>
      <c r="N1" s="3565"/>
      <c r="O1" s="3"/>
      <c r="P1" s="3565" t="s">
        <v>5564</v>
      </c>
      <c r="Q1" s="3565"/>
      <c r="R1" s="3565"/>
      <c r="S1" s="3565"/>
      <c r="T1" s="3565"/>
      <c r="U1" s="3565"/>
      <c r="V1" s="3565"/>
      <c r="W1" s="3565"/>
      <c r="X1" s="3565"/>
      <c r="Y1" s="3565"/>
      <c r="Z1" s="3565"/>
      <c r="AA1" s="3"/>
      <c r="AB1" s="3565" t="s">
        <v>5565</v>
      </c>
      <c r="AC1" s="3565"/>
      <c r="AD1" s="3565"/>
      <c r="AE1" s="3565"/>
      <c r="AF1" s="3565"/>
      <c r="AG1" s="3565"/>
      <c r="AH1" s="3565"/>
      <c r="AI1" s="3565"/>
      <c r="AJ1" s="3565"/>
      <c r="AK1" s="3565"/>
      <c r="AL1" s="3565"/>
      <c r="AM1" s="3"/>
      <c r="AN1" s="3565" t="s">
        <v>5566</v>
      </c>
      <c r="AO1" s="3565"/>
      <c r="AP1" s="3565"/>
      <c r="AQ1" s="3565"/>
      <c r="AR1" s="3565"/>
      <c r="AS1" s="3565"/>
      <c r="AT1" s="3565"/>
      <c r="AU1" s="3565"/>
      <c r="AV1" s="3565"/>
      <c r="AW1" s="3565"/>
      <c r="AX1" s="3565"/>
    </row>
    <row r="2" spans="4:50" ht="21.95" customHeight="1">
      <c r="D2" s="3565"/>
      <c r="E2" s="3565"/>
      <c r="F2" s="3565"/>
      <c r="G2" s="3565"/>
      <c r="H2" s="3565"/>
      <c r="I2" s="3565"/>
      <c r="J2" s="3565"/>
      <c r="K2" s="3565"/>
      <c r="L2" s="3565"/>
      <c r="M2" s="3565"/>
      <c r="N2" s="3565"/>
      <c r="O2" s="3"/>
      <c r="P2" s="3565"/>
      <c r="Q2" s="3565"/>
      <c r="R2" s="3565"/>
      <c r="S2" s="3565"/>
      <c r="T2" s="3565"/>
      <c r="U2" s="3565"/>
      <c r="V2" s="3565"/>
      <c r="W2" s="3565"/>
      <c r="X2" s="3565"/>
      <c r="Y2" s="3565"/>
      <c r="Z2" s="3565"/>
      <c r="AA2" s="3"/>
      <c r="AB2" s="3565"/>
      <c r="AC2" s="3565"/>
      <c r="AD2" s="3565"/>
      <c r="AE2" s="3565"/>
      <c r="AF2" s="3565"/>
      <c r="AG2" s="3565"/>
      <c r="AH2" s="3565"/>
      <c r="AI2" s="3565"/>
      <c r="AJ2" s="3565"/>
      <c r="AK2" s="3565"/>
      <c r="AL2" s="3565"/>
      <c r="AM2" s="3"/>
      <c r="AN2" s="3565"/>
      <c r="AO2" s="3565"/>
      <c r="AP2" s="3565"/>
      <c r="AQ2" s="3565"/>
      <c r="AR2" s="3565"/>
      <c r="AS2" s="3565"/>
      <c r="AT2" s="3565"/>
      <c r="AU2" s="3565"/>
      <c r="AV2" s="3565"/>
      <c r="AW2" s="3565"/>
      <c r="AX2" s="3565"/>
    </row>
    <row r="3" spans="4:50" ht="21.95" customHeight="1">
      <c r="D3" s="3644" t="s">
        <v>5567</v>
      </c>
      <c r="E3" s="3645"/>
      <c r="F3" s="3578" t="s">
        <v>5568</v>
      </c>
      <c r="G3" s="3640"/>
      <c r="H3" s="3640"/>
      <c r="I3" s="3640"/>
      <c r="J3" s="3640"/>
      <c r="K3" s="3640"/>
      <c r="L3" s="3640"/>
      <c r="M3" s="3640"/>
      <c r="N3" s="3640"/>
      <c r="O3" s="3"/>
      <c r="P3" s="3557" t="s">
        <v>5569</v>
      </c>
      <c r="Q3" s="3558"/>
      <c r="R3" s="3558"/>
      <c r="S3" s="3558"/>
      <c r="T3" s="3558"/>
      <c r="U3" s="3558"/>
      <c r="V3" s="3558"/>
      <c r="W3" s="3558"/>
      <c r="X3" s="3558"/>
      <c r="Y3" s="3558"/>
      <c r="Z3" s="3558"/>
      <c r="AA3" s="3"/>
      <c r="AB3" s="3608" t="s">
        <v>5570</v>
      </c>
      <c r="AC3" s="3558"/>
      <c r="AD3" s="3558"/>
      <c r="AE3" s="3558"/>
      <c r="AF3" s="3558"/>
      <c r="AG3" s="3558"/>
      <c r="AH3" s="3558"/>
      <c r="AI3" s="3558"/>
      <c r="AJ3" s="3558"/>
      <c r="AK3" s="3558"/>
      <c r="AL3" s="3558"/>
      <c r="AM3" s="3"/>
      <c r="AN3" s="3639" t="s">
        <v>5571</v>
      </c>
      <c r="AO3" s="3558"/>
      <c r="AP3" s="3558"/>
      <c r="AQ3" s="3558"/>
      <c r="AR3" s="3558"/>
      <c r="AS3" s="3558"/>
      <c r="AT3" s="3558"/>
      <c r="AU3" s="3558"/>
      <c r="AV3" s="3558"/>
      <c r="AW3" s="3558"/>
      <c r="AX3" s="3558"/>
    </row>
    <row r="4" spans="4:50" ht="21.95" customHeight="1">
      <c r="D4" s="3645"/>
      <c r="E4" s="3645"/>
      <c r="F4" s="3640"/>
      <c r="G4" s="3640"/>
      <c r="H4" s="3640"/>
      <c r="I4" s="3640"/>
      <c r="J4" s="3640"/>
      <c r="K4" s="3640"/>
      <c r="L4" s="3640"/>
      <c r="M4" s="3640"/>
      <c r="N4" s="3640"/>
      <c r="O4" s="3"/>
      <c r="P4" s="3562" t="s">
        <v>5572</v>
      </c>
      <c r="Q4" s="3568" t="s">
        <v>5573</v>
      </c>
      <c r="R4" s="3568"/>
      <c r="S4" s="3568"/>
      <c r="T4" s="3568"/>
      <c r="U4" s="3568"/>
      <c r="V4" s="3568"/>
      <c r="W4" s="3568"/>
      <c r="X4" s="3568"/>
      <c r="Y4" s="3568"/>
      <c r="Z4" s="3568"/>
      <c r="AA4" s="3"/>
      <c r="AB4" s="3562" t="s">
        <v>5574</v>
      </c>
      <c r="AC4" s="3586" t="s">
        <v>5575</v>
      </c>
      <c r="AD4" s="3553"/>
      <c r="AE4" s="3553"/>
      <c r="AF4" s="3553"/>
      <c r="AG4" s="3553"/>
      <c r="AH4" s="3553"/>
      <c r="AI4" s="3553"/>
      <c r="AJ4" s="3553"/>
      <c r="AK4" s="3553"/>
      <c r="AL4" s="3553"/>
      <c r="AM4" s="3"/>
      <c r="AN4" s="3572" t="s">
        <v>5576</v>
      </c>
      <c r="AO4" s="3643" t="s">
        <v>5577</v>
      </c>
      <c r="AP4" s="3553"/>
      <c r="AQ4" s="3553"/>
      <c r="AR4" s="3553"/>
      <c r="AS4" s="3553"/>
      <c r="AT4" s="3553"/>
      <c r="AU4" s="3553"/>
      <c r="AV4" s="3553"/>
      <c r="AW4" s="3553"/>
      <c r="AX4" s="3553"/>
    </row>
    <row r="5" spans="4:50" ht="21.95" customHeight="1">
      <c r="D5" s="3645" t="s">
        <v>5578</v>
      </c>
      <c r="E5" s="3645"/>
      <c r="F5" s="3578" t="s">
        <v>5579</v>
      </c>
      <c r="G5" s="3640"/>
      <c r="H5" s="3640"/>
      <c r="I5" s="3640"/>
      <c r="J5" s="3640"/>
      <c r="K5" s="3640"/>
      <c r="L5" s="3640"/>
      <c r="M5" s="3640"/>
      <c r="N5" s="3640"/>
      <c r="O5" s="3"/>
      <c r="P5" s="3563"/>
      <c r="Q5" s="3568"/>
      <c r="R5" s="3568"/>
      <c r="S5" s="3568"/>
      <c r="T5" s="3568"/>
      <c r="U5" s="3568"/>
      <c r="V5" s="3568"/>
      <c r="W5" s="3568"/>
      <c r="X5" s="3568"/>
      <c r="Y5" s="3568"/>
      <c r="Z5" s="3568"/>
      <c r="AA5" s="3"/>
      <c r="AB5" s="3563"/>
      <c r="AC5" s="3585" t="s">
        <v>5580</v>
      </c>
      <c r="AD5" s="3553"/>
      <c r="AE5" s="3553"/>
      <c r="AF5" s="3553"/>
      <c r="AG5" s="3553"/>
      <c r="AH5" s="3553"/>
      <c r="AI5" s="3553"/>
      <c r="AJ5" s="3553"/>
      <c r="AK5" s="3553"/>
      <c r="AL5" s="3553"/>
      <c r="AM5" s="3"/>
      <c r="AN5" s="3573"/>
      <c r="AO5" s="3553"/>
      <c r="AP5" s="3553"/>
      <c r="AQ5" s="3553"/>
      <c r="AR5" s="3553"/>
      <c r="AS5" s="3553"/>
      <c r="AT5" s="3553"/>
      <c r="AU5" s="3553"/>
      <c r="AV5" s="3553"/>
      <c r="AW5" s="3553"/>
      <c r="AX5" s="3553"/>
    </row>
    <row r="6" spans="4:50" ht="21.95" customHeight="1">
      <c r="D6" s="3645"/>
      <c r="E6" s="3645"/>
      <c r="F6" s="3640"/>
      <c r="G6" s="3640"/>
      <c r="H6" s="3640"/>
      <c r="I6" s="3640"/>
      <c r="J6" s="3640"/>
      <c r="K6" s="3640"/>
      <c r="L6" s="3640"/>
      <c r="M6" s="3640"/>
      <c r="N6" s="3640"/>
      <c r="O6" s="3"/>
      <c r="P6" s="3563"/>
      <c r="Q6" s="3568"/>
      <c r="R6" s="3568"/>
      <c r="S6" s="3568"/>
      <c r="T6" s="3568"/>
      <c r="U6" s="3568"/>
      <c r="V6" s="3568"/>
      <c r="W6" s="3568"/>
      <c r="X6" s="3568"/>
      <c r="Y6" s="3568"/>
      <c r="Z6" s="3568"/>
      <c r="AA6" s="3"/>
      <c r="AB6" s="3563"/>
      <c r="AC6" s="3586"/>
      <c r="AD6" s="3553"/>
      <c r="AE6" s="3553"/>
      <c r="AF6" s="3553"/>
      <c r="AG6" s="3553"/>
      <c r="AH6" s="3553"/>
      <c r="AI6" s="3553"/>
      <c r="AJ6" s="3553"/>
      <c r="AK6" s="3553"/>
      <c r="AL6" s="3553"/>
      <c r="AM6" s="3"/>
      <c r="AN6" s="3573"/>
      <c r="AO6" s="3553"/>
      <c r="AP6" s="3553"/>
      <c r="AQ6" s="3553"/>
      <c r="AR6" s="3553"/>
      <c r="AS6" s="3553"/>
      <c r="AT6" s="3553"/>
      <c r="AU6" s="3553"/>
      <c r="AV6" s="3553"/>
      <c r="AW6" s="3553"/>
      <c r="AX6" s="3553"/>
    </row>
    <row r="7" spans="4:50" ht="21.95" customHeight="1">
      <c r="D7" s="3645" t="s">
        <v>5581</v>
      </c>
      <c r="E7" s="3645"/>
      <c r="F7" s="3641" t="s">
        <v>5582</v>
      </c>
      <c r="G7" s="3642"/>
      <c r="H7" s="3642"/>
      <c r="I7" s="3642"/>
      <c r="J7" s="3642"/>
      <c r="K7" s="3642"/>
      <c r="L7" s="3642"/>
      <c r="M7" s="3642"/>
      <c r="N7" s="3642"/>
      <c r="O7" s="3"/>
      <c r="P7" s="3563"/>
      <c r="Q7" s="3568"/>
      <c r="R7" s="3568"/>
      <c r="S7" s="3568"/>
      <c r="T7" s="3568"/>
      <c r="U7" s="3568"/>
      <c r="V7" s="3568"/>
      <c r="W7" s="3568"/>
      <c r="X7" s="3568"/>
      <c r="Y7" s="3568"/>
      <c r="Z7" s="3568"/>
      <c r="AA7" s="3"/>
      <c r="AB7" s="3563"/>
      <c r="AC7" s="3585" t="s">
        <v>5583</v>
      </c>
      <c r="AD7" s="3552"/>
      <c r="AE7" s="3552"/>
      <c r="AF7" s="3552"/>
      <c r="AG7" s="3552"/>
      <c r="AH7" s="3552"/>
      <c r="AI7" s="3552"/>
      <c r="AJ7" s="3552"/>
      <c r="AK7" s="3552"/>
      <c r="AL7" s="3552"/>
      <c r="AM7" s="3"/>
      <c r="AN7" s="3573"/>
      <c r="AO7" s="3553"/>
      <c r="AP7" s="3553"/>
      <c r="AQ7" s="3553"/>
      <c r="AR7" s="3553"/>
      <c r="AS7" s="3553"/>
      <c r="AT7" s="3553"/>
      <c r="AU7" s="3553"/>
      <c r="AV7" s="3553"/>
      <c r="AW7" s="3553"/>
      <c r="AX7" s="3553"/>
    </row>
    <row r="8" spans="4:50" customFormat="1" ht="21.95" customHeight="1">
      <c r="D8" s="3645"/>
      <c r="E8" s="3645"/>
      <c r="F8" s="3642"/>
      <c r="G8" s="3642"/>
      <c r="H8" s="3642"/>
      <c r="I8" s="3642"/>
      <c r="J8" s="3642"/>
      <c r="K8" s="3642"/>
      <c r="L8" s="3642"/>
      <c r="M8" s="3642"/>
      <c r="N8" s="3642"/>
      <c r="O8" s="3"/>
      <c r="P8" s="3562" t="s">
        <v>108</v>
      </c>
      <c r="Q8" s="3568" t="s">
        <v>5584</v>
      </c>
      <c r="R8" s="3568"/>
      <c r="S8" s="3568"/>
      <c r="T8" s="3568"/>
      <c r="U8" s="3568"/>
      <c r="V8" s="3568"/>
      <c r="W8" s="3568"/>
      <c r="X8" s="3568"/>
      <c r="Y8" s="3568"/>
      <c r="Z8" s="3568"/>
      <c r="AA8" s="3"/>
      <c r="AB8" s="3563"/>
      <c r="AC8" s="3585"/>
      <c r="AD8" s="3552"/>
      <c r="AE8" s="3552"/>
      <c r="AF8" s="3552"/>
      <c r="AG8" s="3552"/>
      <c r="AH8" s="3552"/>
      <c r="AI8" s="3552"/>
      <c r="AJ8" s="3552"/>
      <c r="AK8" s="3552"/>
      <c r="AL8" s="3552"/>
      <c r="AM8" s="3"/>
      <c r="AN8" s="3573"/>
      <c r="AO8" s="3553"/>
      <c r="AP8" s="3553"/>
      <c r="AQ8" s="3553"/>
      <c r="AR8" s="3553"/>
      <c r="AS8" s="3553"/>
      <c r="AT8" s="3553"/>
      <c r="AU8" s="3553"/>
      <c r="AV8" s="3553"/>
      <c r="AW8" s="3553"/>
      <c r="AX8" s="3553"/>
    </row>
    <row r="9" spans="4:50" ht="21.95" customHeight="1">
      <c r="D9" s="3645" t="s">
        <v>5585</v>
      </c>
      <c r="E9" s="3645"/>
      <c r="F9" s="3578" t="s">
        <v>5586</v>
      </c>
      <c r="G9" s="3640"/>
      <c r="H9" s="3640"/>
      <c r="I9" s="3640"/>
      <c r="J9" s="3640"/>
      <c r="K9" s="3640"/>
      <c r="L9" s="3640"/>
      <c r="M9" s="3640"/>
      <c r="N9" s="3640"/>
      <c r="O9" s="3"/>
      <c r="P9" s="3563"/>
      <c r="Q9" s="3568"/>
      <c r="R9" s="3568"/>
      <c r="S9" s="3568"/>
      <c r="T9" s="3568"/>
      <c r="U9" s="3568"/>
      <c r="V9" s="3568"/>
      <c r="W9" s="3568"/>
      <c r="X9" s="3568"/>
      <c r="Y9" s="3568"/>
      <c r="Z9" s="3568"/>
      <c r="AA9" s="3"/>
      <c r="AB9" s="3563"/>
      <c r="AC9" s="3585"/>
      <c r="AD9" s="3552"/>
      <c r="AE9" s="3552"/>
      <c r="AF9" s="3552"/>
      <c r="AG9" s="3552"/>
      <c r="AH9" s="3552"/>
      <c r="AI9" s="3552"/>
      <c r="AJ9" s="3552"/>
      <c r="AK9" s="3552"/>
      <c r="AL9" s="3552"/>
      <c r="AM9" s="3"/>
      <c r="AN9" s="3573"/>
      <c r="AO9" s="3553"/>
      <c r="AP9" s="3553"/>
      <c r="AQ9" s="3553"/>
      <c r="AR9" s="3553"/>
      <c r="AS9" s="3553"/>
      <c r="AT9" s="3553"/>
      <c r="AU9" s="3553"/>
      <c r="AV9" s="3553"/>
      <c r="AW9" s="3553"/>
      <c r="AX9" s="3553"/>
    </row>
    <row r="10" spans="4:50" customFormat="1" ht="21.95" customHeight="1">
      <c r="D10" s="3645"/>
      <c r="E10" s="3645"/>
      <c r="F10" s="3640"/>
      <c r="G10" s="3640"/>
      <c r="H10" s="3640"/>
      <c r="I10" s="3640"/>
      <c r="J10" s="3640"/>
      <c r="K10" s="3640"/>
      <c r="L10" s="3640"/>
      <c r="M10" s="3640"/>
      <c r="N10" s="3640"/>
      <c r="O10" s="3"/>
      <c r="P10" s="3563"/>
      <c r="Q10" s="3568"/>
      <c r="R10" s="3568"/>
      <c r="S10" s="3568"/>
      <c r="T10" s="3568"/>
      <c r="U10" s="3568"/>
      <c r="V10" s="3568"/>
      <c r="W10" s="3568"/>
      <c r="X10" s="3568"/>
      <c r="Y10" s="3568"/>
      <c r="Z10" s="3568"/>
      <c r="AA10" s="3"/>
      <c r="AB10" s="3563"/>
      <c r="AC10" s="3585"/>
      <c r="AD10" s="3552"/>
      <c r="AE10" s="3552"/>
      <c r="AF10" s="3552"/>
      <c r="AG10" s="3552"/>
      <c r="AH10" s="3552"/>
      <c r="AI10" s="3552"/>
      <c r="AJ10" s="3552"/>
      <c r="AK10" s="3552"/>
      <c r="AL10" s="3552"/>
      <c r="AM10" s="3"/>
      <c r="AN10" s="3573"/>
      <c r="AO10" s="3553"/>
      <c r="AP10" s="3553"/>
      <c r="AQ10" s="3553"/>
      <c r="AR10" s="3553"/>
      <c r="AS10" s="3553"/>
      <c r="AT10" s="3553"/>
      <c r="AU10" s="3553"/>
      <c r="AV10" s="3553"/>
      <c r="AW10" s="3553"/>
      <c r="AX10" s="3553"/>
    </row>
    <row r="11" spans="4:50" ht="21.95" customHeight="1">
      <c r="D11" s="3645" t="s">
        <v>5587</v>
      </c>
      <c r="E11" s="3645"/>
      <c r="F11" s="3578" t="s">
        <v>5588</v>
      </c>
      <c r="G11" s="3578"/>
      <c r="H11" s="3578"/>
      <c r="I11" s="3578"/>
      <c r="J11" s="3578"/>
      <c r="K11" s="3578"/>
      <c r="L11" s="3578"/>
      <c r="M11" s="3578"/>
      <c r="N11" s="3578"/>
      <c r="O11" s="3"/>
      <c r="P11" s="3563"/>
      <c r="Q11" s="3568"/>
      <c r="R11" s="3568"/>
      <c r="S11" s="3568"/>
      <c r="T11" s="3568"/>
      <c r="U11" s="3568"/>
      <c r="V11" s="3568"/>
      <c r="W11" s="3568"/>
      <c r="X11" s="3568"/>
      <c r="Y11" s="3568"/>
      <c r="Z11" s="3568"/>
      <c r="AA11" s="3"/>
      <c r="AB11" s="3590" t="s">
        <v>5589</v>
      </c>
      <c r="AC11" s="3552" t="s">
        <v>5590</v>
      </c>
      <c r="AD11" s="3552"/>
      <c r="AE11" s="3552"/>
      <c r="AF11" s="3552"/>
      <c r="AG11" s="3552"/>
      <c r="AH11" s="3552"/>
      <c r="AI11" s="3552"/>
      <c r="AJ11" s="3552"/>
      <c r="AK11" s="3552"/>
      <c r="AL11" s="3552"/>
      <c r="AM11" s="3"/>
      <c r="AN11" s="3573"/>
      <c r="AO11" s="3553"/>
      <c r="AP11" s="3553"/>
      <c r="AQ11" s="3553"/>
      <c r="AR11" s="3553"/>
      <c r="AS11" s="3553"/>
      <c r="AT11" s="3553"/>
      <c r="AU11" s="3553"/>
      <c r="AV11" s="3553"/>
      <c r="AW11" s="3553"/>
      <c r="AX11" s="3553"/>
    </row>
    <row r="12" spans="4:50" ht="21.95" customHeight="1">
      <c r="D12" s="3645"/>
      <c r="E12" s="3645"/>
      <c r="F12" s="3578"/>
      <c r="G12" s="3578"/>
      <c r="H12" s="3578"/>
      <c r="I12" s="3578"/>
      <c r="J12" s="3578"/>
      <c r="K12" s="3578"/>
      <c r="L12" s="3578"/>
      <c r="M12" s="3578"/>
      <c r="N12" s="3578"/>
      <c r="O12" s="3"/>
      <c r="P12" s="3557" t="s">
        <v>5591</v>
      </c>
      <c r="Q12" s="3558"/>
      <c r="R12" s="3558"/>
      <c r="S12" s="3558"/>
      <c r="T12" s="3558"/>
      <c r="U12" s="3558"/>
      <c r="V12" s="3558"/>
      <c r="W12" s="3558"/>
      <c r="X12" s="3558"/>
      <c r="Y12" s="3558"/>
      <c r="Z12" s="3558"/>
      <c r="AA12" s="3"/>
      <c r="AB12" s="3573"/>
      <c r="AC12" s="3552"/>
      <c r="AD12" s="3552"/>
      <c r="AE12" s="3552"/>
      <c r="AF12" s="3552"/>
      <c r="AG12" s="3552"/>
      <c r="AH12" s="3552"/>
      <c r="AI12" s="3552"/>
      <c r="AJ12" s="3552"/>
      <c r="AK12" s="3552"/>
      <c r="AL12" s="3552"/>
      <c r="AM12" s="3"/>
      <c r="AN12" s="3573"/>
      <c r="AO12" s="3553"/>
      <c r="AP12" s="3553"/>
      <c r="AQ12" s="3553"/>
      <c r="AR12" s="3553"/>
      <c r="AS12" s="3553"/>
      <c r="AT12" s="3553"/>
      <c r="AU12" s="3553"/>
      <c r="AV12" s="3553"/>
      <c r="AW12" s="3553"/>
      <c r="AX12" s="3553"/>
    </row>
    <row r="13" spans="4:50" customFormat="1" ht="21.95" customHeight="1">
      <c r="D13" s="3644" t="s">
        <v>5592</v>
      </c>
      <c r="E13" s="3644"/>
      <c r="F13" s="3578" t="s">
        <v>5593</v>
      </c>
      <c r="G13" s="3578"/>
      <c r="H13" s="3578"/>
      <c r="I13" s="3578"/>
      <c r="J13" s="3578"/>
      <c r="K13" s="3578"/>
      <c r="L13" s="3578"/>
      <c r="M13" s="3578"/>
      <c r="N13" s="3578"/>
      <c r="O13" s="3"/>
      <c r="P13" s="3562" t="s">
        <v>5572</v>
      </c>
      <c r="Q13" s="3568" t="s">
        <v>5594</v>
      </c>
      <c r="R13" s="3568"/>
      <c r="S13" s="3568"/>
      <c r="T13" s="3568"/>
      <c r="U13" s="3568"/>
      <c r="V13" s="3568"/>
      <c r="W13" s="3568"/>
      <c r="X13" s="3568"/>
      <c r="Y13" s="3568"/>
      <c r="Z13" s="3568"/>
      <c r="AA13" s="3"/>
      <c r="AB13" s="3573"/>
      <c r="AC13" s="3552"/>
      <c r="AD13" s="3552"/>
      <c r="AE13" s="3552"/>
      <c r="AF13" s="3552"/>
      <c r="AG13" s="3552"/>
      <c r="AH13" s="3552"/>
      <c r="AI13" s="3552"/>
      <c r="AJ13" s="3552"/>
      <c r="AK13" s="3552"/>
      <c r="AL13" s="3552"/>
      <c r="AM13" s="3"/>
      <c r="AN13" s="3573"/>
      <c r="AO13" s="3553"/>
      <c r="AP13" s="3553"/>
      <c r="AQ13" s="3553"/>
      <c r="AR13" s="3553"/>
      <c r="AS13" s="3553"/>
      <c r="AT13" s="3553"/>
      <c r="AU13" s="3553"/>
      <c r="AV13" s="3553"/>
      <c r="AW13" s="3553"/>
      <c r="AX13" s="3553"/>
    </row>
    <row r="14" spans="4:50" ht="21.95" customHeight="1">
      <c r="D14" s="3644"/>
      <c r="E14" s="3644"/>
      <c r="F14" s="3578"/>
      <c r="G14" s="3578"/>
      <c r="H14" s="3578"/>
      <c r="I14" s="3578"/>
      <c r="J14" s="3578"/>
      <c r="K14" s="3578"/>
      <c r="L14" s="3578"/>
      <c r="M14" s="3578"/>
      <c r="N14" s="3578"/>
      <c r="O14" s="3"/>
      <c r="P14" s="3563"/>
      <c r="Q14" s="3568"/>
      <c r="R14" s="3568"/>
      <c r="S14" s="3568"/>
      <c r="T14" s="3568"/>
      <c r="U14" s="3568"/>
      <c r="V14" s="3568"/>
      <c r="W14" s="3568"/>
      <c r="X14" s="3568"/>
      <c r="Y14" s="3568"/>
      <c r="Z14" s="3568"/>
      <c r="AA14" s="3"/>
      <c r="AB14" s="4" t="s">
        <v>5595</v>
      </c>
      <c r="AC14" s="3553" t="s">
        <v>5596</v>
      </c>
      <c r="AD14" s="3553"/>
      <c r="AE14" s="3553"/>
      <c r="AF14" s="3553"/>
      <c r="AG14" s="3553"/>
      <c r="AH14" s="3553"/>
      <c r="AI14" s="3553"/>
      <c r="AJ14" s="3553"/>
      <c r="AK14" s="3553"/>
      <c r="AL14" s="3553"/>
      <c r="AM14" s="3"/>
      <c r="AN14" s="3573"/>
      <c r="AO14" s="3553"/>
      <c r="AP14" s="3553"/>
      <c r="AQ14" s="3553"/>
      <c r="AR14" s="3553"/>
      <c r="AS14" s="3553"/>
      <c r="AT14" s="3553"/>
      <c r="AU14" s="3553"/>
      <c r="AV14" s="3553"/>
      <c r="AW14" s="3553"/>
      <c r="AX14" s="3553"/>
    </row>
    <row r="15" spans="4:50" ht="21.95" customHeight="1">
      <c r="O15" s="3"/>
      <c r="P15" s="3563"/>
      <c r="Q15" s="3568"/>
      <c r="R15" s="3568"/>
      <c r="S15" s="3568"/>
      <c r="T15" s="3568"/>
      <c r="U15" s="3568"/>
      <c r="V15" s="3568"/>
      <c r="W15" s="3568"/>
      <c r="X15" s="3568"/>
      <c r="Y15" s="3568"/>
      <c r="Z15" s="3568"/>
      <c r="AA15" s="3"/>
      <c r="AB15" s="4" t="s">
        <v>5597</v>
      </c>
      <c r="AC15" s="3553" t="s">
        <v>5598</v>
      </c>
      <c r="AD15" s="3553"/>
      <c r="AE15" s="3553"/>
      <c r="AF15" s="3553"/>
      <c r="AG15" s="3553"/>
      <c r="AH15" s="3553"/>
      <c r="AI15" s="3553"/>
      <c r="AJ15" s="3553"/>
      <c r="AK15" s="3553"/>
      <c r="AL15" s="3553"/>
      <c r="AM15" s="3"/>
      <c r="AN15" s="3573"/>
      <c r="AO15" s="3553"/>
      <c r="AP15" s="3553"/>
      <c r="AQ15" s="3553"/>
      <c r="AR15" s="3553"/>
      <c r="AS15" s="3553"/>
      <c r="AT15" s="3553"/>
      <c r="AU15" s="3553"/>
      <c r="AV15" s="3553"/>
      <c r="AW15" s="3553"/>
      <c r="AX15" s="3553"/>
    </row>
    <row r="16" spans="4:50" ht="21.95" customHeight="1">
      <c r="D16" s="3554" t="s">
        <v>5599</v>
      </c>
      <c r="E16" s="3555"/>
      <c r="F16" s="3555"/>
      <c r="G16" s="3555"/>
      <c r="H16" s="3555"/>
      <c r="I16" s="3555"/>
      <c r="J16" s="3555"/>
      <c r="K16" s="3555"/>
      <c r="L16" s="3555"/>
      <c r="M16" s="3555"/>
      <c r="N16" s="3555"/>
      <c r="O16" s="3"/>
      <c r="P16" s="3563"/>
      <c r="Q16" s="3568"/>
      <c r="R16" s="3568"/>
      <c r="S16" s="3568"/>
      <c r="T16" s="3568"/>
      <c r="U16" s="3568"/>
      <c r="V16" s="3568"/>
      <c r="W16" s="3568"/>
      <c r="X16" s="3568"/>
      <c r="Y16" s="3568"/>
      <c r="Z16" s="3568"/>
      <c r="AA16" s="3"/>
      <c r="AB16" s="4" t="s">
        <v>5600</v>
      </c>
      <c r="AC16" s="3552" t="s">
        <v>5601</v>
      </c>
      <c r="AD16" s="3552"/>
      <c r="AE16" s="3552"/>
      <c r="AF16" s="3552"/>
      <c r="AG16" s="3552"/>
      <c r="AH16" s="3552"/>
      <c r="AI16" s="3552"/>
      <c r="AJ16" s="3552"/>
      <c r="AK16" s="3552"/>
      <c r="AL16" s="3552"/>
      <c r="AM16" s="3"/>
      <c r="AN16" s="3557" t="s">
        <v>5602</v>
      </c>
      <c r="AO16" s="3558"/>
      <c r="AP16" s="3558"/>
      <c r="AQ16" s="3558"/>
      <c r="AR16" s="3558"/>
      <c r="AS16" s="3558"/>
      <c r="AT16" s="3558"/>
      <c r="AU16" s="3558"/>
      <c r="AV16" s="3558"/>
      <c r="AW16" s="3558"/>
      <c r="AX16" s="3558"/>
    </row>
    <row r="17" spans="4:50" ht="21.95" customHeight="1">
      <c r="D17" s="3551" t="s">
        <v>5603</v>
      </c>
      <c r="E17" s="3550"/>
      <c r="F17" s="3550"/>
      <c r="G17" s="3550"/>
      <c r="H17" s="3550"/>
      <c r="I17" s="3550"/>
      <c r="J17" s="3550"/>
      <c r="K17" s="3550"/>
      <c r="L17" s="3550"/>
      <c r="M17" s="3550"/>
      <c r="N17" s="3550"/>
      <c r="O17" s="3"/>
      <c r="P17" s="3562" t="s">
        <v>108</v>
      </c>
      <c r="Q17" s="3568" t="s">
        <v>5604</v>
      </c>
      <c r="R17" s="3568"/>
      <c r="S17" s="3568"/>
      <c r="T17" s="3568"/>
      <c r="U17" s="3568"/>
      <c r="V17" s="3568"/>
      <c r="W17" s="3568"/>
      <c r="X17" s="3568"/>
      <c r="Y17" s="3568"/>
      <c r="Z17" s="3568"/>
      <c r="AA17" s="3"/>
      <c r="AB17" s="3557" t="s">
        <v>5605</v>
      </c>
      <c r="AC17" s="3558"/>
      <c r="AD17" s="3558"/>
      <c r="AE17" s="3558"/>
      <c r="AF17" s="3558"/>
      <c r="AG17" s="3558"/>
      <c r="AH17" s="3558"/>
      <c r="AI17" s="3558"/>
      <c r="AJ17" s="3558"/>
      <c r="AK17" s="3558"/>
      <c r="AL17" s="3558"/>
      <c r="AM17" s="3"/>
      <c r="AN17" s="3572"/>
      <c r="AO17" s="3552"/>
      <c r="AP17" s="3552"/>
      <c r="AQ17" s="3552"/>
      <c r="AR17" s="3552"/>
      <c r="AS17" s="3552"/>
      <c r="AT17" s="3552"/>
      <c r="AU17" s="3552"/>
      <c r="AV17" s="3552"/>
      <c r="AW17" s="3552"/>
      <c r="AX17" s="3552"/>
    </row>
    <row r="18" spans="4:50" ht="21.95" customHeight="1">
      <c r="D18" s="3550"/>
      <c r="E18" s="3550"/>
      <c r="F18" s="3550"/>
      <c r="G18" s="3550"/>
      <c r="H18" s="3550"/>
      <c r="I18" s="3550"/>
      <c r="J18" s="3550"/>
      <c r="K18" s="3550"/>
      <c r="L18" s="3550"/>
      <c r="M18" s="3550"/>
      <c r="N18" s="3550"/>
      <c r="O18" s="3"/>
      <c r="P18" s="3563"/>
      <c r="Q18" s="3568"/>
      <c r="R18" s="3568"/>
      <c r="S18" s="3568"/>
      <c r="T18" s="3568"/>
      <c r="U18" s="3568"/>
      <c r="V18" s="3568"/>
      <c r="W18" s="3568"/>
      <c r="X18" s="3568"/>
      <c r="Y18" s="3568"/>
      <c r="Z18" s="3568"/>
      <c r="AA18" s="3"/>
      <c r="AB18" s="3562" t="s">
        <v>5574</v>
      </c>
      <c r="AC18" s="3552" t="s">
        <v>5606</v>
      </c>
      <c r="AD18" s="3552"/>
      <c r="AE18" s="3552"/>
      <c r="AF18" s="3552"/>
      <c r="AG18" s="3552"/>
      <c r="AH18" s="3552"/>
      <c r="AI18" s="3552"/>
      <c r="AJ18" s="3552"/>
      <c r="AK18" s="3552"/>
      <c r="AL18" s="3552"/>
      <c r="AM18" s="3"/>
      <c r="AN18" s="3573"/>
      <c r="AO18" s="3552"/>
      <c r="AP18" s="3552"/>
      <c r="AQ18" s="3552"/>
      <c r="AR18" s="3552"/>
      <c r="AS18" s="3552"/>
      <c r="AT18" s="3552"/>
      <c r="AU18" s="3552"/>
      <c r="AV18" s="3552"/>
      <c r="AW18" s="3552"/>
      <c r="AX18" s="3552"/>
    </row>
    <row r="19" spans="4:50" ht="21.95" customHeight="1">
      <c r="D19" s="3551" t="s">
        <v>5607</v>
      </c>
      <c r="E19" s="3550"/>
      <c r="F19" s="3550"/>
      <c r="G19" s="3550"/>
      <c r="H19" s="3550"/>
      <c r="I19" s="3550"/>
      <c r="J19" s="3550"/>
      <c r="K19" s="3550"/>
      <c r="L19" s="3550"/>
      <c r="M19" s="3550"/>
      <c r="N19" s="3550"/>
      <c r="O19" s="3"/>
      <c r="P19" s="3563"/>
      <c r="Q19" s="3568"/>
      <c r="R19" s="3568"/>
      <c r="S19" s="3568"/>
      <c r="T19" s="3568"/>
      <c r="U19" s="3568"/>
      <c r="V19" s="3568"/>
      <c r="W19" s="3568"/>
      <c r="X19" s="3568"/>
      <c r="Y19" s="3568"/>
      <c r="Z19" s="3568"/>
      <c r="AA19" s="3"/>
      <c r="AB19" s="3563"/>
      <c r="AC19" s="3552" t="s">
        <v>5608</v>
      </c>
      <c r="AD19" s="3552"/>
      <c r="AE19" s="3552"/>
      <c r="AF19" s="3552"/>
      <c r="AG19" s="3552"/>
      <c r="AH19" s="3552"/>
      <c r="AI19" s="3552"/>
      <c r="AJ19" s="3552"/>
      <c r="AK19" s="3552"/>
      <c r="AL19" s="3552"/>
      <c r="AM19" s="3"/>
      <c r="AN19" s="3573"/>
      <c r="AO19" s="3552"/>
      <c r="AP19" s="3552"/>
      <c r="AQ19" s="3552"/>
      <c r="AR19" s="3552"/>
      <c r="AS19" s="3552"/>
      <c r="AT19" s="3552"/>
      <c r="AU19" s="3552"/>
      <c r="AV19" s="3552"/>
      <c r="AW19" s="3552"/>
      <c r="AX19" s="3552"/>
    </row>
    <row r="20" spans="4:50" ht="21.95" customHeight="1">
      <c r="D20" s="3550"/>
      <c r="E20" s="3550"/>
      <c r="F20" s="3550"/>
      <c r="G20" s="3550"/>
      <c r="H20" s="3550"/>
      <c r="I20" s="3550"/>
      <c r="J20" s="3550"/>
      <c r="K20" s="3550"/>
      <c r="L20" s="3550"/>
      <c r="M20" s="3550"/>
      <c r="N20" s="3550"/>
      <c r="O20" s="3"/>
      <c r="P20" s="3563"/>
      <c r="Q20" s="3568"/>
      <c r="R20" s="3568"/>
      <c r="S20" s="3568"/>
      <c r="T20" s="3568"/>
      <c r="U20" s="3568"/>
      <c r="V20" s="3568"/>
      <c r="W20" s="3568"/>
      <c r="X20" s="3568"/>
      <c r="Y20" s="3568"/>
      <c r="Z20" s="3568"/>
      <c r="AA20" s="3"/>
      <c r="AB20" s="3563"/>
      <c r="AC20" s="3552" t="s">
        <v>5609</v>
      </c>
      <c r="AD20" s="3552"/>
      <c r="AE20" s="3552"/>
      <c r="AF20" s="3552"/>
      <c r="AG20" s="3552"/>
      <c r="AH20" s="3552"/>
      <c r="AI20" s="3552"/>
      <c r="AJ20" s="3552"/>
      <c r="AK20" s="3552"/>
      <c r="AL20" s="3552"/>
      <c r="AM20" s="3"/>
      <c r="AN20" s="3573"/>
      <c r="AO20" s="3552"/>
      <c r="AP20" s="3552"/>
      <c r="AQ20" s="3552"/>
      <c r="AR20" s="3552"/>
      <c r="AS20" s="3552"/>
      <c r="AT20" s="3552"/>
      <c r="AU20" s="3552"/>
      <c r="AV20" s="3552"/>
      <c r="AW20" s="3552"/>
      <c r="AX20" s="3552"/>
    </row>
    <row r="21" spans="4:50" ht="21.95" customHeight="1">
      <c r="D21" s="3551" t="s">
        <v>5610</v>
      </c>
      <c r="E21" s="3550"/>
      <c r="F21" s="3550"/>
      <c r="G21" s="3550"/>
      <c r="H21" s="3550"/>
      <c r="I21" s="3550"/>
      <c r="J21" s="3550"/>
      <c r="K21" s="3550"/>
      <c r="L21" s="3550"/>
      <c r="M21" s="3550"/>
      <c r="N21" s="3550"/>
      <c r="O21" s="3"/>
      <c r="P21" s="3557" t="s">
        <v>5611</v>
      </c>
      <c r="Q21" s="3558"/>
      <c r="R21" s="3558"/>
      <c r="S21" s="3558"/>
      <c r="T21" s="3558"/>
      <c r="U21" s="3558"/>
      <c r="V21" s="3558"/>
      <c r="W21" s="3558"/>
      <c r="X21" s="3558"/>
      <c r="Y21" s="3558"/>
      <c r="Z21" s="3558"/>
      <c r="AA21" s="3"/>
      <c r="AB21" s="3563"/>
      <c r="AC21" s="3552" t="s">
        <v>5612</v>
      </c>
      <c r="AD21" s="3552"/>
      <c r="AE21" s="3552"/>
      <c r="AF21" s="3552"/>
      <c r="AG21" s="3552"/>
      <c r="AH21" s="3552"/>
      <c r="AI21" s="3552"/>
      <c r="AJ21" s="3552"/>
      <c r="AK21" s="3552"/>
      <c r="AL21" s="3552"/>
      <c r="AM21" s="3"/>
      <c r="AN21" s="3573"/>
      <c r="AO21" s="3552"/>
      <c r="AP21" s="3552"/>
      <c r="AQ21" s="3552"/>
      <c r="AR21" s="3552"/>
      <c r="AS21" s="3552"/>
      <c r="AT21" s="3552"/>
      <c r="AU21" s="3552"/>
      <c r="AV21" s="3552"/>
      <c r="AW21" s="3552"/>
      <c r="AX21" s="3552"/>
    </row>
    <row r="22" spans="4:50" ht="21.95" customHeight="1">
      <c r="D22" s="3550"/>
      <c r="E22" s="3550"/>
      <c r="F22" s="3550"/>
      <c r="G22" s="3550"/>
      <c r="H22" s="3550"/>
      <c r="I22" s="3550"/>
      <c r="J22" s="3550"/>
      <c r="K22" s="3550"/>
      <c r="L22" s="3550"/>
      <c r="M22" s="3550"/>
      <c r="N22" s="3550"/>
      <c r="O22" s="3"/>
      <c r="P22" s="3562" t="s">
        <v>5572</v>
      </c>
      <c r="Q22" s="3568" t="s">
        <v>5613</v>
      </c>
      <c r="R22" s="3568"/>
      <c r="S22" s="3568"/>
      <c r="T22" s="3568"/>
      <c r="U22" s="3568"/>
      <c r="V22" s="3568"/>
      <c r="W22" s="3568"/>
      <c r="X22" s="3568"/>
      <c r="Y22" s="3568"/>
      <c r="Z22" s="3568"/>
      <c r="AA22" s="3"/>
      <c r="AB22" s="3563"/>
      <c r="AC22" s="3552" t="s">
        <v>5614</v>
      </c>
      <c r="AD22" s="3552"/>
      <c r="AE22" s="3552"/>
      <c r="AF22" s="3552"/>
      <c r="AG22" s="3552"/>
      <c r="AH22" s="3552"/>
      <c r="AI22" s="3552"/>
      <c r="AJ22" s="3552"/>
      <c r="AK22" s="3552"/>
      <c r="AL22" s="3552"/>
      <c r="AM22" s="3"/>
      <c r="AN22" s="3573"/>
      <c r="AO22" s="3553" t="s">
        <v>5615</v>
      </c>
      <c r="AP22" s="3553"/>
      <c r="AQ22" s="3553"/>
      <c r="AR22" s="3553"/>
      <c r="AS22" s="3553"/>
      <c r="AT22" s="3553"/>
      <c r="AU22" s="3553"/>
      <c r="AV22" s="3553"/>
      <c r="AW22" s="3553"/>
      <c r="AX22" s="3553"/>
    </row>
    <row r="23" spans="4:50" ht="21.95" customHeight="1">
      <c r="O23" s="3"/>
      <c r="P23" s="3563"/>
      <c r="Q23" s="3568"/>
      <c r="R23" s="3568"/>
      <c r="S23" s="3568"/>
      <c r="T23" s="3568"/>
      <c r="U23" s="3568"/>
      <c r="V23" s="3568"/>
      <c r="W23" s="3568"/>
      <c r="X23" s="3568"/>
      <c r="Y23" s="3568"/>
      <c r="Z23" s="3568"/>
      <c r="AA23" s="3"/>
      <c r="AB23" s="5" t="s">
        <v>5616</v>
      </c>
      <c r="AC23" s="3552" t="s">
        <v>5617</v>
      </c>
      <c r="AD23" s="3552"/>
      <c r="AE23" s="3552"/>
      <c r="AF23" s="3552"/>
      <c r="AG23" s="3552"/>
      <c r="AH23" s="3552"/>
      <c r="AI23" s="3552"/>
      <c r="AJ23" s="3552"/>
      <c r="AK23" s="3552"/>
      <c r="AL23" s="3552"/>
      <c r="AM23" s="3"/>
      <c r="AN23" s="3573"/>
      <c r="AO23" s="3553" t="s">
        <v>5618</v>
      </c>
      <c r="AP23" s="3553"/>
      <c r="AQ23" s="3553"/>
      <c r="AR23" s="3553"/>
      <c r="AS23" s="3553"/>
      <c r="AT23" s="3553"/>
      <c r="AU23" s="3553"/>
      <c r="AV23" s="3553"/>
      <c r="AW23" s="3553"/>
      <c r="AX23" s="3553"/>
    </row>
    <row r="24" spans="4:50" ht="21.95" customHeight="1">
      <c r="D24" s="3554" t="s">
        <v>5619</v>
      </c>
      <c r="E24" s="3555"/>
      <c r="F24" s="3555"/>
      <c r="G24" s="3555"/>
      <c r="H24" s="3555"/>
      <c r="I24" s="3555"/>
      <c r="J24" s="3555"/>
      <c r="K24" s="3555"/>
      <c r="L24" s="3555"/>
      <c r="M24" s="3555"/>
      <c r="N24" s="3555"/>
      <c r="O24" s="3"/>
      <c r="P24" s="3563"/>
      <c r="Q24" s="3568"/>
      <c r="R24" s="3568"/>
      <c r="S24" s="3568"/>
      <c r="T24" s="3568"/>
      <c r="U24" s="3568"/>
      <c r="V24" s="3568"/>
      <c r="W24" s="3568"/>
      <c r="X24" s="3568"/>
      <c r="Y24" s="3568"/>
      <c r="Z24" s="3568"/>
      <c r="AA24" s="3"/>
      <c r="AB24" s="6" t="s">
        <v>108</v>
      </c>
      <c r="AC24" s="3556"/>
      <c r="AD24" s="3556"/>
      <c r="AE24" s="3556"/>
      <c r="AF24" s="3556"/>
      <c r="AG24" s="3556"/>
      <c r="AH24" s="3556"/>
      <c r="AI24" s="3556"/>
      <c r="AJ24" s="3556"/>
      <c r="AK24" s="3556"/>
      <c r="AL24" s="3556"/>
      <c r="AM24" s="3"/>
      <c r="AN24" s="3573"/>
      <c r="AO24" s="3552" t="s">
        <v>5620</v>
      </c>
      <c r="AP24" s="3552"/>
      <c r="AQ24" s="3552"/>
      <c r="AR24" s="3552"/>
      <c r="AS24" s="3552"/>
      <c r="AT24" s="3552"/>
      <c r="AU24" s="3552"/>
      <c r="AV24" s="3552"/>
      <c r="AW24" s="3552"/>
      <c r="AX24" s="3552"/>
    </row>
    <row r="25" spans="4:50" ht="21.95" customHeight="1">
      <c r="D25" s="3551" t="s">
        <v>5621</v>
      </c>
      <c r="E25" s="3550"/>
      <c r="F25" s="3550"/>
      <c r="G25" s="3550"/>
      <c r="H25" s="3550"/>
      <c r="I25" s="3550"/>
      <c r="J25" s="3550"/>
      <c r="K25" s="3550"/>
      <c r="L25" s="3550"/>
      <c r="M25" s="3550"/>
      <c r="N25" s="3550"/>
      <c r="O25" s="3"/>
      <c r="P25" s="3563"/>
      <c r="Q25" s="3568"/>
      <c r="R25" s="3568"/>
      <c r="S25" s="3568"/>
      <c r="T25" s="3568"/>
      <c r="U25" s="3568"/>
      <c r="V25" s="3568"/>
      <c r="W25" s="3568"/>
      <c r="X25" s="3568"/>
      <c r="Y25" s="3568"/>
      <c r="Z25" s="3568"/>
      <c r="AA25" s="3"/>
      <c r="AB25" s="3557" t="s">
        <v>5622</v>
      </c>
      <c r="AC25" s="3558"/>
      <c r="AD25" s="3558"/>
      <c r="AE25" s="3558"/>
      <c r="AF25" s="3558"/>
      <c r="AG25" s="3558"/>
      <c r="AH25" s="3558"/>
      <c r="AI25" s="3558"/>
      <c r="AJ25" s="3558"/>
      <c r="AK25" s="3558"/>
      <c r="AL25" s="3558"/>
      <c r="AM25" s="3"/>
      <c r="AN25" s="3573"/>
      <c r="AO25" s="3552"/>
      <c r="AP25" s="3552"/>
      <c r="AQ25" s="3552"/>
      <c r="AR25" s="3552"/>
      <c r="AS25" s="3552"/>
      <c r="AT25" s="3552"/>
      <c r="AU25" s="3552"/>
      <c r="AV25" s="3552"/>
      <c r="AW25" s="3552"/>
      <c r="AX25" s="3552"/>
    </row>
    <row r="26" spans="4:50" ht="21.95" customHeight="1">
      <c r="D26" s="3550"/>
      <c r="E26" s="3550"/>
      <c r="F26" s="3550"/>
      <c r="G26" s="3550"/>
      <c r="H26" s="3550"/>
      <c r="I26" s="3550"/>
      <c r="J26" s="3550"/>
      <c r="K26" s="3550"/>
      <c r="L26" s="3550"/>
      <c r="M26" s="3550"/>
      <c r="N26" s="3550"/>
      <c r="O26" s="3"/>
      <c r="P26" s="3562" t="s">
        <v>108</v>
      </c>
      <c r="Q26" s="3568" t="s">
        <v>5623</v>
      </c>
      <c r="R26" s="3568"/>
      <c r="S26" s="3568"/>
      <c r="T26" s="3568"/>
      <c r="U26" s="3568"/>
      <c r="V26" s="3568"/>
      <c r="W26" s="3568"/>
      <c r="X26" s="3568"/>
      <c r="Y26" s="3568"/>
      <c r="Z26" s="3568"/>
      <c r="AA26" s="3"/>
      <c r="AB26" s="3562" t="s">
        <v>5574</v>
      </c>
      <c r="AC26" s="3552" t="s">
        <v>5624</v>
      </c>
      <c r="AD26" s="3553"/>
      <c r="AE26" s="3553"/>
      <c r="AF26" s="3553"/>
      <c r="AG26" s="3553"/>
      <c r="AH26" s="3553"/>
      <c r="AI26" s="3553"/>
      <c r="AJ26" s="3553"/>
      <c r="AK26" s="3553"/>
      <c r="AL26" s="3553"/>
      <c r="AM26" s="3"/>
      <c r="AN26" s="3573"/>
      <c r="AO26" s="3552"/>
      <c r="AP26" s="3552"/>
      <c r="AQ26" s="3552"/>
      <c r="AR26" s="3552"/>
      <c r="AS26" s="3552"/>
      <c r="AT26" s="3552"/>
      <c r="AU26" s="3552"/>
      <c r="AV26" s="3552"/>
      <c r="AW26" s="3552"/>
      <c r="AX26" s="3552"/>
    </row>
    <row r="27" spans="4:50" ht="21.95" customHeight="1">
      <c r="O27" s="3"/>
      <c r="P27" s="3563"/>
      <c r="Q27" s="3568"/>
      <c r="R27" s="3568"/>
      <c r="S27" s="3568"/>
      <c r="T27" s="3568"/>
      <c r="U27" s="3568"/>
      <c r="V27" s="3568"/>
      <c r="W27" s="3568"/>
      <c r="X27" s="3568"/>
      <c r="Y27" s="3568"/>
      <c r="Z27" s="3568"/>
      <c r="AA27" s="3"/>
      <c r="AB27" s="3563"/>
      <c r="AC27" s="3553"/>
      <c r="AD27" s="3553"/>
      <c r="AE27" s="3553"/>
      <c r="AF27" s="3553"/>
      <c r="AG27" s="3553"/>
      <c r="AH27" s="3553"/>
      <c r="AI27" s="3553"/>
      <c r="AJ27" s="3553"/>
      <c r="AK27" s="3553"/>
      <c r="AL27" s="3553"/>
      <c r="AM27" s="3"/>
      <c r="AN27" s="3573"/>
      <c r="AO27" s="3552" t="s">
        <v>5625</v>
      </c>
      <c r="AP27" s="3552"/>
      <c r="AQ27" s="3552"/>
      <c r="AR27" s="3552"/>
      <c r="AS27" s="3552"/>
      <c r="AT27" s="3552"/>
      <c r="AU27" s="3552"/>
      <c r="AV27" s="3552"/>
      <c r="AW27" s="3552"/>
      <c r="AX27" s="3552"/>
    </row>
    <row r="28" spans="4:50" ht="21.95" customHeight="1">
      <c r="D28" s="3554" t="s">
        <v>5626</v>
      </c>
      <c r="E28" s="3555"/>
      <c r="F28" s="3555"/>
      <c r="G28" s="3555"/>
      <c r="H28" s="3555"/>
      <c r="I28" s="3555"/>
      <c r="J28" s="3555"/>
      <c r="K28" s="3555"/>
      <c r="L28" s="3555"/>
      <c r="M28" s="3555"/>
      <c r="N28" s="3555"/>
      <c r="O28" s="3"/>
      <c r="P28" s="3563"/>
      <c r="Q28" s="3568"/>
      <c r="R28" s="3568"/>
      <c r="S28" s="3568"/>
      <c r="T28" s="3568"/>
      <c r="U28" s="3568"/>
      <c r="V28" s="3568"/>
      <c r="W28" s="3568"/>
      <c r="X28" s="3568"/>
      <c r="Y28" s="3568"/>
      <c r="Z28" s="3568"/>
      <c r="AA28" s="3"/>
      <c r="AB28" s="3563"/>
      <c r="AC28" s="3553"/>
      <c r="AD28" s="3553"/>
      <c r="AE28" s="3553"/>
      <c r="AF28" s="3553"/>
      <c r="AG28" s="3553"/>
      <c r="AH28" s="3553"/>
      <c r="AI28" s="3553"/>
      <c r="AJ28" s="3553"/>
      <c r="AK28" s="3553"/>
      <c r="AL28" s="3553"/>
      <c r="AM28" s="3"/>
      <c r="AN28" s="3573"/>
      <c r="AO28" s="3552"/>
      <c r="AP28" s="3552"/>
      <c r="AQ28" s="3552"/>
      <c r="AR28" s="3552"/>
      <c r="AS28" s="3552"/>
      <c r="AT28" s="3552"/>
      <c r="AU28" s="3552"/>
      <c r="AV28" s="3552"/>
      <c r="AW28" s="3552"/>
      <c r="AX28" s="3552"/>
    </row>
    <row r="29" spans="4:50" ht="21.95" customHeight="1">
      <c r="D29" s="3549" t="s">
        <v>6002</v>
      </c>
      <c r="E29" s="3550"/>
      <c r="F29" s="3550"/>
      <c r="G29" s="3550"/>
      <c r="H29" s="3550"/>
      <c r="I29" s="3550"/>
      <c r="J29" s="3550"/>
      <c r="K29" s="3550"/>
      <c r="L29" s="3550"/>
      <c r="M29" s="3550"/>
      <c r="N29" s="3550"/>
      <c r="O29" s="3"/>
      <c r="P29" s="3563"/>
      <c r="Q29" s="3568"/>
      <c r="R29" s="3568"/>
      <c r="S29" s="3568"/>
      <c r="T29" s="3568"/>
      <c r="U29" s="3568"/>
      <c r="V29" s="3568"/>
      <c r="W29" s="3568"/>
      <c r="X29" s="3568"/>
      <c r="Y29" s="3568"/>
      <c r="Z29" s="3568"/>
      <c r="AA29" s="3"/>
      <c r="AB29" s="3563"/>
      <c r="AC29" s="3570" t="s">
        <v>5627</v>
      </c>
      <c r="AD29" s="3570"/>
      <c r="AE29" s="3570"/>
      <c r="AF29" s="3570"/>
      <c r="AG29" s="3570"/>
      <c r="AH29" s="3570"/>
      <c r="AI29" s="3570"/>
      <c r="AJ29" s="3570"/>
      <c r="AK29" s="3570"/>
      <c r="AL29" s="3570"/>
      <c r="AM29" s="3"/>
      <c r="AN29" s="3573"/>
      <c r="AO29" s="3552"/>
      <c r="AP29" s="3552"/>
      <c r="AQ29" s="3552"/>
      <c r="AR29" s="3552"/>
      <c r="AS29" s="3552"/>
      <c r="AT29" s="3552"/>
      <c r="AU29" s="3552"/>
      <c r="AV29" s="3552"/>
      <c r="AW29" s="3552"/>
      <c r="AX29" s="3552"/>
    </row>
    <row r="30" spans="4:50" ht="21.95" customHeight="1">
      <c r="D30" s="3550"/>
      <c r="E30" s="3550"/>
      <c r="F30" s="3550"/>
      <c r="G30" s="3550"/>
      <c r="H30" s="3550"/>
      <c r="I30" s="3550"/>
      <c r="J30" s="3550"/>
      <c r="K30" s="3550"/>
      <c r="L30" s="3550"/>
      <c r="M30" s="3550"/>
      <c r="N30" s="3550"/>
      <c r="O30" s="3"/>
      <c r="P30" s="3559" t="s">
        <v>5628</v>
      </c>
      <c r="Q30" s="3560"/>
      <c r="R30" s="3560"/>
      <c r="S30" s="3560"/>
      <c r="T30" s="3560"/>
      <c r="U30" s="3560"/>
      <c r="V30" s="3560"/>
      <c r="W30" s="3560"/>
      <c r="X30" s="3560"/>
      <c r="Y30" s="3560"/>
      <c r="Z30" s="3561"/>
      <c r="AA30" s="3"/>
      <c r="AB30" s="3563"/>
      <c r="AC30" s="3570"/>
      <c r="AD30" s="3570"/>
      <c r="AE30" s="3570"/>
      <c r="AF30" s="3570"/>
      <c r="AG30" s="3570"/>
      <c r="AH30" s="3570"/>
      <c r="AI30" s="3570"/>
      <c r="AJ30" s="3570"/>
      <c r="AK30" s="3570"/>
      <c r="AL30" s="3570"/>
      <c r="AM30" s="3"/>
      <c r="AN30" s="3573"/>
      <c r="AO30" s="3552"/>
      <c r="AP30" s="3552"/>
      <c r="AQ30" s="3552"/>
      <c r="AR30" s="3552"/>
      <c r="AS30" s="3552"/>
      <c r="AT30" s="3552"/>
      <c r="AU30" s="3552"/>
      <c r="AV30" s="3552"/>
      <c r="AW30" s="3552"/>
      <c r="AX30" s="3552"/>
    </row>
    <row r="31" spans="4:50" ht="21.95" customHeight="1">
      <c r="D31" s="3549" t="s">
        <v>5999</v>
      </c>
      <c r="E31" s="3550"/>
      <c r="F31" s="3550"/>
      <c r="G31" s="3550"/>
      <c r="H31" s="3550"/>
      <c r="I31" s="3550"/>
      <c r="J31" s="3550"/>
      <c r="K31" s="3550"/>
      <c r="L31" s="3550"/>
      <c r="M31" s="3550"/>
      <c r="N31" s="3550"/>
      <c r="O31" s="3"/>
      <c r="P31" s="3622" t="s">
        <v>5572</v>
      </c>
      <c r="Q31" s="3625" t="s">
        <v>5629</v>
      </c>
      <c r="R31" s="3626"/>
      <c r="S31" s="3626"/>
      <c r="T31" s="3626"/>
      <c r="U31" s="3626"/>
      <c r="V31" s="3626"/>
      <c r="W31" s="3626"/>
      <c r="X31" s="3626"/>
      <c r="Y31" s="3626"/>
      <c r="Z31" s="3627"/>
      <c r="AA31" s="3"/>
      <c r="AB31" s="3563"/>
      <c r="AC31" s="3552" t="s">
        <v>5630</v>
      </c>
      <c r="AD31" s="3552"/>
      <c r="AE31" s="3552"/>
      <c r="AF31" s="3552"/>
      <c r="AG31" s="3552"/>
      <c r="AH31" s="3552"/>
      <c r="AI31" s="3552"/>
      <c r="AJ31" s="3552"/>
      <c r="AK31" s="3552"/>
      <c r="AL31" s="3552"/>
      <c r="AM31" s="3"/>
      <c r="AN31" s="3573"/>
      <c r="AO31" s="3552"/>
      <c r="AP31" s="3552"/>
      <c r="AQ31" s="3552"/>
      <c r="AR31" s="3552"/>
      <c r="AS31" s="3552"/>
      <c r="AT31" s="3552"/>
      <c r="AU31" s="3552"/>
      <c r="AV31" s="3552"/>
      <c r="AW31" s="3552"/>
      <c r="AX31" s="3552"/>
    </row>
    <row r="32" spans="4:50" ht="21.95" customHeight="1">
      <c r="D32" s="3550"/>
      <c r="E32" s="3550"/>
      <c r="F32" s="3550"/>
      <c r="G32" s="3550"/>
      <c r="H32" s="3550"/>
      <c r="I32" s="3550"/>
      <c r="J32" s="3550"/>
      <c r="K32" s="3550"/>
      <c r="L32" s="3550"/>
      <c r="M32" s="3550"/>
      <c r="N32" s="3550"/>
      <c r="O32" s="3"/>
      <c r="P32" s="3623"/>
      <c r="Q32" s="3628"/>
      <c r="R32" s="3629"/>
      <c r="S32" s="3629"/>
      <c r="T32" s="3629"/>
      <c r="U32" s="3629"/>
      <c r="V32" s="3629"/>
      <c r="W32" s="3629"/>
      <c r="X32" s="3629"/>
      <c r="Y32" s="3629"/>
      <c r="Z32" s="3630"/>
      <c r="AA32" s="3"/>
      <c r="AB32" s="3563"/>
      <c r="AC32" s="3552"/>
      <c r="AD32" s="3552"/>
      <c r="AE32" s="3552"/>
      <c r="AF32" s="3552"/>
      <c r="AG32" s="3552"/>
      <c r="AH32" s="3552"/>
      <c r="AI32" s="3552"/>
      <c r="AJ32" s="3552"/>
      <c r="AK32" s="3552"/>
      <c r="AL32" s="3552"/>
      <c r="AM32" s="3"/>
      <c r="AN32" s="3573"/>
      <c r="AO32" s="3552"/>
      <c r="AP32" s="3552"/>
      <c r="AQ32" s="3552"/>
      <c r="AR32" s="3552"/>
      <c r="AS32" s="3552"/>
      <c r="AT32" s="3552"/>
      <c r="AU32" s="3552"/>
      <c r="AV32" s="3552"/>
      <c r="AW32" s="3552"/>
      <c r="AX32" s="3552"/>
    </row>
    <row r="33" spans="4:50" ht="21.95" customHeight="1">
      <c r="D33" s="3551" t="s">
        <v>5631</v>
      </c>
      <c r="E33" s="3550"/>
      <c r="F33" s="3550"/>
      <c r="G33" s="3550"/>
      <c r="H33" s="3550"/>
      <c r="I33" s="3550"/>
      <c r="J33" s="3550"/>
      <c r="K33" s="3550"/>
      <c r="L33" s="3550"/>
      <c r="M33" s="3550"/>
      <c r="N33" s="3550"/>
      <c r="O33" s="3"/>
      <c r="P33" s="3624"/>
      <c r="Q33" s="3631"/>
      <c r="R33" s="3632"/>
      <c r="S33" s="3632"/>
      <c r="T33" s="3632"/>
      <c r="U33" s="3632"/>
      <c r="V33" s="3632"/>
      <c r="W33" s="3632"/>
      <c r="X33" s="3632"/>
      <c r="Y33" s="3632"/>
      <c r="Z33" s="3633"/>
      <c r="AA33" s="3"/>
      <c r="AB33" s="3563"/>
      <c r="AC33" s="3552"/>
      <c r="AD33" s="3552"/>
      <c r="AE33" s="3552"/>
      <c r="AF33" s="3552"/>
      <c r="AG33" s="3552"/>
      <c r="AH33" s="3552"/>
      <c r="AI33" s="3552"/>
      <c r="AJ33" s="3552"/>
      <c r="AK33" s="3552"/>
      <c r="AL33" s="3552"/>
      <c r="AM33" s="3"/>
      <c r="AN33" s="3573"/>
      <c r="AO33" s="3552"/>
      <c r="AP33" s="3552"/>
      <c r="AQ33" s="3552"/>
      <c r="AR33" s="3552"/>
      <c r="AS33" s="3552"/>
      <c r="AT33" s="3552"/>
      <c r="AU33" s="3552"/>
      <c r="AV33" s="3552"/>
      <c r="AW33" s="3552"/>
      <c r="AX33" s="3552"/>
    </row>
    <row r="34" spans="4:50" ht="21.95" customHeight="1">
      <c r="D34" s="3550"/>
      <c r="E34" s="3550"/>
      <c r="F34" s="3550"/>
      <c r="G34" s="3550"/>
      <c r="H34" s="3550"/>
      <c r="I34" s="3550"/>
      <c r="J34" s="3550"/>
      <c r="K34" s="3550"/>
      <c r="L34" s="3550"/>
      <c r="M34" s="3550"/>
      <c r="N34" s="3550"/>
      <c r="O34" s="3"/>
      <c r="P34" s="3622" t="s">
        <v>108</v>
      </c>
      <c r="Q34" s="3625" t="s">
        <v>5632</v>
      </c>
      <c r="R34" s="3626"/>
      <c r="S34" s="3626"/>
      <c r="T34" s="3626"/>
      <c r="U34" s="3626"/>
      <c r="V34" s="3626"/>
      <c r="W34" s="3626"/>
      <c r="X34" s="3626"/>
      <c r="Y34" s="3626"/>
      <c r="Z34" s="3627"/>
      <c r="AA34" s="3"/>
      <c r="AB34" s="3563"/>
      <c r="AC34" s="3552"/>
      <c r="AD34" s="3552"/>
      <c r="AE34" s="3552"/>
      <c r="AF34" s="3552"/>
      <c r="AG34" s="3552"/>
      <c r="AH34" s="3552"/>
      <c r="AI34" s="3552"/>
      <c r="AJ34" s="3552"/>
      <c r="AK34" s="3552"/>
      <c r="AL34" s="3552"/>
      <c r="AM34" s="3"/>
      <c r="AN34" s="3573"/>
      <c r="AO34" s="3552"/>
      <c r="AP34" s="3552"/>
      <c r="AQ34" s="3552"/>
      <c r="AR34" s="3552"/>
      <c r="AS34" s="3552"/>
      <c r="AT34" s="3552"/>
      <c r="AU34" s="3552"/>
      <c r="AV34" s="3552"/>
      <c r="AW34" s="3552"/>
      <c r="AX34" s="3552"/>
    </row>
    <row r="35" spans="4:50" ht="21.95" customHeight="1">
      <c r="D35" s="3636" t="s">
        <v>5633</v>
      </c>
      <c r="E35" s="3637"/>
      <c r="F35" s="3637"/>
      <c r="G35" s="3637"/>
      <c r="H35" s="3637"/>
      <c r="I35" s="3637"/>
      <c r="J35" s="3637"/>
      <c r="K35" s="3637"/>
      <c r="L35" s="3637"/>
      <c r="M35" s="3637"/>
      <c r="N35" s="3637"/>
      <c r="O35" s="3"/>
      <c r="P35" s="3623"/>
      <c r="Q35" s="3628"/>
      <c r="R35" s="3629"/>
      <c r="S35" s="3629"/>
      <c r="T35" s="3629"/>
      <c r="U35" s="3629"/>
      <c r="V35" s="3629"/>
      <c r="W35" s="3629"/>
      <c r="X35" s="3629"/>
      <c r="Y35" s="3629"/>
      <c r="Z35" s="3630"/>
      <c r="AA35" s="3"/>
      <c r="AB35" s="3563"/>
      <c r="AC35" s="3552"/>
      <c r="AD35" s="3552"/>
      <c r="AE35" s="3552"/>
      <c r="AF35" s="3552"/>
      <c r="AG35" s="3552"/>
      <c r="AH35" s="3552"/>
      <c r="AI35" s="3552"/>
      <c r="AJ35" s="3552"/>
      <c r="AK35" s="3552"/>
      <c r="AL35" s="3552"/>
      <c r="AM35" s="3"/>
      <c r="AN35" s="3573"/>
      <c r="AO35" s="3552"/>
      <c r="AP35" s="3552"/>
      <c r="AQ35" s="3552"/>
      <c r="AR35" s="3552"/>
      <c r="AS35" s="3552"/>
      <c r="AT35" s="3552"/>
      <c r="AU35" s="3552"/>
      <c r="AV35" s="3552"/>
      <c r="AW35" s="3552"/>
      <c r="AX35" s="3552"/>
    </row>
    <row r="36" spans="4:50" ht="21.95" customHeight="1">
      <c r="D36" s="3638" t="s">
        <v>5634</v>
      </c>
      <c r="E36" s="3638"/>
      <c r="F36" s="3638"/>
      <c r="G36" s="3638" t="s">
        <v>108</v>
      </c>
      <c r="H36" s="3638"/>
      <c r="I36" s="3638"/>
      <c r="J36" s="3638"/>
      <c r="K36" s="3638"/>
      <c r="L36" s="3638"/>
      <c r="M36" s="3638"/>
      <c r="N36" s="3638"/>
      <c r="O36" s="3"/>
      <c r="P36" s="3623"/>
      <c r="Q36" s="3628"/>
      <c r="R36" s="3629"/>
      <c r="S36" s="3629"/>
      <c r="T36" s="3629"/>
      <c r="U36" s="3629"/>
      <c r="V36" s="3629"/>
      <c r="W36" s="3629"/>
      <c r="X36" s="3629"/>
      <c r="Y36" s="3629"/>
      <c r="Z36" s="3630"/>
      <c r="AA36" s="3"/>
      <c r="AB36" s="3563"/>
      <c r="AC36" s="3552"/>
      <c r="AD36" s="3552"/>
      <c r="AE36" s="3552"/>
      <c r="AF36" s="3552"/>
      <c r="AG36" s="3552"/>
      <c r="AH36" s="3552"/>
      <c r="AI36" s="3552"/>
      <c r="AJ36" s="3552"/>
      <c r="AK36" s="3552"/>
      <c r="AL36" s="3552"/>
      <c r="AM36" s="3"/>
      <c r="AN36" s="3573"/>
      <c r="AO36" s="3552"/>
      <c r="AP36" s="3552"/>
      <c r="AQ36" s="3552"/>
      <c r="AR36" s="3552"/>
      <c r="AS36" s="3552"/>
      <c r="AT36" s="3552"/>
      <c r="AU36" s="3552"/>
      <c r="AV36" s="3552"/>
      <c r="AW36" s="3552"/>
      <c r="AX36" s="3552"/>
    </row>
    <row r="37" spans="4:50" ht="21.95" customHeight="1">
      <c r="D37" s="3634" t="s">
        <v>5635</v>
      </c>
      <c r="E37" s="3634"/>
      <c r="F37" s="3634"/>
      <c r="G37" s="3634"/>
      <c r="H37" s="3634"/>
      <c r="I37" s="3634"/>
      <c r="J37" s="3634"/>
      <c r="K37" s="3634"/>
      <c r="L37" s="3634"/>
      <c r="M37" s="3634"/>
      <c r="N37" s="3634"/>
      <c r="O37" s="3"/>
      <c r="P37" s="3623"/>
      <c r="Q37" s="3628"/>
      <c r="R37" s="3629"/>
      <c r="S37" s="3629"/>
      <c r="T37" s="3629"/>
      <c r="U37" s="3629"/>
      <c r="V37" s="3629"/>
      <c r="W37" s="3629"/>
      <c r="X37" s="3629"/>
      <c r="Y37" s="3629"/>
      <c r="Z37" s="3630"/>
      <c r="AA37" s="3"/>
      <c r="AB37" s="3563"/>
      <c r="AC37" s="3553" t="s">
        <v>5636</v>
      </c>
      <c r="AD37" s="3553"/>
      <c r="AE37" s="3553"/>
      <c r="AF37" s="3553"/>
      <c r="AG37" s="3553"/>
      <c r="AH37" s="3553"/>
      <c r="AI37" s="3553"/>
      <c r="AJ37" s="3553"/>
      <c r="AK37" s="3553"/>
      <c r="AL37" s="3553"/>
      <c r="AM37" s="3"/>
      <c r="AN37" s="3572" t="s">
        <v>5637</v>
      </c>
      <c r="AO37" s="3553" t="s">
        <v>5638</v>
      </c>
      <c r="AP37" s="3553"/>
      <c r="AQ37" s="3553"/>
      <c r="AR37" s="3553"/>
      <c r="AS37" s="3553"/>
      <c r="AT37" s="3553"/>
      <c r="AU37" s="3553"/>
      <c r="AV37" s="3553"/>
      <c r="AW37" s="3553"/>
      <c r="AX37" s="3553"/>
    </row>
    <row r="38" spans="4:50" ht="21.95" customHeight="1">
      <c r="D38" s="3634" t="s">
        <v>5639</v>
      </c>
      <c r="E38" s="3634"/>
      <c r="F38" s="3634"/>
      <c r="G38" s="3634"/>
      <c r="H38" s="3634"/>
      <c r="I38" s="3634"/>
      <c r="J38" s="3634"/>
      <c r="K38" s="3634"/>
      <c r="L38" s="3634"/>
      <c r="M38" s="3634"/>
      <c r="N38" s="3634"/>
      <c r="O38" s="3"/>
      <c r="P38" s="3623"/>
      <c r="Q38" s="3628"/>
      <c r="R38" s="3629"/>
      <c r="S38" s="3629"/>
      <c r="T38" s="3629"/>
      <c r="U38" s="3629"/>
      <c r="V38" s="3629"/>
      <c r="W38" s="3629"/>
      <c r="X38" s="3629"/>
      <c r="Y38" s="3629"/>
      <c r="Z38" s="3630"/>
      <c r="AA38" s="3"/>
      <c r="AB38" s="5" t="s">
        <v>5616</v>
      </c>
      <c r="AC38" s="3552" t="s">
        <v>5640</v>
      </c>
      <c r="AD38" s="3552"/>
      <c r="AE38" s="3552"/>
      <c r="AF38" s="3552"/>
      <c r="AG38" s="3552"/>
      <c r="AH38" s="3552"/>
      <c r="AI38" s="3552"/>
      <c r="AJ38" s="3552"/>
      <c r="AK38" s="3552"/>
      <c r="AL38" s="3552"/>
      <c r="AM38" s="3"/>
      <c r="AN38" s="3573"/>
      <c r="AO38" s="3552" t="s">
        <v>5641</v>
      </c>
      <c r="AP38" s="3552"/>
      <c r="AQ38" s="3552"/>
      <c r="AR38" s="3552"/>
      <c r="AS38" s="3552"/>
      <c r="AT38" s="3552"/>
      <c r="AU38" s="3552"/>
      <c r="AV38" s="3552"/>
      <c r="AW38" s="3552"/>
      <c r="AX38" s="3552"/>
    </row>
    <row r="39" spans="4:50" ht="21.95" customHeight="1">
      <c r="D39" s="3634" t="s">
        <v>5642</v>
      </c>
      <c r="E39" s="3634"/>
      <c r="F39" s="3634"/>
      <c r="G39" s="3634"/>
      <c r="H39" s="3634"/>
      <c r="I39" s="3634"/>
      <c r="J39" s="3634"/>
      <c r="K39" s="3634"/>
      <c r="L39" s="3634"/>
      <c r="M39" s="3634"/>
      <c r="N39" s="3634"/>
      <c r="O39" s="3"/>
      <c r="P39" s="3623"/>
      <c r="Q39" s="3628"/>
      <c r="R39" s="3629"/>
      <c r="S39" s="3629"/>
      <c r="T39" s="3629"/>
      <c r="U39" s="3629"/>
      <c r="V39" s="3629"/>
      <c r="W39" s="3629"/>
      <c r="X39" s="3629"/>
      <c r="Y39" s="3629"/>
      <c r="Z39" s="3630"/>
      <c r="AA39" s="3"/>
      <c r="AB39" s="3572" t="s">
        <v>5600</v>
      </c>
      <c r="AC39" s="3552" t="s">
        <v>5643</v>
      </c>
      <c r="AD39" s="3552"/>
      <c r="AE39" s="3552"/>
      <c r="AF39" s="3552"/>
      <c r="AG39" s="3552"/>
      <c r="AH39" s="3552"/>
      <c r="AI39" s="3552"/>
      <c r="AJ39" s="3552"/>
      <c r="AK39" s="3552"/>
      <c r="AL39" s="3552"/>
      <c r="AM39" s="3"/>
      <c r="AN39" s="3573"/>
      <c r="AO39" s="3552"/>
      <c r="AP39" s="3552"/>
      <c r="AQ39" s="3552"/>
      <c r="AR39" s="3552"/>
      <c r="AS39" s="3552"/>
      <c r="AT39" s="3552"/>
      <c r="AU39" s="3552"/>
      <c r="AV39" s="3552"/>
      <c r="AW39" s="3552"/>
      <c r="AX39" s="3552"/>
    </row>
    <row r="40" spans="4:50" ht="21.95" customHeight="1">
      <c r="D40" s="3634" t="s">
        <v>5644</v>
      </c>
      <c r="E40" s="3634"/>
      <c r="F40" s="3634"/>
      <c r="G40" s="3634"/>
      <c r="H40" s="3634"/>
      <c r="I40" s="3634"/>
      <c r="J40" s="3634"/>
      <c r="K40" s="3634"/>
      <c r="L40" s="3634"/>
      <c r="M40" s="3634"/>
      <c r="N40" s="3634"/>
      <c r="O40" s="3"/>
      <c r="P40" s="3623"/>
      <c r="Q40" s="3628"/>
      <c r="R40" s="3629"/>
      <c r="S40" s="3629"/>
      <c r="T40" s="3629"/>
      <c r="U40" s="3629"/>
      <c r="V40" s="3629"/>
      <c r="W40" s="3629"/>
      <c r="X40" s="3629"/>
      <c r="Y40" s="3629"/>
      <c r="Z40" s="3630"/>
      <c r="AA40" s="3"/>
      <c r="AB40" s="3573"/>
      <c r="AC40" s="3552" t="s">
        <v>5645</v>
      </c>
      <c r="AD40" s="3552"/>
      <c r="AE40" s="3552"/>
      <c r="AF40" s="3552"/>
      <c r="AG40" s="3552"/>
      <c r="AH40" s="3552"/>
      <c r="AI40" s="3552"/>
      <c r="AJ40" s="3552"/>
      <c r="AK40" s="3552"/>
      <c r="AL40" s="3552"/>
      <c r="AM40" s="3"/>
      <c r="AN40" s="3573"/>
      <c r="AO40" s="3552"/>
      <c r="AP40" s="3552"/>
      <c r="AQ40" s="3552"/>
      <c r="AR40" s="3552"/>
      <c r="AS40" s="3552"/>
      <c r="AT40" s="3552"/>
      <c r="AU40" s="3552"/>
      <c r="AV40" s="3552"/>
      <c r="AW40" s="3552"/>
      <c r="AX40" s="3552"/>
    </row>
    <row r="41" spans="4:50" ht="21.95" customHeight="1">
      <c r="D41" s="3634" t="s">
        <v>5646</v>
      </c>
      <c r="E41" s="3634"/>
      <c r="F41" s="3634"/>
      <c r="G41" s="3634"/>
      <c r="H41" s="3634"/>
      <c r="I41" s="3634"/>
      <c r="J41" s="3634"/>
      <c r="K41" s="3634"/>
      <c r="L41" s="3634"/>
      <c r="M41" s="3634"/>
      <c r="N41" s="3634"/>
      <c r="O41" s="3"/>
      <c r="P41" s="3623"/>
      <c r="Q41" s="3628"/>
      <c r="R41" s="3629"/>
      <c r="S41" s="3629"/>
      <c r="T41" s="3629"/>
      <c r="U41" s="3629"/>
      <c r="V41" s="3629"/>
      <c r="W41" s="3629"/>
      <c r="X41" s="3629"/>
      <c r="Y41" s="3629"/>
      <c r="Z41" s="3630"/>
      <c r="AA41" s="3"/>
      <c r="AB41" s="3573"/>
      <c r="AC41" s="3553" t="s">
        <v>5647</v>
      </c>
      <c r="AD41" s="3553"/>
      <c r="AE41" s="3553"/>
      <c r="AF41" s="3553"/>
      <c r="AG41" s="3553"/>
      <c r="AH41" s="3553"/>
      <c r="AI41" s="3553"/>
      <c r="AJ41" s="3553"/>
      <c r="AK41" s="3553"/>
      <c r="AL41" s="3553"/>
      <c r="AM41" s="3"/>
      <c r="AN41" s="3573"/>
      <c r="AO41" s="3552"/>
      <c r="AP41" s="3552"/>
      <c r="AQ41" s="3552"/>
      <c r="AR41" s="3552"/>
      <c r="AS41" s="3552"/>
      <c r="AT41" s="3552"/>
      <c r="AU41" s="3552"/>
      <c r="AV41" s="3552"/>
      <c r="AW41" s="3552"/>
      <c r="AX41" s="3552"/>
    </row>
    <row r="42" spans="4:50" ht="21.95" customHeight="1">
      <c r="D42" s="3634" t="s">
        <v>5648</v>
      </c>
      <c r="E42" s="3634"/>
      <c r="F42" s="3634"/>
      <c r="G42" s="3634"/>
      <c r="H42" s="3634"/>
      <c r="I42" s="3634"/>
      <c r="J42" s="3634"/>
      <c r="K42" s="3634"/>
      <c r="L42" s="3634"/>
      <c r="M42" s="3634"/>
      <c r="N42" s="3634"/>
      <c r="O42" s="3"/>
      <c r="P42" s="3623"/>
      <c r="Q42" s="3628"/>
      <c r="R42" s="3629"/>
      <c r="S42" s="3629"/>
      <c r="T42" s="3629"/>
      <c r="U42" s="3629"/>
      <c r="V42" s="3629"/>
      <c r="W42" s="3629"/>
      <c r="X42" s="3629"/>
      <c r="Y42" s="3629"/>
      <c r="Z42" s="3630"/>
      <c r="AA42" s="3"/>
      <c r="AB42" s="6" t="s">
        <v>108</v>
      </c>
      <c r="AC42" s="3556"/>
      <c r="AD42" s="3556"/>
      <c r="AE42" s="3556"/>
      <c r="AF42" s="3556"/>
      <c r="AG42" s="3556"/>
      <c r="AH42" s="3556"/>
      <c r="AI42" s="3556"/>
      <c r="AJ42" s="3556"/>
      <c r="AK42" s="3556"/>
      <c r="AL42" s="3556"/>
      <c r="AM42" s="3"/>
      <c r="AN42" s="3572" t="s">
        <v>5649</v>
      </c>
      <c r="AO42" s="3552" t="s">
        <v>5650</v>
      </c>
      <c r="AP42" s="3552"/>
      <c r="AQ42" s="3552"/>
      <c r="AR42" s="3552"/>
      <c r="AS42" s="3552"/>
      <c r="AT42" s="3552"/>
      <c r="AU42" s="3552"/>
      <c r="AV42" s="3552"/>
      <c r="AW42" s="3552"/>
      <c r="AX42" s="3552"/>
    </row>
    <row r="43" spans="4:50" ht="21.95" customHeight="1">
      <c r="D43" s="3634" t="s">
        <v>5651</v>
      </c>
      <c r="E43" s="3634"/>
      <c r="F43" s="3634"/>
      <c r="G43" s="3634"/>
      <c r="H43" s="3634"/>
      <c r="I43" s="3634"/>
      <c r="J43" s="3634"/>
      <c r="K43" s="3634"/>
      <c r="L43" s="3634"/>
      <c r="M43" s="3634"/>
      <c r="N43" s="3634"/>
      <c r="O43" s="3"/>
      <c r="P43" s="3623"/>
      <c r="Q43" s="3628"/>
      <c r="R43" s="3629"/>
      <c r="S43" s="3629"/>
      <c r="T43" s="3629"/>
      <c r="U43" s="3629"/>
      <c r="V43" s="3629"/>
      <c r="W43" s="3629"/>
      <c r="X43" s="3629"/>
      <c r="Y43" s="3629"/>
      <c r="Z43" s="3630"/>
      <c r="AA43" s="3"/>
      <c r="AB43" s="3557" t="s">
        <v>5652</v>
      </c>
      <c r="AC43" s="3558"/>
      <c r="AD43" s="3558"/>
      <c r="AE43" s="3558"/>
      <c r="AF43" s="3558"/>
      <c r="AG43" s="3558"/>
      <c r="AH43" s="3558"/>
      <c r="AI43" s="3558"/>
      <c r="AJ43" s="3558"/>
      <c r="AK43" s="3558"/>
      <c r="AL43" s="3558"/>
      <c r="AM43" s="3"/>
      <c r="AN43" s="3573"/>
      <c r="AO43" s="3552"/>
      <c r="AP43" s="3552"/>
      <c r="AQ43" s="3552"/>
      <c r="AR43" s="3552"/>
      <c r="AS43" s="3552"/>
      <c r="AT43" s="3552"/>
      <c r="AU43" s="3552"/>
      <c r="AV43" s="3552"/>
      <c r="AW43" s="3552"/>
      <c r="AX43" s="3552"/>
    </row>
    <row r="44" spans="4:50" ht="21.95" customHeight="1">
      <c r="D44" s="3634" t="s">
        <v>5653</v>
      </c>
      <c r="E44" s="3634"/>
      <c r="F44" s="3634"/>
      <c r="G44" s="3634"/>
      <c r="H44" s="3634"/>
      <c r="I44" s="3634"/>
      <c r="J44" s="3634"/>
      <c r="K44" s="3634"/>
      <c r="L44" s="3634"/>
      <c r="M44" s="3634"/>
      <c r="N44" s="3634"/>
      <c r="O44" s="3"/>
      <c r="P44" s="3623"/>
      <c r="Q44" s="3628"/>
      <c r="R44" s="3629"/>
      <c r="S44" s="3629"/>
      <c r="T44" s="3629"/>
      <c r="U44" s="3629"/>
      <c r="V44" s="3629"/>
      <c r="W44" s="3629"/>
      <c r="X44" s="3629"/>
      <c r="Y44" s="3629"/>
      <c r="Z44" s="3630"/>
      <c r="AA44" s="3"/>
      <c r="AB44" s="3562" t="s">
        <v>5574</v>
      </c>
      <c r="AC44" s="3553" t="s">
        <v>5654</v>
      </c>
      <c r="AD44" s="3553"/>
      <c r="AE44" s="3553"/>
      <c r="AF44" s="3553"/>
      <c r="AG44" s="3553"/>
      <c r="AH44" s="3553"/>
      <c r="AI44" s="3553"/>
      <c r="AJ44" s="3553"/>
      <c r="AK44" s="3553"/>
      <c r="AL44" s="3553"/>
      <c r="AM44" s="3"/>
      <c r="AN44" s="3573"/>
      <c r="AO44" s="3552"/>
      <c r="AP44" s="3552"/>
      <c r="AQ44" s="3552"/>
      <c r="AR44" s="3552"/>
      <c r="AS44" s="3552"/>
      <c r="AT44" s="3552"/>
      <c r="AU44" s="3552"/>
      <c r="AV44" s="3552"/>
      <c r="AW44" s="3552"/>
      <c r="AX44" s="3552"/>
    </row>
    <row r="45" spans="4:50" ht="21.95" customHeight="1">
      <c r="D45" s="3634" t="s">
        <v>5655</v>
      </c>
      <c r="E45" s="3634"/>
      <c r="F45" s="3634"/>
      <c r="G45" s="3634"/>
      <c r="H45" s="3634"/>
      <c r="I45" s="3634"/>
      <c r="J45" s="3634"/>
      <c r="K45" s="3634"/>
      <c r="L45" s="3634"/>
      <c r="M45" s="3634"/>
      <c r="N45" s="3634"/>
      <c r="O45" s="3"/>
      <c r="P45" s="3624"/>
      <c r="Q45" s="3631"/>
      <c r="R45" s="3632"/>
      <c r="S45" s="3632"/>
      <c r="T45" s="3632"/>
      <c r="U45" s="3632"/>
      <c r="V45" s="3632"/>
      <c r="W45" s="3632"/>
      <c r="X45" s="3632"/>
      <c r="Y45" s="3632"/>
      <c r="Z45" s="3633"/>
      <c r="AA45" s="3"/>
      <c r="AB45" s="3563"/>
      <c r="AC45" s="3553" t="s">
        <v>5656</v>
      </c>
      <c r="AD45" s="3553"/>
      <c r="AE45" s="3553"/>
      <c r="AF45" s="3553"/>
      <c r="AG45" s="3553"/>
      <c r="AH45" s="3553"/>
      <c r="AI45" s="3553"/>
      <c r="AJ45" s="3553"/>
      <c r="AK45" s="3553"/>
      <c r="AL45" s="3553"/>
      <c r="AM45" s="3"/>
      <c r="AN45" s="3573"/>
      <c r="AO45" s="3552" t="s">
        <v>5657</v>
      </c>
      <c r="AP45" s="3552"/>
      <c r="AQ45" s="3552"/>
      <c r="AR45" s="3552"/>
      <c r="AS45" s="3552"/>
      <c r="AT45" s="3552"/>
      <c r="AU45" s="3552"/>
      <c r="AV45" s="3552"/>
      <c r="AW45" s="3552"/>
      <c r="AX45" s="3552"/>
    </row>
    <row r="46" spans="4:50" ht="21.95" customHeight="1">
      <c r="D46" s="3634" t="s">
        <v>5658</v>
      </c>
      <c r="E46" s="3634"/>
      <c r="F46" s="3634"/>
      <c r="G46" s="3634"/>
      <c r="H46" s="3634"/>
      <c r="I46" s="3634"/>
      <c r="J46" s="3634"/>
      <c r="K46" s="3634"/>
      <c r="L46" s="3634"/>
      <c r="M46" s="3634"/>
      <c r="N46" s="3634"/>
      <c r="O46" s="3"/>
      <c r="P46" s="3559" t="s">
        <v>5659</v>
      </c>
      <c r="Q46" s="3560"/>
      <c r="R46" s="3560"/>
      <c r="S46" s="3560"/>
      <c r="T46" s="3560"/>
      <c r="U46" s="3560"/>
      <c r="V46" s="3560"/>
      <c r="W46" s="3560"/>
      <c r="X46" s="3560"/>
      <c r="Y46" s="3560"/>
      <c r="Z46" s="3561"/>
      <c r="AA46" s="3"/>
      <c r="AB46" s="3563"/>
      <c r="AC46" s="3570" t="s">
        <v>5660</v>
      </c>
      <c r="AD46" s="3571"/>
      <c r="AE46" s="3571"/>
      <c r="AF46" s="3571"/>
      <c r="AG46" s="3571"/>
      <c r="AH46" s="3571"/>
      <c r="AI46" s="3571"/>
      <c r="AJ46" s="3571"/>
      <c r="AK46" s="3571"/>
      <c r="AL46" s="3571"/>
      <c r="AM46" s="3"/>
      <c r="AN46" s="3573"/>
      <c r="AO46" s="3552"/>
      <c r="AP46" s="3552"/>
      <c r="AQ46" s="3552"/>
      <c r="AR46" s="3552"/>
      <c r="AS46" s="3552"/>
      <c r="AT46" s="3552"/>
      <c r="AU46" s="3552"/>
      <c r="AV46" s="3552"/>
      <c r="AW46" s="3552"/>
      <c r="AX46" s="3552"/>
    </row>
    <row r="47" spans="4:50" ht="21.95" customHeight="1">
      <c r="D47" s="3634" t="s">
        <v>5661</v>
      </c>
      <c r="E47" s="3634"/>
      <c r="F47" s="3634"/>
      <c r="G47" s="3634"/>
      <c r="H47" s="3634"/>
      <c r="I47" s="3634"/>
      <c r="J47" s="3634"/>
      <c r="K47" s="3634"/>
      <c r="L47" s="3634"/>
      <c r="M47" s="3634"/>
      <c r="N47" s="3634"/>
      <c r="O47" s="3"/>
      <c r="P47" s="3622" t="s">
        <v>5572</v>
      </c>
      <c r="Q47" s="3625" t="s">
        <v>5662</v>
      </c>
      <c r="R47" s="3626"/>
      <c r="S47" s="3626"/>
      <c r="T47" s="3626"/>
      <c r="U47" s="3626"/>
      <c r="V47" s="3626"/>
      <c r="W47" s="3626"/>
      <c r="X47" s="3626"/>
      <c r="Y47" s="3626"/>
      <c r="Z47" s="3627"/>
      <c r="AA47" s="3"/>
      <c r="AB47" s="3563"/>
      <c r="AC47" s="3571"/>
      <c r="AD47" s="3571"/>
      <c r="AE47" s="3571"/>
      <c r="AF47" s="3571"/>
      <c r="AG47" s="3571"/>
      <c r="AH47" s="3571"/>
      <c r="AI47" s="3571"/>
      <c r="AJ47" s="3571"/>
      <c r="AK47" s="3571"/>
      <c r="AL47" s="3571"/>
      <c r="AM47" s="3"/>
      <c r="AN47" s="3573"/>
      <c r="AO47" s="3552"/>
      <c r="AP47" s="3552"/>
      <c r="AQ47" s="3552"/>
      <c r="AR47" s="3552"/>
      <c r="AS47" s="3552"/>
      <c r="AT47" s="3552"/>
      <c r="AU47" s="3552"/>
      <c r="AV47" s="3552"/>
      <c r="AW47" s="3552"/>
      <c r="AX47" s="3552"/>
    </row>
    <row r="48" spans="4:50" ht="21.95" customHeight="1">
      <c r="D48" s="3634" t="s">
        <v>5663</v>
      </c>
      <c r="E48" s="3634"/>
      <c r="F48" s="3634"/>
      <c r="G48" s="3634"/>
      <c r="H48" s="3634"/>
      <c r="I48" s="3634"/>
      <c r="J48" s="3634"/>
      <c r="K48" s="3634"/>
      <c r="L48" s="3634"/>
      <c r="M48" s="3634"/>
      <c r="N48" s="3634"/>
      <c r="O48" s="3"/>
      <c r="P48" s="3623"/>
      <c r="Q48" s="3628"/>
      <c r="R48" s="3629"/>
      <c r="S48" s="3629"/>
      <c r="T48" s="3629"/>
      <c r="U48" s="3629"/>
      <c r="V48" s="3629"/>
      <c r="W48" s="3629"/>
      <c r="X48" s="3629"/>
      <c r="Y48" s="3629"/>
      <c r="Z48" s="3630"/>
      <c r="AA48" s="3"/>
      <c r="AB48" s="3563"/>
      <c r="AC48" s="3571"/>
      <c r="AD48" s="3571"/>
      <c r="AE48" s="3571"/>
      <c r="AF48" s="3571"/>
      <c r="AG48" s="3571"/>
      <c r="AH48" s="3571"/>
      <c r="AI48" s="3571"/>
      <c r="AJ48" s="3571"/>
      <c r="AK48" s="3571"/>
      <c r="AL48" s="3571"/>
      <c r="AM48" s="3"/>
      <c r="AN48" s="3573"/>
      <c r="AO48" s="3552"/>
      <c r="AP48" s="3552"/>
      <c r="AQ48" s="3552"/>
      <c r="AR48" s="3552"/>
      <c r="AS48" s="3552"/>
      <c r="AT48" s="3552"/>
      <c r="AU48" s="3552"/>
      <c r="AV48" s="3552"/>
      <c r="AW48" s="3552"/>
      <c r="AX48" s="3552"/>
    </row>
    <row r="49" spans="4:50" ht="21.95" customHeight="1">
      <c r="D49" s="3634" t="s">
        <v>5664</v>
      </c>
      <c r="E49" s="3634"/>
      <c r="F49" s="3634"/>
      <c r="G49" s="3634"/>
      <c r="H49" s="3634"/>
      <c r="I49" s="3634"/>
      <c r="J49" s="3634"/>
      <c r="K49" s="3634"/>
      <c r="L49" s="3634"/>
      <c r="M49" s="3634"/>
      <c r="N49" s="3634"/>
      <c r="O49" s="3"/>
      <c r="P49" s="3623"/>
      <c r="Q49" s="3628"/>
      <c r="R49" s="3629"/>
      <c r="S49" s="3629"/>
      <c r="T49" s="3629"/>
      <c r="U49" s="3629"/>
      <c r="V49" s="3629"/>
      <c r="W49" s="3629"/>
      <c r="X49" s="3629"/>
      <c r="Y49" s="3629"/>
      <c r="Z49" s="3630"/>
      <c r="AA49" s="3"/>
      <c r="AB49" s="3563"/>
      <c r="AC49" s="3570" t="s">
        <v>5665</v>
      </c>
      <c r="AD49" s="3571"/>
      <c r="AE49" s="3571"/>
      <c r="AF49" s="3571"/>
      <c r="AG49" s="3571"/>
      <c r="AH49" s="3571"/>
      <c r="AI49" s="3571"/>
      <c r="AJ49" s="3571"/>
      <c r="AK49" s="3571"/>
      <c r="AL49" s="3571"/>
      <c r="AM49" s="3"/>
      <c r="AN49" s="3573"/>
      <c r="AO49" s="3552"/>
      <c r="AP49" s="3552"/>
      <c r="AQ49" s="3552"/>
      <c r="AR49" s="3552"/>
      <c r="AS49" s="3552"/>
      <c r="AT49" s="3552"/>
      <c r="AU49" s="3552"/>
      <c r="AV49" s="3552"/>
      <c r="AW49" s="3552"/>
      <c r="AX49" s="3552"/>
    </row>
    <row r="50" spans="4:50" ht="21.95" customHeight="1">
      <c r="D50" s="3634" t="s">
        <v>5666</v>
      </c>
      <c r="E50" s="3634"/>
      <c r="F50" s="3634"/>
      <c r="G50" s="3634"/>
      <c r="H50" s="3634"/>
      <c r="I50" s="3634"/>
      <c r="J50" s="3634"/>
      <c r="K50" s="3634"/>
      <c r="L50" s="3634"/>
      <c r="M50" s="3634"/>
      <c r="N50" s="3634"/>
      <c r="O50" s="3"/>
      <c r="P50" s="3624"/>
      <c r="Q50" s="3631"/>
      <c r="R50" s="3632"/>
      <c r="S50" s="3632"/>
      <c r="T50" s="3632"/>
      <c r="U50" s="3632"/>
      <c r="V50" s="3632"/>
      <c r="W50" s="3632"/>
      <c r="X50" s="3632"/>
      <c r="Y50" s="3632"/>
      <c r="Z50" s="3633"/>
      <c r="AA50" s="3"/>
      <c r="AB50" s="3563"/>
      <c r="AC50" s="3571"/>
      <c r="AD50" s="3571"/>
      <c r="AE50" s="3571"/>
      <c r="AF50" s="3571"/>
      <c r="AG50" s="3571"/>
      <c r="AH50" s="3571"/>
      <c r="AI50" s="3571"/>
      <c r="AJ50" s="3571"/>
      <c r="AK50" s="3571"/>
      <c r="AL50" s="3571"/>
      <c r="AM50" s="3"/>
      <c r="AN50" s="3572" t="s">
        <v>5667</v>
      </c>
      <c r="AO50" s="3553" t="s">
        <v>5668</v>
      </c>
      <c r="AP50" s="3553"/>
      <c r="AQ50" s="3553"/>
      <c r="AR50" s="3553"/>
      <c r="AS50" s="3553"/>
      <c r="AT50" s="3553"/>
      <c r="AU50" s="3553"/>
      <c r="AV50" s="3553"/>
      <c r="AW50" s="3553"/>
      <c r="AX50" s="3553"/>
    </row>
    <row r="51" spans="4:50" ht="21.95" customHeight="1">
      <c r="D51" s="3634" t="s">
        <v>5669</v>
      </c>
      <c r="E51" s="3634"/>
      <c r="F51" s="3634"/>
      <c r="G51" s="3634"/>
      <c r="H51" s="3634"/>
      <c r="I51" s="3634"/>
      <c r="J51" s="3634"/>
      <c r="K51" s="3634"/>
      <c r="L51" s="3634"/>
      <c r="M51" s="3634"/>
      <c r="N51" s="3634"/>
      <c r="O51" s="3"/>
      <c r="P51" s="3557" t="s">
        <v>5670</v>
      </c>
      <c r="Q51" s="3558"/>
      <c r="R51" s="3558"/>
      <c r="S51" s="3558"/>
      <c r="T51" s="3558"/>
      <c r="U51" s="3558"/>
      <c r="V51" s="3558"/>
      <c r="W51" s="3558"/>
      <c r="X51" s="3558"/>
      <c r="Y51" s="3558"/>
      <c r="Z51" s="3558"/>
      <c r="AA51" s="3"/>
      <c r="AB51" s="3563"/>
      <c r="AC51" s="3571"/>
      <c r="AD51" s="3571"/>
      <c r="AE51" s="3571"/>
      <c r="AF51" s="3571"/>
      <c r="AG51" s="3571"/>
      <c r="AH51" s="3571"/>
      <c r="AI51" s="3571"/>
      <c r="AJ51" s="3571"/>
      <c r="AK51" s="3571"/>
      <c r="AL51" s="3571"/>
      <c r="AM51" s="3"/>
      <c r="AN51" s="3573"/>
      <c r="AO51" s="3552" t="s">
        <v>5671</v>
      </c>
      <c r="AP51" s="3552"/>
      <c r="AQ51" s="3552"/>
      <c r="AR51" s="3552"/>
      <c r="AS51" s="3552"/>
      <c r="AT51" s="3552"/>
      <c r="AU51" s="3552"/>
      <c r="AV51" s="3552"/>
      <c r="AW51" s="3552"/>
      <c r="AX51" s="3552"/>
    </row>
    <row r="52" spans="4:50" ht="21.95" customHeight="1">
      <c r="D52" s="3634" t="s">
        <v>5672</v>
      </c>
      <c r="E52" s="3634"/>
      <c r="F52" s="3634"/>
      <c r="G52" s="3634" t="s">
        <v>5673</v>
      </c>
      <c r="H52" s="3634"/>
      <c r="I52" s="3634"/>
      <c r="J52" s="3634"/>
      <c r="K52" s="3634"/>
      <c r="L52" s="3634"/>
      <c r="M52" s="3634"/>
      <c r="N52" s="3634"/>
      <c r="O52" s="3"/>
      <c r="P52" s="3562" t="s">
        <v>5572</v>
      </c>
      <c r="Q52" s="3568" t="s">
        <v>5674</v>
      </c>
      <c r="R52" s="3568"/>
      <c r="S52" s="3568"/>
      <c r="T52" s="3568"/>
      <c r="U52" s="3568"/>
      <c r="V52" s="3568"/>
      <c r="W52" s="3568"/>
      <c r="X52" s="3568"/>
      <c r="Y52" s="3568"/>
      <c r="Z52" s="3568"/>
      <c r="AA52" s="3"/>
      <c r="AB52" s="3563"/>
      <c r="AC52" s="3553" t="s">
        <v>5675</v>
      </c>
      <c r="AD52" s="3553"/>
      <c r="AE52" s="3553"/>
      <c r="AF52" s="3553"/>
      <c r="AG52" s="3553"/>
      <c r="AH52" s="3553"/>
      <c r="AI52" s="3553"/>
      <c r="AJ52" s="3553"/>
      <c r="AK52" s="3553"/>
      <c r="AL52" s="3553"/>
      <c r="AM52" s="3"/>
      <c r="AN52" s="3573"/>
      <c r="AO52" s="3552"/>
      <c r="AP52" s="3552"/>
      <c r="AQ52" s="3552"/>
      <c r="AR52" s="3552"/>
      <c r="AS52" s="3552"/>
      <c r="AT52" s="3552"/>
      <c r="AU52" s="3552"/>
      <c r="AV52" s="3552"/>
      <c r="AW52" s="3552"/>
      <c r="AX52" s="3552"/>
    </row>
    <row r="53" spans="4:50" ht="21.95" customHeight="1">
      <c r="D53" s="3634" t="s">
        <v>5676</v>
      </c>
      <c r="E53" s="3634"/>
      <c r="F53" s="3634"/>
      <c r="G53" s="3634"/>
      <c r="H53" s="3634"/>
      <c r="I53" s="3634"/>
      <c r="J53" s="3634"/>
      <c r="K53" s="3634"/>
      <c r="L53" s="3634"/>
      <c r="M53" s="3634"/>
      <c r="N53" s="3634"/>
      <c r="O53" s="3"/>
      <c r="P53" s="3563"/>
      <c r="Q53" s="3568"/>
      <c r="R53" s="3568"/>
      <c r="S53" s="3568"/>
      <c r="T53" s="3568"/>
      <c r="U53" s="3568"/>
      <c r="V53" s="3568"/>
      <c r="W53" s="3568"/>
      <c r="X53" s="3568"/>
      <c r="Y53" s="3568"/>
      <c r="Z53" s="3568"/>
      <c r="AA53" s="3"/>
      <c r="AB53" s="3563"/>
      <c r="AC53" s="3570" t="s">
        <v>5677</v>
      </c>
      <c r="AD53" s="3571"/>
      <c r="AE53" s="3571"/>
      <c r="AF53" s="3571"/>
      <c r="AG53" s="3571"/>
      <c r="AH53" s="3571"/>
      <c r="AI53" s="3571"/>
      <c r="AJ53" s="3571"/>
      <c r="AK53" s="3571"/>
      <c r="AL53" s="3571"/>
      <c r="AM53" s="3"/>
      <c r="AN53" s="3573"/>
      <c r="AO53" s="3552"/>
      <c r="AP53" s="3552"/>
      <c r="AQ53" s="3552"/>
      <c r="AR53" s="3552"/>
      <c r="AS53" s="3552"/>
      <c r="AT53" s="3552"/>
      <c r="AU53" s="3552"/>
      <c r="AV53" s="3552"/>
      <c r="AW53" s="3552"/>
      <c r="AX53" s="3552"/>
    </row>
    <row r="54" spans="4:50" ht="21.95" customHeight="1">
      <c r="D54" s="3634" t="s">
        <v>5678</v>
      </c>
      <c r="E54" s="3634"/>
      <c r="F54" s="3634"/>
      <c r="G54" s="3634"/>
      <c r="H54" s="3634"/>
      <c r="I54" s="3634"/>
      <c r="J54" s="3634"/>
      <c r="K54" s="3634"/>
      <c r="L54" s="3634"/>
      <c r="M54" s="3634"/>
      <c r="N54" s="3634"/>
      <c r="O54" s="3"/>
      <c r="P54" s="3563"/>
      <c r="Q54" s="3568"/>
      <c r="R54" s="3568"/>
      <c r="S54" s="3568"/>
      <c r="T54" s="3568"/>
      <c r="U54" s="3568"/>
      <c r="V54" s="3568"/>
      <c r="W54" s="3568"/>
      <c r="X54" s="3568"/>
      <c r="Y54" s="3568"/>
      <c r="Z54" s="3568"/>
      <c r="AA54" s="3"/>
      <c r="AB54" s="3563"/>
      <c r="AC54" s="3571"/>
      <c r="AD54" s="3571"/>
      <c r="AE54" s="3571"/>
      <c r="AF54" s="3571"/>
      <c r="AG54" s="3571"/>
      <c r="AH54" s="3571"/>
      <c r="AI54" s="3571"/>
      <c r="AJ54" s="3571"/>
      <c r="AK54" s="3571"/>
      <c r="AL54" s="3571"/>
      <c r="AM54" s="3"/>
      <c r="AN54" s="3573"/>
      <c r="AO54" s="3552"/>
      <c r="AP54" s="3552"/>
      <c r="AQ54" s="3552"/>
      <c r="AR54" s="3552"/>
      <c r="AS54" s="3552"/>
      <c r="AT54" s="3552"/>
      <c r="AU54" s="3552"/>
      <c r="AV54" s="3552"/>
      <c r="AW54" s="3552"/>
      <c r="AX54" s="3552"/>
    </row>
    <row r="55" spans="4:50" ht="21.95" customHeight="1">
      <c r="D55" s="3634" t="s">
        <v>5679</v>
      </c>
      <c r="E55" s="3634"/>
      <c r="F55" s="3634"/>
      <c r="G55" s="3634"/>
      <c r="H55" s="3634"/>
      <c r="I55" s="3634"/>
      <c r="J55" s="3634"/>
      <c r="K55" s="3634"/>
      <c r="L55" s="3634"/>
      <c r="M55" s="3634"/>
      <c r="N55" s="3634"/>
      <c r="O55" s="3"/>
      <c r="P55" s="3563"/>
      <c r="Q55" s="3568"/>
      <c r="R55" s="3568"/>
      <c r="S55" s="3568"/>
      <c r="T55" s="3568"/>
      <c r="U55" s="3568"/>
      <c r="V55" s="3568"/>
      <c r="W55" s="3568"/>
      <c r="X55" s="3568"/>
      <c r="Y55" s="3568"/>
      <c r="Z55" s="3568"/>
      <c r="AA55" s="3"/>
      <c r="AB55" s="3563"/>
      <c r="AC55" s="3571"/>
      <c r="AD55" s="3571"/>
      <c r="AE55" s="3571"/>
      <c r="AF55" s="3571"/>
      <c r="AG55" s="3571"/>
      <c r="AH55" s="3571"/>
      <c r="AI55" s="3571"/>
      <c r="AJ55" s="3571"/>
      <c r="AK55" s="3571"/>
      <c r="AL55" s="3571"/>
      <c r="AM55" s="3"/>
      <c r="AN55" s="3573"/>
      <c r="AO55" s="3552"/>
      <c r="AP55" s="3552"/>
      <c r="AQ55" s="3552"/>
      <c r="AR55" s="3552"/>
      <c r="AS55" s="3552"/>
      <c r="AT55" s="3552"/>
      <c r="AU55" s="3552"/>
      <c r="AV55" s="3552"/>
      <c r="AW55" s="3552"/>
      <c r="AX55" s="3552"/>
    </row>
    <row r="56" spans="4:50" ht="21.95" customHeight="1">
      <c r="D56" s="3634" t="s">
        <v>5680</v>
      </c>
      <c r="E56" s="3634"/>
      <c r="F56" s="3634"/>
      <c r="G56" s="3634"/>
      <c r="H56" s="3634"/>
      <c r="I56" s="3634"/>
      <c r="J56" s="3634"/>
      <c r="K56" s="3634"/>
      <c r="L56" s="3634"/>
      <c r="M56" s="3634"/>
      <c r="N56" s="3634"/>
      <c r="O56" s="3"/>
      <c r="P56" s="3562" t="s">
        <v>108</v>
      </c>
      <c r="Q56" s="3568" t="s">
        <v>5681</v>
      </c>
      <c r="R56" s="3568"/>
      <c r="S56" s="3568"/>
      <c r="T56" s="3568"/>
      <c r="U56" s="3568"/>
      <c r="V56" s="3568"/>
      <c r="W56" s="3568"/>
      <c r="X56" s="3568"/>
      <c r="Y56" s="3568"/>
      <c r="Z56" s="3568"/>
      <c r="AA56" s="3"/>
      <c r="AB56" s="3563"/>
      <c r="AC56" s="3571"/>
      <c r="AD56" s="3571"/>
      <c r="AE56" s="3571"/>
      <c r="AF56" s="3571"/>
      <c r="AG56" s="3571"/>
      <c r="AH56" s="3571"/>
      <c r="AI56" s="3571"/>
      <c r="AJ56" s="3571"/>
      <c r="AK56" s="3571"/>
      <c r="AL56" s="3571"/>
      <c r="AM56" s="3"/>
      <c r="AN56" s="3573"/>
      <c r="AO56" s="3552"/>
      <c r="AP56" s="3552"/>
      <c r="AQ56" s="3552"/>
      <c r="AR56" s="3552"/>
      <c r="AS56" s="3552"/>
      <c r="AT56" s="3552"/>
      <c r="AU56" s="3552"/>
      <c r="AV56" s="3552"/>
      <c r="AW56" s="3552"/>
      <c r="AX56" s="3552"/>
    </row>
    <row r="57" spans="4:50" ht="21.95" customHeight="1">
      <c r="D57" s="3634" t="s">
        <v>5682</v>
      </c>
      <c r="E57" s="3634"/>
      <c r="F57" s="3634"/>
      <c r="G57" s="3634" t="s">
        <v>5683</v>
      </c>
      <c r="H57" s="3634"/>
      <c r="I57" s="3634"/>
      <c r="J57" s="3634"/>
      <c r="K57" s="3634"/>
      <c r="L57" s="3634"/>
      <c r="M57" s="3634"/>
      <c r="N57" s="3634"/>
      <c r="O57" s="3"/>
      <c r="P57" s="3563"/>
      <c r="Q57" s="3568"/>
      <c r="R57" s="3568"/>
      <c r="S57" s="3568"/>
      <c r="T57" s="3568"/>
      <c r="U57" s="3568"/>
      <c r="V57" s="3568"/>
      <c r="W57" s="3568"/>
      <c r="X57" s="3568"/>
      <c r="Y57" s="3568"/>
      <c r="Z57" s="3568"/>
      <c r="AA57" s="3"/>
      <c r="AB57" s="3563"/>
      <c r="AC57" s="3571"/>
      <c r="AD57" s="3571"/>
      <c r="AE57" s="3571"/>
      <c r="AF57" s="3571"/>
      <c r="AG57" s="3571"/>
      <c r="AH57" s="3571"/>
      <c r="AI57" s="3571"/>
      <c r="AJ57" s="3571"/>
      <c r="AK57" s="3571"/>
      <c r="AL57" s="3571"/>
      <c r="AM57" s="3"/>
      <c r="AN57" s="3573"/>
      <c r="AO57" s="3552"/>
      <c r="AP57" s="3552"/>
      <c r="AQ57" s="3552"/>
      <c r="AR57" s="3552"/>
      <c r="AS57" s="3552"/>
      <c r="AT57" s="3552"/>
      <c r="AU57" s="3552"/>
      <c r="AV57" s="3552"/>
      <c r="AW57" s="3552"/>
      <c r="AX57" s="3552"/>
    </row>
    <row r="58" spans="4:50" ht="21.95" customHeight="1">
      <c r="D58" s="3634" t="s">
        <v>5684</v>
      </c>
      <c r="E58" s="3634"/>
      <c r="F58" s="3634"/>
      <c r="G58" s="3634" t="s">
        <v>5685</v>
      </c>
      <c r="H58" s="3634"/>
      <c r="I58" s="3634"/>
      <c r="J58" s="3634"/>
      <c r="K58" s="3634"/>
      <c r="L58" s="3634"/>
      <c r="M58" s="3634"/>
      <c r="N58" s="3634"/>
      <c r="O58" s="3"/>
      <c r="P58" s="3563"/>
      <c r="Q58" s="3568"/>
      <c r="R58" s="3568"/>
      <c r="S58" s="3568"/>
      <c r="T58" s="3568"/>
      <c r="U58" s="3568"/>
      <c r="V58" s="3568"/>
      <c r="W58" s="3568"/>
      <c r="X58" s="3568"/>
      <c r="Y58" s="3568"/>
      <c r="Z58" s="3568"/>
      <c r="AA58" s="3"/>
      <c r="AB58" s="3563"/>
      <c r="AC58" s="3553" t="s">
        <v>5686</v>
      </c>
      <c r="AD58" s="3553"/>
      <c r="AE58" s="3553"/>
      <c r="AF58" s="3553"/>
      <c r="AG58" s="3553"/>
      <c r="AH58" s="3553"/>
      <c r="AI58" s="3553"/>
      <c r="AJ58" s="3553"/>
      <c r="AK58" s="3553"/>
      <c r="AL58" s="3553"/>
      <c r="AM58" s="3"/>
      <c r="AN58" s="3573"/>
      <c r="AO58" s="3552"/>
      <c r="AP58" s="3552"/>
      <c r="AQ58" s="3552"/>
      <c r="AR58" s="3552"/>
      <c r="AS58" s="3552"/>
      <c r="AT58" s="3552"/>
      <c r="AU58" s="3552"/>
      <c r="AV58" s="3552"/>
      <c r="AW58" s="3552"/>
      <c r="AX58" s="3552"/>
    </row>
    <row r="59" spans="4:50" ht="21.95" customHeight="1">
      <c r="D59" s="3634" t="s">
        <v>5687</v>
      </c>
      <c r="E59" s="3634"/>
      <c r="F59" s="3634"/>
      <c r="G59" s="3634"/>
      <c r="H59" s="3634"/>
      <c r="I59" s="3634"/>
      <c r="J59" s="3634"/>
      <c r="K59" s="3634"/>
      <c r="L59" s="3634"/>
      <c r="M59" s="3634"/>
      <c r="N59" s="3634"/>
      <c r="O59" s="3"/>
      <c r="P59" s="3563"/>
      <c r="Q59" s="3568"/>
      <c r="R59" s="3568"/>
      <c r="S59" s="3568"/>
      <c r="T59" s="3568"/>
      <c r="U59" s="3568"/>
      <c r="V59" s="3568"/>
      <c r="W59" s="3568"/>
      <c r="X59" s="3568"/>
      <c r="Y59" s="3568"/>
      <c r="Z59" s="3568"/>
      <c r="AA59" s="3"/>
      <c r="AB59" s="3563"/>
      <c r="AC59" s="3553" t="s">
        <v>5688</v>
      </c>
      <c r="AD59" s="3553"/>
      <c r="AE59" s="3553"/>
      <c r="AF59" s="3553"/>
      <c r="AG59" s="3553"/>
      <c r="AH59" s="3553"/>
      <c r="AI59" s="3553"/>
      <c r="AJ59" s="3553"/>
      <c r="AK59" s="3553"/>
      <c r="AL59" s="3553"/>
      <c r="AM59" s="3"/>
      <c r="AN59" s="3573"/>
      <c r="AO59" s="3552"/>
      <c r="AP59" s="3552"/>
      <c r="AQ59" s="3552"/>
      <c r="AR59" s="3552"/>
      <c r="AS59" s="3552"/>
      <c r="AT59" s="3552"/>
      <c r="AU59" s="3552"/>
      <c r="AV59" s="3552"/>
      <c r="AW59" s="3552"/>
      <c r="AX59" s="3552"/>
    </row>
    <row r="60" spans="4:50" ht="21.95" customHeight="1">
      <c r="D60" s="3634" t="s">
        <v>5689</v>
      </c>
      <c r="E60" s="3634"/>
      <c r="F60" s="3634"/>
      <c r="G60" s="3634"/>
      <c r="H60" s="3634"/>
      <c r="I60" s="3634"/>
      <c r="J60" s="3634"/>
      <c r="K60" s="3634"/>
      <c r="L60" s="3634"/>
      <c r="M60" s="3634"/>
      <c r="N60" s="3634"/>
      <c r="O60" s="3"/>
      <c r="P60" s="3557" t="s">
        <v>5690</v>
      </c>
      <c r="Q60" s="3558"/>
      <c r="R60" s="3558"/>
      <c r="S60" s="3558"/>
      <c r="T60" s="3558"/>
      <c r="U60" s="3558"/>
      <c r="V60" s="3558"/>
      <c r="W60" s="3558"/>
      <c r="X60" s="3558"/>
      <c r="Y60" s="3558"/>
      <c r="Z60" s="3558"/>
      <c r="AA60" s="3"/>
      <c r="AB60" s="3563"/>
      <c r="AC60" s="3552" t="s">
        <v>5691</v>
      </c>
      <c r="AD60" s="3552"/>
      <c r="AE60" s="3552"/>
      <c r="AF60" s="3552"/>
      <c r="AG60" s="3552"/>
      <c r="AH60" s="3552"/>
      <c r="AI60" s="3552"/>
      <c r="AJ60" s="3552"/>
      <c r="AK60" s="3552"/>
      <c r="AL60" s="3552"/>
      <c r="AM60" s="3"/>
      <c r="AN60" s="3573"/>
      <c r="AO60" s="3552"/>
      <c r="AP60" s="3552"/>
      <c r="AQ60" s="3552"/>
      <c r="AR60" s="3552"/>
      <c r="AS60" s="3552"/>
      <c r="AT60" s="3552"/>
      <c r="AU60" s="3552"/>
      <c r="AV60" s="3552"/>
      <c r="AW60" s="3552"/>
      <c r="AX60" s="3552"/>
    </row>
    <row r="61" spans="4:50" ht="21.95" customHeight="1">
      <c r="D61" s="3635" t="s">
        <v>6000</v>
      </c>
      <c r="E61" s="3634"/>
      <c r="F61" s="3634"/>
      <c r="G61" s="3635" t="s">
        <v>6001</v>
      </c>
      <c r="H61" s="3634"/>
      <c r="I61" s="3634"/>
      <c r="J61" s="3634"/>
      <c r="K61" s="3634"/>
      <c r="L61" s="3634"/>
      <c r="M61" s="3634"/>
      <c r="N61" s="3634"/>
      <c r="O61" s="3"/>
      <c r="P61" s="3562" t="s">
        <v>5572</v>
      </c>
      <c r="Q61" s="3568" t="s">
        <v>5692</v>
      </c>
      <c r="R61" s="3568"/>
      <c r="S61" s="3568"/>
      <c r="T61" s="3568"/>
      <c r="U61" s="3568"/>
      <c r="V61" s="3568"/>
      <c r="W61" s="3568"/>
      <c r="X61" s="3568"/>
      <c r="Y61" s="3568"/>
      <c r="Z61" s="3568"/>
      <c r="AA61" s="3"/>
      <c r="AB61" s="3563"/>
      <c r="AC61" s="3552"/>
      <c r="AD61" s="3552"/>
      <c r="AE61" s="3552"/>
      <c r="AF61" s="3552"/>
      <c r="AG61" s="3552"/>
      <c r="AH61" s="3552"/>
      <c r="AI61" s="3552"/>
      <c r="AJ61" s="3552"/>
      <c r="AK61" s="3552"/>
      <c r="AL61" s="3552"/>
      <c r="AM61" s="3"/>
      <c r="AN61" s="3572" t="s">
        <v>5693</v>
      </c>
      <c r="AO61" s="3552" t="s">
        <v>5694</v>
      </c>
      <c r="AP61" s="3552"/>
      <c r="AQ61" s="3552"/>
      <c r="AR61" s="3552"/>
      <c r="AS61" s="3552"/>
      <c r="AT61" s="3552"/>
      <c r="AU61" s="3552"/>
      <c r="AV61" s="3552"/>
      <c r="AW61" s="3552"/>
      <c r="AX61" s="3552"/>
    </row>
    <row r="62" spans="4:50" ht="21.95" customHeight="1">
      <c r="D62" s="3634"/>
      <c r="E62" s="3634"/>
      <c r="F62" s="3634"/>
      <c r="G62" s="3634"/>
      <c r="H62" s="3634"/>
      <c r="I62" s="3634"/>
      <c r="J62" s="3634"/>
      <c r="K62" s="3634"/>
      <c r="L62" s="3634"/>
      <c r="M62" s="3634"/>
      <c r="N62" s="3634"/>
      <c r="O62" s="3"/>
      <c r="P62" s="3563"/>
      <c r="Q62" s="3568"/>
      <c r="R62" s="3568"/>
      <c r="S62" s="3568"/>
      <c r="T62" s="3568"/>
      <c r="U62" s="3568"/>
      <c r="V62" s="3568"/>
      <c r="W62" s="3568"/>
      <c r="X62" s="3568"/>
      <c r="Y62" s="3568"/>
      <c r="Z62" s="3568"/>
      <c r="AA62" s="3"/>
      <c r="AB62" s="3563"/>
      <c r="AC62" s="3552"/>
      <c r="AD62" s="3552"/>
      <c r="AE62" s="3552"/>
      <c r="AF62" s="3552"/>
      <c r="AG62" s="3552"/>
      <c r="AH62" s="3552"/>
      <c r="AI62" s="3552"/>
      <c r="AJ62" s="3552"/>
      <c r="AK62" s="3552"/>
      <c r="AL62" s="3552"/>
      <c r="AM62" s="3"/>
      <c r="AN62" s="3573"/>
      <c r="AO62" s="3552" t="s">
        <v>5695</v>
      </c>
      <c r="AP62" s="3552"/>
      <c r="AQ62" s="3552"/>
      <c r="AR62" s="3552"/>
      <c r="AS62" s="3552"/>
      <c r="AT62" s="3552"/>
      <c r="AU62" s="3552"/>
      <c r="AV62" s="3552"/>
      <c r="AW62" s="3552"/>
      <c r="AX62" s="3552"/>
    </row>
    <row r="63" spans="4:50" ht="21.95" customHeight="1">
      <c r="D63" s="3634"/>
      <c r="E63" s="3634"/>
      <c r="F63" s="3634"/>
      <c r="G63" s="3634"/>
      <c r="H63" s="3634"/>
      <c r="I63" s="3634"/>
      <c r="J63" s="3634"/>
      <c r="K63" s="3634"/>
      <c r="L63" s="3634"/>
      <c r="M63" s="3634"/>
      <c r="N63" s="3634"/>
      <c r="O63" s="3"/>
      <c r="P63" s="3563"/>
      <c r="Q63" s="3568"/>
      <c r="R63" s="3568"/>
      <c r="S63" s="3568"/>
      <c r="T63" s="3568"/>
      <c r="U63" s="3568"/>
      <c r="V63" s="3568"/>
      <c r="W63" s="3568"/>
      <c r="X63" s="3568"/>
      <c r="Y63" s="3568"/>
      <c r="Z63" s="3568"/>
      <c r="AA63" s="3"/>
      <c r="AB63" s="3576" t="s">
        <v>5600</v>
      </c>
      <c r="AC63" s="3552" t="s">
        <v>5696</v>
      </c>
      <c r="AD63" s="3552"/>
      <c r="AE63" s="3552"/>
      <c r="AF63" s="3552"/>
      <c r="AG63" s="3552"/>
      <c r="AH63" s="3552"/>
      <c r="AI63" s="3552"/>
      <c r="AJ63" s="3552"/>
      <c r="AK63" s="3552"/>
      <c r="AL63" s="3552"/>
      <c r="AM63" s="3"/>
      <c r="AN63" s="3573"/>
      <c r="AO63" s="3552"/>
      <c r="AP63" s="3552"/>
      <c r="AQ63" s="3552"/>
      <c r="AR63" s="3552"/>
      <c r="AS63" s="3552"/>
      <c r="AT63" s="3552"/>
      <c r="AU63" s="3552"/>
      <c r="AV63" s="3552"/>
      <c r="AW63" s="3552"/>
      <c r="AX63" s="3552"/>
    </row>
    <row r="64" spans="4:50" ht="21.95" customHeight="1">
      <c r="O64" s="3"/>
      <c r="P64" s="3563"/>
      <c r="Q64" s="3568"/>
      <c r="R64" s="3568"/>
      <c r="S64" s="3568"/>
      <c r="T64" s="3568"/>
      <c r="U64" s="3568"/>
      <c r="V64" s="3568"/>
      <c r="W64" s="3568"/>
      <c r="X64" s="3568"/>
      <c r="Y64" s="3568"/>
      <c r="Z64" s="3568"/>
      <c r="AA64" s="3"/>
      <c r="AB64" s="3577"/>
      <c r="AC64" s="3552"/>
      <c r="AD64" s="3552"/>
      <c r="AE64" s="3552"/>
      <c r="AF64" s="3552"/>
      <c r="AG64" s="3552"/>
      <c r="AH64" s="3552"/>
      <c r="AI64" s="3552"/>
      <c r="AJ64" s="3552"/>
      <c r="AK64" s="3552"/>
      <c r="AL64" s="3552"/>
      <c r="AM64" s="3"/>
      <c r="AN64" s="3573"/>
      <c r="AO64" s="3552" t="s">
        <v>5697</v>
      </c>
      <c r="AP64" s="3552"/>
      <c r="AQ64" s="3552"/>
      <c r="AR64" s="3552"/>
      <c r="AS64" s="3552"/>
      <c r="AT64" s="3552"/>
      <c r="AU64" s="3552"/>
      <c r="AV64" s="3552"/>
      <c r="AW64" s="3552"/>
      <c r="AX64" s="3552"/>
    </row>
    <row r="65" spans="15:50" ht="21.95" customHeight="1">
      <c r="O65" s="3"/>
      <c r="P65" s="3562" t="s">
        <v>108</v>
      </c>
      <c r="Q65" s="3568" t="s">
        <v>5698</v>
      </c>
      <c r="R65" s="3568"/>
      <c r="S65" s="3568"/>
      <c r="T65" s="3568"/>
      <c r="U65" s="3568"/>
      <c r="V65" s="3568"/>
      <c r="W65" s="3568"/>
      <c r="X65" s="3568"/>
      <c r="Y65" s="3568"/>
      <c r="Z65" s="3568"/>
      <c r="AA65" s="3"/>
      <c r="AB65" s="3577"/>
      <c r="AC65" s="3552"/>
      <c r="AD65" s="3552"/>
      <c r="AE65" s="3552"/>
      <c r="AF65" s="3552"/>
      <c r="AG65" s="3552"/>
      <c r="AH65" s="3552"/>
      <c r="AI65" s="3552"/>
      <c r="AJ65" s="3552"/>
      <c r="AK65" s="3552"/>
      <c r="AL65" s="3552"/>
      <c r="AM65" s="3"/>
      <c r="AN65" s="3573"/>
      <c r="AO65" s="3552"/>
      <c r="AP65" s="3552"/>
      <c r="AQ65" s="3552"/>
      <c r="AR65" s="3552"/>
      <c r="AS65" s="3552"/>
      <c r="AT65" s="3552"/>
      <c r="AU65" s="3552"/>
      <c r="AV65" s="3552"/>
      <c r="AW65" s="3552"/>
      <c r="AX65" s="3552"/>
    </row>
    <row r="66" spans="15:50" ht="21.95" customHeight="1">
      <c r="O66" s="3"/>
      <c r="P66" s="3563"/>
      <c r="Q66" s="3568"/>
      <c r="R66" s="3568"/>
      <c r="S66" s="3568"/>
      <c r="T66" s="3568"/>
      <c r="U66" s="3568"/>
      <c r="V66" s="3568"/>
      <c r="W66" s="3568"/>
      <c r="X66" s="3568"/>
      <c r="Y66" s="3568"/>
      <c r="Z66" s="3568"/>
      <c r="AA66" s="3"/>
      <c r="AB66" s="7" t="s">
        <v>5699</v>
      </c>
      <c r="AC66" s="3552" t="s">
        <v>5700</v>
      </c>
      <c r="AD66" s="3552"/>
      <c r="AE66" s="3552"/>
      <c r="AF66" s="3552"/>
      <c r="AG66" s="3552"/>
      <c r="AH66" s="3552"/>
      <c r="AI66" s="3552"/>
      <c r="AJ66" s="3552"/>
      <c r="AK66" s="3552"/>
      <c r="AL66" s="3552"/>
      <c r="AM66" s="3"/>
      <c r="AN66" s="3573"/>
      <c r="AO66" s="3552"/>
      <c r="AP66" s="3552"/>
      <c r="AQ66" s="3552"/>
      <c r="AR66" s="3552"/>
      <c r="AS66" s="3552"/>
      <c r="AT66" s="3552"/>
      <c r="AU66" s="3552"/>
      <c r="AV66" s="3552"/>
      <c r="AW66" s="3552"/>
      <c r="AX66" s="3552"/>
    </row>
    <row r="67" spans="15:50" ht="21.95" customHeight="1">
      <c r="O67" s="3"/>
      <c r="P67" s="3563"/>
      <c r="Q67" s="3568"/>
      <c r="R67" s="3568"/>
      <c r="S67" s="3568"/>
      <c r="T67" s="3568"/>
      <c r="U67" s="3568"/>
      <c r="V67" s="3568"/>
      <c r="W67" s="3568"/>
      <c r="X67" s="3568"/>
      <c r="Y67" s="3568"/>
      <c r="Z67" s="3568"/>
      <c r="AA67" s="3"/>
      <c r="AB67" s="3557" t="s">
        <v>5701</v>
      </c>
      <c r="AC67" s="3558"/>
      <c r="AD67" s="3558"/>
      <c r="AE67" s="3558"/>
      <c r="AF67" s="3558"/>
      <c r="AG67" s="3558"/>
      <c r="AH67" s="3558"/>
      <c r="AI67" s="3558"/>
      <c r="AJ67" s="3558"/>
      <c r="AK67" s="3558"/>
      <c r="AL67" s="3558"/>
      <c r="AM67" s="3"/>
      <c r="AN67" s="3573"/>
      <c r="AO67" s="3552" t="s">
        <v>5702</v>
      </c>
      <c r="AP67" s="3552"/>
      <c r="AQ67" s="3552"/>
      <c r="AR67" s="3552"/>
      <c r="AS67" s="3552"/>
      <c r="AT67" s="3552"/>
      <c r="AU67" s="3552"/>
      <c r="AV67" s="3552"/>
      <c r="AW67" s="3552"/>
      <c r="AX67" s="3552"/>
    </row>
    <row r="68" spans="15:50" ht="21.95" customHeight="1">
      <c r="O68" s="3"/>
      <c r="P68" s="3563"/>
      <c r="Q68" s="3568"/>
      <c r="R68" s="3568"/>
      <c r="S68" s="3568"/>
      <c r="T68" s="3568"/>
      <c r="U68" s="3568"/>
      <c r="V68" s="3568"/>
      <c r="W68" s="3568"/>
      <c r="X68" s="3568"/>
      <c r="Y68" s="3568"/>
      <c r="Z68" s="3568"/>
      <c r="AA68" s="3"/>
      <c r="AB68" s="3591" t="s">
        <v>5574</v>
      </c>
      <c r="AC68" s="3553" t="s">
        <v>5703</v>
      </c>
      <c r="AD68" s="3553"/>
      <c r="AE68" s="3553"/>
      <c r="AF68" s="3553"/>
      <c r="AG68" s="3553"/>
      <c r="AH68" s="3553"/>
      <c r="AI68" s="3553"/>
      <c r="AJ68" s="3553"/>
      <c r="AK68" s="3553"/>
      <c r="AL68" s="3553"/>
      <c r="AM68" s="3"/>
      <c r="AN68" s="3573"/>
      <c r="AO68" s="3552"/>
      <c r="AP68" s="3552"/>
      <c r="AQ68" s="3552"/>
      <c r="AR68" s="3552"/>
      <c r="AS68" s="3552"/>
      <c r="AT68" s="3552"/>
      <c r="AU68" s="3552"/>
      <c r="AV68" s="3552"/>
      <c r="AW68" s="3552"/>
      <c r="AX68" s="3552"/>
    </row>
    <row r="69" spans="15:50" ht="21.95" customHeight="1">
      <c r="O69" s="3"/>
      <c r="P69" s="3557" t="s">
        <v>5704</v>
      </c>
      <c r="Q69" s="3558"/>
      <c r="R69" s="3558"/>
      <c r="S69" s="3558"/>
      <c r="T69" s="3558"/>
      <c r="U69" s="3558"/>
      <c r="V69" s="3558"/>
      <c r="W69" s="3558"/>
      <c r="X69" s="3558"/>
      <c r="Y69" s="3558"/>
      <c r="Z69" s="3558"/>
      <c r="AA69" s="3"/>
      <c r="AB69" s="3592"/>
      <c r="AC69" s="3553" t="s">
        <v>5705</v>
      </c>
      <c r="AD69" s="3553"/>
      <c r="AE69" s="3553"/>
      <c r="AF69" s="3553"/>
      <c r="AG69" s="3553"/>
      <c r="AH69" s="3553"/>
      <c r="AI69" s="3553"/>
      <c r="AJ69" s="3553"/>
      <c r="AK69" s="3553"/>
      <c r="AL69" s="3553"/>
      <c r="AM69" s="3"/>
      <c r="AN69" s="3573"/>
      <c r="AO69" s="3552"/>
      <c r="AP69" s="3552"/>
      <c r="AQ69" s="3552"/>
      <c r="AR69" s="3552"/>
      <c r="AS69" s="3552"/>
      <c r="AT69" s="3552"/>
      <c r="AU69" s="3552"/>
      <c r="AV69" s="3552"/>
      <c r="AW69" s="3552"/>
      <c r="AX69" s="3552"/>
    </row>
    <row r="70" spans="15:50" ht="21.95" customHeight="1">
      <c r="O70" s="3"/>
      <c r="P70" s="3622" t="s">
        <v>5572</v>
      </c>
      <c r="Q70" s="3625" t="s">
        <v>5706</v>
      </c>
      <c r="R70" s="3626"/>
      <c r="S70" s="3626"/>
      <c r="T70" s="3626"/>
      <c r="U70" s="3626"/>
      <c r="V70" s="3626"/>
      <c r="W70" s="3626"/>
      <c r="X70" s="3626"/>
      <c r="Y70" s="3626"/>
      <c r="Z70" s="3627"/>
      <c r="AA70" s="3"/>
      <c r="AB70" s="3592"/>
      <c r="AC70" s="3553" t="s">
        <v>5707</v>
      </c>
      <c r="AD70" s="3553"/>
      <c r="AE70" s="3553"/>
      <c r="AF70" s="3553"/>
      <c r="AG70" s="3553"/>
      <c r="AH70" s="3553"/>
      <c r="AI70" s="3553"/>
      <c r="AJ70" s="3553"/>
      <c r="AK70" s="3553"/>
      <c r="AL70" s="3553"/>
      <c r="AM70" s="3"/>
      <c r="AN70" s="3573"/>
      <c r="AO70" s="3552"/>
      <c r="AP70" s="3552"/>
      <c r="AQ70" s="3552"/>
      <c r="AR70" s="3552"/>
      <c r="AS70" s="3552"/>
      <c r="AT70" s="3552"/>
      <c r="AU70" s="3552"/>
      <c r="AV70" s="3552"/>
      <c r="AW70" s="3552"/>
      <c r="AX70" s="3552"/>
    </row>
    <row r="71" spans="15:50" ht="21.95" customHeight="1">
      <c r="O71" s="3"/>
      <c r="P71" s="3623"/>
      <c r="Q71" s="3628"/>
      <c r="R71" s="3629"/>
      <c r="S71" s="3629"/>
      <c r="T71" s="3629"/>
      <c r="U71" s="3629"/>
      <c r="V71" s="3629"/>
      <c r="W71" s="3629"/>
      <c r="X71" s="3629"/>
      <c r="Y71" s="3629"/>
      <c r="Z71" s="3630"/>
      <c r="AA71" s="3"/>
      <c r="AB71" s="8" t="s">
        <v>5699</v>
      </c>
      <c r="AC71" s="3553" t="s">
        <v>5708</v>
      </c>
      <c r="AD71" s="3553"/>
      <c r="AE71" s="3553"/>
      <c r="AF71" s="3553"/>
      <c r="AG71" s="3553"/>
      <c r="AH71" s="3553"/>
      <c r="AI71" s="3553"/>
      <c r="AJ71" s="3553"/>
      <c r="AK71" s="3553"/>
      <c r="AL71" s="3553"/>
      <c r="AM71" s="3"/>
      <c r="AN71" s="3573"/>
      <c r="AO71" s="3552"/>
      <c r="AP71" s="3552"/>
      <c r="AQ71" s="3552"/>
      <c r="AR71" s="3552"/>
      <c r="AS71" s="3552"/>
      <c r="AT71" s="3552"/>
      <c r="AU71" s="3552"/>
      <c r="AV71" s="3552"/>
      <c r="AW71" s="3552"/>
      <c r="AX71" s="3552"/>
    </row>
    <row r="72" spans="15:50" ht="21.95" customHeight="1">
      <c r="O72" s="3"/>
      <c r="P72" s="3623"/>
      <c r="Q72" s="3628"/>
      <c r="R72" s="3629"/>
      <c r="S72" s="3629"/>
      <c r="T72" s="3629"/>
      <c r="U72" s="3629"/>
      <c r="V72" s="3629"/>
      <c r="W72" s="3629"/>
      <c r="X72" s="3629"/>
      <c r="Y72" s="3629"/>
      <c r="Z72" s="3630"/>
      <c r="AA72" s="3"/>
      <c r="AB72" s="3572" t="s">
        <v>108</v>
      </c>
      <c r="AC72" s="3556"/>
      <c r="AD72" s="3556"/>
      <c r="AE72" s="3556"/>
      <c r="AF72" s="3556"/>
      <c r="AG72" s="3556"/>
      <c r="AH72" s="3556"/>
      <c r="AI72" s="3556"/>
      <c r="AJ72" s="3556"/>
      <c r="AK72" s="3556"/>
      <c r="AL72" s="3556"/>
      <c r="AM72" s="3"/>
      <c r="AN72" s="3573"/>
      <c r="AO72" s="3552"/>
      <c r="AP72" s="3552"/>
      <c r="AQ72" s="3552"/>
      <c r="AR72" s="3552"/>
      <c r="AS72" s="3552"/>
      <c r="AT72" s="3552"/>
      <c r="AU72" s="3552"/>
      <c r="AV72" s="3552"/>
      <c r="AW72" s="3552"/>
      <c r="AX72" s="3552"/>
    </row>
    <row r="73" spans="15:50" ht="21.95" customHeight="1">
      <c r="O73" s="3"/>
      <c r="P73" s="3623"/>
      <c r="Q73" s="3628"/>
      <c r="R73" s="3629"/>
      <c r="S73" s="3629"/>
      <c r="T73" s="3629"/>
      <c r="U73" s="3629"/>
      <c r="V73" s="3629"/>
      <c r="W73" s="3629"/>
      <c r="X73" s="3629"/>
      <c r="Y73" s="3629"/>
      <c r="Z73" s="3630"/>
      <c r="AA73" s="3"/>
      <c r="AB73" s="3573"/>
      <c r="AC73" s="3556"/>
      <c r="AD73" s="3556"/>
      <c r="AE73" s="3556"/>
      <c r="AF73" s="3556"/>
      <c r="AG73" s="3556"/>
      <c r="AH73" s="3556"/>
      <c r="AI73" s="3556"/>
      <c r="AJ73" s="3556"/>
      <c r="AK73" s="3556"/>
      <c r="AL73" s="3556"/>
      <c r="AM73" s="3"/>
      <c r="AN73" s="3573"/>
      <c r="AO73" s="3552"/>
      <c r="AP73" s="3552"/>
      <c r="AQ73" s="3552"/>
      <c r="AR73" s="3552"/>
      <c r="AS73" s="3552"/>
      <c r="AT73" s="3552"/>
      <c r="AU73" s="3552"/>
      <c r="AV73" s="3552"/>
      <c r="AW73" s="3552"/>
      <c r="AX73" s="3552"/>
    </row>
    <row r="74" spans="15:50" ht="21.95" customHeight="1">
      <c r="O74" s="3"/>
      <c r="P74" s="3624"/>
      <c r="Q74" s="3631"/>
      <c r="R74" s="3632"/>
      <c r="S74" s="3632"/>
      <c r="T74" s="3632"/>
      <c r="U74" s="3632"/>
      <c r="V74" s="3632"/>
      <c r="W74" s="3632"/>
      <c r="X74" s="3632"/>
      <c r="Y74" s="3632"/>
      <c r="Z74" s="3633"/>
      <c r="AA74" s="3"/>
      <c r="AB74" s="3557" t="s">
        <v>5709</v>
      </c>
      <c r="AC74" s="3558"/>
      <c r="AD74" s="3558"/>
      <c r="AE74" s="3558"/>
      <c r="AF74" s="3558"/>
      <c r="AG74" s="3558"/>
      <c r="AH74" s="3558"/>
      <c r="AI74" s="3558"/>
      <c r="AJ74" s="3558"/>
      <c r="AK74" s="3558"/>
      <c r="AL74" s="3558"/>
      <c r="AM74" s="3"/>
      <c r="AN74" s="3573"/>
      <c r="AO74" s="3552"/>
      <c r="AP74" s="3552"/>
      <c r="AQ74" s="3552"/>
      <c r="AR74" s="3552"/>
      <c r="AS74" s="3552"/>
      <c r="AT74" s="3552"/>
      <c r="AU74" s="3552"/>
      <c r="AV74" s="3552"/>
      <c r="AW74" s="3552"/>
      <c r="AX74" s="3552"/>
    </row>
    <row r="75" spans="15:50" ht="21.95" customHeight="1">
      <c r="O75" s="3"/>
      <c r="P75" s="3622" t="s">
        <v>108</v>
      </c>
      <c r="Q75" s="3625" t="s">
        <v>5710</v>
      </c>
      <c r="R75" s="3626"/>
      <c r="S75" s="3626"/>
      <c r="T75" s="3626"/>
      <c r="U75" s="3626"/>
      <c r="V75" s="3626"/>
      <c r="W75" s="3626"/>
      <c r="X75" s="3626"/>
      <c r="Y75" s="3626"/>
      <c r="Z75" s="3627"/>
      <c r="AA75" s="3"/>
      <c r="AB75" s="3593" t="s">
        <v>5574</v>
      </c>
      <c r="AC75" s="3570" t="s">
        <v>5711</v>
      </c>
      <c r="AD75" s="3571"/>
      <c r="AE75" s="3571"/>
      <c r="AF75" s="3571"/>
      <c r="AG75" s="3571"/>
      <c r="AH75" s="3571"/>
      <c r="AI75" s="3571"/>
      <c r="AJ75" s="3571"/>
      <c r="AK75" s="3571"/>
      <c r="AL75" s="3571"/>
      <c r="AM75" s="3"/>
      <c r="AN75" s="3573"/>
      <c r="AO75" s="3552"/>
      <c r="AP75" s="3552"/>
      <c r="AQ75" s="3552"/>
      <c r="AR75" s="3552"/>
      <c r="AS75" s="3552"/>
      <c r="AT75" s="3552"/>
      <c r="AU75" s="3552"/>
      <c r="AV75" s="3552"/>
      <c r="AW75" s="3552"/>
      <c r="AX75" s="3552"/>
    </row>
    <row r="76" spans="15:50" ht="21.95" customHeight="1">
      <c r="O76" s="3"/>
      <c r="P76" s="3623"/>
      <c r="Q76" s="3628"/>
      <c r="R76" s="3629"/>
      <c r="S76" s="3629"/>
      <c r="T76" s="3629"/>
      <c r="U76" s="3629"/>
      <c r="V76" s="3629"/>
      <c r="W76" s="3629"/>
      <c r="X76" s="3629"/>
      <c r="Y76" s="3629"/>
      <c r="Z76" s="3630"/>
      <c r="AA76" s="3"/>
      <c r="AB76" s="3594"/>
      <c r="AC76" s="3571"/>
      <c r="AD76" s="3571"/>
      <c r="AE76" s="3571"/>
      <c r="AF76" s="3571"/>
      <c r="AG76" s="3571"/>
      <c r="AH76" s="3571"/>
      <c r="AI76" s="3571"/>
      <c r="AJ76" s="3571"/>
      <c r="AK76" s="3571"/>
      <c r="AL76" s="3571"/>
      <c r="AM76" s="3"/>
      <c r="AN76" s="3573"/>
      <c r="AO76" s="3552"/>
      <c r="AP76" s="3552"/>
      <c r="AQ76" s="3552"/>
      <c r="AR76" s="3552"/>
      <c r="AS76" s="3552"/>
      <c r="AT76" s="3552"/>
      <c r="AU76" s="3552"/>
      <c r="AV76" s="3552"/>
      <c r="AW76" s="3552"/>
      <c r="AX76" s="3552"/>
    </row>
    <row r="77" spans="15:50" ht="21.95" customHeight="1">
      <c r="O77" s="3"/>
      <c r="P77" s="3624"/>
      <c r="Q77" s="3631"/>
      <c r="R77" s="3632"/>
      <c r="S77" s="3632"/>
      <c r="T77" s="3632"/>
      <c r="U77" s="3632"/>
      <c r="V77" s="3632"/>
      <c r="W77" s="3632"/>
      <c r="X77" s="3632"/>
      <c r="Y77" s="3632"/>
      <c r="Z77" s="3633"/>
      <c r="AA77" s="3"/>
      <c r="AB77" s="3594"/>
      <c r="AC77" s="3571"/>
      <c r="AD77" s="3571"/>
      <c r="AE77" s="3571"/>
      <c r="AF77" s="3571"/>
      <c r="AG77" s="3571"/>
      <c r="AH77" s="3571"/>
      <c r="AI77" s="3571"/>
      <c r="AJ77" s="3571"/>
      <c r="AK77" s="3571"/>
      <c r="AL77" s="3571"/>
      <c r="AM77" s="3"/>
      <c r="AN77" s="3573"/>
      <c r="AO77" s="3552"/>
      <c r="AP77" s="3552"/>
      <c r="AQ77" s="3552"/>
      <c r="AR77" s="3552"/>
      <c r="AS77" s="3552"/>
      <c r="AT77" s="3552"/>
      <c r="AU77" s="3552"/>
      <c r="AV77" s="3552"/>
      <c r="AW77" s="3552"/>
      <c r="AX77" s="3552"/>
    </row>
    <row r="78" spans="15:50" ht="21.95" customHeight="1">
      <c r="O78" s="3"/>
      <c r="P78" s="3557" t="s">
        <v>5712</v>
      </c>
      <c r="Q78" s="3558"/>
      <c r="R78" s="3558"/>
      <c r="S78" s="3558"/>
      <c r="T78" s="3558"/>
      <c r="U78" s="3558"/>
      <c r="V78" s="3558"/>
      <c r="W78" s="3558"/>
      <c r="X78" s="3558"/>
      <c r="Y78" s="3558"/>
      <c r="Z78" s="3558"/>
      <c r="AA78" s="3"/>
      <c r="AB78" s="3594"/>
      <c r="AC78" s="3571"/>
      <c r="AD78" s="3571"/>
      <c r="AE78" s="3571"/>
      <c r="AF78" s="3571"/>
      <c r="AG78" s="3571"/>
      <c r="AH78" s="3571"/>
      <c r="AI78" s="3571"/>
      <c r="AJ78" s="3571"/>
      <c r="AK78" s="3571"/>
      <c r="AL78" s="3571"/>
      <c r="AM78" s="3"/>
      <c r="AN78" s="3573"/>
      <c r="AO78" s="3552"/>
      <c r="AP78" s="3552"/>
      <c r="AQ78" s="3552"/>
      <c r="AR78" s="3552"/>
      <c r="AS78" s="3552"/>
      <c r="AT78" s="3552"/>
      <c r="AU78" s="3552"/>
      <c r="AV78" s="3552"/>
      <c r="AW78" s="3552"/>
      <c r="AX78" s="3552"/>
    </row>
    <row r="79" spans="15:50" ht="21.95" customHeight="1">
      <c r="O79" s="3"/>
      <c r="P79" s="3562" t="s">
        <v>5572</v>
      </c>
      <c r="Q79" s="3581" t="s">
        <v>5713</v>
      </c>
      <c r="R79" s="3581"/>
      <c r="S79" s="3581"/>
      <c r="T79" s="3581"/>
      <c r="U79" s="3581"/>
      <c r="V79" s="3581"/>
      <c r="W79" s="3581"/>
      <c r="X79" s="3581"/>
      <c r="Y79" s="3581"/>
      <c r="Z79" s="3581"/>
      <c r="AA79" s="3"/>
      <c r="AB79" s="3594"/>
      <c r="AC79" s="3571"/>
      <c r="AD79" s="3571"/>
      <c r="AE79" s="3571"/>
      <c r="AF79" s="3571"/>
      <c r="AG79" s="3571"/>
      <c r="AH79" s="3571"/>
      <c r="AI79" s="3571"/>
      <c r="AJ79" s="3571"/>
      <c r="AK79" s="3571"/>
      <c r="AL79" s="3571"/>
      <c r="AM79" s="3"/>
      <c r="AN79" s="3573"/>
      <c r="AO79" s="3552" t="s">
        <v>5714</v>
      </c>
      <c r="AP79" s="3552"/>
      <c r="AQ79" s="3552"/>
      <c r="AR79" s="3552"/>
      <c r="AS79" s="3552"/>
      <c r="AT79" s="3552"/>
      <c r="AU79" s="3552"/>
      <c r="AV79" s="3552"/>
      <c r="AW79" s="3552"/>
      <c r="AX79" s="3552"/>
    </row>
    <row r="80" spans="15:50" ht="21.95" customHeight="1">
      <c r="O80" s="3"/>
      <c r="P80" s="3563"/>
      <c r="Q80" s="3581"/>
      <c r="R80" s="3581"/>
      <c r="S80" s="3581"/>
      <c r="T80" s="3581"/>
      <c r="U80" s="3581"/>
      <c r="V80" s="3581"/>
      <c r="W80" s="3581"/>
      <c r="X80" s="3581"/>
      <c r="Y80" s="3581"/>
      <c r="Z80" s="3581"/>
      <c r="AA80" s="3"/>
      <c r="AB80" s="3594"/>
      <c r="AC80" s="3570" t="s">
        <v>5715</v>
      </c>
      <c r="AD80" s="3571"/>
      <c r="AE80" s="3571"/>
      <c r="AF80" s="3571"/>
      <c r="AG80" s="3571"/>
      <c r="AH80" s="3571"/>
      <c r="AI80" s="3571"/>
      <c r="AJ80" s="3571"/>
      <c r="AK80" s="3571"/>
      <c r="AL80" s="3571"/>
      <c r="AM80" s="3"/>
      <c r="AN80" s="3573"/>
      <c r="AO80" s="3552"/>
      <c r="AP80" s="3552"/>
      <c r="AQ80" s="3552"/>
      <c r="AR80" s="3552"/>
      <c r="AS80" s="3552"/>
      <c r="AT80" s="3552"/>
      <c r="AU80" s="3552"/>
      <c r="AV80" s="3552"/>
      <c r="AW80" s="3552"/>
      <c r="AX80" s="3552"/>
    </row>
    <row r="81" spans="15:50" ht="21.95" customHeight="1">
      <c r="O81" s="3"/>
      <c r="P81" s="3563"/>
      <c r="Q81" s="3581"/>
      <c r="R81" s="3581"/>
      <c r="S81" s="3581"/>
      <c r="T81" s="3581"/>
      <c r="U81" s="3581"/>
      <c r="V81" s="3581"/>
      <c r="W81" s="3581"/>
      <c r="X81" s="3581"/>
      <c r="Y81" s="3581"/>
      <c r="Z81" s="3581"/>
      <c r="AA81" s="3"/>
      <c r="AB81" s="3594"/>
      <c r="AC81" s="3571"/>
      <c r="AD81" s="3571"/>
      <c r="AE81" s="3571"/>
      <c r="AF81" s="3571"/>
      <c r="AG81" s="3571"/>
      <c r="AH81" s="3571"/>
      <c r="AI81" s="3571"/>
      <c r="AJ81" s="3571"/>
      <c r="AK81" s="3571"/>
      <c r="AL81" s="3571"/>
      <c r="AM81" s="3"/>
      <c r="AN81" s="3573"/>
      <c r="AO81" s="3552"/>
      <c r="AP81" s="3552"/>
      <c r="AQ81" s="3552"/>
      <c r="AR81" s="3552"/>
      <c r="AS81" s="3552"/>
      <c r="AT81" s="3552"/>
      <c r="AU81" s="3552"/>
      <c r="AV81" s="3552"/>
      <c r="AW81" s="3552"/>
      <c r="AX81" s="3552"/>
    </row>
    <row r="82" spans="15:50" ht="21.95" customHeight="1">
      <c r="O82" s="3"/>
      <c r="P82" s="3562" t="s">
        <v>108</v>
      </c>
      <c r="Q82" s="3568" t="s">
        <v>5716</v>
      </c>
      <c r="R82" s="3568"/>
      <c r="S82" s="3568"/>
      <c r="T82" s="3568"/>
      <c r="U82" s="3568"/>
      <c r="V82" s="3568"/>
      <c r="W82" s="3568"/>
      <c r="X82" s="3568"/>
      <c r="Y82" s="3568"/>
      <c r="Z82" s="3568"/>
      <c r="AA82" s="3"/>
      <c r="AB82" s="3594"/>
      <c r="AC82" s="3553" t="s">
        <v>5717</v>
      </c>
      <c r="AD82" s="3553"/>
      <c r="AE82" s="3553"/>
      <c r="AF82" s="3553"/>
      <c r="AG82" s="3553"/>
      <c r="AH82" s="3553"/>
      <c r="AI82" s="3553"/>
      <c r="AJ82" s="3553"/>
      <c r="AK82" s="3553"/>
      <c r="AL82" s="3553"/>
      <c r="AM82" s="3"/>
      <c r="AN82" s="3573"/>
      <c r="AO82" s="3552"/>
      <c r="AP82" s="3552"/>
      <c r="AQ82" s="3552"/>
      <c r="AR82" s="3552"/>
      <c r="AS82" s="3552"/>
      <c r="AT82" s="3552"/>
      <c r="AU82" s="3552"/>
      <c r="AV82" s="3552"/>
      <c r="AW82" s="3552"/>
      <c r="AX82" s="3552"/>
    </row>
    <row r="83" spans="15:50" ht="21.95" customHeight="1">
      <c r="O83" s="3"/>
      <c r="P83" s="3563"/>
      <c r="Q83" s="3568"/>
      <c r="R83" s="3568"/>
      <c r="S83" s="3568"/>
      <c r="T83" s="3568"/>
      <c r="U83" s="3568"/>
      <c r="V83" s="3568"/>
      <c r="W83" s="3568"/>
      <c r="X83" s="3568"/>
      <c r="Y83" s="3568"/>
      <c r="Z83" s="3568"/>
      <c r="AA83" s="3"/>
      <c r="AB83" s="3594"/>
      <c r="AC83" s="3553" t="s">
        <v>5675</v>
      </c>
      <c r="AD83" s="3553"/>
      <c r="AE83" s="3553"/>
      <c r="AF83" s="3553"/>
      <c r="AG83" s="3553"/>
      <c r="AH83" s="3553"/>
      <c r="AI83" s="3553"/>
      <c r="AJ83" s="3553"/>
      <c r="AK83" s="3553"/>
      <c r="AL83" s="3553"/>
      <c r="AM83" s="3"/>
      <c r="AN83" s="3573"/>
      <c r="AO83" s="3552"/>
      <c r="AP83" s="3552"/>
      <c r="AQ83" s="3552"/>
      <c r="AR83" s="3552"/>
      <c r="AS83" s="3552"/>
      <c r="AT83" s="3552"/>
      <c r="AU83" s="3552"/>
      <c r="AV83" s="3552"/>
      <c r="AW83" s="3552"/>
      <c r="AX83" s="3552"/>
    </row>
    <row r="84" spans="15:50" ht="21.95" customHeight="1">
      <c r="O84" s="3"/>
      <c r="P84" s="3563"/>
      <c r="Q84" s="3568"/>
      <c r="R84" s="3568"/>
      <c r="S84" s="3568"/>
      <c r="T84" s="3568"/>
      <c r="U84" s="3568"/>
      <c r="V84" s="3568"/>
      <c r="W84" s="3568"/>
      <c r="X84" s="3568"/>
      <c r="Y84" s="3568"/>
      <c r="Z84" s="3568"/>
      <c r="AA84" s="3"/>
      <c r="AB84" s="3594"/>
      <c r="AC84" s="3553" t="s">
        <v>5718</v>
      </c>
      <c r="AD84" s="3553"/>
      <c r="AE84" s="3553"/>
      <c r="AF84" s="3553"/>
      <c r="AG84" s="3553"/>
      <c r="AH84" s="3553"/>
      <c r="AI84" s="3553"/>
      <c r="AJ84" s="3553"/>
      <c r="AK84" s="3553"/>
      <c r="AL84" s="3553"/>
      <c r="AM84" s="3"/>
    </row>
    <row r="85" spans="15:50" ht="21.95" customHeight="1">
      <c r="O85" s="3"/>
      <c r="P85" s="3563"/>
      <c r="Q85" s="3568"/>
      <c r="R85" s="3568"/>
      <c r="S85" s="3568"/>
      <c r="T85" s="3568"/>
      <c r="U85" s="3568"/>
      <c r="V85" s="3568"/>
      <c r="W85" s="3568"/>
      <c r="X85" s="3568"/>
      <c r="Y85" s="3568"/>
      <c r="Z85" s="3568"/>
      <c r="AA85" s="3"/>
      <c r="AB85" s="3594"/>
      <c r="AC85" s="3553" t="s">
        <v>5719</v>
      </c>
      <c r="AD85" s="3553"/>
      <c r="AE85" s="3553"/>
      <c r="AF85" s="3553"/>
      <c r="AG85" s="3553"/>
      <c r="AH85" s="3553"/>
      <c r="AI85" s="3553"/>
      <c r="AJ85" s="3553"/>
      <c r="AK85" s="3553"/>
      <c r="AL85" s="3553"/>
      <c r="AM85" s="3"/>
    </row>
    <row r="86" spans="15:50" ht="21.95" customHeight="1">
      <c r="O86" s="3"/>
      <c r="P86" s="3563"/>
      <c r="Q86" s="3568"/>
      <c r="R86" s="3568"/>
      <c r="S86" s="3568"/>
      <c r="T86" s="3568"/>
      <c r="U86" s="3568"/>
      <c r="V86" s="3568"/>
      <c r="W86" s="3568"/>
      <c r="X86" s="3568"/>
      <c r="Y86" s="3568"/>
      <c r="Z86" s="3568"/>
      <c r="AA86" s="3"/>
      <c r="AB86" s="3594"/>
      <c r="AC86" s="3553" t="s">
        <v>5720</v>
      </c>
      <c r="AD86" s="3553"/>
      <c r="AE86" s="3553"/>
      <c r="AF86" s="3553"/>
      <c r="AG86" s="3553"/>
      <c r="AH86" s="3553"/>
      <c r="AI86" s="3553"/>
      <c r="AJ86" s="3553"/>
      <c r="AK86" s="3553"/>
      <c r="AL86" s="3553"/>
      <c r="AM86" s="3"/>
    </row>
    <row r="87" spans="15:50" ht="21.95" customHeight="1">
      <c r="O87" s="3"/>
      <c r="P87" s="3557" t="s">
        <v>5721</v>
      </c>
      <c r="Q87" s="3558"/>
      <c r="R87" s="3558"/>
      <c r="S87" s="3558"/>
      <c r="T87" s="3558"/>
      <c r="U87" s="3558"/>
      <c r="V87" s="3558"/>
      <c r="W87" s="3558"/>
      <c r="X87" s="3558"/>
      <c r="Y87" s="3558"/>
      <c r="Z87" s="3558"/>
      <c r="AA87" s="3"/>
      <c r="AB87" s="3594"/>
      <c r="AC87" s="3553" t="s">
        <v>5718</v>
      </c>
      <c r="AD87" s="3553"/>
      <c r="AE87" s="3553"/>
      <c r="AF87" s="3553"/>
      <c r="AG87" s="3553"/>
      <c r="AH87" s="3553"/>
      <c r="AI87" s="3553"/>
      <c r="AJ87" s="3553"/>
      <c r="AK87" s="3553"/>
      <c r="AL87" s="3553"/>
      <c r="AM87" s="3"/>
    </row>
    <row r="88" spans="15:50" ht="21.95" customHeight="1">
      <c r="O88" s="3"/>
      <c r="P88" s="3562" t="s">
        <v>5572</v>
      </c>
      <c r="Q88" s="3581" t="s">
        <v>5722</v>
      </c>
      <c r="R88" s="3581"/>
      <c r="S88" s="3581"/>
      <c r="T88" s="3581"/>
      <c r="U88" s="3581"/>
      <c r="V88" s="3581"/>
      <c r="W88" s="3581"/>
      <c r="X88" s="3581"/>
      <c r="Y88" s="3581"/>
      <c r="Z88" s="3581"/>
      <c r="AA88" s="3"/>
      <c r="AB88" s="3594"/>
      <c r="AC88" s="3553" t="s">
        <v>5723</v>
      </c>
      <c r="AD88" s="3553"/>
      <c r="AE88" s="3553"/>
      <c r="AF88" s="3553"/>
      <c r="AG88" s="3553"/>
      <c r="AH88" s="3553"/>
      <c r="AI88" s="3553"/>
      <c r="AJ88" s="3553"/>
      <c r="AK88" s="3553"/>
      <c r="AL88" s="3553"/>
      <c r="AM88" s="3"/>
    </row>
    <row r="89" spans="15:50" ht="21.95" customHeight="1">
      <c r="O89" s="3"/>
      <c r="P89" s="3563"/>
      <c r="Q89" s="3581"/>
      <c r="R89" s="3581"/>
      <c r="S89" s="3581"/>
      <c r="T89" s="3581"/>
      <c r="U89" s="3581"/>
      <c r="V89" s="3581"/>
      <c r="W89" s="3581"/>
      <c r="X89" s="3581"/>
      <c r="Y89" s="3581"/>
      <c r="Z89" s="3581"/>
      <c r="AA89" s="3"/>
      <c r="AB89" s="3594"/>
      <c r="AC89" s="3553" t="s">
        <v>5724</v>
      </c>
      <c r="AD89" s="3553"/>
      <c r="AE89" s="3553"/>
      <c r="AF89" s="3553"/>
      <c r="AG89" s="3553"/>
      <c r="AH89" s="3553"/>
      <c r="AI89" s="3553"/>
      <c r="AJ89" s="3553"/>
      <c r="AK89" s="3553"/>
      <c r="AL89" s="3553"/>
      <c r="AM89" s="3"/>
    </row>
    <row r="90" spans="15:50" ht="21.95" customHeight="1">
      <c r="O90" s="3"/>
      <c r="P90" s="3563"/>
      <c r="Q90" s="3581"/>
      <c r="R90" s="3581"/>
      <c r="S90" s="3581"/>
      <c r="T90" s="3581"/>
      <c r="U90" s="3581"/>
      <c r="V90" s="3581"/>
      <c r="W90" s="3581"/>
      <c r="X90" s="3581"/>
      <c r="Y90" s="3581"/>
      <c r="Z90" s="3581"/>
      <c r="AA90" s="3"/>
      <c r="AB90" s="3594"/>
      <c r="AC90" s="3553" t="s">
        <v>5725</v>
      </c>
      <c r="AD90" s="3553"/>
      <c r="AE90" s="3553"/>
      <c r="AF90" s="3553"/>
      <c r="AG90" s="3553"/>
      <c r="AH90" s="3553"/>
      <c r="AI90" s="3553"/>
      <c r="AJ90" s="3553"/>
      <c r="AK90" s="3553"/>
      <c r="AL90" s="3553"/>
      <c r="AM90" s="3"/>
    </row>
    <row r="91" spans="15:50" ht="21.95" customHeight="1">
      <c r="O91" s="3"/>
      <c r="P91" s="3557" t="s">
        <v>5726</v>
      </c>
      <c r="Q91" s="3558"/>
      <c r="R91" s="3558"/>
      <c r="S91" s="3558"/>
      <c r="T91" s="3558"/>
      <c r="U91" s="3558"/>
      <c r="V91" s="3558"/>
      <c r="W91" s="3558"/>
      <c r="X91" s="3558"/>
      <c r="Y91" s="3558"/>
      <c r="Z91" s="3558"/>
      <c r="AA91" s="3"/>
      <c r="AB91" s="3594"/>
      <c r="AC91" s="3553" t="s">
        <v>5727</v>
      </c>
      <c r="AD91" s="3553"/>
      <c r="AE91" s="3553"/>
      <c r="AF91" s="3553"/>
      <c r="AG91" s="3553"/>
      <c r="AH91" s="3553"/>
      <c r="AI91" s="3553"/>
      <c r="AJ91" s="3553"/>
      <c r="AK91" s="3553"/>
      <c r="AL91" s="3553"/>
      <c r="AM91" s="3"/>
    </row>
    <row r="92" spans="15:50" ht="21.95" customHeight="1">
      <c r="O92" s="3"/>
      <c r="P92" s="3562" t="s">
        <v>5572</v>
      </c>
      <c r="Q92" s="3581" t="s">
        <v>5728</v>
      </c>
      <c r="R92" s="3581"/>
      <c r="S92" s="3581"/>
      <c r="T92" s="3581"/>
      <c r="U92" s="3581"/>
      <c r="V92" s="3581"/>
      <c r="W92" s="3581"/>
      <c r="X92" s="3581"/>
      <c r="Y92" s="3581"/>
      <c r="Z92" s="3581"/>
      <c r="AA92" s="3"/>
      <c r="AB92" s="3594"/>
      <c r="AC92" s="3553" t="s">
        <v>5729</v>
      </c>
      <c r="AD92" s="3553"/>
      <c r="AE92" s="3553"/>
      <c r="AF92" s="3553"/>
      <c r="AG92" s="3553"/>
      <c r="AH92" s="3553"/>
      <c r="AI92" s="3553"/>
      <c r="AJ92" s="3553"/>
      <c r="AK92" s="3553"/>
      <c r="AL92" s="3553"/>
      <c r="AM92" s="3"/>
    </row>
    <row r="93" spans="15:50" ht="21.95" customHeight="1">
      <c r="O93" s="3"/>
      <c r="P93" s="3563"/>
      <c r="Q93" s="3581"/>
      <c r="R93" s="3581"/>
      <c r="S93" s="3581"/>
      <c r="T93" s="3581"/>
      <c r="U93" s="3581"/>
      <c r="V93" s="3581"/>
      <c r="W93" s="3581"/>
      <c r="X93" s="3581"/>
      <c r="Y93" s="3581"/>
      <c r="Z93" s="3581"/>
      <c r="AA93" s="3"/>
      <c r="AB93" s="3572" t="s">
        <v>5730</v>
      </c>
      <c r="AC93" s="3552" t="s">
        <v>5731</v>
      </c>
      <c r="AD93" s="3552"/>
      <c r="AE93" s="3552"/>
      <c r="AF93" s="3552"/>
      <c r="AG93" s="3552"/>
      <c r="AH93" s="3552"/>
      <c r="AI93" s="3552"/>
      <c r="AJ93" s="3552"/>
      <c r="AK93" s="3552"/>
      <c r="AL93" s="3552"/>
      <c r="AM93" s="3"/>
    </row>
    <row r="94" spans="15:50" ht="21.95" customHeight="1">
      <c r="O94" s="3"/>
      <c r="P94" s="3563"/>
      <c r="Q94" s="3581"/>
      <c r="R94" s="3581"/>
      <c r="S94" s="3581"/>
      <c r="T94" s="3581"/>
      <c r="U94" s="3581"/>
      <c r="V94" s="3581"/>
      <c r="W94" s="3581"/>
      <c r="X94" s="3581"/>
      <c r="Y94" s="3581"/>
      <c r="Z94" s="3581"/>
      <c r="AA94" s="3"/>
      <c r="AB94" s="3573"/>
      <c r="AC94" s="3552" t="s">
        <v>5732</v>
      </c>
      <c r="AD94" s="3552"/>
      <c r="AE94" s="3552"/>
      <c r="AF94" s="3552"/>
      <c r="AG94" s="3552"/>
      <c r="AH94" s="3552"/>
      <c r="AI94" s="3552"/>
      <c r="AJ94" s="3552"/>
      <c r="AK94" s="3552"/>
      <c r="AL94" s="3552"/>
      <c r="AM94" s="3"/>
    </row>
    <row r="95" spans="15:50" ht="21.95" customHeight="1">
      <c r="O95" s="3"/>
      <c r="P95" s="3557" t="s">
        <v>5733</v>
      </c>
      <c r="Q95" s="3558"/>
      <c r="R95" s="3558"/>
      <c r="S95" s="3558"/>
      <c r="T95" s="3558"/>
      <c r="U95" s="3558"/>
      <c r="V95" s="3558"/>
      <c r="W95" s="3558"/>
      <c r="X95" s="3558"/>
      <c r="Y95" s="3558"/>
      <c r="Z95" s="3558"/>
      <c r="AA95" s="3"/>
      <c r="AB95" s="3573"/>
      <c r="AC95" s="3553" t="s">
        <v>5734</v>
      </c>
      <c r="AD95" s="3553"/>
      <c r="AE95" s="3553"/>
      <c r="AF95" s="3553"/>
      <c r="AG95" s="3553"/>
      <c r="AH95" s="3553"/>
      <c r="AI95" s="3553"/>
      <c r="AJ95" s="3553"/>
      <c r="AK95" s="3553"/>
      <c r="AL95" s="3553"/>
      <c r="AM95" s="3"/>
    </row>
    <row r="96" spans="15:50" ht="21.95" customHeight="1">
      <c r="O96" s="3"/>
      <c r="P96" s="3562" t="s">
        <v>5572</v>
      </c>
      <c r="Q96" s="3581" t="s">
        <v>5735</v>
      </c>
      <c r="R96" s="3581"/>
      <c r="S96" s="3581"/>
      <c r="T96" s="3581"/>
      <c r="U96" s="3581"/>
      <c r="V96" s="3581"/>
      <c r="W96" s="3581"/>
      <c r="X96" s="3581"/>
      <c r="Y96" s="3581"/>
      <c r="Z96" s="3581"/>
      <c r="AA96" s="3"/>
      <c r="AB96" s="3572" t="s">
        <v>5589</v>
      </c>
      <c r="AC96" s="3621" t="s">
        <v>5736</v>
      </c>
      <c r="AD96" s="3621"/>
      <c r="AE96" s="3621"/>
      <c r="AF96" s="3621"/>
      <c r="AG96" s="3621"/>
      <c r="AH96" s="3621"/>
      <c r="AI96" s="3621"/>
      <c r="AJ96" s="3621"/>
      <c r="AK96" s="3621"/>
      <c r="AL96" s="3621"/>
      <c r="AM96" s="3"/>
    </row>
    <row r="97" spans="15:39" ht="21.95" customHeight="1">
      <c r="O97" s="3"/>
      <c r="P97" s="3563"/>
      <c r="Q97" s="3581"/>
      <c r="R97" s="3581"/>
      <c r="S97" s="3581"/>
      <c r="T97" s="3581"/>
      <c r="U97" s="3581"/>
      <c r="V97" s="3581"/>
      <c r="W97" s="3581"/>
      <c r="X97" s="3581"/>
      <c r="Y97" s="3581"/>
      <c r="Z97" s="3581"/>
      <c r="AA97" s="3"/>
      <c r="AB97" s="3573"/>
      <c r="AC97" s="3553" t="s">
        <v>5737</v>
      </c>
      <c r="AD97" s="3553"/>
      <c r="AE97" s="3553"/>
      <c r="AF97" s="3553"/>
      <c r="AG97" s="3553"/>
      <c r="AH97" s="3553"/>
      <c r="AI97" s="3553"/>
      <c r="AJ97" s="3553"/>
      <c r="AK97" s="3553"/>
      <c r="AL97" s="3553"/>
      <c r="AM97" s="3"/>
    </row>
    <row r="98" spans="15:39" ht="21.95" customHeight="1">
      <c r="O98" s="3"/>
      <c r="P98" s="3563"/>
      <c r="Q98" s="3581"/>
      <c r="R98" s="3581"/>
      <c r="S98" s="3581"/>
      <c r="T98" s="3581"/>
      <c r="U98" s="3581"/>
      <c r="V98" s="3581"/>
      <c r="W98" s="3581"/>
      <c r="X98" s="3581"/>
      <c r="Y98" s="3581"/>
      <c r="Z98" s="3581"/>
      <c r="AA98" s="3"/>
      <c r="AB98" s="3572" t="s">
        <v>5595</v>
      </c>
      <c r="AC98" s="3553" t="s">
        <v>5738</v>
      </c>
      <c r="AD98" s="3553"/>
      <c r="AE98" s="3553"/>
      <c r="AF98" s="3553"/>
      <c r="AG98" s="3553"/>
      <c r="AH98" s="3553"/>
      <c r="AI98" s="3553"/>
      <c r="AJ98" s="3553"/>
      <c r="AK98" s="3553"/>
      <c r="AL98" s="3553"/>
      <c r="AM98" s="3"/>
    </row>
    <row r="99" spans="15:39" ht="21.95" customHeight="1">
      <c r="O99" s="3"/>
      <c r="P99" s="3557" t="s">
        <v>5739</v>
      </c>
      <c r="Q99" s="3558"/>
      <c r="R99" s="3558"/>
      <c r="S99" s="3558"/>
      <c r="T99" s="3558"/>
      <c r="U99" s="3558"/>
      <c r="V99" s="3558"/>
      <c r="W99" s="3558"/>
      <c r="X99" s="3558"/>
      <c r="Y99" s="3558"/>
      <c r="Z99" s="3558"/>
      <c r="AA99" s="3"/>
      <c r="AB99" s="3573"/>
      <c r="AC99" s="3553" t="s">
        <v>5740</v>
      </c>
      <c r="AD99" s="3553"/>
      <c r="AE99" s="3553"/>
      <c r="AF99" s="3553"/>
      <c r="AG99" s="3553"/>
      <c r="AH99" s="3553"/>
      <c r="AI99" s="3553"/>
      <c r="AJ99" s="3553"/>
      <c r="AK99" s="3553"/>
      <c r="AL99" s="3553"/>
      <c r="AM99" s="3"/>
    </row>
    <row r="100" spans="15:39" ht="21.95" customHeight="1">
      <c r="O100" s="3"/>
      <c r="P100" s="3562" t="s">
        <v>5741</v>
      </c>
      <c r="Q100" s="3581" t="s">
        <v>5742</v>
      </c>
      <c r="R100" s="3581"/>
      <c r="S100" s="3581"/>
      <c r="T100" s="3581"/>
      <c r="U100" s="3581"/>
      <c r="V100" s="3581"/>
      <c r="W100" s="3581"/>
      <c r="X100" s="3581"/>
      <c r="Y100" s="3581"/>
      <c r="Z100" s="3581"/>
      <c r="AA100" s="3"/>
      <c r="AB100" s="3573"/>
      <c r="AC100" s="3553" t="s">
        <v>5743</v>
      </c>
      <c r="AD100" s="3553"/>
      <c r="AE100" s="3553"/>
      <c r="AF100" s="3553"/>
      <c r="AG100" s="3553"/>
      <c r="AH100" s="3553"/>
      <c r="AI100" s="3553"/>
      <c r="AJ100" s="3553"/>
      <c r="AK100" s="3553"/>
      <c r="AL100" s="3553"/>
      <c r="AM100" s="3"/>
    </row>
    <row r="101" spans="15:39" ht="21.95" customHeight="1">
      <c r="O101" s="3"/>
      <c r="P101" s="3563"/>
      <c r="Q101" s="3581"/>
      <c r="R101" s="3581"/>
      <c r="S101" s="3581"/>
      <c r="T101" s="3581"/>
      <c r="U101" s="3581"/>
      <c r="V101" s="3581"/>
      <c r="W101" s="3581"/>
      <c r="X101" s="3581"/>
      <c r="Y101" s="3581"/>
      <c r="Z101" s="3581"/>
      <c r="AA101" s="3"/>
      <c r="AB101" s="3572" t="s">
        <v>5597</v>
      </c>
      <c r="AC101" s="3553" t="s">
        <v>5744</v>
      </c>
      <c r="AD101" s="3553"/>
      <c r="AE101" s="3553"/>
      <c r="AF101" s="3553"/>
      <c r="AG101" s="3553"/>
      <c r="AH101" s="3553"/>
      <c r="AI101" s="3553"/>
      <c r="AJ101" s="3553"/>
      <c r="AK101" s="3553"/>
      <c r="AL101" s="3553"/>
      <c r="AM101" s="3"/>
    </row>
    <row r="102" spans="15:39" ht="21.95" customHeight="1">
      <c r="O102" s="3"/>
      <c r="P102" s="3563"/>
      <c r="Q102" s="3581"/>
      <c r="R102" s="3581"/>
      <c r="S102" s="3581"/>
      <c r="T102" s="3581"/>
      <c r="U102" s="3581"/>
      <c r="V102" s="3581"/>
      <c r="W102" s="3581"/>
      <c r="X102" s="3581"/>
      <c r="Y102" s="3581"/>
      <c r="Z102" s="3581"/>
      <c r="AA102" s="3"/>
      <c r="AB102" s="3573"/>
      <c r="AC102" s="3552" t="s">
        <v>5745</v>
      </c>
      <c r="AD102" s="3552"/>
      <c r="AE102" s="3552"/>
      <c r="AF102" s="3552"/>
      <c r="AG102" s="3552"/>
      <c r="AH102" s="3552"/>
      <c r="AI102" s="3552"/>
      <c r="AJ102" s="3552"/>
      <c r="AK102" s="3552"/>
      <c r="AL102" s="3552"/>
      <c r="AM102" s="3"/>
    </row>
    <row r="103" spans="15:39" ht="21.95" customHeight="1">
      <c r="O103" s="3"/>
      <c r="P103" s="3562" t="s">
        <v>5746</v>
      </c>
      <c r="Q103" s="3581" t="s">
        <v>5747</v>
      </c>
      <c r="R103" s="3581"/>
      <c r="S103" s="3581"/>
      <c r="T103" s="3581"/>
      <c r="U103" s="3581"/>
      <c r="V103" s="3581"/>
      <c r="W103" s="3581"/>
      <c r="X103" s="3581"/>
      <c r="Y103" s="3581"/>
      <c r="Z103" s="3581"/>
      <c r="AA103" s="3"/>
      <c r="AB103" s="3573"/>
      <c r="AC103" s="3552"/>
      <c r="AD103" s="3552"/>
      <c r="AE103" s="3552"/>
      <c r="AF103" s="3552"/>
      <c r="AG103" s="3552"/>
      <c r="AH103" s="3552"/>
      <c r="AI103" s="3552"/>
      <c r="AJ103" s="3552"/>
      <c r="AK103" s="3552"/>
      <c r="AL103" s="3552"/>
      <c r="AM103" s="3"/>
    </row>
    <row r="104" spans="15:39" ht="21.95" customHeight="1">
      <c r="O104" s="3"/>
      <c r="P104" s="3563"/>
      <c r="Q104" s="3581"/>
      <c r="R104" s="3581"/>
      <c r="S104" s="3581"/>
      <c r="T104" s="3581"/>
      <c r="U104" s="3581"/>
      <c r="V104" s="3581"/>
      <c r="W104" s="3581"/>
      <c r="X104" s="3581"/>
      <c r="Y104" s="3581"/>
      <c r="Z104" s="3581"/>
      <c r="AA104" s="3"/>
      <c r="AB104" s="3573"/>
      <c r="AC104" s="3553" t="s">
        <v>5748</v>
      </c>
      <c r="AD104" s="3553"/>
      <c r="AE104" s="3553"/>
      <c r="AF104" s="3553"/>
      <c r="AG104" s="3553"/>
      <c r="AH104" s="3553"/>
      <c r="AI104" s="3553"/>
      <c r="AJ104" s="3553"/>
      <c r="AK104" s="3553"/>
      <c r="AL104" s="3553"/>
      <c r="AM104" s="3"/>
    </row>
    <row r="105" spans="15:39" ht="21.95" customHeight="1">
      <c r="O105" s="3"/>
      <c r="P105" s="3563"/>
      <c r="Q105" s="3581"/>
      <c r="R105" s="3581"/>
      <c r="S105" s="3581"/>
      <c r="T105" s="3581"/>
      <c r="U105" s="3581"/>
      <c r="V105" s="3581"/>
      <c r="W105" s="3581"/>
      <c r="X105" s="3581"/>
      <c r="Y105" s="3581"/>
      <c r="Z105" s="3581"/>
      <c r="AA105" s="3"/>
      <c r="AB105" s="3572" t="s">
        <v>5749</v>
      </c>
      <c r="AC105" s="3553" t="s">
        <v>5750</v>
      </c>
      <c r="AD105" s="3553"/>
      <c r="AE105" s="3553"/>
      <c r="AF105" s="3553"/>
      <c r="AG105" s="3553"/>
      <c r="AH105" s="3553"/>
      <c r="AI105" s="3553"/>
      <c r="AJ105" s="3553"/>
      <c r="AK105" s="3553"/>
      <c r="AL105" s="3553"/>
      <c r="AM105" s="3"/>
    </row>
    <row r="106" spans="15:39" ht="21.95" customHeight="1">
      <c r="O106" s="3"/>
      <c r="P106" s="3562" t="s">
        <v>5751</v>
      </c>
      <c r="Q106" s="3581" t="s">
        <v>5752</v>
      </c>
      <c r="R106" s="3581"/>
      <c r="S106" s="3581"/>
      <c r="T106" s="3581"/>
      <c r="U106" s="3581"/>
      <c r="V106" s="3581"/>
      <c r="W106" s="3581"/>
      <c r="X106" s="3581"/>
      <c r="Y106" s="3581"/>
      <c r="Z106" s="3581"/>
      <c r="AA106" s="3"/>
      <c r="AB106" s="3573"/>
      <c r="AC106" s="3553" t="s">
        <v>5753</v>
      </c>
      <c r="AD106" s="3553"/>
      <c r="AE106" s="3553"/>
      <c r="AF106" s="3553"/>
      <c r="AG106" s="3553"/>
      <c r="AH106" s="3553"/>
      <c r="AI106" s="3553"/>
      <c r="AJ106" s="3553"/>
      <c r="AK106" s="3553"/>
      <c r="AL106" s="3553"/>
      <c r="AM106" s="3"/>
    </row>
    <row r="107" spans="15:39" ht="21.95" customHeight="1">
      <c r="O107" s="3"/>
      <c r="P107" s="3563"/>
      <c r="Q107" s="3581"/>
      <c r="R107" s="3581"/>
      <c r="S107" s="3581"/>
      <c r="T107" s="3581"/>
      <c r="U107" s="3581"/>
      <c r="V107" s="3581"/>
      <c r="W107" s="3581"/>
      <c r="X107" s="3581"/>
      <c r="Y107" s="3581"/>
      <c r="Z107" s="3581"/>
      <c r="AA107" s="3"/>
      <c r="AB107" s="3573"/>
      <c r="AC107" s="3553" t="s">
        <v>5754</v>
      </c>
      <c r="AD107" s="3553"/>
      <c r="AE107" s="3553"/>
      <c r="AF107" s="3553"/>
      <c r="AG107" s="3553"/>
      <c r="AH107" s="3553"/>
      <c r="AI107" s="3553"/>
      <c r="AJ107" s="3553"/>
      <c r="AK107" s="3553"/>
      <c r="AL107" s="3553"/>
      <c r="AM107" s="3"/>
    </row>
    <row r="108" spans="15:39" ht="21.95" customHeight="1">
      <c r="O108" s="3"/>
      <c r="P108" s="3562" t="s">
        <v>108</v>
      </c>
      <c r="Q108" s="3582" t="s">
        <v>5755</v>
      </c>
      <c r="R108" s="3582"/>
      <c r="S108" s="3582"/>
      <c r="T108" s="3582"/>
      <c r="U108" s="3582"/>
      <c r="V108" s="3582"/>
      <c r="W108" s="3582"/>
      <c r="X108" s="3582"/>
      <c r="Y108" s="3582"/>
      <c r="Z108" s="3582"/>
      <c r="AA108" s="3"/>
      <c r="AB108" s="3573"/>
      <c r="AC108" s="3553" t="s">
        <v>5756</v>
      </c>
      <c r="AD108" s="3553"/>
      <c r="AE108" s="3553"/>
      <c r="AF108" s="3553"/>
      <c r="AG108" s="3553"/>
      <c r="AH108" s="3553"/>
      <c r="AI108" s="3553"/>
      <c r="AJ108" s="3553"/>
      <c r="AK108" s="3553"/>
      <c r="AL108" s="3553"/>
      <c r="AM108" s="3"/>
    </row>
    <row r="109" spans="15:39" ht="21.95" customHeight="1">
      <c r="O109" s="3"/>
      <c r="P109" s="3620"/>
      <c r="Q109" s="3583"/>
      <c r="R109" s="3583"/>
      <c r="S109" s="3583"/>
      <c r="T109" s="3583"/>
      <c r="U109" s="3583"/>
      <c r="V109" s="3583"/>
      <c r="W109" s="3583"/>
      <c r="X109" s="3583"/>
      <c r="Y109" s="3583"/>
      <c r="Z109" s="3583"/>
      <c r="AA109" s="3"/>
      <c r="AB109" s="3595" t="s">
        <v>5699</v>
      </c>
      <c r="AC109" s="3602" t="s">
        <v>5757</v>
      </c>
      <c r="AD109" s="3619"/>
      <c r="AE109" s="3619"/>
      <c r="AF109" s="3619"/>
      <c r="AG109" s="3619"/>
      <c r="AH109" s="3619"/>
      <c r="AI109" s="3619"/>
      <c r="AJ109" s="3619"/>
      <c r="AK109" s="3619"/>
      <c r="AL109" s="3619"/>
      <c r="AM109" s="3"/>
    </row>
    <row r="110" spans="15:39" ht="21.95" customHeight="1">
      <c r="O110" s="3"/>
      <c r="P110" s="3557" t="s">
        <v>5758</v>
      </c>
      <c r="Q110" s="3558"/>
      <c r="R110" s="3558"/>
      <c r="S110" s="3558"/>
      <c r="T110" s="3558"/>
      <c r="U110" s="3558"/>
      <c r="V110" s="3558"/>
      <c r="W110" s="3558"/>
      <c r="X110" s="3558"/>
      <c r="Y110" s="3558"/>
      <c r="Z110" s="3558"/>
      <c r="AA110" s="3"/>
      <c r="AB110" s="3596"/>
      <c r="AC110" s="3553" t="s">
        <v>5759</v>
      </c>
      <c r="AD110" s="3553"/>
      <c r="AE110" s="3553"/>
      <c r="AF110" s="3553"/>
      <c r="AG110" s="3553"/>
      <c r="AH110" s="3553"/>
      <c r="AI110" s="3553"/>
      <c r="AJ110" s="3553"/>
      <c r="AK110" s="3553"/>
      <c r="AL110" s="3553"/>
      <c r="AM110" s="3"/>
    </row>
    <row r="111" spans="15:39" ht="21.95" customHeight="1">
      <c r="O111" s="3"/>
      <c r="P111" s="3562" t="s">
        <v>5741</v>
      </c>
      <c r="Q111" s="3581" t="s">
        <v>5760</v>
      </c>
      <c r="R111" s="3581"/>
      <c r="S111" s="3581"/>
      <c r="T111" s="3581"/>
      <c r="U111" s="3581"/>
      <c r="V111" s="3581"/>
      <c r="W111" s="3581"/>
      <c r="X111" s="3581"/>
      <c r="Y111" s="3581"/>
      <c r="Z111" s="3581"/>
      <c r="AA111" s="3"/>
      <c r="AB111" s="3596"/>
      <c r="AC111" s="3553" t="s">
        <v>5761</v>
      </c>
      <c r="AD111" s="3553"/>
      <c r="AE111" s="3553"/>
      <c r="AF111" s="3553"/>
      <c r="AG111" s="3553"/>
      <c r="AH111" s="3553"/>
      <c r="AI111" s="3553"/>
      <c r="AJ111" s="3553"/>
      <c r="AK111" s="3553"/>
      <c r="AL111" s="3553"/>
      <c r="AM111" s="3"/>
    </row>
    <row r="112" spans="15:39" ht="21.95" customHeight="1">
      <c r="O112" s="3"/>
      <c r="P112" s="3563"/>
      <c r="Q112" s="3581"/>
      <c r="R112" s="3581"/>
      <c r="S112" s="3581"/>
      <c r="T112" s="3581"/>
      <c r="U112" s="3581"/>
      <c r="V112" s="3581"/>
      <c r="W112" s="3581"/>
      <c r="X112" s="3581"/>
      <c r="Y112" s="3581"/>
      <c r="Z112" s="3581"/>
      <c r="AA112" s="3"/>
      <c r="AB112" s="3596"/>
      <c r="AC112" s="3553" t="s">
        <v>5762</v>
      </c>
      <c r="AD112" s="3553"/>
      <c r="AE112" s="3553"/>
      <c r="AF112" s="3553"/>
      <c r="AG112" s="3553"/>
      <c r="AH112" s="3553"/>
      <c r="AI112" s="3553"/>
      <c r="AJ112" s="3553"/>
      <c r="AK112" s="3553"/>
      <c r="AL112" s="3553"/>
      <c r="AM112" s="3"/>
    </row>
    <row r="113" spans="15:39" ht="21.95" customHeight="1">
      <c r="O113" s="3"/>
      <c r="P113" s="3563"/>
      <c r="Q113" s="3581"/>
      <c r="R113" s="3581"/>
      <c r="S113" s="3581"/>
      <c r="T113" s="3581"/>
      <c r="U113" s="3581"/>
      <c r="V113" s="3581"/>
      <c r="W113" s="3581"/>
      <c r="X113" s="3581"/>
      <c r="Y113" s="3581"/>
      <c r="Z113" s="3581"/>
      <c r="AA113" s="3"/>
      <c r="AB113" s="3557" t="s">
        <v>5763</v>
      </c>
      <c r="AC113" s="3558"/>
      <c r="AD113" s="3558"/>
      <c r="AE113" s="3558"/>
      <c r="AF113" s="3558"/>
      <c r="AG113" s="3558"/>
      <c r="AH113" s="3558"/>
      <c r="AI113" s="3558"/>
      <c r="AJ113" s="3558"/>
      <c r="AK113" s="3558"/>
      <c r="AL113" s="3558"/>
      <c r="AM113" s="3"/>
    </row>
    <row r="114" spans="15:39" ht="21.95" customHeight="1">
      <c r="O114" s="3"/>
      <c r="P114" s="3562" t="s">
        <v>5589</v>
      </c>
      <c r="Q114" s="3581" t="s">
        <v>5764</v>
      </c>
      <c r="R114" s="3581"/>
      <c r="S114" s="3581"/>
      <c r="T114" s="3581"/>
      <c r="U114" s="3581"/>
      <c r="V114" s="3581"/>
      <c r="W114" s="3581"/>
      <c r="X114" s="3581"/>
      <c r="Y114" s="3581"/>
      <c r="Z114" s="3581"/>
      <c r="AA114" s="3"/>
      <c r="AB114" s="3591" t="s">
        <v>5574</v>
      </c>
      <c r="AC114" s="3552" t="s">
        <v>5765</v>
      </c>
      <c r="AD114" s="3552"/>
      <c r="AE114" s="3552"/>
      <c r="AF114" s="3552"/>
      <c r="AG114" s="3552"/>
      <c r="AH114" s="3552"/>
      <c r="AI114" s="3552"/>
      <c r="AJ114" s="3552"/>
      <c r="AK114" s="3552"/>
      <c r="AL114" s="3552"/>
      <c r="AM114" s="3"/>
    </row>
    <row r="115" spans="15:39" ht="21.95" customHeight="1">
      <c r="O115" s="3"/>
      <c r="P115" s="3563"/>
      <c r="Q115" s="3581"/>
      <c r="R115" s="3581"/>
      <c r="S115" s="3581"/>
      <c r="T115" s="3581"/>
      <c r="U115" s="3581"/>
      <c r="V115" s="3581"/>
      <c r="W115" s="3581"/>
      <c r="X115" s="3581"/>
      <c r="Y115" s="3581"/>
      <c r="Z115" s="3581"/>
      <c r="AA115" s="3"/>
      <c r="AB115" s="3592"/>
      <c r="AC115" s="3552" t="s">
        <v>5766</v>
      </c>
      <c r="AD115" s="3552"/>
      <c r="AE115" s="3552"/>
      <c r="AF115" s="3552"/>
      <c r="AG115" s="3552"/>
      <c r="AH115" s="3552"/>
      <c r="AI115" s="3552"/>
      <c r="AJ115" s="3552"/>
      <c r="AK115" s="3552"/>
      <c r="AL115" s="3552"/>
      <c r="AM115" s="3"/>
    </row>
    <row r="116" spans="15:39" ht="21.95" customHeight="1">
      <c r="O116" s="3"/>
      <c r="P116" s="3563"/>
      <c r="Q116" s="3581"/>
      <c r="R116" s="3581"/>
      <c r="S116" s="3581"/>
      <c r="T116" s="3581"/>
      <c r="U116" s="3581"/>
      <c r="V116" s="3581"/>
      <c r="W116" s="3581"/>
      <c r="X116" s="3581"/>
      <c r="Y116" s="3581"/>
      <c r="Z116" s="3581"/>
      <c r="AA116" s="3"/>
      <c r="AB116" s="9" t="s">
        <v>5751</v>
      </c>
      <c r="AC116" s="3553" t="s">
        <v>395</v>
      </c>
      <c r="AD116" s="3553"/>
      <c r="AE116" s="3553"/>
      <c r="AF116" s="3553"/>
      <c r="AG116" s="3553"/>
      <c r="AH116" s="3553"/>
      <c r="AI116" s="3553"/>
      <c r="AJ116" s="3553"/>
      <c r="AK116" s="3553"/>
      <c r="AL116" s="3553"/>
      <c r="AM116" s="3"/>
    </row>
    <row r="117" spans="15:39" ht="21.95" customHeight="1">
      <c r="O117" s="3"/>
      <c r="P117" s="3562" t="s">
        <v>5595</v>
      </c>
      <c r="Q117" s="3581" t="s">
        <v>5767</v>
      </c>
      <c r="R117" s="3581"/>
      <c r="S117" s="3581"/>
      <c r="T117" s="3581"/>
      <c r="U117" s="3581"/>
      <c r="V117" s="3581"/>
      <c r="W117" s="3581"/>
      <c r="X117" s="3581"/>
      <c r="Y117" s="3581"/>
      <c r="Z117" s="3581"/>
      <c r="AA117" s="3"/>
      <c r="AB117" s="3597" t="s">
        <v>5768</v>
      </c>
      <c r="AC117" s="3552" t="s">
        <v>5769</v>
      </c>
      <c r="AD117" s="3553"/>
      <c r="AE117" s="3553"/>
      <c r="AF117" s="3553"/>
      <c r="AG117" s="3553"/>
      <c r="AH117" s="3553"/>
      <c r="AI117" s="3553"/>
      <c r="AJ117" s="3553"/>
      <c r="AK117" s="3553"/>
      <c r="AL117" s="3553"/>
      <c r="AM117" s="3"/>
    </row>
    <row r="118" spans="15:39" ht="21.95" customHeight="1">
      <c r="O118" s="3"/>
      <c r="P118" s="3563"/>
      <c r="Q118" s="3581"/>
      <c r="R118" s="3581"/>
      <c r="S118" s="3581"/>
      <c r="T118" s="3581"/>
      <c r="U118" s="3581"/>
      <c r="V118" s="3581"/>
      <c r="W118" s="3581"/>
      <c r="X118" s="3581"/>
      <c r="Y118" s="3581"/>
      <c r="Z118" s="3581"/>
      <c r="AA118" s="3"/>
      <c r="AB118" s="3598"/>
      <c r="AC118" s="3553"/>
      <c r="AD118" s="3553"/>
      <c r="AE118" s="3553"/>
      <c r="AF118" s="3553"/>
      <c r="AG118" s="3553"/>
      <c r="AH118" s="3553"/>
      <c r="AI118" s="3553"/>
      <c r="AJ118" s="3553"/>
      <c r="AK118" s="3553"/>
      <c r="AL118" s="3553"/>
      <c r="AM118" s="3"/>
    </row>
    <row r="119" spans="15:39" ht="21.95" customHeight="1">
      <c r="O119" s="3"/>
      <c r="P119" s="3562" t="s">
        <v>108</v>
      </c>
      <c r="Q119" s="3582" t="s">
        <v>5770</v>
      </c>
      <c r="R119" s="3582"/>
      <c r="S119" s="3582"/>
      <c r="T119" s="3582"/>
      <c r="U119" s="3582"/>
      <c r="V119" s="3582"/>
      <c r="W119" s="3582"/>
      <c r="X119" s="3582"/>
      <c r="Y119" s="3582"/>
      <c r="Z119" s="3582"/>
      <c r="AA119" s="3"/>
      <c r="AB119" s="3598"/>
      <c r="AC119" s="3553"/>
      <c r="AD119" s="3553"/>
      <c r="AE119" s="3553"/>
      <c r="AF119" s="3553"/>
      <c r="AG119" s="3553"/>
      <c r="AH119" s="3553"/>
      <c r="AI119" s="3553"/>
      <c r="AJ119" s="3553"/>
      <c r="AK119" s="3553"/>
      <c r="AL119" s="3553"/>
      <c r="AM119" s="3"/>
    </row>
    <row r="120" spans="15:39" ht="21.95" customHeight="1">
      <c r="O120" s="3"/>
      <c r="P120" s="3620"/>
      <c r="Q120" s="3583"/>
      <c r="R120" s="3583"/>
      <c r="S120" s="3583"/>
      <c r="T120" s="3583"/>
      <c r="U120" s="3583"/>
      <c r="V120" s="3583"/>
      <c r="W120" s="3583"/>
      <c r="X120" s="3583"/>
      <c r="Y120" s="3583"/>
      <c r="Z120" s="3583"/>
      <c r="AA120" s="3"/>
      <c r="AB120" s="3598"/>
      <c r="AC120" s="3553"/>
      <c r="AD120" s="3553"/>
      <c r="AE120" s="3553"/>
      <c r="AF120" s="3553"/>
      <c r="AG120" s="3553"/>
      <c r="AH120" s="3553"/>
      <c r="AI120" s="3553"/>
      <c r="AJ120" s="3553"/>
      <c r="AK120" s="3553"/>
      <c r="AL120" s="3553"/>
      <c r="AM120" s="3"/>
    </row>
    <row r="121" spans="15:39" ht="21.95" customHeight="1">
      <c r="O121" s="3"/>
      <c r="P121" s="3557" t="s">
        <v>5771</v>
      </c>
      <c r="Q121" s="3558"/>
      <c r="R121" s="3558"/>
      <c r="S121" s="3558"/>
      <c r="T121" s="3558"/>
      <c r="U121" s="3558"/>
      <c r="V121" s="3558"/>
      <c r="W121" s="3558"/>
      <c r="X121" s="3558"/>
      <c r="Y121" s="3558"/>
      <c r="Z121" s="3558"/>
      <c r="AA121" s="3"/>
      <c r="AB121" s="3598"/>
      <c r="AC121" s="3553" t="s">
        <v>5772</v>
      </c>
      <c r="AD121" s="3553"/>
      <c r="AE121" s="3553"/>
      <c r="AF121" s="3553"/>
      <c r="AG121" s="3553"/>
      <c r="AH121" s="3553"/>
      <c r="AI121" s="3553"/>
      <c r="AJ121" s="3553"/>
      <c r="AK121" s="3553"/>
      <c r="AL121" s="3553"/>
      <c r="AM121" s="3"/>
    </row>
    <row r="122" spans="15:39" ht="21.95" customHeight="1">
      <c r="O122" s="3"/>
      <c r="P122" s="3562" t="s">
        <v>5572</v>
      </c>
      <c r="Q122" s="3581" t="s">
        <v>5773</v>
      </c>
      <c r="R122" s="3569"/>
      <c r="S122" s="3569"/>
      <c r="T122" s="3569"/>
      <c r="U122" s="3569"/>
      <c r="V122" s="3569"/>
      <c r="W122" s="3569"/>
      <c r="X122" s="3569"/>
      <c r="Y122" s="3569"/>
      <c r="Z122" s="3569"/>
      <c r="AA122" s="3"/>
      <c r="AB122" s="3598"/>
      <c r="AC122" s="3552" t="s">
        <v>5774</v>
      </c>
      <c r="AD122" s="3552"/>
      <c r="AE122" s="3552"/>
      <c r="AF122" s="3552"/>
      <c r="AG122" s="3552"/>
      <c r="AH122" s="3552"/>
      <c r="AI122" s="3552"/>
      <c r="AJ122" s="3552"/>
      <c r="AK122" s="3552"/>
      <c r="AL122" s="3552"/>
      <c r="AM122" s="3"/>
    </row>
    <row r="123" spans="15:39" ht="21.95" customHeight="1">
      <c r="O123" s="3"/>
      <c r="P123" s="3563"/>
      <c r="Q123" s="3569"/>
      <c r="R123" s="3569"/>
      <c r="S123" s="3569"/>
      <c r="T123" s="3569"/>
      <c r="U123" s="3569"/>
      <c r="V123" s="3569"/>
      <c r="W123" s="3569"/>
      <c r="X123" s="3569"/>
      <c r="Y123" s="3569"/>
      <c r="Z123" s="3569"/>
      <c r="AA123" s="3"/>
      <c r="AB123" s="3598"/>
      <c r="AC123" s="3552"/>
      <c r="AD123" s="3552"/>
      <c r="AE123" s="3552"/>
      <c r="AF123" s="3552"/>
      <c r="AG123" s="3552"/>
      <c r="AH123" s="3552"/>
      <c r="AI123" s="3552"/>
      <c r="AJ123" s="3552"/>
      <c r="AK123" s="3552"/>
      <c r="AL123" s="3552"/>
      <c r="AM123" s="3"/>
    </row>
    <row r="124" spans="15:39" ht="21.95" customHeight="1">
      <c r="O124" s="3"/>
      <c r="P124" s="3563"/>
      <c r="Q124" s="3569"/>
      <c r="R124" s="3569"/>
      <c r="S124" s="3569"/>
      <c r="T124" s="3569"/>
      <c r="U124" s="3569"/>
      <c r="V124" s="3569"/>
      <c r="W124" s="3569"/>
      <c r="X124" s="3569"/>
      <c r="Y124" s="3569"/>
      <c r="Z124" s="3569"/>
      <c r="AA124" s="3"/>
      <c r="AB124" s="3598"/>
      <c r="AC124" s="3552"/>
      <c r="AD124" s="3552"/>
      <c r="AE124" s="3552"/>
      <c r="AF124" s="3552"/>
      <c r="AG124" s="3552"/>
      <c r="AH124" s="3552"/>
      <c r="AI124" s="3552"/>
      <c r="AJ124" s="3552"/>
      <c r="AK124" s="3552"/>
      <c r="AL124" s="3552"/>
      <c r="AM124" s="3"/>
    </row>
    <row r="125" spans="15:39" ht="21.95" customHeight="1">
      <c r="O125" s="3"/>
      <c r="P125" s="3563"/>
      <c r="Q125" s="3569"/>
      <c r="R125" s="3569"/>
      <c r="S125" s="3569"/>
      <c r="T125" s="3569"/>
      <c r="U125" s="3569"/>
      <c r="V125" s="3569"/>
      <c r="W125" s="3569"/>
      <c r="X125" s="3569"/>
      <c r="Y125" s="3569"/>
      <c r="Z125" s="3569"/>
      <c r="AA125" s="3"/>
      <c r="AB125" s="3572" t="s">
        <v>5775</v>
      </c>
      <c r="AC125" s="3553" t="s">
        <v>5776</v>
      </c>
      <c r="AD125" s="3553"/>
      <c r="AE125" s="3553"/>
      <c r="AF125" s="3553"/>
      <c r="AG125" s="3553"/>
      <c r="AH125" s="3553"/>
      <c r="AI125" s="3553"/>
      <c r="AJ125" s="3553"/>
      <c r="AK125" s="3553"/>
      <c r="AL125" s="3553"/>
      <c r="AM125" s="3"/>
    </row>
    <row r="126" spans="15:39" ht="21.95" customHeight="1">
      <c r="O126" s="3"/>
      <c r="P126" s="3563"/>
      <c r="Q126" s="3569"/>
      <c r="R126" s="3569"/>
      <c r="S126" s="3569"/>
      <c r="T126" s="3569"/>
      <c r="U126" s="3569"/>
      <c r="V126" s="3569"/>
      <c r="W126" s="3569"/>
      <c r="X126" s="3569"/>
      <c r="Y126" s="3569"/>
      <c r="Z126" s="3569"/>
      <c r="AA126" s="3"/>
      <c r="AB126" s="3573"/>
      <c r="AC126" s="3553" t="s">
        <v>5777</v>
      </c>
      <c r="AD126" s="3553"/>
      <c r="AE126" s="3553"/>
      <c r="AF126" s="3553"/>
      <c r="AG126" s="3553"/>
      <c r="AH126" s="3553"/>
      <c r="AI126" s="3553"/>
      <c r="AJ126" s="3553"/>
      <c r="AK126" s="3553"/>
      <c r="AL126" s="3553"/>
      <c r="AM126" s="3"/>
    </row>
    <row r="127" spans="15:39" ht="21.95" customHeight="1">
      <c r="O127" s="3"/>
      <c r="P127" s="3563"/>
      <c r="Q127" s="3569"/>
      <c r="R127" s="3569"/>
      <c r="S127" s="3569"/>
      <c r="T127" s="3569"/>
      <c r="U127" s="3569"/>
      <c r="V127" s="3569"/>
      <c r="W127" s="3569"/>
      <c r="X127" s="3569"/>
      <c r="Y127" s="3569"/>
      <c r="Z127" s="3569"/>
      <c r="AA127" s="3"/>
      <c r="AB127" s="3573"/>
      <c r="AC127" s="3553" t="s">
        <v>5778</v>
      </c>
      <c r="AD127" s="3553"/>
      <c r="AE127" s="3553"/>
      <c r="AF127" s="3553"/>
      <c r="AG127" s="3553"/>
      <c r="AH127" s="3553"/>
      <c r="AI127" s="3553"/>
      <c r="AJ127" s="3553"/>
      <c r="AK127" s="3553"/>
      <c r="AL127" s="3553"/>
      <c r="AM127" s="3"/>
    </row>
    <row r="128" spans="15:39" ht="21.95" customHeight="1">
      <c r="O128" s="3"/>
      <c r="P128" s="3563"/>
      <c r="Q128" s="3569"/>
      <c r="R128" s="3569"/>
      <c r="S128" s="3569"/>
      <c r="T128" s="3569"/>
      <c r="U128" s="3569"/>
      <c r="V128" s="3569"/>
      <c r="W128" s="3569"/>
      <c r="X128" s="3569"/>
      <c r="Y128" s="3569"/>
      <c r="Z128" s="3569"/>
      <c r="AA128" s="3"/>
      <c r="AB128" s="3573"/>
      <c r="AC128" s="3553" t="s">
        <v>5779</v>
      </c>
      <c r="AD128" s="3553"/>
      <c r="AE128" s="3553"/>
      <c r="AF128" s="3553"/>
      <c r="AG128" s="3553"/>
      <c r="AH128" s="3553"/>
      <c r="AI128" s="3553"/>
      <c r="AJ128" s="3553"/>
      <c r="AK128" s="3553"/>
      <c r="AL128" s="3553"/>
      <c r="AM128" s="3"/>
    </row>
    <row r="129" spans="15:39" ht="21.95" customHeight="1">
      <c r="O129" s="3"/>
      <c r="P129" s="3563"/>
      <c r="Q129" s="3569"/>
      <c r="R129" s="3569"/>
      <c r="S129" s="3569"/>
      <c r="T129" s="3569"/>
      <c r="U129" s="3569"/>
      <c r="V129" s="3569"/>
      <c r="W129" s="3569"/>
      <c r="X129" s="3569"/>
      <c r="Y129" s="3569"/>
      <c r="Z129" s="3569"/>
      <c r="AA129" s="3"/>
      <c r="AB129" s="3599" t="s">
        <v>5597</v>
      </c>
      <c r="AC129" s="3552" t="s">
        <v>5780</v>
      </c>
      <c r="AD129" s="3553"/>
      <c r="AE129" s="3553"/>
      <c r="AF129" s="3553"/>
      <c r="AG129" s="3553"/>
      <c r="AH129" s="3553"/>
      <c r="AI129" s="3553"/>
      <c r="AJ129" s="3553"/>
      <c r="AK129" s="3553"/>
      <c r="AL129" s="3553"/>
      <c r="AM129" s="3"/>
    </row>
    <row r="130" spans="15:39" ht="21.95" customHeight="1">
      <c r="O130" s="3"/>
      <c r="P130" s="3563"/>
      <c r="Q130" s="3569"/>
      <c r="R130" s="3569"/>
      <c r="S130" s="3569"/>
      <c r="T130" s="3569"/>
      <c r="U130" s="3569"/>
      <c r="V130" s="3569"/>
      <c r="W130" s="3569"/>
      <c r="X130" s="3569"/>
      <c r="Y130" s="3569"/>
      <c r="Z130" s="3569"/>
      <c r="AA130" s="3"/>
      <c r="AB130" s="3600"/>
      <c r="AC130" s="3553"/>
      <c r="AD130" s="3553"/>
      <c r="AE130" s="3553"/>
      <c r="AF130" s="3553"/>
      <c r="AG130" s="3553"/>
      <c r="AH130" s="3553"/>
      <c r="AI130" s="3553"/>
      <c r="AJ130" s="3553"/>
      <c r="AK130" s="3553"/>
      <c r="AL130" s="3553"/>
      <c r="AM130" s="3"/>
    </row>
    <row r="131" spans="15:39" ht="21.95" customHeight="1">
      <c r="O131" s="3"/>
      <c r="P131" s="3563"/>
      <c r="Q131" s="3569"/>
      <c r="R131" s="3569"/>
      <c r="S131" s="3569"/>
      <c r="T131" s="3569"/>
      <c r="U131" s="3569"/>
      <c r="V131" s="3569"/>
      <c r="W131" s="3569"/>
      <c r="X131" s="3569"/>
      <c r="Y131" s="3569"/>
      <c r="Z131" s="3569"/>
      <c r="AA131" s="3"/>
      <c r="AB131" s="3600"/>
      <c r="AC131" s="3553"/>
      <c r="AD131" s="3553"/>
      <c r="AE131" s="3553"/>
      <c r="AF131" s="3553"/>
      <c r="AG131" s="3553"/>
      <c r="AH131" s="3553"/>
      <c r="AI131" s="3553"/>
      <c r="AJ131" s="3553"/>
      <c r="AK131" s="3553"/>
      <c r="AL131" s="3553"/>
      <c r="AM131" s="3"/>
    </row>
    <row r="132" spans="15:39" ht="21.95" customHeight="1">
      <c r="O132" s="3"/>
      <c r="P132" s="3563"/>
      <c r="Q132" s="3569"/>
      <c r="R132" s="3569"/>
      <c r="S132" s="3569"/>
      <c r="T132" s="3569"/>
      <c r="U132" s="3569"/>
      <c r="V132" s="3569"/>
      <c r="W132" s="3569"/>
      <c r="X132" s="3569"/>
      <c r="Y132" s="3569"/>
      <c r="Z132" s="3569"/>
      <c r="AA132" s="3"/>
      <c r="AB132" s="3600"/>
      <c r="AC132" s="3553"/>
      <c r="AD132" s="3553"/>
      <c r="AE132" s="3553"/>
      <c r="AF132" s="3553"/>
      <c r="AG132" s="3553"/>
      <c r="AH132" s="3553"/>
      <c r="AI132" s="3553"/>
      <c r="AJ132" s="3553"/>
      <c r="AK132" s="3553"/>
      <c r="AL132" s="3553"/>
      <c r="AM132" s="3"/>
    </row>
    <row r="133" spans="15:39" ht="21.95" customHeight="1">
      <c r="O133" s="3"/>
      <c r="P133" s="3563"/>
      <c r="Q133" s="3569"/>
      <c r="R133" s="3569"/>
      <c r="S133" s="3569"/>
      <c r="T133" s="3569"/>
      <c r="U133" s="3569"/>
      <c r="V133" s="3569"/>
      <c r="W133" s="3569"/>
      <c r="X133" s="3569"/>
      <c r="Y133" s="3569"/>
      <c r="Z133" s="3569"/>
      <c r="AA133" s="3"/>
      <c r="AB133" s="3600"/>
      <c r="AC133" s="3552" t="s">
        <v>5781</v>
      </c>
      <c r="AD133" s="3552"/>
      <c r="AE133" s="3552"/>
      <c r="AF133" s="3552"/>
      <c r="AG133" s="3552"/>
      <c r="AH133" s="3552"/>
      <c r="AI133" s="3552"/>
      <c r="AJ133" s="3552"/>
      <c r="AK133" s="3552"/>
      <c r="AL133" s="3552"/>
      <c r="AM133" s="3"/>
    </row>
    <row r="134" spans="15:39" ht="21.95" customHeight="1">
      <c r="O134" s="3"/>
      <c r="P134" s="3563"/>
      <c r="Q134" s="3569"/>
      <c r="R134" s="3569"/>
      <c r="S134" s="3569"/>
      <c r="T134" s="3569"/>
      <c r="U134" s="3569"/>
      <c r="V134" s="3569"/>
      <c r="W134" s="3569"/>
      <c r="X134" s="3569"/>
      <c r="Y134" s="3569"/>
      <c r="Z134" s="3569"/>
      <c r="AA134" s="3"/>
      <c r="AB134" s="3600"/>
      <c r="AC134" s="3552"/>
      <c r="AD134" s="3552"/>
      <c r="AE134" s="3552"/>
      <c r="AF134" s="3552"/>
      <c r="AG134" s="3552"/>
      <c r="AH134" s="3552"/>
      <c r="AI134" s="3552"/>
      <c r="AJ134" s="3552"/>
      <c r="AK134" s="3552"/>
      <c r="AL134" s="3552"/>
      <c r="AM134" s="3"/>
    </row>
    <row r="135" spans="15:39" ht="21.95" customHeight="1">
      <c r="O135" s="3"/>
      <c r="P135" s="3563"/>
      <c r="Q135" s="3569"/>
      <c r="R135" s="3569"/>
      <c r="S135" s="3569"/>
      <c r="T135" s="3569"/>
      <c r="U135" s="3569"/>
      <c r="V135" s="3569"/>
      <c r="W135" s="3569"/>
      <c r="X135" s="3569"/>
      <c r="Y135" s="3569"/>
      <c r="Z135" s="3569"/>
      <c r="AA135" s="3"/>
      <c r="AB135" s="3600"/>
      <c r="AC135" s="3552"/>
      <c r="AD135" s="3552"/>
      <c r="AE135" s="3552"/>
      <c r="AF135" s="3552"/>
      <c r="AG135" s="3552"/>
      <c r="AH135" s="3552"/>
      <c r="AI135" s="3552"/>
      <c r="AJ135" s="3552"/>
      <c r="AK135" s="3552"/>
      <c r="AL135" s="3552"/>
      <c r="AM135" s="3"/>
    </row>
    <row r="136" spans="15:39" ht="21.95" customHeight="1">
      <c r="O136" s="3"/>
      <c r="P136" s="3563"/>
      <c r="Q136" s="3569"/>
      <c r="R136" s="3569"/>
      <c r="S136" s="3569"/>
      <c r="T136" s="3569"/>
      <c r="U136" s="3569"/>
      <c r="V136" s="3569"/>
      <c r="W136" s="3569"/>
      <c r="X136" s="3569"/>
      <c r="Y136" s="3569"/>
      <c r="Z136" s="3569"/>
      <c r="AA136" s="3"/>
      <c r="AB136" s="3600"/>
      <c r="AC136" s="3552" t="s">
        <v>5782</v>
      </c>
      <c r="AD136" s="3552"/>
      <c r="AE136" s="3552"/>
      <c r="AF136" s="3552"/>
      <c r="AG136" s="3552"/>
      <c r="AH136" s="3552"/>
      <c r="AI136" s="3552"/>
      <c r="AJ136" s="3552"/>
      <c r="AK136" s="3552"/>
      <c r="AL136" s="3552"/>
      <c r="AM136" s="3"/>
    </row>
    <row r="137" spans="15:39" ht="21.95" customHeight="1">
      <c r="O137" s="3"/>
      <c r="P137" s="3562" t="s">
        <v>108</v>
      </c>
      <c r="Q137" s="3567" t="s">
        <v>5783</v>
      </c>
      <c r="R137" s="3567"/>
      <c r="S137" s="3567"/>
      <c r="T137" s="3567"/>
      <c r="U137" s="3567"/>
      <c r="V137" s="3567"/>
      <c r="W137" s="3567"/>
      <c r="X137" s="3567"/>
      <c r="Y137" s="3567"/>
      <c r="Z137" s="3567"/>
      <c r="AA137" s="3"/>
      <c r="AB137" s="3600"/>
      <c r="AC137" s="3552" t="s">
        <v>5784</v>
      </c>
      <c r="AD137" s="3552"/>
      <c r="AE137" s="3552"/>
      <c r="AF137" s="3552"/>
      <c r="AG137" s="3552"/>
      <c r="AH137" s="3552"/>
      <c r="AI137" s="3552"/>
      <c r="AJ137" s="3552"/>
      <c r="AK137" s="3552"/>
      <c r="AL137" s="3552"/>
      <c r="AM137" s="3"/>
    </row>
    <row r="138" spans="15:39" ht="21.95" customHeight="1">
      <c r="O138" s="3"/>
      <c r="P138" s="3563"/>
      <c r="Q138" s="3567"/>
      <c r="R138" s="3567"/>
      <c r="S138" s="3567"/>
      <c r="T138" s="3567"/>
      <c r="U138" s="3567"/>
      <c r="V138" s="3567"/>
      <c r="W138" s="3567"/>
      <c r="X138" s="3567"/>
      <c r="Y138" s="3567"/>
      <c r="Z138" s="3567"/>
      <c r="AA138" s="3"/>
      <c r="AB138" s="3599" t="s">
        <v>5749</v>
      </c>
      <c r="AC138" s="3552" t="s">
        <v>5785</v>
      </c>
      <c r="AD138" s="3552"/>
      <c r="AE138" s="3552"/>
      <c r="AF138" s="3552"/>
      <c r="AG138" s="3552"/>
      <c r="AH138" s="3552"/>
      <c r="AI138" s="3552"/>
      <c r="AJ138" s="3552"/>
      <c r="AK138" s="3552"/>
      <c r="AL138" s="3552"/>
      <c r="AM138" s="3"/>
    </row>
    <row r="139" spans="15:39" ht="21.95" customHeight="1">
      <c r="O139" s="3"/>
      <c r="P139" s="3557" t="s">
        <v>5786</v>
      </c>
      <c r="Q139" s="3558"/>
      <c r="R139" s="3558"/>
      <c r="S139" s="3558"/>
      <c r="T139" s="3558"/>
      <c r="U139" s="3558"/>
      <c r="V139" s="3558"/>
      <c r="W139" s="3558"/>
      <c r="X139" s="3558"/>
      <c r="Y139" s="3558"/>
      <c r="Z139" s="3558"/>
      <c r="AA139" s="3"/>
      <c r="AB139" s="3600"/>
      <c r="AC139" s="3552"/>
      <c r="AD139" s="3552"/>
      <c r="AE139" s="3552"/>
      <c r="AF139" s="3552"/>
      <c r="AG139" s="3552"/>
      <c r="AH139" s="3552"/>
      <c r="AI139" s="3552"/>
      <c r="AJ139" s="3552"/>
      <c r="AK139" s="3552"/>
      <c r="AL139" s="3552"/>
      <c r="AM139" s="3"/>
    </row>
    <row r="140" spans="15:39" ht="21.95" customHeight="1">
      <c r="O140" s="3"/>
      <c r="P140" s="3562" t="s">
        <v>5741</v>
      </c>
      <c r="Q140" s="3569" t="s">
        <v>5787</v>
      </c>
      <c r="R140" s="3569"/>
      <c r="S140" s="3569"/>
      <c r="T140" s="3569"/>
      <c r="U140" s="3569"/>
      <c r="V140" s="3569"/>
      <c r="W140" s="3569"/>
      <c r="X140" s="3569"/>
      <c r="Y140" s="3569"/>
      <c r="Z140" s="3569"/>
      <c r="AA140" s="3"/>
      <c r="AB140" s="3600"/>
      <c r="AC140" s="3552"/>
      <c r="AD140" s="3552"/>
      <c r="AE140" s="3552"/>
      <c r="AF140" s="3552"/>
      <c r="AG140" s="3552"/>
      <c r="AH140" s="3552"/>
      <c r="AI140" s="3552"/>
      <c r="AJ140" s="3552"/>
      <c r="AK140" s="3552"/>
      <c r="AL140" s="3552"/>
      <c r="AM140" s="3"/>
    </row>
    <row r="141" spans="15:39" ht="21.95" customHeight="1">
      <c r="O141" s="3"/>
      <c r="P141" s="3563"/>
      <c r="Q141" s="3569"/>
      <c r="R141" s="3569"/>
      <c r="S141" s="3569"/>
      <c r="T141" s="3569"/>
      <c r="U141" s="3569"/>
      <c r="V141" s="3569"/>
      <c r="W141" s="3569"/>
      <c r="X141" s="3569"/>
      <c r="Y141" s="3569"/>
      <c r="Z141" s="3569"/>
      <c r="AA141" s="3"/>
      <c r="AB141" s="3600"/>
      <c r="AC141" s="3552"/>
      <c r="AD141" s="3552"/>
      <c r="AE141" s="3552"/>
      <c r="AF141" s="3552"/>
      <c r="AG141" s="3552"/>
      <c r="AH141" s="3552"/>
      <c r="AI141" s="3552"/>
      <c r="AJ141" s="3552"/>
      <c r="AK141" s="3552"/>
      <c r="AL141" s="3552"/>
      <c r="AM141" s="3"/>
    </row>
    <row r="142" spans="15:39" ht="21.95" customHeight="1">
      <c r="O142" s="3"/>
      <c r="P142" s="3563"/>
      <c r="Q142" s="3571" t="s">
        <v>5788</v>
      </c>
      <c r="R142" s="3571"/>
      <c r="S142" s="3571"/>
      <c r="T142" s="3571"/>
      <c r="U142" s="3571"/>
      <c r="V142" s="3571"/>
      <c r="W142" s="3571"/>
      <c r="X142" s="3571"/>
      <c r="Y142" s="3571"/>
      <c r="Z142" s="3571"/>
      <c r="AA142" s="3"/>
      <c r="AB142" s="3600"/>
      <c r="AC142" s="3552"/>
      <c r="AD142" s="3552"/>
      <c r="AE142" s="3552"/>
      <c r="AF142" s="3552"/>
      <c r="AG142" s="3552"/>
      <c r="AH142" s="3552"/>
      <c r="AI142" s="3552"/>
      <c r="AJ142" s="3552"/>
      <c r="AK142" s="3552"/>
      <c r="AL142" s="3552"/>
      <c r="AM142" s="3"/>
    </row>
    <row r="143" spans="15:39" ht="21.95" customHeight="1">
      <c r="O143" s="3"/>
      <c r="P143" s="3563"/>
      <c r="Q143" s="3571"/>
      <c r="R143" s="3571"/>
      <c r="S143" s="3571"/>
      <c r="T143" s="3571"/>
      <c r="U143" s="3571"/>
      <c r="V143" s="3571"/>
      <c r="W143" s="3571"/>
      <c r="X143" s="3571"/>
      <c r="Y143" s="3571"/>
      <c r="Z143" s="3571"/>
      <c r="AA143" s="3"/>
      <c r="AB143" s="3600"/>
      <c r="AC143" s="3552"/>
      <c r="AD143" s="3552"/>
      <c r="AE143" s="3552"/>
      <c r="AF143" s="3552"/>
      <c r="AG143" s="3552"/>
      <c r="AH143" s="3552"/>
      <c r="AI143" s="3552"/>
      <c r="AJ143" s="3552"/>
      <c r="AK143" s="3552"/>
      <c r="AL143" s="3552"/>
      <c r="AM143" s="3"/>
    </row>
    <row r="144" spans="15:39" ht="21.95" customHeight="1">
      <c r="O144" s="3"/>
      <c r="P144" s="3562" t="s">
        <v>5589</v>
      </c>
      <c r="Q144" s="3552" t="s">
        <v>5789</v>
      </c>
      <c r="R144" s="3552"/>
      <c r="S144" s="3552"/>
      <c r="T144" s="3552"/>
      <c r="U144" s="3552"/>
      <c r="V144" s="3552"/>
      <c r="W144" s="3552"/>
      <c r="X144" s="3552"/>
      <c r="Y144" s="3552"/>
      <c r="Z144" s="3552"/>
      <c r="AA144" s="3"/>
      <c r="AB144" s="3600"/>
      <c r="AC144" s="3552"/>
      <c r="AD144" s="3552"/>
      <c r="AE144" s="3552"/>
      <c r="AF144" s="3552"/>
      <c r="AG144" s="3552"/>
      <c r="AH144" s="3552"/>
      <c r="AI144" s="3552"/>
      <c r="AJ144" s="3552"/>
      <c r="AK144" s="3552"/>
      <c r="AL144" s="3552"/>
      <c r="AM144" s="3"/>
    </row>
    <row r="145" spans="15:39" ht="21.95" customHeight="1">
      <c r="O145" s="3"/>
      <c r="P145" s="3563"/>
      <c r="Q145" s="3552"/>
      <c r="R145" s="3552"/>
      <c r="S145" s="3552"/>
      <c r="T145" s="3552"/>
      <c r="U145" s="3552"/>
      <c r="V145" s="3552"/>
      <c r="W145" s="3552"/>
      <c r="X145" s="3552"/>
      <c r="Y145" s="3552"/>
      <c r="Z145" s="3552"/>
      <c r="AA145" s="3"/>
      <c r="AB145" s="3600"/>
      <c r="AC145" s="3552"/>
      <c r="AD145" s="3552"/>
      <c r="AE145" s="3552"/>
      <c r="AF145" s="3552"/>
      <c r="AG145" s="3552"/>
      <c r="AH145" s="3552"/>
      <c r="AI145" s="3552"/>
      <c r="AJ145" s="3552"/>
      <c r="AK145" s="3552"/>
      <c r="AL145" s="3552"/>
      <c r="AM145" s="3"/>
    </row>
    <row r="146" spans="15:39" ht="21.95" customHeight="1">
      <c r="O146" s="3"/>
      <c r="P146" s="3563"/>
      <c r="Q146" s="3552" t="s">
        <v>5790</v>
      </c>
      <c r="R146" s="3552"/>
      <c r="S146" s="3552"/>
      <c r="T146" s="3552"/>
      <c r="U146" s="3552"/>
      <c r="V146" s="3552"/>
      <c r="W146" s="3552"/>
      <c r="X146" s="3552"/>
      <c r="Y146" s="3552"/>
      <c r="Z146" s="3552"/>
      <c r="AA146" s="3"/>
      <c r="AB146" s="3600"/>
      <c r="AC146" s="3552"/>
      <c r="AD146" s="3552"/>
      <c r="AE146" s="3552"/>
      <c r="AF146" s="3552"/>
      <c r="AG146" s="3552"/>
      <c r="AH146" s="3552"/>
      <c r="AI146" s="3552"/>
      <c r="AJ146" s="3552"/>
      <c r="AK146" s="3552"/>
      <c r="AL146" s="3552"/>
      <c r="AM146" s="3"/>
    </row>
    <row r="147" spans="15:39" ht="21.95" customHeight="1">
      <c r="O147" s="3"/>
      <c r="P147" s="3563"/>
      <c r="Q147" s="3552"/>
      <c r="R147" s="3552"/>
      <c r="S147" s="3552"/>
      <c r="T147" s="3552"/>
      <c r="U147" s="3552"/>
      <c r="V147" s="3552"/>
      <c r="W147" s="3552"/>
      <c r="X147" s="3552"/>
      <c r="Y147" s="3552"/>
      <c r="Z147" s="3552"/>
      <c r="AA147" s="3"/>
      <c r="AB147" s="3600"/>
      <c r="AC147" s="3552"/>
      <c r="AD147" s="3552"/>
      <c r="AE147" s="3552"/>
      <c r="AF147" s="3552"/>
      <c r="AG147" s="3552"/>
      <c r="AH147" s="3552"/>
      <c r="AI147" s="3552"/>
      <c r="AJ147" s="3552"/>
      <c r="AK147" s="3552"/>
      <c r="AL147" s="3552"/>
      <c r="AM147" s="3"/>
    </row>
    <row r="148" spans="15:39" ht="21.95" customHeight="1">
      <c r="O148" s="3"/>
      <c r="P148" s="3562" t="s">
        <v>5775</v>
      </c>
      <c r="Q148" s="3569" t="s">
        <v>5791</v>
      </c>
      <c r="R148" s="3569"/>
      <c r="S148" s="3569"/>
      <c r="T148" s="3569"/>
      <c r="U148" s="3569"/>
      <c r="V148" s="3569"/>
      <c r="W148" s="3569"/>
      <c r="X148" s="3569"/>
      <c r="Y148" s="3569"/>
      <c r="Z148" s="3569"/>
      <c r="AA148" s="3"/>
      <c r="AB148" s="3600"/>
      <c r="AC148" s="3552" t="s">
        <v>5792</v>
      </c>
      <c r="AD148" s="3552"/>
      <c r="AE148" s="3552"/>
      <c r="AF148" s="3552"/>
      <c r="AG148" s="3552"/>
      <c r="AH148" s="3552"/>
      <c r="AI148" s="3552"/>
      <c r="AJ148" s="3552"/>
      <c r="AK148" s="3552"/>
      <c r="AL148" s="3552"/>
      <c r="AM148" s="3"/>
    </row>
    <row r="149" spans="15:39" ht="21.95" customHeight="1">
      <c r="O149" s="3"/>
      <c r="P149" s="3563"/>
      <c r="Q149" s="3569"/>
      <c r="R149" s="3569"/>
      <c r="S149" s="3569"/>
      <c r="T149" s="3569"/>
      <c r="U149" s="3569"/>
      <c r="V149" s="3569"/>
      <c r="W149" s="3569"/>
      <c r="X149" s="3569"/>
      <c r="Y149" s="3569"/>
      <c r="Z149" s="3569"/>
      <c r="AA149" s="3"/>
      <c r="AB149" s="3600"/>
      <c r="AC149" s="3552"/>
      <c r="AD149" s="3552"/>
      <c r="AE149" s="3552"/>
      <c r="AF149" s="3552"/>
      <c r="AG149" s="3552"/>
      <c r="AH149" s="3552"/>
      <c r="AI149" s="3552"/>
      <c r="AJ149" s="3552"/>
      <c r="AK149" s="3552"/>
      <c r="AL149" s="3552"/>
      <c r="AM149" s="3"/>
    </row>
    <row r="150" spans="15:39" ht="21.95" customHeight="1">
      <c r="O150" s="3"/>
      <c r="P150" s="3563"/>
      <c r="Q150" s="3569"/>
      <c r="R150" s="3569"/>
      <c r="S150" s="3569"/>
      <c r="T150" s="3569"/>
      <c r="U150" s="3569"/>
      <c r="V150" s="3569"/>
      <c r="W150" s="3569"/>
      <c r="X150" s="3569"/>
      <c r="Y150" s="3569"/>
      <c r="Z150" s="3569"/>
      <c r="AA150" s="3"/>
      <c r="AB150" s="3600"/>
      <c r="AC150" s="3552"/>
      <c r="AD150" s="3552"/>
      <c r="AE150" s="3552"/>
      <c r="AF150" s="3552"/>
      <c r="AG150" s="3552"/>
      <c r="AH150" s="3552"/>
      <c r="AI150" s="3552"/>
      <c r="AJ150" s="3552"/>
      <c r="AK150" s="3552"/>
      <c r="AL150" s="3552"/>
      <c r="AM150" s="3"/>
    </row>
    <row r="151" spans="15:39" ht="21.95" customHeight="1">
      <c r="O151" s="3"/>
      <c r="P151" s="3562" t="s">
        <v>5600</v>
      </c>
      <c r="Q151" s="3569" t="s">
        <v>5793</v>
      </c>
      <c r="R151" s="3569"/>
      <c r="S151" s="3569"/>
      <c r="T151" s="3569"/>
      <c r="U151" s="3569"/>
      <c r="V151" s="3569"/>
      <c r="W151" s="3569"/>
      <c r="X151" s="3569"/>
      <c r="Y151" s="3569"/>
      <c r="Z151" s="3569"/>
      <c r="AA151" s="3"/>
      <c r="AB151" s="3600"/>
      <c r="AC151" s="3552"/>
      <c r="AD151" s="3552"/>
      <c r="AE151" s="3552"/>
      <c r="AF151" s="3552"/>
      <c r="AG151" s="3552"/>
      <c r="AH151" s="3552"/>
      <c r="AI151" s="3552"/>
      <c r="AJ151" s="3552"/>
      <c r="AK151" s="3552"/>
      <c r="AL151" s="3552"/>
      <c r="AM151" s="3"/>
    </row>
    <row r="152" spans="15:39" ht="21.95" customHeight="1">
      <c r="O152" s="3"/>
      <c r="P152" s="3563"/>
      <c r="Q152" s="3569"/>
      <c r="R152" s="3569"/>
      <c r="S152" s="3569"/>
      <c r="T152" s="3569"/>
      <c r="U152" s="3569"/>
      <c r="V152" s="3569"/>
      <c r="W152" s="3569"/>
      <c r="X152" s="3569"/>
      <c r="Y152" s="3569"/>
      <c r="Z152" s="3569"/>
      <c r="AA152" s="3"/>
      <c r="AB152" s="3600"/>
      <c r="AC152" s="3552"/>
      <c r="AD152" s="3552"/>
      <c r="AE152" s="3552"/>
      <c r="AF152" s="3552"/>
      <c r="AG152" s="3552"/>
      <c r="AH152" s="3552"/>
      <c r="AI152" s="3552"/>
      <c r="AJ152" s="3552"/>
      <c r="AK152" s="3552"/>
      <c r="AL152" s="3552"/>
      <c r="AM152" s="3"/>
    </row>
    <row r="153" spans="15:39" ht="21.95" customHeight="1">
      <c r="O153" s="3"/>
      <c r="P153" s="3562" t="s">
        <v>5699</v>
      </c>
      <c r="Q153" s="3569" t="s">
        <v>5794</v>
      </c>
      <c r="R153" s="3569"/>
      <c r="S153" s="3569"/>
      <c r="T153" s="3569"/>
      <c r="U153" s="3569"/>
      <c r="V153" s="3569"/>
      <c r="W153" s="3569"/>
      <c r="X153" s="3569"/>
      <c r="Y153" s="3569"/>
      <c r="Z153" s="3569"/>
      <c r="AA153" s="3"/>
      <c r="AB153" s="3600"/>
      <c r="AC153" s="3553" t="s">
        <v>5795</v>
      </c>
      <c r="AD153" s="3553"/>
      <c r="AE153" s="3553"/>
      <c r="AF153" s="3553"/>
      <c r="AG153" s="3553"/>
      <c r="AH153" s="3553"/>
      <c r="AI153" s="3553"/>
      <c r="AJ153" s="3553"/>
      <c r="AK153" s="3553"/>
      <c r="AL153" s="3553"/>
      <c r="AM153" s="3"/>
    </row>
    <row r="154" spans="15:39" ht="21.95" customHeight="1">
      <c r="O154" s="3"/>
      <c r="P154" s="3563"/>
      <c r="Q154" s="3569"/>
      <c r="R154" s="3569"/>
      <c r="S154" s="3569"/>
      <c r="T154" s="3569"/>
      <c r="U154" s="3569"/>
      <c r="V154" s="3569"/>
      <c r="W154" s="3569"/>
      <c r="X154" s="3569"/>
      <c r="Y154" s="3569"/>
      <c r="Z154" s="3569"/>
      <c r="AA154" s="3"/>
      <c r="AB154" s="3600"/>
      <c r="AC154" s="3553" t="s">
        <v>5796</v>
      </c>
      <c r="AD154" s="3553"/>
      <c r="AE154" s="3553"/>
      <c r="AF154" s="3553"/>
      <c r="AG154" s="3553"/>
      <c r="AH154" s="3553"/>
      <c r="AI154" s="3553"/>
      <c r="AJ154" s="3553"/>
      <c r="AK154" s="3553"/>
      <c r="AL154" s="3553"/>
      <c r="AM154" s="3"/>
    </row>
    <row r="155" spans="15:39" ht="21.95" customHeight="1">
      <c r="O155" s="3"/>
      <c r="P155" s="3562" t="s">
        <v>108</v>
      </c>
      <c r="Q155" s="3567" t="s">
        <v>5797</v>
      </c>
      <c r="R155" s="3567"/>
      <c r="S155" s="3567"/>
      <c r="T155" s="3567"/>
      <c r="U155" s="3567"/>
      <c r="V155" s="3567"/>
      <c r="W155" s="3567"/>
      <c r="X155" s="3567"/>
      <c r="Y155" s="3567"/>
      <c r="Z155" s="3567"/>
      <c r="AA155" s="3"/>
      <c r="AB155" s="3574" t="s">
        <v>5600</v>
      </c>
      <c r="AC155" s="3553" t="s">
        <v>5798</v>
      </c>
      <c r="AD155" s="3553"/>
      <c r="AE155" s="3553"/>
      <c r="AF155" s="3553"/>
      <c r="AG155" s="3553"/>
      <c r="AH155" s="3553"/>
      <c r="AI155" s="3553"/>
      <c r="AJ155" s="3553"/>
      <c r="AK155" s="3553"/>
      <c r="AL155" s="3553"/>
      <c r="AM155" s="3"/>
    </row>
    <row r="156" spans="15:39" ht="21.95" customHeight="1">
      <c r="O156" s="3"/>
      <c r="P156" s="3563"/>
      <c r="Q156" s="3567"/>
      <c r="R156" s="3567"/>
      <c r="S156" s="3567"/>
      <c r="T156" s="3567"/>
      <c r="U156" s="3567"/>
      <c r="V156" s="3567"/>
      <c r="W156" s="3567"/>
      <c r="X156" s="3567"/>
      <c r="Y156" s="3567"/>
      <c r="Z156" s="3567"/>
      <c r="AA156" s="3"/>
      <c r="AB156" s="3575"/>
      <c r="AC156" s="3553" t="s">
        <v>5799</v>
      </c>
      <c r="AD156" s="3553"/>
      <c r="AE156" s="3553"/>
      <c r="AF156" s="3553"/>
      <c r="AG156" s="3553"/>
      <c r="AH156" s="3553"/>
      <c r="AI156" s="3553"/>
      <c r="AJ156" s="3553"/>
      <c r="AK156" s="3553"/>
      <c r="AL156" s="3553"/>
      <c r="AM156" s="3"/>
    </row>
    <row r="157" spans="15:39" ht="21.95" customHeight="1">
      <c r="O157" s="3"/>
      <c r="P157" s="3616" t="s">
        <v>5800</v>
      </c>
      <c r="Q157" s="3617"/>
      <c r="R157" s="3617"/>
      <c r="S157" s="3617"/>
      <c r="T157" s="3617"/>
      <c r="U157" s="3617"/>
      <c r="V157" s="3617"/>
      <c r="W157" s="3617"/>
      <c r="X157" s="3617"/>
      <c r="Y157" s="3617"/>
      <c r="Z157" s="3617"/>
      <c r="AA157" s="3"/>
      <c r="AB157" s="3557" t="s">
        <v>5801</v>
      </c>
      <c r="AC157" s="3558"/>
      <c r="AD157" s="3558"/>
      <c r="AE157" s="3558"/>
      <c r="AF157" s="3558"/>
      <c r="AG157" s="3558"/>
      <c r="AH157" s="3558"/>
      <c r="AI157" s="3558"/>
      <c r="AJ157" s="3558"/>
      <c r="AK157" s="3558"/>
      <c r="AL157" s="3558"/>
      <c r="AM157" s="3"/>
    </row>
    <row r="158" spans="15:39" ht="21.95" customHeight="1">
      <c r="O158" s="3"/>
      <c r="P158" s="3562" t="s">
        <v>5574</v>
      </c>
      <c r="Q158" s="3552" t="s">
        <v>5802</v>
      </c>
      <c r="R158" s="3552"/>
      <c r="S158" s="3552"/>
      <c r="T158" s="3552"/>
      <c r="U158" s="3552"/>
      <c r="V158" s="3552"/>
      <c r="W158" s="3552"/>
      <c r="X158" s="3552"/>
      <c r="Y158" s="3552"/>
      <c r="Z158" s="3552"/>
      <c r="AA158" s="3"/>
      <c r="AB158" s="10" t="s">
        <v>5574</v>
      </c>
      <c r="AC158" s="3553" t="s">
        <v>5803</v>
      </c>
      <c r="AD158" s="3553"/>
      <c r="AE158" s="3553"/>
      <c r="AF158" s="3553"/>
      <c r="AG158" s="3553"/>
      <c r="AH158" s="3553"/>
      <c r="AI158" s="3553"/>
      <c r="AJ158" s="3553"/>
      <c r="AK158" s="3553"/>
      <c r="AL158" s="3553"/>
      <c r="AM158" s="3"/>
    </row>
    <row r="159" spans="15:39" ht="21.95" customHeight="1">
      <c r="O159" s="3"/>
      <c r="P159" s="3563"/>
      <c r="Q159" s="3552"/>
      <c r="R159" s="3552"/>
      <c r="S159" s="3552"/>
      <c r="T159" s="3552"/>
      <c r="U159" s="3552"/>
      <c r="V159" s="3552"/>
      <c r="W159" s="3552"/>
      <c r="X159" s="3552"/>
      <c r="Y159" s="3552"/>
      <c r="Z159" s="3552"/>
      <c r="AA159" s="3"/>
      <c r="AB159" s="4" t="s">
        <v>5597</v>
      </c>
      <c r="AC159" s="3553" t="s">
        <v>5804</v>
      </c>
      <c r="AD159" s="3553"/>
      <c r="AE159" s="3553"/>
      <c r="AF159" s="3553"/>
      <c r="AG159" s="3553"/>
      <c r="AH159" s="3553"/>
      <c r="AI159" s="3553"/>
      <c r="AJ159" s="3553"/>
      <c r="AK159" s="3553"/>
      <c r="AL159" s="3553"/>
      <c r="AM159" s="3"/>
    </row>
    <row r="160" spans="15:39" ht="21.95" customHeight="1">
      <c r="O160" s="3"/>
      <c r="P160" s="3562" t="s">
        <v>5751</v>
      </c>
      <c r="Q160" s="3552" t="s">
        <v>5805</v>
      </c>
      <c r="R160" s="3552"/>
      <c r="S160" s="3552"/>
      <c r="T160" s="3552"/>
      <c r="U160" s="3552"/>
      <c r="V160" s="3552"/>
      <c r="W160" s="3552"/>
      <c r="X160" s="3552"/>
      <c r="Y160" s="3552"/>
      <c r="Z160" s="3552"/>
      <c r="AA160" s="3"/>
      <c r="AB160" s="3557" t="s">
        <v>5806</v>
      </c>
      <c r="AC160" s="3558"/>
      <c r="AD160" s="3558"/>
      <c r="AE160" s="3558"/>
      <c r="AF160" s="3558"/>
      <c r="AG160" s="3558"/>
      <c r="AH160" s="3558"/>
      <c r="AI160" s="3558"/>
      <c r="AJ160" s="3558"/>
      <c r="AK160" s="3558"/>
      <c r="AL160" s="3558"/>
      <c r="AM160" s="3"/>
    </row>
    <row r="161" spans="15:39" ht="21.95" customHeight="1">
      <c r="O161" s="3"/>
      <c r="P161" s="3563"/>
      <c r="Q161" s="3552"/>
      <c r="R161" s="3552"/>
      <c r="S161" s="3552"/>
      <c r="T161" s="3552"/>
      <c r="U161" s="3552"/>
      <c r="V161" s="3552"/>
      <c r="W161" s="3552"/>
      <c r="X161" s="3552"/>
      <c r="Y161" s="3552"/>
      <c r="Z161" s="3552"/>
      <c r="AA161" s="3"/>
      <c r="AB161" s="7" t="s">
        <v>5699</v>
      </c>
      <c r="AC161" s="3619" t="s">
        <v>5807</v>
      </c>
      <c r="AD161" s="3619"/>
      <c r="AE161" s="3619"/>
      <c r="AF161" s="3619"/>
      <c r="AG161" s="3619"/>
      <c r="AH161" s="3619"/>
      <c r="AI161" s="3619"/>
      <c r="AJ161" s="3619"/>
      <c r="AK161" s="3619"/>
      <c r="AL161" s="3619"/>
      <c r="AM161" s="3"/>
    </row>
    <row r="162" spans="15:39" ht="21.95" customHeight="1">
      <c r="O162" s="3"/>
      <c r="P162" s="3562" t="s">
        <v>5589</v>
      </c>
      <c r="Q162" s="3552" t="s">
        <v>5808</v>
      </c>
      <c r="R162" s="3552"/>
      <c r="S162" s="3552"/>
      <c r="T162" s="3552"/>
      <c r="U162" s="3552"/>
      <c r="V162" s="3552"/>
      <c r="W162" s="3552"/>
      <c r="X162" s="3552"/>
      <c r="Y162" s="3552"/>
      <c r="Z162" s="3552"/>
      <c r="AA162" s="3"/>
      <c r="AB162" s="3557" t="s">
        <v>5809</v>
      </c>
      <c r="AC162" s="3558"/>
      <c r="AD162" s="3558"/>
      <c r="AE162" s="3558"/>
      <c r="AF162" s="3558"/>
      <c r="AG162" s="3558"/>
      <c r="AH162" s="3558"/>
      <c r="AI162" s="3558"/>
      <c r="AJ162" s="3558"/>
      <c r="AK162" s="3558"/>
      <c r="AL162" s="3558"/>
      <c r="AM162" s="3"/>
    </row>
    <row r="163" spans="15:39" ht="21.95" customHeight="1">
      <c r="O163" s="3"/>
      <c r="P163" s="3563"/>
      <c r="Q163" s="3552"/>
      <c r="R163" s="3552"/>
      <c r="S163" s="3552"/>
      <c r="T163" s="3552"/>
      <c r="U163" s="3552"/>
      <c r="V163" s="3552"/>
      <c r="W163" s="3552"/>
      <c r="X163" s="3552"/>
      <c r="Y163" s="3552"/>
      <c r="Z163" s="3552"/>
      <c r="AA163" s="3"/>
      <c r="AB163" s="3599" t="s">
        <v>5574</v>
      </c>
      <c r="AC163" s="3552" t="s">
        <v>5810</v>
      </c>
      <c r="AD163" s="3553"/>
      <c r="AE163" s="3553"/>
      <c r="AF163" s="3553"/>
      <c r="AG163" s="3553"/>
      <c r="AH163" s="3553"/>
      <c r="AI163" s="3553"/>
      <c r="AJ163" s="3553"/>
      <c r="AK163" s="3553"/>
      <c r="AL163" s="3553"/>
      <c r="AM163" s="3"/>
    </row>
    <row r="164" spans="15:39" ht="21.95" customHeight="1">
      <c r="O164" s="3"/>
      <c r="P164" s="3562" t="s">
        <v>5600</v>
      </c>
      <c r="Q164" s="3566" t="s">
        <v>5811</v>
      </c>
      <c r="R164" s="3566"/>
      <c r="S164" s="3566"/>
      <c r="T164" s="3566"/>
      <c r="U164" s="3566"/>
      <c r="V164" s="3566"/>
      <c r="W164" s="3566"/>
      <c r="X164" s="3566"/>
      <c r="Y164" s="3566"/>
      <c r="Z164" s="3566"/>
      <c r="AA164" s="3"/>
      <c r="AB164" s="3600"/>
      <c r="AC164" s="3553"/>
      <c r="AD164" s="3553"/>
      <c r="AE164" s="3553"/>
      <c r="AF164" s="3553"/>
      <c r="AG164" s="3553"/>
      <c r="AH164" s="3553"/>
      <c r="AI164" s="3553"/>
      <c r="AJ164" s="3553"/>
      <c r="AK164" s="3553"/>
      <c r="AL164" s="3553"/>
      <c r="AM164" s="3"/>
    </row>
    <row r="165" spans="15:39" ht="21.95" customHeight="1">
      <c r="O165" s="3"/>
      <c r="P165" s="3563"/>
      <c r="Q165" s="3566"/>
      <c r="R165" s="3566"/>
      <c r="S165" s="3566"/>
      <c r="T165" s="3566"/>
      <c r="U165" s="3566"/>
      <c r="V165" s="3566"/>
      <c r="W165" s="3566"/>
      <c r="X165" s="3566"/>
      <c r="Y165" s="3566"/>
      <c r="Z165" s="3566"/>
      <c r="AA165" s="3"/>
      <c r="AB165" s="3600"/>
      <c r="AC165" s="3553"/>
      <c r="AD165" s="3553"/>
      <c r="AE165" s="3553"/>
      <c r="AF165" s="3553"/>
      <c r="AG165" s="3553"/>
      <c r="AH165" s="3553"/>
      <c r="AI165" s="3553"/>
      <c r="AJ165" s="3553"/>
      <c r="AK165" s="3553"/>
      <c r="AL165" s="3553"/>
      <c r="AM165" s="3"/>
    </row>
    <row r="166" spans="15:39" ht="21.95" customHeight="1">
      <c r="O166" s="3"/>
      <c r="P166" s="3562" t="s">
        <v>5699</v>
      </c>
      <c r="Q166" s="3569" t="s">
        <v>5812</v>
      </c>
      <c r="R166" s="3569"/>
      <c r="S166" s="3569"/>
      <c r="T166" s="3569"/>
      <c r="U166" s="3569"/>
      <c r="V166" s="3569"/>
      <c r="W166" s="3569"/>
      <c r="X166" s="3569"/>
      <c r="Y166" s="3569"/>
      <c r="Z166" s="3569"/>
      <c r="AA166" s="3"/>
      <c r="AB166" s="3600"/>
      <c r="AC166" s="3552" t="s">
        <v>5813</v>
      </c>
      <c r="AD166" s="3553"/>
      <c r="AE166" s="3553"/>
      <c r="AF166" s="3553"/>
      <c r="AG166" s="3553"/>
      <c r="AH166" s="3553"/>
      <c r="AI166" s="3553"/>
      <c r="AJ166" s="3553"/>
      <c r="AK166" s="3553"/>
      <c r="AL166" s="3553"/>
      <c r="AM166" s="3"/>
    </row>
    <row r="167" spans="15:39" ht="21.95" customHeight="1">
      <c r="O167" s="3"/>
      <c r="P167" s="3563"/>
      <c r="Q167" s="3569"/>
      <c r="R167" s="3569"/>
      <c r="S167" s="3569"/>
      <c r="T167" s="3569"/>
      <c r="U167" s="3569"/>
      <c r="V167" s="3569"/>
      <c r="W167" s="3569"/>
      <c r="X167" s="3569"/>
      <c r="Y167" s="3569"/>
      <c r="Z167" s="3569"/>
      <c r="AA167" s="3"/>
      <c r="AB167" s="3600"/>
      <c r="AC167" s="3553"/>
      <c r="AD167" s="3553"/>
      <c r="AE167" s="3553"/>
      <c r="AF167" s="3553"/>
      <c r="AG167" s="3553"/>
      <c r="AH167" s="3553"/>
      <c r="AI167" s="3553"/>
      <c r="AJ167" s="3553"/>
      <c r="AK167" s="3553"/>
      <c r="AL167" s="3553"/>
      <c r="AM167" s="3"/>
    </row>
    <row r="168" spans="15:39" ht="21.95" customHeight="1">
      <c r="O168" s="3"/>
      <c r="P168" s="3562" t="s">
        <v>108</v>
      </c>
      <c r="Q168" s="3567" t="s">
        <v>5814</v>
      </c>
      <c r="R168" s="3567"/>
      <c r="S168" s="3567"/>
      <c r="T168" s="3567"/>
      <c r="U168" s="3567"/>
      <c r="V168" s="3567"/>
      <c r="W168" s="3567"/>
      <c r="X168" s="3567"/>
      <c r="Y168" s="3567"/>
      <c r="Z168" s="3567"/>
      <c r="AA168" s="3"/>
      <c r="AB168" s="3600"/>
      <c r="AC168" s="3552" t="s">
        <v>5815</v>
      </c>
      <c r="AD168" s="3553"/>
      <c r="AE168" s="3553"/>
      <c r="AF168" s="3553"/>
      <c r="AG168" s="3553"/>
      <c r="AH168" s="3553"/>
      <c r="AI168" s="3553"/>
      <c r="AJ168" s="3553"/>
      <c r="AK168" s="3553"/>
      <c r="AL168" s="3553"/>
      <c r="AM168" s="3"/>
    </row>
    <row r="169" spans="15:39" ht="21.95" customHeight="1">
      <c r="O169" s="3"/>
      <c r="P169" s="3563"/>
      <c r="Q169" s="3567"/>
      <c r="R169" s="3567"/>
      <c r="S169" s="3567"/>
      <c r="T169" s="3567"/>
      <c r="U169" s="3567"/>
      <c r="V169" s="3567"/>
      <c r="W169" s="3567"/>
      <c r="X169" s="3567"/>
      <c r="Y169" s="3567"/>
      <c r="Z169" s="3567"/>
      <c r="AA169" s="3"/>
      <c r="AB169" s="3600"/>
      <c r="AC169" s="3553"/>
      <c r="AD169" s="3553"/>
      <c r="AE169" s="3553"/>
      <c r="AF169" s="3553"/>
      <c r="AG169" s="3553"/>
      <c r="AH169" s="3553"/>
      <c r="AI169" s="3553"/>
      <c r="AJ169" s="3553"/>
      <c r="AK169" s="3553"/>
      <c r="AL169" s="3553"/>
      <c r="AM169" s="3"/>
    </row>
    <row r="170" spans="15:39" ht="21.95" customHeight="1">
      <c r="O170" s="3"/>
      <c r="P170" s="3563"/>
      <c r="Q170" s="3567"/>
      <c r="R170" s="3567"/>
      <c r="S170" s="3567"/>
      <c r="T170" s="3567"/>
      <c r="U170" s="3567"/>
      <c r="V170" s="3567"/>
      <c r="W170" s="3567"/>
      <c r="X170" s="3567"/>
      <c r="Y170" s="3567"/>
      <c r="Z170" s="3567"/>
      <c r="AA170" s="3"/>
      <c r="AB170" s="3600"/>
      <c r="AC170" s="3552" t="s">
        <v>5816</v>
      </c>
      <c r="AD170" s="3552"/>
      <c r="AE170" s="3552"/>
      <c r="AF170" s="3552"/>
      <c r="AG170" s="3552"/>
      <c r="AH170" s="3552"/>
      <c r="AI170" s="3552"/>
      <c r="AJ170" s="3552"/>
      <c r="AK170" s="3552"/>
      <c r="AL170" s="3552"/>
      <c r="AM170" s="3"/>
    </row>
    <row r="171" spans="15:39" ht="21.95" customHeight="1">
      <c r="O171" s="3"/>
      <c r="P171" s="3557" t="s">
        <v>5817</v>
      </c>
      <c r="Q171" s="3558"/>
      <c r="R171" s="3558"/>
      <c r="S171" s="3558"/>
      <c r="T171" s="3558"/>
      <c r="U171" s="3558"/>
      <c r="V171" s="3558"/>
      <c r="W171" s="3558"/>
      <c r="X171" s="3558"/>
      <c r="Y171" s="3558"/>
      <c r="Z171" s="3558"/>
      <c r="AA171" s="3"/>
      <c r="AB171" s="3600"/>
      <c r="AC171" s="3552"/>
      <c r="AD171" s="3552"/>
      <c r="AE171" s="3552"/>
      <c r="AF171" s="3552"/>
      <c r="AG171" s="3552"/>
      <c r="AH171" s="3552"/>
      <c r="AI171" s="3552"/>
      <c r="AJ171" s="3552"/>
      <c r="AK171" s="3552"/>
      <c r="AL171" s="3552"/>
      <c r="AM171" s="3"/>
    </row>
    <row r="172" spans="15:39" ht="21.95" customHeight="1">
      <c r="O172" s="3"/>
      <c r="P172" s="3562" t="s">
        <v>5574</v>
      </c>
      <c r="Q172" s="3552" t="s">
        <v>5818</v>
      </c>
      <c r="R172" s="3552"/>
      <c r="S172" s="3552"/>
      <c r="T172" s="3552"/>
      <c r="U172" s="3552"/>
      <c r="V172" s="3552"/>
      <c r="W172" s="3552"/>
      <c r="X172" s="3552"/>
      <c r="Y172" s="3552"/>
      <c r="Z172" s="3552"/>
      <c r="AA172" s="3"/>
      <c r="AB172" s="3600"/>
      <c r="AC172" s="3553" t="s">
        <v>5819</v>
      </c>
      <c r="AD172" s="3553"/>
      <c r="AE172" s="3553"/>
      <c r="AF172" s="3553"/>
      <c r="AG172" s="3553"/>
      <c r="AH172" s="3553"/>
      <c r="AI172" s="3553"/>
      <c r="AJ172" s="3553"/>
      <c r="AK172" s="3553"/>
      <c r="AL172" s="3553"/>
      <c r="AM172" s="3"/>
    </row>
    <row r="173" spans="15:39" ht="21.95" customHeight="1">
      <c r="O173" s="3"/>
      <c r="P173" s="3563"/>
      <c r="Q173" s="3552"/>
      <c r="R173" s="3552"/>
      <c r="S173" s="3552"/>
      <c r="T173" s="3552"/>
      <c r="U173" s="3552"/>
      <c r="V173" s="3552"/>
      <c r="W173" s="3552"/>
      <c r="X173" s="3552"/>
      <c r="Y173" s="3552"/>
      <c r="Z173" s="3552"/>
      <c r="AA173" s="3"/>
      <c r="AB173" s="3600"/>
      <c r="AC173" s="3553" t="s">
        <v>5820</v>
      </c>
      <c r="AD173" s="3553"/>
      <c r="AE173" s="3553"/>
      <c r="AF173" s="3553"/>
      <c r="AG173" s="3553"/>
      <c r="AH173" s="3553"/>
      <c r="AI173" s="3553"/>
      <c r="AJ173" s="3553"/>
      <c r="AK173" s="3553"/>
      <c r="AL173" s="3553"/>
      <c r="AM173" s="3"/>
    </row>
    <row r="174" spans="15:39" ht="21.95" customHeight="1">
      <c r="O174" s="3"/>
      <c r="P174" s="3563"/>
      <c r="Q174" s="3552" t="s">
        <v>5821</v>
      </c>
      <c r="R174" s="3552"/>
      <c r="S174" s="3552"/>
      <c r="T174" s="3552"/>
      <c r="U174" s="3552"/>
      <c r="V174" s="3552"/>
      <c r="W174" s="3552"/>
      <c r="X174" s="3552"/>
      <c r="Y174" s="3552"/>
      <c r="Z174" s="3552"/>
      <c r="AA174" s="3"/>
      <c r="AB174" s="3600"/>
      <c r="AC174" s="3553" t="s">
        <v>5822</v>
      </c>
      <c r="AD174" s="3553"/>
      <c r="AE174" s="3553"/>
      <c r="AF174" s="3553"/>
      <c r="AG174" s="3553"/>
      <c r="AH174" s="3553"/>
      <c r="AI174" s="3553"/>
      <c r="AJ174" s="3553"/>
      <c r="AK174" s="3553"/>
      <c r="AL174" s="3553"/>
      <c r="AM174" s="3"/>
    </row>
    <row r="175" spans="15:39" ht="21.95" customHeight="1">
      <c r="O175" s="3"/>
      <c r="P175" s="3563"/>
      <c r="Q175" s="3552"/>
      <c r="R175" s="3552"/>
      <c r="S175" s="3552"/>
      <c r="T175" s="3552"/>
      <c r="U175" s="3552"/>
      <c r="V175" s="3552"/>
      <c r="W175" s="3552"/>
      <c r="X175" s="3552"/>
      <c r="Y175" s="3552"/>
      <c r="Z175" s="3552"/>
      <c r="AA175" s="3"/>
      <c r="AB175" s="3600"/>
      <c r="AC175" s="3553" t="s">
        <v>5823</v>
      </c>
      <c r="AD175" s="3553"/>
      <c r="AE175" s="3553"/>
      <c r="AF175" s="3553"/>
      <c r="AG175" s="3553"/>
      <c r="AH175" s="3553"/>
      <c r="AI175" s="3553"/>
      <c r="AJ175" s="3553"/>
      <c r="AK175" s="3553"/>
      <c r="AL175" s="3553"/>
      <c r="AM175" s="3"/>
    </row>
    <row r="176" spans="15:39" ht="21.95" customHeight="1">
      <c r="O176" s="3"/>
      <c r="P176" s="3563"/>
      <c r="Q176" s="3552"/>
      <c r="R176" s="3552"/>
      <c r="S176" s="3552"/>
      <c r="T176" s="3552"/>
      <c r="U176" s="3552"/>
      <c r="V176" s="3552"/>
      <c r="W176" s="3552"/>
      <c r="X176" s="3552"/>
      <c r="Y176" s="3552"/>
      <c r="Z176" s="3552"/>
      <c r="AA176" s="3"/>
      <c r="AB176" s="3600"/>
      <c r="AC176" s="3552" t="s">
        <v>5824</v>
      </c>
      <c r="AD176" s="3552"/>
      <c r="AE176" s="3552"/>
      <c r="AF176" s="3552"/>
      <c r="AG176" s="3552"/>
      <c r="AH176" s="3552"/>
      <c r="AI176" s="3552"/>
      <c r="AJ176" s="3552"/>
      <c r="AK176" s="3552"/>
      <c r="AL176" s="3552"/>
      <c r="AM176" s="3"/>
    </row>
    <row r="177" spans="15:39" ht="21.95" customHeight="1">
      <c r="O177" s="3"/>
      <c r="P177" s="3562" t="s">
        <v>5699</v>
      </c>
      <c r="Q177" s="3566" t="s">
        <v>5825</v>
      </c>
      <c r="R177" s="3566"/>
      <c r="S177" s="3566"/>
      <c r="T177" s="3566"/>
      <c r="U177" s="3566"/>
      <c r="V177" s="3566"/>
      <c r="W177" s="3566"/>
      <c r="X177" s="3566"/>
      <c r="Y177" s="3566"/>
      <c r="Z177" s="3566"/>
      <c r="AA177" s="3"/>
      <c r="AB177" s="3600"/>
      <c r="AC177" s="3552"/>
      <c r="AD177" s="3552"/>
      <c r="AE177" s="3552"/>
      <c r="AF177" s="3552"/>
      <c r="AG177" s="3552"/>
      <c r="AH177" s="3552"/>
      <c r="AI177" s="3552"/>
      <c r="AJ177" s="3552"/>
      <c r="AK177" s="3552"/>
      <c r="AL177" s="3552"/>
      <c r="AM177" s="3"/>
    </row>
    <row r="178" spans="15:39" ht="21.95" customHeight="1">
      <c r="O178" s="3"/>
      <c r="P178" s="3563"/>
      <c r="Q178" s="3566"/>
      <c r="R178" s="3566"/>
      <c r="S178" s="3566"/>
      <c r="T178" s="3566"/>
      <c r="U178" s="3566"/>
      <c r="V178" s="3566"/>
      <c r="W178" s="3566"/>
      <c r="X178" s="3566"/>
      <c r="Y178" s="3566"/>
      <c r="Z178" s="3566"/>
      <c r="AA178" s="3"/>
      <c r="AB178" s="3600"/>
      <c r="AC178" s="3552"/>
      <c r="AD178" s="3552"/>
      <c r="AE178" s="3552"/>
      <c r="AF178" s="3552"/>
      <c r="AG178" s="3552"/>
      <c r="AH178" s="3552"/>
      <c r="AI178" s="3552"/>
      <c r="AJ178" s="3552"/>
      <c r="AK178" s="3552"/>
      <c r="AL178" s="3552"/>
      <c r="AM178" s="3"/>
    </row>
    <row r="179" spans="15:39" ht="21.95" customHeight="1">
      <c r="O179" s="3"/>
      <c r="P179" s="3563"/>
      <c r="Q179" s="3567" t="s">
        <v>5826</v>
      </c>
      <c r="R179" s="3567"/>
      <c r="S179" s="3567"/>
      <c r="T179" s="3567"/>
      <c r="U179" s="3567"/>
      <c r="V179" s="3567"/>
      <c r="W179" s="3567"/>
      <c r="X179" s="3567"/>
      <c r="Y179" s="3567"/>
      <c r="Z179" s="3567"/>
      <c r="AA179" s="3"/>
      <c r="AB179" s="7" t="s">
        <v>5616</v>
      </c>
      <c r="AC179" s="3553" t="s">
        <v>5827</v>
      </c>
      <c r="AD179" s="3553"/>
      <c r="AE179" s="3553"/>
      <c r="AF179" s="3553"/>
      <c r="AG179" s="3553"/>
      <c r="AH179" s="3553"/>
      <c r="AI179" s="3553"/>
      <c r="AJ179" s="3553"/>
      <c r="AK179" s="3553"/>
      <c r="AL179" s="3553"/>
      <c r="AM179" s="3"/>
    </row>
    <row r="180" spans="15:39" ht="21.95" customHeight="1">
      <c r="O180" s="3"/>
      <c r="P180" s="3563"/>
      <c r="Q180" s="3567"/>
      <c r="R180" s="3567"/>
      <c r="S180" s="3567"/>
      <c r="T180" s="3567"/>
      <c r="U180" s="3567"/>
      <c r="V180" s="3567"/>
      <c r="W180" s="3567"/>
      <c r="X180" s="3567"/>
      <c r="Y180" s="3567"/>
      <c r="Z180" s="3567"/>
      <c r="AA180" s="3"/>
      <c r="AB180" s="3618" t="s">
        <v>5828</v>
      </c>
      <c r="AC180" s="3553" t="s">
        <v>5829</v>
      </c>
      <c r="AD180" s="3553"/>
      <c r="AE180" s="3553"/>
      <c r="AF180" s="3553"/>
      <c r="AG180" s="3553"/>
      <c r="AH180" s="3553"/>
      <c r="AI180" s="3553"/>
      <c r="AJ180" s="3553"/>
      <c r="AK180" s="3553"/>
      <c r="AL180" s="3553"/>
      <c r="AM180" s="3"/>
    </row>
    <row r="181" spans="15:39" ht="21.95" customHeight="1">
      <c r="O181" s="3"/>
      <c r="P181" s="3572" t="s">
        <v>108</v>
      </c>
      <c r="Q181" s="3556" t="s">
        <v>5830</v>
      </c>
      <c r="R181" s="3556"/>
      <c r="S181" s="3556"/>
      <c r="T181" s="3556"/>
      <c r="U181" s="3556"/>
      <c r="V181" s="3556"/>
      <c r="W181" s="3556"/>
      <c r="X181" s="3556"/>
      <c r="Y181" s="3556"/>
      <c r="Z181" s="3556"/>
      <c r="AA181" s="3"/>
      <c r="AB181" s="3612"/>
      <c r="AC181" s="3553" t="s">
        <v>5831</v>
      </c>
      <c r="AD181" s="3553"/>
      <c r="AE181" s="3553"/>
      <c r="AF181" s="3553"/>
      <c r="AG181" s="3553"/>
      <c r="AH181" s="3553"/>
      <c r="AI181" s="3553"/>
      <c r="AJ181" s="3553"/>
      <c r="AK181" s="3553"/>
      <c r="AL181" s="3553"/>
      <c r="AM181" s="3"/>
    </row>
    <row r="182" spans="15:39" ht="21.95" customHeight="1">
      <c r="O182" s="3"/>
      <c r="P182" s="3573"/>
      <c r="Q182" s="3556"/>
      <c r="R182" s="3556"/>
      <c r="S182" s="3556"/>
      <c r="T182" s="3556"/>
      <c r="U182" s="3556"/>
      <c r="V182" s="3556"/>
      <c r="W182" s="3556"/>
      <c r="X182" s="3556"/>
      <c r="Y182" s="3556"/>
      <c r="Z182" s="3556"/>
      <c r="AA182" s="3"/>
      <c r="AB182" s="3612"/>
      <c r="AC182" s="3553" t="s">
        <v>5832</v>
      </c>
      <c r="AD182" s="3553"/>
      <c r="AE182" s="3553"/>
      <c r="AF182" s="3553"/>
      <c r="AG182" s="3553"/>
      <c r="AH182" s="3553"/>
      <c r="AI182" s="3553"/>
      <c r="AJ182" s="3553"/>
      <c r="AK182" s="3553"/>
      <c r="AL182" s="3553"/>
      <c r="AM182" s="3"/>
    </row>
    <row r="183" spans="15:39" ht="21.95" customHeight="1">
      <c r="O183" s="3"/>
      <c r="P183" s="3573"/>
      <c r="Q183" s="3556"/>
      <c r="R183" s="3556"/>
      <c r="S183" s="3556"/>
      <c r="T183" s="3556"/>
      <c r="U183" s="3556"/>
      <c r="V183" s="3556"/>
      <c r="W183" s="3556"/>
      <c r="X183" s="3556"/>
      <c r="Y183" s="3556"/>
      <c r="Z183" s="3556"/>
      <c r="AA183" s="3"/>
      <c r="AB183" s="3612"/>
      <c r="AC183" s="3553" t="s">
        <v>5833</v>
      </c>
      <c r="AD183" s="3553"/>
      <c r="AE183" s="3553"/>
      <c r="AF183" s="3553"/>
      <c r="AG183" s="3553"/>
      <c r="AH183" s="3553"/>
      <c r="AI183" s="3553"/>
      <c r="AJ183" s="3553"/>
      <c r="AK183" s="3553"/>
      <c r="AL183" s="3553"/>
      <c r="AM183" s="3"/>
    </row>
    <row r="184" spans="15:39" ht="21.95" customHeight="1">
      <c r="O184" s="3"/>
      <c r="P184" s="3573"/>
      <c r="Q184" s="3556"/>
      <c r="R184" s="3556"/>
      <c r="S184" s="3556"/>
      <c r="T184" s="3556"/>
      <c r="U184" s="3556"/>
      <c r="V184" s="3556"/>
      <c r="W184" s="3556"/>
      <c r="X184" s="3556"/>
      <c r="Y184" s="3556"/>
      <c r="Z184" s="3556"/>
      <c r="AA184" s="3"/>
      <c r="AB184" s="3612"/>
      <c r="AC184" s="3615" t="s">
        <v>5834</v>
      </c>
      <c r="AD184" s="3615"/>
      <c r="AE184" s="3615"/>
      <c r="AF184" s="3615"/>
      <c r="AG184" s="3615"/>
      <c r="AH184" s="3615"/>
      <c r="AI184" s="3615"/>
      <c r="AJ184" s="3615"/>
      <c r="AK184" s="3615"/>
      <c r="AL184" s="3615"/>
      <c r="AM184" s="3"/>
    </row>
    <row r="185" spans="15:39" ht="21.95" customHeight="1">
      <c r="O185" s="3"/>
      <c r="P185" s="3573"/>
      <c r="Q185" s="3556"/>
      <c r="R185" s="3556"/>
      <c r="S185" s="3556"/>
      <c r="T185" s="3556"/>
      <c r="U185" s="3556"/>
      <c r="V185" s="3556"/>
      <c r="W185" s="3556"/>
      <c r="X185" s="3556"/>
      <c r="Y185" s="3556"/>
      <c r="Z185" s="3556"/>
      <c r="AA185" s="3"/>
      <c r="AB185" s="3557" t="s">
        <v>5835</v>
      </c>
      <c r="AC185" s="3558"/>
      <c r="AD185" s="3558"/>
      <c r="AE185" s="3558"/>
      <c r="AF185" s="3558"/>
      <c r="AG185" s="3558"/>
      <c r="AH185" s="3558"/>
      <c r="AI185" s="3558"/>
      <c r="AJ185" s="3558"/>
      <c r="AK185" s="3558"/>
      <c r="AL185" s="3558"/>
      <c r="AM185" s="3"/>
    </row>
    <row r="186" spans="15:39" ht="21.95" customHeight="1">
      <c r="O186" s="3"/>
      <c r="P186" s="3616" t="s">
        <v>5836</v>
      </c>
      <c r="Q186" s="3617"/>
      <c r="R186" s="3617"/>
      <c r="S186" s="3617"/>
      <c r="T186" s="3617"/>
      <c r="U186" s="3617"/>
      <c r="V186" s="3617"/>
      <c r="W186" s="3617"/>
      <c r="X186" s="3617"/>
      <c r="Y186" s="3617"/>
      <c r="Z186" s="3617"/>
      <c r="AA186" s="3"/>
      <c r="AB186" s="3599" t="s">
        <v>5574</v>
      </c>
      <c r="AC186" s="3553" t="s">
        <v>5837</v>
      </c>
      <c r="AD186" s="3553"/>
      <c r="AE186" s="3553"/>
      <c r="AF186" s="3553"/>
      <c r="AG186" s="3553"/>
      <c r="AH186" s="3553"/>
      <c r="AI186" s="3553"/>
      <c r="AJ186" s="3553"/>
      <c r="AK186" s="3553"/>
      <c r="AL186" s="3553"/>
      <c r="AM186" s="3"/>
    </row>
    <row r="187" spans="15:39" ht="21.95" customHeight="1">
      <c r="O187" s="3"/>
      <c r="P187" s="3562" t="s">
        <v>5574</v>
      </c>
      <c r="Q187" s="3553" t="s">
        <v>5838</v>
      </c>
      <c r="R187" s="3553"/>
      <c r="S187" s="3553"/>
      <c r="T187" s="3553"/>
      <c r="U187" s="3553"/>
      <c r="V187" s="3553"/>
      <c r="W187" s="3553"/>
      <c r="X187" s="3553"/>
      <c r="Y187" s="3553"/>
      <c r="Z187" s="3553"/>
      <c r="AA187" s="3"/>
      <c r="AB187" s="3600"/>
      <c r="AC187" s="3570" t="s">
        <v>5839</v>
      </c>
      <c r="AD187" s="3571"/>
      <c r="AE187" s="3571"/>
      <c r="AF187" s="3571"/>
      <c r="AG187" s="3571"/>
      <c r="AH187" s="3571"/>
      <c r="AI187" s="3571"/>
      <c r="AJ187" s="3571"/>
      <c r="AK187" s="3571"/>
      <c r="AL187" s="3571"/>
      <c r="AM187" s="3"/>
    </row>
    <row r="188" spans="15:39" ht="21.95" customHeight="1">
      <c r="O188" s="3"/>
      <c r="P188" s="3563"/>
      <c r="Q188" s="3553"/>
      <c r="R188" s="3553"/>
      <c r="S188" s="3553"/>
      <c r="T188" s="3553"/>
      <c r="U188" s="3553"/>
      <c r="V188" s="3553"/>
      <c r="W188" s="3553"/>
      <c r="X188" s="3553"/>
      <c r="Y188" s="3553"/>
      <c r="Z188" s="3553"/>
      <c r="AA188" s="3"/>
      <c r="AB188" s="3600"/>
      <c r="AC188" s="3571"/>
      <c r="AD188" s="3571"/>
      <c r="AE188" s="3571"/>
      <c r="AF188" s="3571"/>
      <c r="AG188" s="3571"/>
      <c r="AH188" s="3571"/>
      <c r="AI188" s="3571"/>
      <c r="AJ188" s="3571"/>
      <c r="AK188" s="3571"/>
      <c r="AL188" s="3571"/>
      <c r="AM188" s="3"/>
    </row>
    <row r="189" spans="15:39" ht="21.95" customHeight="1">
      <c r="O189" s="3"/>
      <c r="P189" s="3563"/>
      <c r="Q189" s="3552" t="s">
        <v>5840</v>
      </c>
      <c r="R189" s="3552"/>
      <c r="S189" s="3552"/>
      <c r="T189" s="3552"/>
      <c r="U189" s="3552"/>
      <c r="V189" s="3552"/>
      <c r="W189" s="3552"/>
      <c r="X189" s="3552"/>
      <c r="Y189" s="3552"/>
      <c r="Z189" s="3552"/>
      <c r="AA189" s="3"/>
      <c r="AB189" s="3600"/>
      <c r="AC189" s="3553" t="s">
        <v>5841</v>
      </c>
      <c r="AD189" s="3553"/>
      <c r="AE189" s="3553"/>
      <c r="AF189" s="3553"/>
      <c r="AG189" s="3553"/>
      <c r="AH189" s="3553"/>
      <c r="AI189" s="3553"/>
      <c r="AJ189" s="3553"/>
      <c r="AK189" s="3553"/>
      <c r="AL189" s="3553"/>
      <c r="AM189" s="3"/>
    </row>
    <row r="190" spans="15:39" ht="21.95" customHeight="1">
      <c r="O190" s="3"/>
      <c r="P190" s="3563"/>
      <c r="Q190" s="3552"/>
      <c r="R190" s="3552"/>
      <c r="S190" s="3552"/>
      <c r="T190" s="3552"/>
      <c r="U190" s="3552"/>
      <c r="V190" s="3552"/>
      <c r="W190" s="3552"/>
      <c r="X190" s="3552"/>
      <c r="Y190" s="3552"/>
      <c r="Z190" s="3552"/>
      <c r="AA190" s="3"/>
      <c r="AB190" s="3600"/>
      <c r="AC190" s="3553" t="s">
        <v>5842</v>
      </c>
      <c r="AD190" s="3553"/>
      <c r="AE190" s="3553"/>
      <c r="AF190" s="3553"/>
      <c r="AG190" s="3553"/>
      <c r="AH190" s="3553"/>
      <c r="AI190" s="3553"/>
      <c r="AJ190" s="3553"/>
      <c r="AK190" s="3553"/>
      <c r="AL190" s="3553"/>
      <c r="AM190" s="3"/>
    </row>
    <row r="191" spans="15:39" ht="21.95" customHeight="1">
      <c r="O191" s="3"/>
      <c r="P191" s="3563"/>
      <c r="Q191" s="3552" t="s">
        <v>5843</v>
      </c>
      <c r="R191" s="3552"/>
      <c r="S191" s="3552"/>
      <c r="T191" s="3552"/>
      <c r="U191" s="3552"/>
      <c r="V191" s="3552"/>
      <c r="W191" s="3552"/>
      <c r="X191" s="3552"/>
      <c r="Y191" s="3552"/>
      <c r="Z191" s="3552"/>
      <c r="AA191" s="3"/>
      <c r="AB191" s="3600"/>
      <c r="AC191" s="3553" t="s">
        <v>5675</v>
      </c>
      <c r="AD191" s="3553"/>
      <c r="AE191" s="3553"/>
      <c r="AF191" s="3553"/>
      <c r="AG191" s="3553"/>
      <c r="AH191" s="3553"/>
      <c r="AI191" s="3553"/>
      <c r="AJ191" s="3553"/>
      <c r="AK191" s="3553"/>
      <c r="AL191" s="3553"/>
      <c r="AM191" s="3"/>
    </row>
    <row r="192" spans="15:39" ht="21.95" customHeight="1">
      <c r="O192" s="3"/>
      <c r="P192" s="3563"/>
      <c r="Q192" s="3552"/>
      <c r="R192" s="3552"/>
      <c r="S192" s="3552"/>
      <c r="T192" s="3552"/>
      <c r="U192" s="3552"/>
      <c r="V192" s="3552"/>
      <c r="W192" s="3552"/>
      <c r="X192" s="3552"/>
      <c r="Y192" s="3552"/>
      <c r="Z192" s="3552"/>
      <c r="AA192" s="3"/>
      <c r="AB192" s="4" t="s">
        <v>5589</v>
      </c>
      <c r="AC192" s="3553" t="s">
        <v>5844</v>
      </c>
      <c r="AD192" s="3553"/>
      <c r="AE192" s="3553"/>
      <c r="AF192" s="3553"/>
      <c r="AG192" s="3553"/>
      <c r="AH192" s="3553"/>
      <c r="AI192" s="3553"/>
      <c r="AJ192" s="3553"/>
      <c r="AK192" s="3553"/>
      <c r="AL192" s="3553"/>
      <c r="AM192" s="3"/>
    </row>
    <row r="193" spans="15:39" ht="21.95" customHeight="1">
      <c r="O193" s="3"/>
      <c r="P193" s="3562" t="s">
        <v>5751</v>
      </c>
      <c r="Q193" s="3552" t="s">
        <v>5845</v>
      </c>
      <c r="R193" s="3552"/>
      <c r="S193" s="3552"/>
      <c r="T193" s="3552"/>
      <c r="U193" s="3552"/>
      <c r="V193" s="3552"/>
      <c r="W193" s="3552"/>
      <c r="X193" s="3552"/>
      <c r="Y193" s="3552"/>
      <c r="Z193" s="3552"/>
      <c r="AA193" s="3"/>
      <c r="AB193" s="10" t="s">
        <v>5751</v>
      </c>
      <c r="AC193" s="3553" t="s">
        <v>5846</v>
      </c>
      <c r="AD193" s="3553"/>
      <c r="AE193" s="3553"/>
      <c r="AF193" s="3553"/>
      <c r="AG193" s="3553"/>
      <c r="AH193" s="3553"/>
      <c r="AI193" s="3553"/>
      <c r="AJ193" s="3553"/>
      <c r="AK193" s="3553"/>
      <c r="AL193" s="3553"/>
      <c r="AM193" s="3"/>
    </row>
    <row r="194" spans="15:39" ht="21.95" customHeight="1">
      <c r="O194" s="3"/>
      <c r="P194" s="3563"/>
      <c r="Q194" s="3552"/>
      <c r="R194" s="3552"/>
      <c r="S194" s="3552"/>
      <c r="T194" s="3552"/>
      <c r="U194" s="3552"/>
      <c r="V194" s="3552"/>
      <c r="W194" s="3552"/>
      <c r="X194" s="3552"/>
      <c r="Y194" s="3552"/>
      <c r="Z194" s="3552"/>
      <c r="AA194" s="3"/>
      <c r="AB194" s="11" t="s">
        <v>5847</v>
      </c>
      <c r="AC194" s="3553" t="s">
        <v>5848</v>
      </c>
      <c r="AD194" s="3553"/>
      <c r="AE194" s="3553"/>
      <c r="AF194" s="3553"/>
      <c r="AG194" s="3553"/>
      <c r="AH194" s="3553"/>
      <c r="AI194" s="3553"/>
      <c r="AJ194" s="3553"/>
      <c r="AK194" s="3553"/>
      <c r="AL194" s="3553"/>
      <c r="AM194" s="3"/>
    </row>
    <row r="195" spans="15:39" ht="21.95" customHeight="1">
      <c r="O195" s="3"/>
      <c r="P195" s="3563"/>
      <c r="Q195" s="3579" t="s">
        <v>5849</v>
      </c>
      <c r="R195" s="3579"/>
      <c r="S195" s="3579"/>
      <c r="T195" s="3579"/>
      <c r="U195" s="3579"/>
      <c r="V195" s="3579"/>
      <c r="W195" s="3579"/>
      <c r="X195" s="3579"/>
      <c r="Y195" s="3579"/>
      <c r="Z195" s="3579"/>
      <c r="AA195" s="3"/>
      <c r="AB195" s="3604" t="s">
        <v>5597</v>
      </c>
      <c r="AC195" s="3553" t="s">
        <v>5848</v>
      </c>
      <c r="AD195" s="3553"/>
      <c r="AE195" s="3553"/>
      <c r="AF195" s="3553"/>
      <c r="AG195" s="3553"/>
      <c r="AH195" s="3553"/>
      <c r="AI195" s="3553"/>
      <c r="AJ195" s="3553"/>
      <c r="AK195" s="3553"/>
      <c r="AL195" s="3553"/>
      <c r="AM195" s="3"/>
    </row>
    <row r="196" spans="15:39" ht="21.95" customHeight="1">
      <c r="O196" s="3"/>
      <c r="P196" s="3563"/>
      <c r="Q196" s="3579"/>
      <c r="R196" s="3579"/>
      <c r="S196" s="3579"/>
      <c r="T196" s="3579"/>
      <c r="U196" s="3579"/>
      <c r="V196" s="3579"/>
      <c r="W196" s="3579"/>
      <c r="X196" s="3579"/>
      <c r="Y196" s="3579"/>
      <c r="Z196" s="3579"/>
      <c r="AA196" s="3"/>
      <c r="AB196" s="3605"/>
      <c r="AC196" s="3553" t="s">
        <v>5850</v>
      </c>
      <c r="AD196" s="3553"/>
      <c r="AE196" s="3553"/>
      <c r="AF196" s="3553"/>
      <c r="AG196" s="3553"/>
      <c r="AH196" s="3553"/>
      <c r="AI196" s="3553"/>
      <c r="AJ196" s="3553"/>
      <c r="AK196" s="3553"/>
      <c r="AL196" s="3553"/>
      <c r="AM196" s="3"/>
    </row>
    <row r="197" spans="15:39" ht="21.95" customHeight="1">
      <c r="O197" s="3"/>
      <c r="P197" s="3572" t="s">
        <v>108</v>
      </c>
      <c r="Q197" s="3556" t="s">
        <v>5851</v>
      </c>
      <c r="R197" s="3556"/>
      <c r="S197" s="3556"/>
      <c r="T197" s="3556"/>
      <c r="U197" s="3556"/>
      <c r="V197" s="3556"/>
      <c r="W197" s="3556"/>
      <c r="X197" s="3556"/>
      <c r="Y197" s="3556"/>
      <c r="Z197" s="3556"/>
      <c r="AA197" s="3"/>
      <c r="AB197" s="3557" t="s">
        <v>5852</v>
      </c>
      <c r="AC197" s="3558"/>
      <c r="AD197" s="3558"/>
      <c r="AE197" s="3558"/>
      <c r="AF197" s="3558"/>
      <c r="AG197" s="3558"/>
      <c r="AH197" s="3558"/>
      <c r="AI197" s="3558"/>
      <c r="AJ197" s="3558"/>
      <c r="AK197" s="3558"/>
      <c r="AL197" s="3558"/>
      <c r="AM197" s="3"/>
    </row>
    <row r="198" spans="15:39" ht="21.95" customHeight="1">
      <c r="O198" s="3"/>
      <c r="P198" s="3573"/>
      <c r="Q198" s="3556"/>
      <c r="R198" s="3556"/>
      <c r="S198" s="3556"/>
      <c r="T198" s="3556"/>
      <c r="U198" s="3556"/>
      <c r="V198" s="3556"/>
      <c r="W198" s="3556"/>
      <c r="X198" s="3556"/>
      <c r="Y198" s="3556"/>
      <c r="Z198" s="3556"/>
      <c r="AA198" s="3"/>
      <c r="AB198" s="3613" t="s">
        <v>5574</v>
      </c>
      <c r="AC198" s="3553" t="s">
        <v>5853</v>
      </c>
      <c r="AD198" s="3553"/>
      <c r="AE198" s="3553"/>
      <c r="AF198" s="3553"/>
      <c r="AG198" s="3553"/>
      <c r="AH198" s="3553"/>
      <c r="AI198" s="3553"/>
      <c r="AJ198" s="3553"/>
      <c r="AK198" s="3553"/>
      <c r="AL198" s="3553"/>
      <c r="AM198" s="3"/>
    </row>
    <row r="199" spans="15:39" ht="21.95" customHeight="1">
      <c r="O199" s="3"/>
      <c r="P199" s="3573"/>
      <c r="Q199" s="3556"/>
      <c r="R199" s="3556"/>
      <c r="S199" s="3556"/>
      <c r="T199" s="3556"/>
      <c r="U199" s="3556"/>
      <c r="V199" s="3556"/>
      <c r="W199" s="3556"/>
      <c r="X199" s="3556"/>
      <c r="Y199" s="3556"/>
      <c r="Z199" s="3556"/>
      <c r="AA199" s="3"/>
      <c r="AB199" s="3614"/>
      <c r="AC199" s="3553" t="s">
        <v>5854</v>
      </c>
      <c r="AD199" s="3553"/>
      <c r="AE199" s="3553"/>
      <c r="AF199" s="3553"/>
      <c r="AG199" s="3553"/>
      <c r="AH199" s="3553"/>
      <c r="AI199" s="3553"/>
      <c r="AJ199" s="3553"/>
      <c r="AK199" s="3553"/>
      <c r="AL199" s="3553"/>
      <c r="AM199" s="3"/>
    </row>
    <row r="200" spans="15:39" ht="21.95" customHeight="1">
      <c r="O200" s="3"/>
      <c r="P200" s="3557" t="s">
        <v>5855</v>
      </c>
      <c r="Q200" s="3558"/>
      <c r="R200" s="3558"/>
      <c r="S200" s="3558"/>
      <c r="T200" s="3558"/>
      <c r="U200" s="3558"/>
      <c r="V200" s="3558"/>
      <c r="W200" s="3558"/>
      <c r="X200" s="3558"/>
      <c r="Y200" s="3558"/>
      <c r="Z200" s="3558"/>
      <c r="AA200" s="3"/>
      <c r="AB200" s="3614"/>
      <c r="AC200" s="3553" t="s">
        <v>5856</v>
      </c>
      <c r="AD200" s="3553"/>
      <c r="AE200" s="3553"/>
      <c r="AF200" s="3553"/>
      <c r="AG200" s="3553"/>
      <c r="AH200" s="3553"/>
      <c r="AI200" s="3553"/>
      <c r="AJ200" s="3553"/>
      <c r="AK200" s="3553"/>
      <c r="AL200" s="3553"/>
      <c r="AM200" s="3"/>
    </row>
    <row r="201" spans="15:39" ht="21.95" customHeight="1">
      <c r="O201" s="3"/>
      <c r="P201" s="3562" t="s">
        <v>5574</v>
      </c>
      <c r="Q201" s="3552" t="s">
        <v>5857</v>
      </c>
      <c r="R201" s="3553"/>
      <c r="S201" s="3553"/>
      <c r="T201" s="3553"/>
      <c r="U201" s="3553"/>
      <c r="V201" s="3553"/>
      <c r="W201" s="3553"/>
      <c r="X201" s="3553"/>
      <c r="Y201" s="3553"/>
      <c r="Z201" s="3553"/>
      <c r="AA201" s="3"/>
      <c r="AB201" s="3614"/>
      <c r="AC201" s="3552" t="s">
        <v>5858</v>
      </c>
      <c r="AD201" s="3553"/>
      <c r="AE201" s="3553"/>
      <c r="AF201" s="3553"/>
      <c r="AG201" s="3553"/>
      <c r="AH201" s="3553"/>
      <c r="AI201" s="3553"/>
      <c r="AJ201" s="3553"/>
      <c r="AK201" s="3553"/>
      <c r="AL201" s="3553"/>
      <c r="AM201" s="3"/>
    </row>
    <row r="202" spans="15:39" ht="21.95" customHeight="1">
      <c r="O202" s="3"/>
      <c r="P202" s="3563"/>
      <c r="Q202" s="3553"/>
      <c r="R202" s="3553"/>
      <c r="S202" s="3553"/>
      <c r="T202" s="3553"/>
      <c r="U202" s="3553"/>
      <c r="V202" s="3553"/>
      <c r="W202" s="3553"/>
      <c r="X202" s="3553"/>
      <c r="Y202" s="3553"/>
      <c r="Z202" s="3553"/>
      <c r="AA202" s="3"/>
      <c r="AB202" s="3614"/>
      <c r="AC202" s="3553"/>
      <c r="AD202" s="3553"/>
      <c r="AE202" s="3553"/>
      <c r="AF202" s="3553"/>
      <c r="AG202" s="3553"/>
      <c r="AH202" s="3553"/>
      <c r="AI202" s="3553"/>
      <c r="AJ202" s="3553"/>
      <c r="AK202" s="3553"/>
      <c r="AL202" s="3553"/>
      <c r="AM202" s="3"/>
    </row>
    <row r="203" spans="15:39" ht="21.95" customHeight="1">
      <c r="O203" s="3"/>
      <c r="P203" s="3563"/>
      <c r="Q203" s="3553"/>
      <c r="R203" s="3553"/>
      <c r="S203" s="3553"/>
      <c r="T203" s="3553"/>
      <c r="U203" s="3553"/>
      <c r="V203" s="3553"/>
      <c r="W203" s="3553"/>
      <c r="X203" s="3553"/>
      <c r="Y203" s="3553"/>
      <c r="Z203" s="3553"/>
      <c r="AA203" s="3"/>
      <c r="AB203" s="3614"/>
      <c r="AC203" s="3553" t="s">
        <v>5859</v>
      </c>
      <c r="AD203" s="3553"/>
      <c r="AE203" s="3553"/>
      <c r="AF203" s="3553"/>
      <c r="AG203" s="3553"/>
      <c r="AH203" s="3553"/>
      <c r="AI203" s="3553"/>
      <c r="AJ203" s="3553"/>
      <c r="AK203" s="3553"/>
      <c r="AL203" s="3553"/>
      <c r="AM203" s="3"/>
    </row>
    <row r="204" spans="15:39" ht="21.95" customHeight="1">
      <c r="O204" s="3"/>
      <c r="P204" s="3588" t="s">
        <v>5751</v>
      </c>
      <c r="Q204" s="3579" t="s">
        <v>5860</v>
      </c>
      <c r="R204" s="3580"/>
      <c r="S204" s="3580"/>
      <c r="T204" s="3580"/>
      <c r="U204" s="3580"/>
      <c r="V204" s="3580"/>
      <c r="W204" s="3580"/>
      <c r="X204" s="3580"/>
      <c r="Y204" s="3580"/>
      <c r="Z204" s="3580"/>
      <c r="AA204" s="3"/>
      <c r="AB204" s="3562" t="s">
        <v>5616</v>
      </c>
      <c r="AC204" s="3553" t="s">
        <v>5861</v>
      </c>
      <c r="AD204" s="3553"/>
      <c r="AE204" s="3553"/>
      <c r="AF204" s="3553"/>
      <c r="AG204" s="3553"/>
      <c r="AH204" s="3553"/>
      <c r="AI204" s="3553"/>
      <c r="AJ204" s="3553"/>
      <c r="AK204" s="3553"/>
      <c r="AL204" s="3553"/>
      <c r="AM204" s="3"/>
    </row>
    <row r="205" spans="15:39" ht="21.95" customHeight="1">
      <c r="O205" s="3"/>
      <c r="P205" s="3589"/>
      <c r="Q205" s="3580"/>
      <c r="R205" s="3580"/>
      <c r="S205" s="3580"/>
      <c r="T205" s="3580"/>
      <c r="U205" s="3580"/>
      <c r="V205" s="3580"/>
      <c r="W205" s="3580"/>
      <c r="X205" s="3580"/>
      <c r="Y205" s="3580"/>
      <c r="Z205" s="3580"/>
      <c r="AA205" s="3"/>
      <c r="AB205" s="3563"/>
      <c r="AC205" s="3570" t="s">
        <v>5862</v>
      </c>
      <c r="AD205" s="3571"/>
      <c r="AE205" s="3571"/>
      <c r="AF205" s="3571"/>
      <c r="AG205" s="3571"/>
      <c r="AH205" s="3571"/>
      <c r="AI205" s="3571"/>
      <c r="AJ205" s="3571"/>
      <c r="AK205" s="3571"/>
      <c r="AL205" s="3571"/>
      <c r="AM205" s="3"/>
    </row>
    <row r="206" spans="15:39" ht="21.95" customHeight="1">
      <c r="O206" s="3"/>
      <c r="P206" s="3572" t="s">
        <v>108</v>
      </c>
      <c r="Q206" s="3556" t="s">
        <v>5863</v>
      </c>
      <c r="R206" s="3556"/>
      <c r="S206" s="3556"/>
      <c r="T206" s="3556"/>
      <c r="U206" s="3556"/>
      <c r="V206" s="3556"/>
      <c r="W206" s="3556"/>
      <c r="X206" s="3556"/>
      <c r="Y206" s="3556"/>
      <c r="Z206" s="3556"/>
      <c r="AA206" s="3"/>
      <c r="AB206" s="3563"/>
      <c r="AC206" s="3571"/>
      <c r="AD206" s="3571"/>
      <c r="AE206" s="3571"/>
      <c r="AF206" s="3571"/>
      <c r="AG206" s="3571"/>
      <c r="AH206" s="3571"/>
      <c r="AI206" s="3571"/>
      <c r="AJ206" s="3571"/>
      <c r="AK206" s="3571"/>
      <c r="AL206" s="3571"/>
      <c r="AM206" s="3"/>
    </row>
    <row r="207" spans="15:39" ht="21.95" customHeight="1">
      <c r="O207" s="3"/>
      <c r="P207" s="3573"/>
      <c r="Q207" s="3556"/>
      <c r="R207" s="3556"/>
      <c r="S207" s="3556"/>
      <c r="T207" s="3556"/>
      <c r="U207" s="3556"/>
      <c r="V207" s="3556"/>
      <c r="W207" s="3556"/>
      <c r="X207" s="3556"/>
      <c r="Y207" s="3556"/>
      <c r="Z207" s="3556"/>
      <c r="AA207" s="3"/>
      <c r="AB207" s="3563"/>
      <c r="AC207" s="3571"/>
      <c r="AD207" s="3571"/>
      <c r="AE207" s="3571"/>
      <c r="AF207" s="3571"/>
      <c r="AG207" s="3571"/>
      <c r="AH207" s="3571"/>
      <c r="AI207" s="3571"/>
      <c r="AJ207" s="3571"/>
      <c r="AK207" s="3571"/>
      <c r="AL207" s="3571"/>
      <c r="AM207" s="3"/>
    </row>
    <row r="208" spans="15:39" ht="21.95" customHeight="1">
      <c r="O208" s="3"/>
      <c r="P208" s="3573"/>
      <c r="Q208" s="3556"/>
      <c r="R208" s="3556"/>
      <c r="S208" s="3556"/>
      <c r="T208" s="3556"/>
      <c r="U208" s="3556"/>
      <c r="V208" s="3556"/>
      <c r="W208" s="3556"/>
      <c r="X208" s="3556"/>
      <c r="Y208" s="3556"/>
      <c r="Z208" s="3556"/>
      <c r="AA208" s="3"/>
      <c r="AB208" s="3563"/>
      <c r="AC208" s="3553" t="s">
        <v>5864</v>
      </c>
      <c r="AD208" s="3553"/>
      <c r="AE208" s="3553"/>
      <c r="AF208" s="3553"/>
      <c r="AG208" s="3553"/>
      <c r="AH208" s="3553"/>
      <c r="AI208" s="3553"/>
      <c r="AJ208" s="3553"/>
      <c r="AK208" s="3553"/>
      <c r="AL208" s="3553"/>
      <c r="AM208" s="3"/>
    </row>
    <row r="209" spans="15:39" ht="21.95" customHeight="1">
      <c r="O209" s="3"/>
      <c r="P209" s="3573"/>
      <c r="Q209" s="3556"/>
      <c r="R209" s="3556"/>
      <c r="S209" s="3556"/>
      <c r="T209" s="3556"/>
      <c r="U209" s="3556"/>
      <c r="V209" s="3556"/>
      <c r="W209" s="3556"/>
      <c r="X209" s="3556"/>
      <c r="Y209" s="3556"/>
      <c r="Z209" s="3556"/>
      <c r="AA209" s="3"/>
      <c r="AB209" s="3563"/>
      <c r="AC209" s="3552" t="s">
        <v>5865</v>
      </c>
      <c r="AD209" s="3552"/>
      <c r="AE209" s="3552"/>
      <c r="AF209" s="3552"/>
      <c r="AG209" s="3552"/>
      <c r="AH209" s="3552"/>
      <c r="AI209" s="3552"/>
      <c r="AJ209" s="3552"/>
      <c r="AK209" s="3552"/>
      <c r="AL209" s="3552"/>
      <c r="AM209" s="3"/>
    </row>
    <row r="210" spans="15:39" ht="21.95" customHeight="1">
      <c r="O210" s="3"/>
      <c r="P210" s="3573"/>
      <c r="Q210" s="3556"/>
      <c r="R210" s="3556"/>
      <c r="S210" s="3556"/>
      <c r="T210" s="3556"/>
      <c r="U210" s="3556"/>
      <c r="V210" s="3556"/>
      <c r="W210" s="3556"/>
      <c r="X210" s="3556"/>
      <c r="Y210" s="3556"/>
      <c r="Z210" s="3556"/>
      <c r="AA210" s="3"/>
      <c r="AB210" s="3563"/>
      <c r="AC210" s="3552"/>
      <c r="AD210" s="3552"/>
      <c r="AE210" s="3552"/>
      <c r="AF210" s="3552"/>
      <c r="AG210" s="3552"/>
      <c r="AH210" s="3552"/>
      <c r="AI210" s="3552"/>
      <c r="AJ210" s="3552"/>
      <c r="AK210" s="3552"/>
      <c r="AL210" s="3552"/>
      <c r="AM210" s="3"/>
    </row>
    <row r="211" spans="15:39" ht="21.95" customHeight="1">
      <c r="O211" s="3"/>
      <c r="P211" s="3557" t="s">
        <v>5866</v>
      </c>
      <c r="Q211" s="3558"/>
      <c r="R211" s="3558"/>
      <c r="S211" s="3558"/>
      <c r="T211" s="3558"/>
      <c r="U211" s="3558"/>
      <c r="V211" s="3558"/>
      <c r="W211" s="3558"/>
      <c r="X211" s="3558"/>
      <c r="Y211" s="3558"/>
      <c r="Z211" s="3558"/>
      <c r="AA211" s="3"/>
      <c r="AB211" s="3563"/>
      <c r="AC211" s="3552"/>
      <c r="AD211" s="3552"/>
      <c r="AE211" s="3552"/>
      <c r="AF211" s="3552"/>
      <c r="AG211" s="3552"/>
      <c r="AH211" s="3552"/>
      <c r="AI211" s="3552"/>
      <c r="AJ211" s="3552"/>
      <c r="AK211" s="3552"/>
      <c r="AL211" s="3552"/>
      <c r="AM211" s="3"/>
    </row>
    <row r="212" spans="15:39" ht="21.95" customHeight="1">
      <c r="O212" s="3"/>
      <c r="P212" s="3562" t="s">
        <v>5574</v>
      </c>
      <c r="Q212" s="3553" t="s">
        <v>5867</v>
      </c>
      <c r="R212" s="3553"/>
      <c r="S212" s="3553"/>
      <c r="T212" s="3553"/>
      <c r="U212" s="3553"/>
      <c r="V212" s="3553"/>
      <c r="W212" s="3553"/>
      <c r="X212" s="3553"/>
      <c r="Y212" s="3553"/>
      <c r="Z212" s="3553"/>
      <c r="AA212" s="3"/>
      <c r="AB212" s="3563"/>
      <c r="AC212" s="3552"/>
      <c r="AD212" s="3552"/>
      <c r="AE212" s="3552"/>
      <c r="AF212" s="3552"/>
      <c r="AG212" s="3552"/>
      <c r="AH212" s="3552"/>
      <c r="AI212" s="3552"/>
      <c r="AJ212" s="3552"/>
      <c r="AK212" s="3552"/>
      <c r="AL212" s="3552"/>
      <c r="AM212" s="3"/>
    </row>
    <row r="213" spans="15:39" ht="21.95" customHeight="1">
      <c r="O213" s="3"/>
      <c r="P213" s="3563"/>
      <c r="Q213" s="3553"/>
      <c r="R213" s="3553"/>
      <c r="S213" s="3553"/>
      <c r="T213" s="3553"/>
      <c r="U213" s="3553"/>
      <c r="V213" s="3553"/>
      <c r="W213" s="3553"/>
      <c r="X213" s="3553"/>
      <c r="Y213" s="3553"/>
      <c r="Z213" s="3553"/>
      <c r="AA213" s="3"/>
      <c r="AB213" s="3563"/>
      <c r="AC213" s="3552"/>
      <c r="AD213" s="3552"/>
      <c r="AE213" s="3552"/>
      <c r="AF213" s="3552"/>
      <c r="AG213" s="3552"/>
      <c r="AH213" s="3552"/>
      <c r="AI213" s="3552"/>
      <c r="AJ213" s="3552"/>
      <c r="AK213" s="3552"/>
      <c r="AL213" s="3552"/>
      <c r="AM213" s="3"/>
    </row>
    <row r="214" spans="15:39" ht="21.95" customHeight="1">
      <c r="O214" s="3"/>
      <c r="P214" s="3563"/>
      <c r="Q214" s="3552" t="s">
        <v>5868</v>
      </c>
      <c r="R214" s="3552"/>
      <c r="S214" s="3552"/>
      <c r="T214" s="3552"/>
      <c r="U214" s="3552"/>
      <c r="V214" s="3552"/>
      <c r="W214" s="3552"/>
      <c r="X214" s="3552"/>
      <c r="Y214" s="3552"/>
      <c r="Z214" s="3552"/>
      <c r="AA214" s="3"/>
      <c r="AB214" s="3563"/>
      <c r="AC214" s="3553" t="s">
        <v>5869</v>
      </c>
      <c r="AD214" s="3553"/>
      <c r="AE214" s="3553"/>
      <c r="AF214" s="3553"/>
      <c r="AG214" s="3553"/>
      <c r="AH214" s="3553"/>
      <c r="AI214" s="3553"/>
      <c r="AJ214" s="3553"/>
      <c r="AK214" s="3553"/>
      <c r="AL214" s="3553"/>
      <c r="AM214" s="3"/>
    </row>
    <row r="215" spans="15:39" ht="21.95" customHeight="1">
      <c r="O215" s="3"/>
      <c r="P215" s="3563"/>
      <c r="Q215" s="3552"/>
      <c r="R215" s="3552"/>
      <c r="S215" s="3552"/>
      <c r="T215" s="3552"/>
      <c r="U215" s="3552"/>
      <c r="V215" s="3552"/>
      <c r="W215" s="3552"/>
      <c r="X215" s="3552"/>
      <c r="Y215" s="3552"/>
      <c r="Z215" s="3552"/>
      <c r="AA215" s="3"/>
      <c r="AB215" s="3563"/>
      <c r="AC215" s="3553" t="s">
        <v>5870</v>
      </c>
      <c r="AD215" s="3553"/>
      <c r="AE215" s="3553"/>
      <c r="AF215" s="3553"/>
      <c r="AG215" s="3553"/>
      <c r="AH215" s="3553"/>
      <c r="AI215" s="3553"/>
      <c r="AJ215" s="3553"/>
      <c r="AK215" s="3553"/>
      <c r="AL215" s="3553"/>
      <c r="AM215" s="3"/>
    </row>
    <row r="216" spans="15:39" ht="21.95" customHeight="1">
      <c r="O216" s="3"/>
      <c r="P216" s="3563"/>
      <c r="Q216" s="3552"/>
      <c r="R216" s="3552"/>
      <c r="S216" s="3552"/>
      <c r="T216" s="3552"/>
      <c r="U216" s="3552"/>
      <c r="V216" s="3552"/>
      <c r="W216" s="3552"/>
      <c r="X216" s="3552"/>
      <c r="Y216" s="3552"/>
      <c r="Z216" s="3552"/>
      <c r="AA216" s="3"/>
      <c r="AB216" s="3595" t="s">
        <v>5589</v>
      </c>
      <c r="AC216" s="3553" t="s">
        <v>5871</v>
      </c>
      <c r="AD216" s="3553"/>
      <c r="AE216" s="3553"/>
      <c r="AF216" s="3553"/>
      <c r="AG216" s="3553"/>
      <c r="AH216" s="3553"/>
      <c r="AI216" s="3553"/>
      <c r="AJ216" s="3553"/>
      <c r="AK216" s="3553"/>
      <c r="AL216" s="3553"/>
      <c r="AM216" s="3"/>
    </row>
    <row r="217" spans="15:39" ht="21.95" customHeight="1">
      <c r="O217" s="3"/>
      <c r="P217" s="3563"/>
      <c r="Q217" s="3552" t="s">
        <v>5872</v>
      </c>
      <c r="R217" s="3552"/>
      <c r="S217" s="3552"/>
      <c r="T217" s="3552"/>
      <c r="U217" s="3552"/>
      <c r="V217" s="3552"/>
      <c r="W217" s="3552"/>
      <c r="X217" s="3552"/>
      <c r="Y217" s="3552"/>
      <c r="Z217" s="3552"/>
      <c r="AA217" s="3"/>
      <c r="AB217" s="3596"/>
      <c r="AC217" s="3552" t="s">
        <v>5873</v>
      </c>
      <c r="AD217" s="3553"/>
      <c r="AE217" s="3553"/>
      <c r="AF217" s="3553"/>
      <c r="AG217" s="3553"/>
      <c r="AH217" s="3553"/>
      <c r="AI217" s="3553"/>
      <c r="AJ217" s="3553"/>
      <c r="AK217" s="3553"/>
      <c r="AL217" s="3553"/>
      <c r="AM217" s="3"/>
    </row>
    <row r="218" spans="15:39" ht="21.95" customHeight="1">
      <c r="O218" s="3"/>
      <c r="P218" s="3563"/>
      <c r="Q218" s="3552"/>
      <c r="R218" s="3552"/>
      <c r="S218" s="3552"/>
      <c r="T218" s="3552"/>
      <c r="U218" s="3552"/>
      <c r="V218" s="3552"/>
      <c r="W218" s="3552"/>
      <c r="X218" s="3552"/>
      <c r="Y218" s="3552"/>
      <c r="Z218" s="3552"/>
      <c r="AA218" s="3"/>
      <c r="AB218" s="3596"/>
      <c r="AC218" s="3553"/>
      <c r="AD218" s="3553"/>
      <c r="AE218" s="3553"/>
      <c r="AF218" s="3553"/>
      <c r="AG218" s="3553"/>
      <c r="AH218" s="3553"/>
      <c r="AI218" s="3553"/>
      <c r="AJ218" s="3553"/>
      <c r="AK218" s="3553"/>
      <c r="AL218" s="3553"/>
      <c r="AM218" s="3"/>
    </row>
    <row r="219" spans="15:39" ht="21.95" customHeight="1">
      <c r="O219" s="3"/>
      <c r="P219" s="3563"/>
      <c r="Q219" s="3571" t="s">
        <v>5874</v>
      </c>
      <c r="R219" s="3571"/>
      <c r="S219" s="3571"/>
      <c r="T219" s="3571"/>
      <c r="U219" s="3571"/>
      <c r="V219" s="3571"/>
      <c r="W219" s="3571"/>
      <c r="X219" s="3571"/>
      <c r="Y219" s="3571"/>
      <c r="Z219" s="3571"/>
      <c r="AA219" s="3"/>
      <c r="AB219" s="4" t="s">
        <v>5597</v>
      </c>
      <c r="AC219" s="3552" t="s">
        <v>5875</v>
      </c>
      <c r="AD219" s="3552"/>
      <c r="AE219" s="3552"/>
      <c r="AF219" s="3552"/>
      <c r="AG219" s="3552"/>
      <c r="AH219" s="3552"/>
      <c r="AI219" s="3552"/>
      <c r="AJ219" s="3552"/>
      <c r="AK219" s="3552"/>
      <c r="AL219" s="3552"/>
      <c r="AM219" s="3"/>
    </row>
    <row r="220" spans="15:39" ht="21.95" customHeight="1">
      <c r="O220" s="3"/>
      <c r="P220" s="3572" t="s">
        <v>108</v>
      </c>
      <c r="Q220" s="3556" t="s">
        <v>5876</v>
      </c>
      <c r="R220" s="3556"/>
      <c r="S220" s="3556"/>
      <c r="T220" s="3556"/>
      <c r="U220" s="3556"/>
      <c r="V220" s="3556"/>
      <c r="W220" s="3556"/>
      <c r="X220" s="3556"/>
      <c r="Y220" s="3556"/>
      <c r="Z220" s="3556"/>
      <c r="AA220" s="3"/>
      <c r="AB220" s="3572" t="s">
        <v>5749</v>
      </c>
      <c r="AC220" s="3552" t="s">
        <v>5877</v>
      </c>
      <c r="AD220" s="3553"/>
      <c r="AE220" s="3553"/>
      <c r="AF220" s="3553"/>
      <c r="AG220" s="3553"/>
      <c r="AH220" s="3553"/>
      <c r="AI220" s="3553"/>
      <c r="AJ220" s="3553"/>
      <c r="AK220" s="3553"/>
      <c r="AL220" s="3553"/>
      <c r="AM220" s="3"/>
    </row>
    <row r="221" spans="15:39" ht="21.95" customHeight="1">
      <c r="O221" s="3"/>
      <c r="P221" s="3573"/>
      <c r="Q221" s="3556"/>
      <c r="R221" s="3556"/>
      <c r="S221" s="3556"/>
      <c r="T221" s="3556"/>
      <c r="U221" s="3556"/>
      <c r="V221" s="3556"/>
      <c r="W221" s="3556"/>
      <c r="X221" s="3556"/>
      <c r="Y221" s="3556"/>
      <c r="Z221" s="3556"/>
      <c r="AA221" s="3"/>
      <c r="AB221" s="3573"/>
      <c r="AC221" s="3552" t="s">
        <v>5878</v>
      </c>
      <c r="AD221" s="3552"/>
      <c r="AE221" s="3552"/>
      <c r="AF221" s="3552"/>
      <c r="AG221" s="3552"/>
      <c r="AH221" s="3552"/>
      <c r="AI221" s="3552"/>
      <c r="AJ221" s="3552"/>
      <c r="AK221" s="3552"/>
      <c r="AL221" s="3552"/>
      <c r="AM221" s="3"/>
    </row>
    <row r="222" spans="15:39" ht="21.95" customHeight="1">
      <c r="O222" s="3"/>
      <c r="P222" s="3573"/>
      <c r="Q222" s="3556"/>
      <c r="R222" s="3556"/>
      <c r="S222" s="3556"/>
      <c r="T222" s="3556"/>
      <c r="U222" s="3556"/>
      <c r="V222" s="3556"/>
      <c r="W222" s="3556"/>
      <c r="X222" s="3556"/>
      <c r="Y222" s="3556"/>
      <c r="Z222" s="3556"/>
      <c r="AA222" s="3"/>
      <c r="AB222" s="3573"/>
      <c r="AC222" s="3552"/>
      <c r="AD222" s="3552"/>
      <c r="AE222" s="3552"/>
      <c r="AF222" s="3552"/>
      <c r="AG222" s="3552"/>
      <c r="AH222" s="3552"/>
      <c r="AI222" s="3552"/>
      <c r="AJ222" s="3552"/>
      <c r="AK222" s="3552"/>
      <c r="AL222" s="3552"/>
      <c r="AM222" s="3"/>
    </row>
    <row r="223" spans="15:39" ht="21.95" customHeight="1">
      <c r="O223" s="3"/>
      <c r="P223" s="3573"/>
      <c r="Q223" s="3556"/>
      <c r="R223" s="3556"/>
      <c r="S223" s="3556"/>
      <c r="T223" s="3556"/>
      <c r="U223" s="3556"/>
      <c r="V223" s="3556"/>
      <c r="W223" s="3556"/>
      <c r="X223" s="3556"/>
      <c r="Y223" s="3556"/>
      <c r="Z223" s="3556"/>
      <c r="AA223" s="3"/>
      <c r="AB223" s="3573"/>
      <c r="AC223" s="3552"/>
      <c r="AD223" s="3552"/>
      <c r="AE223" s="3552"/>
      <c r="AF223" s="3552"/>
      <c r="AG223" s="3552"/>
      <c r="AH223" s="3552"/>
      <c r="AI223" s="3552"/>
      <c r="AJ223" s="3552"/>
      <c r="AK223" s="3552"/>
      <c r="AL223" s="3552"/>
      <c r="AM223" s="3"/>
    </row>
    <row r="224" spans="15:39" ht="21.95" customHeight="1">
      <c r="O224" s="3"/>
      <c r="P224" s="3573"/>
      <c r="Q224" s="3556"/>
      <c r="R224" s="3556"/>
      <c r="S224" s="3556"/>
      <c r="T224" s="3556"/>
      <c r="U224" s="3556"/>
      <c r="V224" s="3556"/>
      <c r="W224" s="3556"/>
      <c r="X224" s="3556"/>
      <c r="Y224" s="3556"/>
      <c r="Z224" s="3556"/>
      <c r="AA224" s="3"/>
      <c r="AB224" s="3573"/>
      <c r="AC224" s="3552" t="s">
        <v>5879</v>
      </c>
      <c r="AD224" s="3552"/>
      <c r="AE224" s="3552"/>
      <c r="AF224" s="3552"/>
      <c r="AG224" s="3552"/>
      <c r="AH224" s="3552"/>
      <c r="AI224" s="3552"/>
      <c r="AJ224" s="3552"/>
      <c r="AK224" s="3552"/>
      <c r="AL224" s="3552"/>
      <c r="AM224" s="3"/>
    </row>
    <row r="225" spans="15:39" ht="21.95" customHeight="1">
      <c r="O225" s="3"/>
      <c r="P225" s="3608" t="s">
        <v>5880</v>
      </c>
      <c r="Q225" s="3609"/>
      <c r="R225" s="3609"/>
      <c r="S225" s="3609"/>
      <c r="T225" s="3609"/>
      <c r="U225" s="3609"/>
      <c r="V225" s="3609"/>
      <c r="W225" s="3609"/>
      <c r="X225" s="3609"/>
      <c r="Y225" s="3609"/>
      <c r="Z225" s="3609"/>
      <c r="AA225" s="3"/>
      <c r="AB225" s="3557" t="s">
        <v>5881</v>
      </c>
      <c r="AC225" s="3558"/>
      <c r="AD225" s="3558"/>
      <c r="AE225" s="3558"/>
      <c r="AF225" s="3558"/>
      <c r="AG225" s="3558"/>
      <c r="AH225" s="3558"/>
      <c r="AI225" s="3558"/>
      <c r="AJ225" s="3558"/>
      <c r="AK225" s="3558"/>
      <c r="AL225" s="3558"/>
      <c r="AM225" s="3"/>
    </row>
    <row r="226" spans="15:39" ht="21.95" customHeight="1">
      <c r="O226" s="3"/>
      <c r="P226" s="3562" t="s">
        <v>5574</v>
      </c>
      <c r="Q226" s="3553" t="s">
        <v>5882</v>
      </c>
      <c r="R226" s="3553"/>
      <c r="S226" s="3553"/>
      <c r="T226" s="3553"/>
      <c r="U226" s="3553"/>
      <c r="V226" s="3553"/>
      <c r="W226" s="3553"/>
      <c r="X226" s="3553"/>
      <c r="Y226" s="3553"/>
      <c r="Z226" s="3553"/>
      <c r="AA226" s="3"/>
      <c r="AB226" s="3613" t="s">
        <v>5574</v>
      </c>
      <c r="AC226" s="3553" t="s">
        <v>5883</v>
      </c>
      <c r="AD226" s="3553"/>
      <c r="AE226" s="3553"/>
      <c r="AF226" s="3553"/>
      <c r="AG226" s="3553"/>
      <c r="AH226" s="3553"/>
      <c r="AI226" s="3553"/>
      <c r="AJ226" s="3553"/>
      <c r="AK226" s="3553"/>
      <c r="AL226" s="3553"/>
      <c r="AM226" s="3"/>
    </row>
    <row r="227" spans="15:39" ht="21.95" customHeight="1">
      <c r="O227" s="3"/>
      <c r="P227" s="3563"/>
      <c r="Q227" s="3553"/>
      <c r="R227" s="3553"/>
      <c r="S227" s="3553"/>
      <c r="T227" s="3553"/>
      <c r="U227" s="3553"/>
      <c r="V227" s="3553"/>
      <c r="W227" s="3553"/>
      <c r="X227" s="3553"/>
      <c r="Y227" s="3553"/>
      <c r="Z227" s="3553"/>
      <c r="AA227" s="3"/>
      <c r="AB227" s="3614"/>
      <c r="AC227" s="3552" t="s">
        <v>5884</v>
      </c>
      <c r="AD227" s="3553"/>
      <c r="AE227" s="3553"/>
      <c r="AF227" s="3553"/>
      <c r="AG227" s="3553"/>
      <c r="AH227" s="3553"/>
      <c r="AI227" s="3553"/>
      <c r="AJ227" s="3553"/>
      <c r="AK227" s="3553"/>
      <c r="AL227" s="3553"/>
      <c r="AM227" s="3"/>
    </row>
    <row r="228" spans="15:39" ht="21.95" customHeight="1">
      <c r="O228" s="3"/>
      <c r="P228" s="3563"/>
      <c r="Q228" s="3553"/>
      <c r="R228" s="3553"/>
      <c r="S228" s="3553"/>
      <c r="T228" s="3553"/>
      <c r="U228" s="3553"/>
      <c r="V228" s="3553"/>
      <c r="W228" s="3553"/>
      <c r="X228" s="3553"/>
      <c r="Y228" s="3553"/>
      <c r="Z228" s="3553"/>
      <c r="AA228" s="3"/>
      <c r="AB228" s="3614"/>
      <c r="AC228" s="3553"/>
      <c r="AD228" s="3553"/>
      <c r="AE228" s="3553"/>
      <c r="AF228" s="3553"/>
      <c r="AG228" s="3553"/>
      <c r="AH228" s="3553"/>
      <c r="AI228" s="3553"/>
      <c r="AJ228" s="3553"/>
      <c r="AK228" s="3553"/>
      <c r="AL228" s="3553"/>
      <c r="AM228" s="3"/>
    </row>
    <row r="229" spans="15:39" ht="21.95" customHeight="1">
      <c r="O229" s="3"/>
      <c r="P229" s="3608" t="s">
        <v>5885</v>
      </c>
      <c r="Q229" s="3558"/>
      <c r="R229" s="3558"/>
      <c r="S229" s="3558"/>
      <c r="T229" s="3558"/>
      <c r="U229" s="3558"/>
      <c r="V229" s="3558"/>
      <c r="W229" s="3558"/>
      <c r="X229" s="3558"/>
      <c r="Y229" s="3558"/>
      <c r="Z229" s="3558"/>
      <c r="AA229" s="3"/>
      <c r="AB229" s="3614"/>
      <c r="AC229" s="3553" t="s">
        <v>5886</v>
      </c>
      <c r="AD229" s="3553"/>
      <c r="AE229" s="3553"/>
      <c r="AF229" s="3553"/>
      <c r="AG229" s="3553"/>
      <c r="AH229" s="3553"/>
      <c r="AI229" s="3553"/>
      <c r="AJ229" s="3553"/>
      <c r="AK229" s="3553"/>
      <c r="AL229" s="3553"/>
      <c r="AM229" s="3"/>
    </row>
    <row r="230" spans="15:39" ht="21.95" customHeight="1">
      <c r="O230" s="3"/>
      <c r="P230" s="3562" t="s">
        <v>5574</v>
      </c>
      <c r="Q230" s="3586" t="s">
        <v>5887</v>
      </c>
      <c r="R230" s="3553"/>
      <c r="S230" s="3553"/>
      <c r="T230" s="3553"/>
      <c r="U230" s="3553"/>
      <c r="V230" s="3553"/>
      <c r="W230" s="3553"/>
      <c r="X230" s="3553"/>
      <c r="Y230" s="3553"/>
      <c r="Z230" s="3553"/>
      <c r="AA230" s="3"/>
      <c r="AB230" s="3614"/>
      <c r="AC230" s="3552" t="s">
        <v>5888</v>
      </c>
      <c r="AD230" s="3553"/>
      <c r="AE230" s="3553"/>
      <c r="AF230" s="3553"/>
      <c r="AG230" s="3553"/>
      <c r="AH230" s="3553"/>
      <c r="AI230" s="3553"/>
      <c r="AJ230" s="3553"/>
      <c r="AK230" s="3553"/>
      <c r="AL230" s="3553"/>
      <c r="AM230" s="3"/>
    </row>
    <row r="231" spans="15:39" ht="21.95" customHeight="1">
      <c r="O231" s="3"/>
      <c r="P231" s="3563"/>
      <c r="Q231" s="3585" t="s">
        <v>5889</v>
      </c>
      <c r="R231" s="3553"/>
      <c r="S231" s="3553"/>
      <c r="T231" s="3553"/>
      <c r="U231" s="3553"/>
      <c r="V231" s="3553"/>
      <c r="W231" s="3553"/>
      <c r="X231" s="3553"/>
      <c r="Y231" s="3553"/>
      <c r="Z231" s="3553"/>
      <c r="AA231" s="3"/>
      <c r="AB231" s="3614"/>
      <c r="AC231" s="3553"/>
      <c r="AD231" s="3553"/>
      <c r="AE231" s="3553"/>
      <c r="AF231" s="3553"/>
      <c r="AG231" s="3553"/>
      <c r="AH231" s="3553"/>
      <c r="AI231" s="3553"/>
      <c r="AJ231" s="3553"/>
      <c r="AK231" s="3553"/>
      <c r="AL231" s="3553"/>
      <c r="AM231" s="3"/>
    </row>
    <row r="232" spans="15:39" ht="21.95" customHeight="1">
      <c r="O232" s="3"/>
      <c r="P232" s="3563"/>
      <c r="Q232" s="3586"/>
      <c r="R232" s="3553"/>
      <c r="S232" s="3553"/>
      <c r="T232" s="3553"/>
      <c r="U232" s="3553"/>
      <c r="V232" s="3553"/>
      <c r="W232" s="3553"/>
      <c r="X232" s="3553"/>
      <c r="Y232" s="3553"/>
      <c r="Z232" s="3553"/>
      <c r="AB232" s="3614"/>
      <c r="AC232" s="3553"/>
      <c r="AD232" s="3553"/>
      <c r="AE232" s="3553"/>
      <c r="AF232" s="3553"/>
      <c r="AG232" s="3553"/>
      <c r="AH232" s="3553"/>
      <c r="AI232" s="3553"/>
      <c r="AJ232" s="3553"/>
      <c r="AK232" s="3553"/>
      <c r="AL232" s="3553"/>
    </row>
    <row r="233" spans="15:39" ht="21.95" customHeight="1">
      <c r="O233" s="3"/>
      <c r="P233" s="3563"/>
      <c r="Q233" s="3587" t="s">
        <v>5890</v>
      </c>
      <c r="R233" s="3587"/>
      <c r="S233" s="3587"/>
      <c r="T233" s="3587"/>
      <c r="U233" s="3587"/>
      <c r="V233" s="3587"/>
      <c r="W233" s="3587"/>
      <c r="X233" s="3587"/>
      <c r="Y233" s="3587"/>
      <c r="Z233" s="3587"/>
      <c r="AB233" s="3614"/>
      <c r="AC233" s="3553"/>
      <c r="AD233" s="3553"/>
      <c r="AE233" s="3553"/>
      <c r="AF233" s="3553"/>
      <c r="AG233" s="3553"/>
      <c r="AH233" s="3553"/>
      <c r="AI233" s="3553"/>
      <c r="AJ233" s="3553"/>
      <c r="AK233" s="3553"/>
      <c r="AL233" s="3553"/>
    </row>
    <row r="234" spans="15:39" ht="21.95" customHeight="1">
      <c r="O234" s="3"/>
      <c r="P234" s="3563"/>
      <c r="Q234" s="3587"/>
      <c r="R234" s="3587"/>
      <c r="S234" s="3587"/>
      <c r="T234" s="3587"/>
      <c r="U234" s="3587"/>
      <c r="V234" s="3587"/>
      <c r="W234" s="3587"/>
      <c r="X234" s="3587"/>
      <c r="Y234" s="3587"/>
      <c r="Z234" s="3587"/>
      <c r="AB234" s="3614"/>
      <c r="AC234" s="3553"/>
      <c r="AD234" s="3553"/>
      <c r="AE234" s="3553"/>
      <c r="AF234" s="3553"/>
      <c r="AG234" s="3553"/>
      <c r="AH234" s="3553"/>
      <c r="AI234" s="3553"/>
      <c r="AJ234" s="3553"/>
      <c r="AK234" s="3553"/>
      <c r="AL234" s="3553"/>
    </row>
    <row r="235" spans="15:39" ht="21.95" customHeight="1">
      <c r="O235" s="3"/>
      <c r="P235" s="3610"/>
      <c r="Q235" s="3552" t="s">
        <v>5891</v>
      </c>
      <c r="R235" s="3552"/>
      <c r="S235" s="3552"/>
      <c r="T235" s="3552"/>
      <c r="U235" s="3552"/>
      <c r="V235" s="3552"/>
      <c r="W235" s="3552"/>
      <c r="X235" s="3552"/>
      <c r="Y235" s="3552"/>
      <c r="Z235" s="3552"/>
      <c r="AB235" s="3614"/>
      <c r="AC235" s="3553"/>
      <c r="AD235" s="3553"/>
      <c r="AE235" s="3553"/>
      <c r="AF235" s="3553"/>
      <c r="AG235" s="3553"/>
      <c r="AH235" s="3553"/>
      <c r="AI235" s="3553"/>
      <c r="AJ235" s="3553"/>
      <c r="AK235" s="3553"/>
      <c r="AL235" s="3553"/>
    </row>
    <row r="236" spans="15:39" ht="21.95" customHeight="1">
      <c r="O236" s="3"/>
      <c r="P236" s="3610"/>
      <c r="Q236" s="3552"/>
      <c r="R236" s="3552"/>
      <c r="S236" s="3552"/>
      <c r="T236" s="3552"/>
      <c r="U236" s="3552"/>
      <c r="V236" s="3552"/>
      <c r="W236" s="3552"/>
      <c r="X236" s="3552"/>
      <c r="Y236" s="3552"/>
      <c r="Z236" s="3552"/>
      <c r="AB236" s="3613" t="s">
        <v>5751</v>
      </c>
      <c r="AC236" s="3553" t="s">
        <v>5892</v>
      </c>
      <c r="AD236" s="3553"/>
      <c r="AE236" s="3553"/>
      <c r="AF236" s="3553"/>
      <c r="AG236" s="3553"/>
      <c r="AH236" s="3553"/>
      <c r="AI236" s="3553"/>
      <c r="AJ236" s="3553"/>
      <c r="AK236" s="3553"/>
      <c r="AL236" s="3553"/>
    </row>
    <row r="237" spans="15:39" ht="21.95" customHeight="1">
      <c r="O237" s="3"/>
      <c r="P237" s="3610"/>
      <c r="Q237" s="3552"/>
      <c r="R237" s="3552"/>
      <c r="S237" s="3552"/>
      <c r="T237" s="3552"/>
      <c r="U237" s="3552"/>
      <c r="V237" s="3552"/>
      <c r="W237" s="3552"/>
      <c r="X237" s="3552"/>
      <c r="Y237" s="3552"/>
      <c r="Z237" s="3552"/>
      <c r="AB237" s="3614"/>
      <c r="AC237" s="3552" t="s">
        <v>5893</v>
      </c>
      <c r="AD237" s="3552"/>
      <c r="AE237" s="3552"/>
      <c r="AF237" s="3552"/>
      <c r="AG237" s="3552"/>
      <c r="AH237" s="3552"/>
      <c r="AI237" s="3552"/>
      <c r="AJ237" s="3552"/>
      <c r="AK237" s="3552"/>
      <c r="AL237" s="3552"/>
    </row>
    <row r="238" spans="15:39" ht="21.95" customHeight="1">
      <c r="O238" s="3"/>
      <c r="P238" s="3611" t="s">
        <v>5589</v>
      </c>
      <c r="Q238" s="3584" t="s">
        <v>5894</v>
      </c>
      <c r="R238" s="3584"/>
      <c r="S238" s="3584"/>
      <c r="T238" s="3584"/>
      <c r="U238" s="3584"/>
      <c r="V238" s="3584"/>
      <c r="W238" s="3584"/>
      <c r="X238" s="3584"/>
      <c r="Y238" s="3584"/>
      <c r="Z238" s="3584"/>
      <c r="AB238" s="3614"/>
      <c r="AC238" s="3552"/>
      <c r="AD238" s="3552"/>
      <c r="AE238" s="3552"/>
      <c r="AF238" s="3552"/>
      <c r="AG238" s="3552"/>
      <c r="AH238" s="3552"/>
      <c r="AI238" s="3552"/>
      <c r="AJ238" s="3552"/>
      <c r="AK238" s="3552"/>
      <c r="AL238" s="3552"/>
    </row>
    <row r="239" spans="15:39" ht="21.95" customHeight="1">
      <c r="O239" s="3"/>
      <c r="P239" s="3612"/>
      <c r="Q239" s="3552"/>
      <c r="R239" s="3552"/>
      <c r="S239" s="3552"/>
      <c r="T239" s="3552"/>
      <c r="U239" s="3552"/>
      <c r="V239" s="3552"/>
      <c r="W239" s="3552"/>
      <c r="X239" s="3552"/>
      <c r="Y239" s="3552"/>
      <c r="Z239" s="3552"/>
      <c r="AB239" s="3614"/>
      <c r="AC239" s="3552"/>
      <c r="AD239" s="3552"/>
      <c r="AE239" s="3552"/>
      <c r="AF239" s="3552"/>
      <c r="AG239" s="3552"/>
      <c r="AH239" s="3552"/>
      <c r="AI239" s="3552"/>
      <c r="AJ239" s="3552"/>
      <c r="AK239" s="3552"/>
      <c r="AL239" s="3552"/>
    </row>
    <row r="240" spans="15:39" ht="21.95" customHeight="1">
      <c r="O240" s="3"/>
      <c r="P240" s="3612"/>
      <c r="Q240" s="3552"/>
      <c r="R240" s="3552"/>
      <c r="S240" s="3552"/>
      <c r="T240" s="3552"/>
      <c r="U240" s="3552"/>
      <c r="V240" s="3552"/>
      <c r="W240" s="3552"/>
      <c r="X240" s="3552"/>
      <c r="Y240" s="3552"/>
      <c r="Z240" s="3552"/>
      <c r="AB240" s="3614"/>
      <c r="AC240" s="3552"/>
      <c r="AD240" s="3552"/>
      <c r="AE240" s="3552"/>
      <c r="AF240" s="3552"/>
      <c r="AG240" s="3552"/>
      <c r="AH240" s="3552"/>
      <c r="AI240" s="3552"/>
      <c r="AJ240" s="3552"/>
      <c r="AK240" s="3552"/>
      <c r="AL240" s="3552"/>
    </row>
    <row r="241" spans="15:38" ht="21.95" customHeight="1">
      <c r="O241" s="3"/>
      <c r="P241" s="3588" t="s">
        <v>5751</v>
      </c>
      <c r="Q241" s="3580" t="s">
        <v>5895</v>
      </c>
      <c r="R241" s="3580"/>
      <c r="S241" s="3580"/>
      <c r="T241" s="3580"/>
      <c r="U241" s="3580"/>
      <c r="V241" s="3580"/>
      <c r="W241" s="3580"/>
      <c r="X241" s="3580"/>
      <c r="Y241" s="3580"/>
      <c r="Z241" s="3580"/>
      <c r="AB241" s="3614"/>
      <c r="AC241" s="3552"/>
      <c r="AD241" s="3552"/>
      <c r="AE241" s="3552"/>
      <c r="AF241" s="3552"/>
      <c r="AG241" s="3552"/>
      <c r="AH241" s="3552"/>
      <c r="AI241" s="3552"/>
      <c r="AJ241" s="3552"/>
      <c r="AK241" s="3552"/>
      <c r="AL241" s="3552"/>
    </row>
    <row r="242" spans="15:38" ht="21.95" customHeight="1">
      <c r="O242" s="3"/>
      <c r="P242" s="3589"/>
      <c r="Q242" s="3580"/>
      <c r="R242" s="3580"/>
      <c r="S242" s="3580"/>
      <c r="T242" s="3580"/>
      <c r="U242" s="3580"/>
      <c r="V242" s="3580"/>
      <c r="W242" s="3580"/>
      <c r="X242" s="3580"/>
      <c r="Y242" s="3580"/>
      <c r="Z242" s="3580"/>
      <c r="AB242" s="3606" t="s">
        <v>5847</v>
      </c>
      <c r="AC242" s="3553" t="s">
        <v>5896</v>
      </c>
      <c r="AD242" s="3553"/>
      <c r="AE242" s="3553"/>
      <c r="AF242" s="3553"/>
      <c r="AG242" s="3553"/>
      <c r="AH242" s="3553"/>
      <c r="AI242" s="3553"/>
      <c r="AJ242" s="3553"/>
      <c r="AK242" s="3553"/>
      <c r="AL242" s="3553"/>
    </row>
    <row r="243" spans="15:38" ht="21.95" customHeight="1">
      <c r="O243" s="3"/>
      <c r="P243" s="3588" t="s">
        <v>5600</v>
      </c>
      <c r="Q243" s="3552" t="s">
        <v>5897</v>
      </c>
      <c r="R243" s="3552"/>
      <c r="S243" s="3552"/>
      <c r="T243" s="3552"/>
      <c r="U243" s="3552"/>
      <c r="V243" s="3552"/>
      <c r="W243" s="3552"/>
      <c r="X243" s="3552"/>
      <c r="Y243" s="3552"/>
      <c r="Z243" s="3552"/>
      <c r="AB243" s="3607"/>
      <c r="AC243" s="3552" t="s">
        <v>5898</v>
      </c>
      <c r="AD243" s="3552"/>
      <c r="AE243" s="3552"/>
      <c r="AF243" s="3552"/>
      <c r="AG243" s="3552"/>
      <c r="AH243" s="3552"/>
      <c r="AI243" s="3552"/>
      <c r="AJ243" s="3552"/>
      <c r="AK243" s="3552"/>
      <c r="AL243" s="3552"/>
    </row>
    <row r="244" spans="15:38" ht="21.95" customHeight="1">
      <c r="O244" s="3"/>
      <c r="P244" s="3589"/>
      <c r="Q244" s="3552"/>
      <c r="R244" s="3552"/>
      <c r="S244" s="3552"/>
      <c r="T244" s="3552"/>
      <c r="U244" s="3552"/>
      <c r="V244" s="3552"/>
      <c r="W244" s="3552"/>
      <c r="X244" s="3552"/>
      <c r="Y244" s="3552"/>
      <c r="Z244" s="3552"/>
      <c r="AB244" s="3607"/>
      <c r="AC244" s="3552"/>
      <c r="AD244" s="3552"/>
      <c r="AE244" s="3552"/>
      <c r="AF244" s="3552"/>
      <c r="AG244" s="3552"/>
      <c r="AH244" s="3552"/>
      <c r="AI244" s="3552"/>
      <c r="AJ244" s="3552"/>
      <c r="AK244" s="3552"/>
      <c r="AL244" s="3552"/>
    </row>
    <row r="245" spans="15:38" ht="21.95" customHeight="1">
      <c r="O245" s="3"/>
      <c r="P245" s="3572" t="s">
        <v>108</v>
      </c>
      <c r="Q245" s="3556" t="s">
        <v>5899</v>
      </c>
      <c r="R245" s="3556"/>
      <c r="S245" s="3556"/>
      <c r="T245" s="3556"/>
      <c r="U245" s="3556"/>
      <c r="V245" s="3556"/>
      <c r="W245" s="3556"/>
      <c r="X245" s="3556"/>
      <c r="Y245" s="3556"/>
      <c r="Z245" s="3556"/>
      <c r="AB245" s="3607"/>
      <c r="AC245" s="3552"/>
      <c r="AD245" s="3552"/>
      <c r="AE245" s="3552"/>
      <c r="AF245" s="3552"/>
      <c r="AG245" s="3552"/>
      <c r="AH245" s="3552"/>
      <c r="AI245" s="3552"/>
      <c r="AJ245" s="3552"/>
      <c r="AK245" s="3552"/>
      <c r="AL245" s="3552"/>
    </row>
    <row r="246" spans="15:38" ht="21.95" customHeight="1">
      <c r="O246" s="3"/>
      <c r="P246" s="3573"/>
      <c r="Q246" s="3556"/>
      <c r="R246" s="3556"/>
      <c r="S246" s="3556"/>
      <c r="T246" s="3556"/>
      <c r="U246" s="3556"/>
      <c r="V246" s="3556"/>
      <c r="W246" s="3556"/>
      <c r="X246" s="3556"/>
      <c r="Y246" s="3556"/>
      <c r="Z246" s="3556"/>
      <c r="AB246" s="3607"/>
      <c r="AC246" s="3553" t="s">
        <v>5886</v>
      </c>
      <c r="AD246" s="3553"/>
      <c r="AE246" s="3553"/>
      <c r="AF246" s="3553"/>
      <c r="AG246" s="3553"/>
      <c r="AH246" s="3553"/>
      <c r="AI246" s="3553"/>
      <c r="AJ246" s="3553"/>
      <c r="AK246" s="3553"/>
      <c r="AL246" s="3553"/>
    </row>
    <row r="247" spans="15:38" ht="21.95" customHeight="1">
      <c r="O247" s="3"/>
      <c r="P247" s="3573"/>
      <c r="Q247" s="3556"/>
      <c r="R247" s="3556"/>
      <c r="S247" s="3556"/>
      <c r="T247" s="3556"/>
      <c r="U247" s="3556"/>
      <c r="V247" s="3556"/>
      <c r="W247" s="3556"/>
      <c r="X247" s="3556"/>
      <c r="Y247" s="3556"/>
      <c r="Z247" s="3556"/>
      <c r="AB247" s="3607"/>
      <c r="AC247" s="3552" t="s">
        <v>5900</v>
      </c>
      <c r="AD247" s="3553"/>
      <c r="AE247" s="3553"/>
      <c r="AF247" s="3553"/>
      <c r="AG247" s="3553"/>
      <c r="AH247" s="3553"/>
      <c r="AI247" s="3553"/>
      <c r="AJ247" s="3553"/>
      <c r="AK247" s="3553"/>
      <c r="AL247" s="3553"/>
    </row>
    <row r="248" spans="15:38" ht="21.95" customHeight="1">
      <c r="O248" s="3"/>
      <c r="P248" s="3573"/>
      <c r="Q248" s="3556"/>
      <c r="R248" s="3556"/>
      <c r="S248" s="3556"/>
      <c r="T248" s="3556"/>
      <c r="U248" s="3556"/>
      <c r="V248" s="3556"/>
      <c r="W248" s="3556"/>
      <c r="X248" s="3556"/>
      <c r="Y248" s="3556"/>
      <c r="Z248" s="3556"/>
      <c r="AB248" s="3607"/>
      <c r="AC248" s="3553"/>
      <c r="AD248" s="3553"/>
      <c r="AE248" s="3553"/>
      <c r="AF248" s="3553"/>
      <c r="AG248" s="3553"/>
      <c r="AH248" s="3553"/>
      <c r="AI248" s="3553"/>
      <c r="AJ248" s="3553"/>
      <c r="AK248" s="3553"/>
      <c r="AL248" s="3553"/>
    </row>
    <row r="249" spans="15:38" ht="21.95" customHeight="1">
      <c r="O249" s="3"/>
      <c r="P249" s="3573"/>
      <c r="Q249" s="3556"/>
      <c r="R249" s="3556"/>
      <c r="S249" s="3556"/>
      <c r="T249" s="3556"/>
      <c r="U249" s="3556"/>
      <c r="V249" s="3556"/>
      <c r="W249" s="3556"/>
      <c r="X249" s="3556"/>
      <c r="Y249" s="3556"/>
      <c r="Z249" s="3556"/>
      <c r="AB249" s="3607"/>
      <c r="AC249" s="3552" t="s">
        <v>5901</v>
      </c>
      <c r="AD249" s="3553"/>
      <c r="AE249" s="3553"/>
      <c r="AF249" s="3553"/>
      <c r="AG249" s="3553"/>
      <c r="AH249" s="3553"/>
      <c r="AI249" s="3553"/>
      <c r="AJ249" s="3553"/>
      <c r="AK249" s="3553"/>
      <c r="AL249" s="3553"/>
    </row>
    <row r="250" spans="15:38" ht="21.95" customHeight="1">
      <c r="O250" s="3"/>
      <c r="AB250" s="3607"/>
      <c r="AC250" s="3553"/>
      <c r="AD250" s="3553"/>
      <c r="AE250" s="3553"/>
      <c r="AF250" s="3553"/>
      <c r="AG250" s="3553"/>
      <c r="AH250" s="3553"/>
      <c r="AI250" s="3553"/>
      <c r="AJ250" s="3553"/>
      <c r="AK250" s="3553"/>
      <c r="AL250" s="3553"/>
    </row>
    <row r="251" spans="15:38" ht="21.95" customHeight="1">
      <c r="O251" s="3"/>
      <c r="AB251" s="3607"/>
      <c r="AC251" s="3553"/>
      <c r="AD251" s="3553"/>
      <c r="AE251" s="3553"/>
      <c r="AF251" s="3553"/>
      <c r="AG251" s="3553"/>
      <c r="AH251" s="3553"/>
      <c r="AI251" s="3553"/>
      <c r="AJ251" s="3553"/>
      <c r="AK251" s="3553"/>
      <c r="AL251" s="3553"/>
    </row>
    <row r="252" spans="15:38" ht="21.95" customHeight="1">
      <c r="O252" s="3"/>
      <c r="AB252" s="3607"/>
      <c r="AC252" s="3553"/>
      <c r="AD252" s="3553"/>
      <c r="AE252" s="3553"/>
      <c r="AF252" s="3553"/>
      <c r="AG252" s="3553"/>
      <c r="AH252" s="3553"/>
      <c r="AI252" s="3553"/>
      <c r="AJ252" s="3553"/>
      <c r="AK252" s="3553"/>
      <c r="AL252" s="3553"/>
    </row>
    <row r="253" spans="15:38" ht="21.95" customHeight="1">
      <c r="O253" s="3"/>
      <c r="AB253" s="3607"/>
      <c r="AC253" s="3553"/>
      <c r="AD253" s="3553"/>
      <c r="AE253" s="3553"/>
      <c r="AF253" s="3553"/>
      <c r="AG253" s="3553"/>
      <c r="AH253" s="3553"/>
      <c r="AI253" s="3553"/>
      <c r="AJ253" s="3553"/>
      <c r="AK253" s="3553"/>
      <c r="AL253" s="3553"/>
    </row>
    <row r="254" spans="15:38" ht="21.95" customHeight="1">
      <c r="O254" s="3"/>
      <c r="AB254" s="3574" t="s">
        <v>5902</v>
      </c>
      <c r="AC254" s="3553" t="s">
        <v>5903</v>
      </c>
      <c r="AD254" s="3553"/>
      <c r="AE254" s="3553"/>
      <c r="AF254" s="3553"/>
      <c r="AG254" s="3553"/>
      <c r="AH254" s="3553"/>
      <c r="AI254" s="3553"/>
      <c r="AJ254" s="3553"/>
      <c r="AK254" s="3553"/>
      <c r="AL254" s="3553"/>
    </row>
    <row r="255" spans="15:38" ht="21.95" customHeight="1">
      <c r="O255" s="3"/>
      <c r="AB255" s="3575"/>
      <c r="AC255" s="3553" t="s">
        <v>5904</v>
      </c>
      <c r="AD255" s="3553"/>
      <c r="AE255" s="3553"/>
      <c r="AF255" s="3553"/>
      <c r="AG255" s="3553"/>
      <c r="AH255" s="3553"/>
      <c r="AI255" s="3553"/>
      <c r="AJ255" s="3553"/>
      <c r="AK255" s="3553"/>
      <c r="AL255" s="3553"/>
    </row>
    <row r="256" spans="15:38" ht="21.95" customHeight="1">
      <c r="O256" s="3"/>
      <c r="AB256" s="3557" t="s">
        <v>5905</v>
      </c>
      <c r="AC256" s="3558"/>
      <c r="AD256" s="3558"/>
      <c r="AE256" s="3558"/>
      <c r="AF256" s="3558"/>
      <c r="AG256" s="3558"/>
      <c r="AH256" s="3558"/>
      <c r="AI256" s="3558"/>
      <c r="AJ256" s="3558"/>
      <c r="AK256" s="3558"/>
      <c r="AL256" s="3558"/>
    </row>
    <row r="257" spans="15:38" ht="21.95" customHeight="1">
      <c r="O257" s="3"/>
      <c r="AB257" s="3604" t="s">
        <v>5574</v>
      </c>
      <c r="AC257" s="3553" t="s">
        <v>5906</v>
      </c>
      <c r="AD257" s="3553"/>
      <c r="AE257" s="3553"/>
      <c r="AF257" s="3553"/>
      <c r="AG257" s="3553"/>
      <c r="AH257" s="3553"/>
      <c r="AI257" s="3553"/>
      <c r="AJ257" s="3553"/>
      <c r="AK257" s="3553"/>
      <c r="AL257" s="3553"/>
    </row>
    <row r="258" spans="15:38" ht="21.95" customHeight="1">
      <c r="O258" s="3"/>
      <c r="AB258" s="3605"/>
      <c r="AC258" s="3553" t="s">
        <v>5907</v>
      </c>
      <c r="AD258" s="3553"/>
      <c r="AE258" s="3553"/>
      <c r="AF258" s="3553"/>
      <c r="AG258" s="3553"/>
      <c r="AH258" s="3553"/>
      <c r="AI258" s="3553"/>
      <c r="AJ258" s="3553"/>
      <c r="AK258" s="3553"/>
      <c r="AL258" s="3553"/>
    </row>
    <row r="259" spans="15:38" ht="21.95" customHeight="1">
      <c r="O259" s="3"/>
      <c r="AB259" s="3605"/>
      <c r="AC259" s="3553" t="s">
        <v>5908</v>
      </c>
      <c r="AD259" s="3553"/>
      <c r="AE259" s="3553"/>
      <c r="AF259" s="3553"/>
      <c r="AG259" s="3553"/>
      <c r="AH259" s="3553"/>
      <c r="AI259" s="3553"/>
      <c r="AJ259" s="3553"/>
      <c r="AK259" s="3553"/>
      <c r="AL259" s="3553"/>
    </row>
    <row r="260" spans="15:38" ht="21.95" customHeight="1">
      <c r="O260" s="3"/>
      <c r="AB260" s="11" t="s">
        <v>5847</v>
      </c>
      <c r="AC260" s="3553" t="s">
        <v>5909</v>
      </c>
      <c r="AD260" s="3553"/>
      <c r="AE260" s="3553"/>
      <c r="AF260" s="3553"/>
      <c r="AG260" s="3553"/>
      <c r="AH260" s="3553"/>
      <c r="AI260" s="3553"/>
      <c r="AJ260" s="3553"/>
      <c r="AK260" s="3553"/>
      <c r="AL260" s="3553"/>
    </row>
    <row r="261" spans="15:38" ht="21.95" customHeight="1">
      <c r="O261" s="3"/>
      <c r="AB261" s="3604" t="s">
        <v>5910</v>
      </c>
      <c r="AC261" s="3552" t="s">
        <v>5911</v>
      </c>
      <c r="AD261" s="3553"/>
      <c r="AE261" s="3553"/>
      <c r="AF261" s="3553"/>
      <c r="AG261" s="3553"/>
      <c r="AH261" s="3553"/>
      <c r="AI261" s="3553"/>
      <c r="AJ261" s="3553"/>
      <c r="AK261" s="3553"/>
      <c r="AL261" s="3553"/>
    </row>
    <row r="262" spans="15:38" ht="21.95" customHeight="1">
      <c r="O262" s="3"/>
      <c r="AB262" s="3605"/>
      <c r="AC262" s="3553"/>
      <c r="AD262" s="3553"/>
      <c r="AE262" s="3553"/>
      <c r="AF262" s="3553"/>
      <c r="AG262" s="3553"/>
      <c r="AH262" s="3553"/>
      <c r="AI262" s="3553"/>
      <c r="AJ262" s="3553"/>
      <c r="AK262" s="3553"/>
      <c r="AL262" s="3553"/>
    </row>
    <row r="263" spans="15:38" ht="21.95" customHeight="1">
      <c r="O263" s="3"/>
      <c r="AB263" s="3557" t="s">
        <v>5912</v>
      </c>
      <c r="AC263" s="3558"/>
      <c r="AD263" s="3558"/>
      <c r="AE263" s="3558"/>
      <c r="AF263" s="3558"/>
      <c r="AG263" s="3558"/>
      <c r="AH263" s="3558"/>
      <c r="AI263" s="3558"/>
      <c r="AJ263" s="3558"/>
      <c r="AK263" s="3558"/>
      <c r="AL263" s="3558"/>
    </row>
    <row r="264" spans="15:38" ht="21.95" customHeight="1">
      <c r="O264" s="3"/>
      <c r="AB264" s="3604" t="s">
        <v>5574</v>
      </c>
      <c r="AC264" s="3552" t="s">
        <v>5913</v>
      </c>
      <c r="AD264" s="3552"/>
      <c r="AE264" s="3552"/>
      <c r="AF264" s="3552"/>
      <c r="AG264" s="3552"/>
      <c r="AH264" s="3552"/>
      <c r="AI264" s="3552"/>
      <c r="AJ264" s="3552"/>
      <c r="AK264" s="3552"/>
      <c r="AL264" s="3552"/>
    </row>
    <row r="265" spans="15:38" ht="21.95" customHeight="1">
      <c r="O265" s="3"/>
      <c r="AB265" s="3605"/>
      <c r="AC265" s="3552" t="s">
        <v>5914</v>
      </c>
      <c r="AD265" s="3553"/>
      <c r="AE265" s="3553"/>
      <c r="AF265" s="3553"/>
      <c r="AG265" s="3553"/>
      <c r="AH265" s="3553"/>
      <c r="AI265" s="3553"/>
      <c r="AJ265" s="3553"/>
      <c r="AK265" s="3553"/>
      <c r="AL265" s="3553"/>
    </row>
    <row r="266" spans="15:38" ht="21.95" customHeight="1">
      <c r="O266" s="3"/>
      <c r="AB266" s="3605"/>
      <c r="AC266" s="3553"/>
      <c r="AD266" s="3553"/>
      <c r="AE266" s="3553"/>
      <c r="AF266" s="3553"/>
      <c r="AG266" s="3553"/>
      <c r="AH266" s="3553"/>
      <c r="AI266" s="3553"/>
      <c r="AJ266" s="3553"/>
      <c r="AK266" s="3553"/>
      <c r="AL266" s="3553"/>
    </row>
    <row r="267" spans="15:38" ht="21.95" customHeight="1">
      <c r="O267" s="3"/>
      <c r="AB267" s="3605"/>
      <c r="AC267" s="3553" t="s">
        <v>5915</v>
      </c>
      <c r="AD267" s="3553"/>
      <c r="AE267" s="3553"/>
      <c r="AF267" s="3553"/>
      <c r="AG267" s="3553"/>
      <c r="AH267" s="3553"/>
      <c r="AI267" s="3553"/>
      <c r="AJ267" s="3553"/>
      <c r="AK267" s="3553"/>
      <c r="AL267" s="3553"/>
    </row>
    <row r="268" spans="15:38" ht="21.95" customHeight="1">
      <c r="O268" s="3"/>
      <c r="AB268" s="3605"/>
      <c r="AC268" s="3552" t="s">
        <v>5916</v>
      </c>
      <c r="AD268" s="3553"/>
      <c r="AE268" s="3553"/>
      <c r="AF268" s="3553"/>
      <c r="AG268" s="3553"/>
      <c r="AH268" s="3553"/>
      <c r="AI268" s="3553"/>
      <c r="AJ268" s="3553"/>
      <c r="AK268" s="3553"/>
      <c r="AL268" s="3553"/>
    </row>
    <row r="269" spans="15:38" ht="21.95" customHeight="1">
      <c r="O269" s="3"/>
      <c r="AB269" s="3605"/>
      <c r="AC269" s="3553"/>
      <c r="AD269" s="3553"/>
      <c r="AE269" s="3553"/>
      <c r="AF269" s="3553"/>
      <c r="AG269" s="3553"/>
      <c r="AH269" s="3553"/>
      <c r="AI269" s="3553"/>
      <c r="AJ269" s="3553"/>
      <c r="AK269" s="3553"/>
      <c r="AL269" s="3553"/>
    </row>
    <row r="270" spans="15:38" ht="21.95" customHeight="1">
      <c r="O270" s="3"/>
      <c r="AB270" s="3605"/>
      <c r="AC270" s="3570" t="s">
        <v>5917</v>
      </c>
      <c r="AD270" s="3571"/>
      <c r="AE270" s="3571"/>
      <c r="AF270" s="3571"/>
      <c r="AG270" s="3571"/>
      <c r="AH270" s="3571"/>
      <c r="AI270" s="3571"/>
      <c r="AJ270" s="3571"/>
      <c r="AK270" s="3571"/>
      <c r="AL270" s="3571"/>
    </row>
    <row r="271" spans="15:38" ht="21.95" customHeight="1">
      <c r="O271" s="3"/>
      <c r="AB271" s="3605"/>
      <c r="AC271" s="3571"/>
      <c r="AD271" s="3571"/>
      <c r="AE271" s="3571"/>
      <c r="AF271" s="3571"/>
      <c r="AG271" s="3571"/>
      <c r="AH271" s="3571"/>
      <c r="AI271" s="3571"/>
      <c r="AJ271" s="3571"/>
      <c r="AK271" s="3571"/>
      <c r="AL271" s="3571"/>
    </row>
    <row r="272" spans="15:38" ht="21.95" customHeight="1">
      <c r="O272" s="3"/>
      <c r="AB272" s="3605"/>
      <c r="AC272" s="3571"/>
      <c r="AD272" s="3571"/>
      <c r="AE272" s="3571"/>
      <c r="AF272" s="3571"/>
      <c r="AG272" s="3571"/>
      <c r="AH272" s="3571"/>
      <c r="AI272" s="3571"/>
      <c r="AJ272" s="3571"/>
      <c r="AK272" s="3571"/>
      <c r="AL272" s="3571"/>
    </row>
    <row r="273" spans="15:38" ht="21.95" customHeight="1">
      <c r="O273" s="3"/>
      <c r="AB273" s="3605"/>
      <c r="AC273" s="3571"/>
      <c r="AD273" s="3571"/>
      <c r="AE273" s="3571"/>
      <c r="AF273" s="3571"/>
      <c r="AG273" s="3571"/>
      <c r="AH273" s="3571"/>
      <c r="AI273" s="3571"/>
      <c r="AJ273" s="3571"/>
      <c r="AK273" s="3571"/>
      <c r="AL273" s="3571"/>
    </row>
    <row r="274" spans="15:38" ht="21.95" customHeight="1">
      <c r="O274" s="3"/>
      <c r="AB274" s="4" t="s">
        <v>5616</v>
      </c>
      <c r="AC274" s="3552" t="s">
        <v>5918</v>
      </c>
      <c r="AD274" s="3552"/>
      <c r="AE274" s="3552"/>
      <c r="AF274" s="3552"/>
      <c r="AG274" s="3552"/>
      <c r="AH274" s="3552"/>
      <c r="AI274" s="3552"/>
      <c r="AJ274" s="3552"/>
      <c r="AK274" s="3552"/>
      <c r="AL274" s="3552"/>
    </row>
    <row r="275" spans="15:38" ht="21.95" customHeight="1">
      <c r="O275" s="3"/>
      <c r="AB275" s="12" t="s">
        <v>5902</v>
      </c>
      <c r="AC275" s="3553" t="s">
        <v>5919</v>
      </c>
      <c r="AD275" s="3553"/>
      <c r="AE275" s="3553"/>
      <c r="AF275" s="3553"/>
      <c r="AG275" s="3553"/>
      <c r="AH275" s="3553"/>
      <c r="AI275" s="3553"/>
      <c r="AJ275" s="3553"/>
      <c r="AK275" s="3553"/>
      <c r="AL275" s="3553"/>
    </row>
    <row r="276" spans="15:38" ht="21.95" customHeight="1">
      <c r="O276" s="3"/>
      <c r="AB276" s="11" t="s">
        <v>5847</v>
      </c>
      <c r="AC276" s="3553" t="s">
        <v>5920</v>
      </c>
      <c r="AD276" s="3553"/>
      <c r="AE276" s="3553"/>
      <c r="AF276" s="3553"/>
      <c r="AG276" s="3553"/>
      <c r="AH276" s="3553"/>
      <c r="AI276" s="3553"/>
      <c r="AJ276" s="3553"/>
      <c r="AK276" s="3553"/>
      <c r="AL276" s="3553"/>
    </row>
    <row r="277" spans="15:38" ht="21.95" customHeight="1">
      <c r="O277" s="3"/>
      <c r="AB277" s="3557" t="s">
        <v>5921</v>
      </c>
      <c r="AC277" s="3558"/>
      <c r="AD277" s="3558"/>
      <c r="AE277" s="3558"/>
      <c r="AF277" s="3558"/>
      <c r="AG277" s="3558"/>
      <c r="AH277" s="3558"/>
      <c r="AI277" s="3558"/>
      <c r="AJ277" s="3558"/>
      <c r="AK277" s="3558"/>
      <c r="AL277" s="3558"/>
    </row>
    <row r="278" spans="15:38" ht="21.95" customHeight="1">
      <c r="O278" s="3"/>
      <c r="AB278" s="13" t="s">
        <v>5699</v>
      </c>
      <c r="AC278" s="3553" t="s">
        <v>5922</v>
      </c>
      <c r="AD278" s="3553"/>
      <c r="AE278" s="3553"/>
      <c r="AF278" s="3553"/>
      <c r="AG278" s="3553"/>
      <c r="AH278" s="3553"/>
      <c r="AI278" s="3553"/>
      <c r="AJ278" s="3553"/>
      <c r="AK278" s="3553"/>
      <c r="AL278" s="3553"/>
    </row>
    <row r="279" spans="15:38" ht="21.95" customHeight="1">
      <c r="O279" s="3"/>
      <c r="AB279" s="3604" t="s">
        <v>5574</v>
      </c>
      <c r="AC279" s="3552" t="s">
        <v>5923</v>
      </c>
      <c r="AD279" s="3552"/>
      <c r="AE279" s="3552"/>
      <c r="AF279" s="3552"/>
      <c r="AG279" s="3552"/>
      <c r="AH279" s="3552"/>
      <c r="AI279" s="3552"/>
      <c r="AJ279" s="3552"/>
      <c r="AK279" s="3552"/>
      <c r="AL279" s="3552"/>
    </row>
    <row r="280" spans="15:38" ht="21.95" customHeight="1">
      <c r="O280" s="3"/>
      <c r="AB280" s="3605"/>
      <c r="AC280" s="3553" t="s">
        <v>5924</v>
      </c>
      <c r="AD280" s="3553"/>
      <c r="AE280" s="3553"/>
      <c r="AF280" s="3553"/>
      <c r="AG280" s="3553"/>
      <c r="AH280" s="3553"/>
      <c r="AI280" s="3553"/>
      <c r="AJ280" s="3553"/>
      <c r="AK280" s="3553"/>
      <c r="AL280" s="3553"/>
    </row>
    <row r="281" spans="15:38" ht="21.95" customHeight="1">
      <c r="O281" s="3"/>
      <c r="AB281" s="3605"/>
      <c r="AC281" s="3553" t="s">
        <v>5925</v>
      </c>
      <c r="AD281" s="3553"/>
      <c r="AE281" s="3553"/>
      <c r="AF281" s="3553"/>
      <c r="AG281" s="3553"/>
      <c r="AH281" s="3553"/>
      <c r="AI281" s="3553"/>
      <c r="AJ281" s="3553"/>
      <c r="AK281" s="3553"/>
      <c r="AL281" s="3553"/>
    </row>
    <row r="282" spans="15:38" ht="21.95" customHeight="1">
      <c r="O282" s="3"/>
      <c r="AB282" s="3605"/>
      <c r="AC282" s="3553" t="s">
        <v>5926</v>
      </c>
      <c r="AD282" s="3553"/>
      <c r="AE282" s="3553"/>
      <c r="AF282" s="3553"/>
      <c r="AG282" s="3553"/>
      <c r="AH282" s="3553"/>
      <c r="AI282" s="3553"/>
      <c r="AJ282" s="3553"/>
      <c r="AK282" s="3553"/>
      <c r="AL282" s="3553"/>
    </row>
    <row r="283" spans="15:38" ht="21.95" customHeight="1">
      <c r="O283" s="3"/>
      <c r="AB283" s="3572" t="s">
        <v>5597</v>
      </c>
      <c r="AC283" s="3552" t="s">
        <v>5927</v>
      </c>
      <c r="AD283" s="3552"/>
      <c r="AE283" s="3552"/>
      <c r="AF283" s="3552"/>
      <c r="AG283" s="3552"/>
      <c r="AH283" s="3552"/>
      <c r="AI283" s="3552"/>
      <c r="AJ283" s="3552"/>
      <c r="AK283" s="3552"/>
      <c r="AL283" s="3552"/>
    </row>
    <row r="284" spans="15:38" ht="21.95" customHeight="1">
      <c r="O284" s="3"/>
      <c r="AB284" s="3573"/>
      <c r="AC284" s="3552"/>
      <c r="AD284" s="3552"/>
      <c r="AE284" s="3552"/>
      <c r="AF284" s="3552"/>
      <c r="AG284" s="3552"/>
      <c r="AH284" s="3552"/>
      <c r="AI284" s="3552"/>
      <c r="AJ284" s="3552"/>
      <c r="AK284" s="3552"/>
      <c r="AL284" s="3552"/>
    </row>
    <row r="285" spans="15:38" ht="21.95" customHeight="1">
      <c r="O285" s="3"/>
      <c r="AB285" s="3573"/>
      <c r="AC285" s="3552"/>
      <c r="AD285" s="3552"/>
      <c r="AE285" s="3552"/>
      <c r="AF285" s="3552"/>
      <c r="AG285" s="3552"/>
      <c r="AH285" s="3552"/>
      <c r="AI285" s="3552"/>
      <c r="AJ285" s="3552"/>
      <c r="AK285" s="3552"/>
      <c r="AL285" s="3552"/>
    </row>
    <row r="286" spans="15:38" ht="21.95" customHeight="1">
      <c r="O286" s="3"/>
      <c r="AB286" s="3573"/>
      <c r="AC286" s="3552"/>
      <c r="AD286" s="3552"/>
      <c r="AE286" s="3552"/>
      <c r="AF286" s="3552"/>
      <c r="AG286" s="3552"/>
      <c r="AH286" s="3552"/>
      <c r="AI286" s="3552"/>
      <c r="AJ286" s="3552"/>
      <c r="AK286" s="3552"/>
      <c r="AL286" s="3552"/>
    </row>
    <row r="287" spans="15:38" ht="21.95" customHeight="1">
      <c r="O287" s="3"/>
      <c r="AB287" s="3573"/>
      <c r="AC287" s="3552"/>
      <c r="AD287" s="3552"/>
      <c r="AE287" s="3552"/>
      <c r="AF287" s="3552"/>
      <c r="AG287" s="3552"/>
      <c r="AH287" s="3552"/>
      <c r="AI287" s="3552"/>
      <c r="AJ287" s="3552"/>
      <c r="AK287" s="3552"/>
      <c r="AL287" s="3552"/>
    </row>
    <row r="288" spans="15:38" ht="21.95" customHeight="1">
      <c r="O288" s="3"/>
      <c r="AB288" s="3573"/>
      <c r="AC288" s="3552"/>
      <c r="AD288" s="3552"/>
      <c r="AE288" s="3552"/>
      <c r="AF288" s="3552"/>
      <c r="AG288" s="3552"/>
      <c r="AH288" s="3552"/>
      <c r="AI288" s="3552"/>
      <c r="AJ288" s="3552"/>
      <c r="AK288" s="3552"/>
      <c r="AL288" s="3552"/>
    </row>
    <row r="289" spans="15:38" ht="21.95" customHeight="1">
      <c r="O289" s="3"/>
      <c r="AB289" s="3573"/>
      <c r="AC289" s="3552"/>
      <c r="AD289" s="3552"/>
      <c r="AE289" s="3552"/>
      <c r="AF289" s="3552"/>
      <c r="AG289" s="3552"/>
      <c r="AH289" s="3552"/>
      <c r="AI289" s="3552"/>
      <c r="AJ289" s="3552"/>
      <c r="AK289" s="3552"/>
      <c r="AL289" s="3552"/>
    </row>
    <row r="290" spans="15:38" ht="21.95" customHeight="1">
      <c r="O290" s="3"/>
      <c r="AB290" s="4" t="s">
        <v>5768</v>
      </c>
      <c r="AC290" s="3553" t="s">
        <v>5928</v>
      </c>
      <c r="AD290" s="3553"/>
      <c r="AE290" s="3553"/>
      <c r="AF290" s="3553"/>
      <c r="AG290" s="3553"/>
      <c r="AH290" s="3553"/>
      <c r="AI290" s="3553"/>
      <c r="AJ290" s="3553"/>
      <c r="AK290" s="3553"/>
      <c r="AL290" s="3553"/>
    </row>
    <row r="291" spans="15:38" ht="21.95" customHeight="1">
      <c r="O291" s="3"/>
      <c r="AB291" s="3557" t="s">
        <v>5929</v>
      </c>
      <c r="AC291" s="3558"/>
      <c r="AD291" s="3558"/>
      <c r="AE291" s="3558"/>
      <c r="AF291" s="3558"/>
      <c r="AG291" s="3558"/>
      <c r="AH291" s="3558"/>
      <c r="AI291" s="3558"/>
      <c r="AJ291" s="3558"/>
      <c r="AK291" s="3558"/>
      <c r="AL291" s="3558"/>
    </row>
    <row r="292" spans="15:38" ht="21.95" customHeight="1">
      <c r="O292" s="3"/>
      <c r="AB292" s="3572" t="s">
        <v>5930</v>
      </c>
      <c r="AC292" s="3552" t="s">
        <v>5931</v>
      </c>
      <c r="AD292" s="3552"/>
      <c r="AE292" s="3552"/>
      <c r="AF292" s="3552"/>
      <c r="AG292" s="3552"/>
      <c r="AH292" s="3552"/>
      <c r="AI292" s="3552"/>
      <c r="AJ292" s="3552"/>
      <c r="AK292" s="3552"/>
      <c r="AL292" s="3552"/>
    </row>
    <row r="293" spans="15:38" ht="21.95" customHeight="1">
      <c r="O293" s="3"/>
      <c r="AB293" s="3573"/>
      <c r="AC293" s="3552" t="s">
        <v>5932</v>
      </c>
      <c r="AD293" s="3552"/>
      <c r="AE293" s="3552"/>
      <c r="AF293" s="3552"/>
      <c r="AG293" s="3552"/>
      <c r="AH293" s="3552"/>
      <c r="AI293" s="3552"/>
      <c r="AJ293" s="3552"/>
      <c r="AK293" s="3552"/>
      <c r="AL293" s="3552"/>
    </row>
    <row r="294" spans="15:38" ht="21.95" customHeight="1">
      <c r="O294" s="3"/>
      <c r="AB294" s="3573"/>
      <c r="AC294" s="3552"/>
      <c r="AD294" s="3552"/>
      <c r="AE294" s="3552"/>
      <c r="AF294" s="3552"/>
      <c r="AG294" s="3552"/>
      <c r="AH294" s="3552"/>
      <c r="AI294" s="3552"/>
      <c r="AJ294" s="3552"/>
      <c r="AK294" s="3552"/>
      <c r="AL294" s="3552"/>
    </row>
    <row r="295" spans="15:38" ht="21.95" customHeight="1">
      <c r="O295" s="3"/>
      <c r="AB295" s="3573"/>
      <c r="AC295" s="3552"/>
      <c r="AD295" s="3552"/>
      <c r="AE295" s="3552"/>
      <c r="AF295" s="3552"/>
      <c r="AG295" s="3552"/>
      <c r="AH295" s="3552"/>
      <c r="AI295" s="3552"/>
      <c r="AJ295" s="3552"/>
      <c r="AK295" s="3552"/>
      <c r="AL295" s="3552"/>
    </row>
    <row r="296" spans="15:38" ht="21.95" customHeight="1">
      <c r="O296" s="3"/>
      <c r="AB296" s="3573"/>
      <c r="AC296" s="3552"/>
      <c r="AD296" s="3552"/>
      <c r="AE296" s="3552"/>
      <c r="AF296" s="3552"/>
      <c r="AG296" s="3552"/>
      <c r="AH296" s="3552"/>
      <c r="AI296" s="3552"/>
      <c r="AJ296" s="3552"/>
      <c r="AK296" s="3552"/>
      <c r="AL296" s="3552"/>
    </row>
    <row r="297" spans="15:38" ht="21.95" customHeight="1">
      <c r="O297" s="3"/>
      <c r="AB297" s="3573"/>
      <c r="AC297" s="3552" t="s">
        <v>5933</v>
      </c>
      <c r="AD297" s="3552"/>
      <c r="AE297" s="3552"/>
      <c r="AF297" s="3552"/>
      <c r="AG297" s="3552"/>
      <c r="AH297" s="3552"/>
      <c r="AI297" s="3552"/>
      <c r="AJ297" s="3552"/>
      <c r="AK297" s="3552"/>
      <c r="AL297" s="3552"/>
    </row>
    <row r="298" spans="15:38" ht="21.95" customHeight="1">
      <c r="O298" s="3"/>
      <c r="AB298" s="3573"/>
      <c r="AC298" s="3553" t="s">
        <v>5934</v>
      </c>
      <c r="AD298" s="3553"/>
      <c r="AE298" s="3553"/>
      <c r="AF298" s="3553"/>
      <c r="AG298" s="3553"/>
      <c r="AH298" s="3553"/>
      <c r="AI298" s="3553"/>
      <c r="AJ298" s="3553"/>
      <c r="AK298" s="3553"/>
      <c r="AL298" s="3553"/>
    </row>
    <row r="299" spans="15:38" ht="21.95" customHeight="1">
      <c r="O299" s="3"/>
      <c r="AB299" s="3573"/>
      <c r="AC299" s="3553" t="s">
        <v>5935</v>
      </c>
      <c r="AD299" s="3553"/>
      <c r="AE299" s="3553"/>
      <c r="AF299" s="3553"/>
      <c r="AG299" s="3553"/>
      <c r="AH299" s="3553"/>
      <c r="AI299" s="3553"/>
      <c r="AJ299" s="3553"/>
      <c r="AK299" s="3553"/>
      <c r="AL299" s="3553"/>
    </row>
    <row r="300" spans="15:38" ht="21.95" customHeight="1">
      <c r="O300" s="3"/>
      <c r="AB300" s="3573"/>
      <c r="AC300" s="3553" t="s">
        <v>5936</v>
      </c>
      <c r="AD300" s="3553"/>
      <c r="AE300" s="3553"/>
      <c r="AF300" s="3553"/>
      <c r="AG300" s="3553"/>
      <c r="AH300" s="3553"/>
      <c r="AI300" s="3553"/>
      <c r="AJ300" s="3553"/>
      <c r="AK300" s="3553"/>
      <c r="AL300" s="3553"/>
    </row>
    <row r="301" spans="15:38" ht="21.95" customHeight="1">
      <c r="O301" s="3"/>
      <c r="AB301" s="3573"/>
      <c r="AC301" s="3552" t="s">
        <v>5937</v>
      </c>
      <c r="AD301" s="3552"/>
      <c r="AE301" s="3552"/>
      <c r="AF301" s="3552"/>
      <c r="AG301" s="3552"/>
      <c r="AH301" s="3552"/>
      <c r="AI301" s="3552"/>
      <c r="AJ301" s="3552"/>
      <c r="AK301" s="3552"/>
      <c r="AL301" s="3552"/>
    </row>
    <row r="302" spans="15:38" ht="21.95" customHeight="1">
      <c r="O302" s="3"/>
      <c r="AB302" s="3573"/>
      <c r="AC302" s="3552"/>
      <c r="AD302" s="3552"/>
      <c r="AE302" s="3552"/>
      <c r="AF302" s="3552"/>
      <c r="AG302" s="3552"/>
      <c r="AH302" s="3552"/>
      <c r="AI302" s="3552"/>
      <c r="AJ302" s="3552"/>
      <c r="AK302" s="3552"/>
      <c r="AL302" s="3552"/>
    </row>
    <row r="303" spans="15:38" ht="21.95" customHeight="1">
      <c r="O303" s="3"/>
      <c r="AB303" s="3573"/>
      <c r="AC303" s="3552" t="s">
        <v>5938</v>
      </c>
      <c r="AD303" s="3552"/>
      <c r="AE303" s="3552"/>
      <c r="AF303" s="3552"/>
      <c r="AG303" s="3552"/>
      <c r="AH303" s="3552"/>
      <c r="AI303" s="3552"/>
      <c r="AJ303" s="3552"/>
      <c r="AK303" s="3552"/>
      <c r="AL303" s="3552"/>
    </row>
    <row r="304" spans="15:38" ht="21.95" customHeight="1">
      <c r="O304" s="3"/>
      <c r="AB304" s="3573"/>
      <c r="AC304" s="3552" t="s">
        <v>5939</v>
      </c>
      <c r="AD304" s="3552"/>
      <c r="AE304" s="3552"/>
      <c r="AF304" s="3552"/>
      <c r="AG304" s="3552"/>
      <c r="AH304" s="3552"/>
      <c r="AI304" s="3552"/>
      <c r="AJ304" s="3552"/>
      <c r="AK304" s="3552"/>
      <c r="AL304" s="3552"/>
    </row>
    <row r="305" spans="15:38" ht="21.95" customHeight="1">
      <c r="O305" s="3"/>
      <c r="AB305" s="3573"/>
      <c r="AC305" s="3553" t="s">
        <v>5940</v>
      </c>
      <c r="AD305" s="3553"/>
      <c r="AE305" s="3553"/>
      <c r="AF305" s="3553"/>
      <c r="AG305" s="3553"/>
      <c r="AH305" s="3553"/>
      <c r="AI305" s="3553"/>
      <c r="AJ305" s="3553"/>
      <c r="AK305" s="3553"/>
      <c r="AL305" s="3553"/>
    </row>
    <row r="306" spans="15:38" ht="21.95" customHeight="1">
      <c r="O306" s="3"/>
      <c r="AB306" s="3573"/>
      <c r="AC306" s="3552" t="s">
        <v>5941</v>
      </c>
      <c r="AD306" s="3553"/>
      <c r="AE306" s="3553"/>
      <c r="AF306" s="3553"/>
      <c r="AG306" s="3553"/>
      <c r="AH306" s="3553"/>
      <c r="AI306" s="3553"/>
      <c r="AJ306" s="3553"/>
      <c r="AK306" s="3553"/>
      <c r="AL306" s="3553"/>
    </row>
    <row r="307" spans="15:38" ht="21.95" customHeight="1">
      <c r="O307" s="3"/>
      <c r="AB307" s="3573"/>
      <c r="AC307" s="3553"/>
      <c r="AD307" s="3553"/>
      <c r="AE307" s="3553"/>
      <c r="AF307" s="3553"/>
      <c r="AG307" s="3553"/>
      <c r="AH307" s="3553"/>
      <c r="AI307" s="3553"/>
      <c r="AJ307" s="3553"/>
      <c r="AK307" s="3553"/>
      <c r="AL307" s="3553"/>
    </row>
    <row r="308" spans="15:38" ht="21.95" customHeight="1">
      <c r="O308" s="3"/>
      <c r="AB308" s="3572" t="s">
        <v>5597</v>
      </c>
      <c r="AC308" s="3553" t="s">
        <v>5942</v>
      </c>
      <c r="AD308" s="3553"/>
      <c r="AE308" s="3553"/>
      <c r="AF308" s="3553"/>
      <c r="AG308" s="3553"/>
      <c r="AH308" s="3553"/>
      <c r="AI308" s="3553"/>
      <c r="AJ308" s="3553"/>
      <c r="AK308" s="3553"/>
      <c r="AL308" s="3553"/>
    </row>
    <row r="309" spans="15:38" ht="21.95" customHeight="1">
      <c r="O309" s="3"/>
      <c r="AB309" s="3573"/>
      <c r="AC309" s="3552" t="s">
        <v>5943</v>
      </c>
      <c r="AD309" s="3553"/>
      <c r="AE309" s="3553"/>
      <c r="AF309" s="3553"/>
      <c r="AG309" s="3553"/>
      <c r="AH309" s="3553"/>
      <c r="AI309" s="3553"/>
      <c r="AJ309" s="3553"/>
      <c r="AK309" s="3553"/>
      <c r="AL309" s="3553"/>
    </row>
    <row r="310" spans="15:38" ht="21.95" customHeight="1">
      <c r="O310" s="3"/>
      <c r="AB310" s="3573"/>
      <c r="AC310" s="3553"/>
      <c r="AD310" s="3553"/>
      <c r="AE310" s="3553"/>
      <c r="AF310" s="3553"/>
      <c r="AG310" s="3553"/>
      <c r="AH310" s="3553"/>
      <c r="AI310" s="3553"/>
      <c r="AJ310" s="3553"/>
      <c r="AK310" s="3553"/>
      <c r="AL310" s="3553"/>
    </row>
    <row r="311" spans="15:38" ht="21.95" customHeight="1">
      <c r="O311" s="3"/>
      <c r="AB311" s="3573"/>
      <c r="AC311" s="3553" t="s">
        <v>5944</v>
      </c>
      <c r="AD311" s="3553"/>
      <c r="AE311" s="3553"/>
      <c r="AF311" s="3553"/>
      <c r="AG311" s="3553"/>
      <c r="AH311" s="3553"/>
      <c r="AI311" s="3553"/>
      <c r="AJ311" s="3553"/>
      <c r="AK311" s="3553"/>
      <c r="AL311" s="3553"/>
    </row>
    <row r="312" spans="15:38" ht="21.95" customHeight="1">
      <c r="O312" s="3"/>
      <c r="AB312" s="3574" t="s">
        <v>5749</v>
      </c>
      <c r="AC312" s="3553" t="s">
        <v>5945</v>
      </c>
      <c r="AD312" s="3553"/>
      <c r="AE312" s="3553"/>
      <c r="AF312" s="3553"/>
      <c r="AG312" s="3553"/>
      <c r="AH312" s="3553"/>
      <c r="AI312" s="3553"/>
      <c r="AJ312" s="3553"/>
      <c r="AK312" s="3553"/>
      <c r="AL312" s="3553"/>
    </row>
    <row r="313" spans="15:38" ht="21.95" customHeight="1">
      <c r="O313" s="3"/>
      <c r="AB313" s="3575"/>
      <c r="AC313" s="3553" t="s">
        <v>5946</v>
      </c>
      <c r="AD313" s="3553"/>
      <c r="AE313" s="3553"/>
      <c r="AF313" s="3553"/>
      <c r="AG313" s="3553"/>
      <c r="AH313" s="3553"/>
      <c r="AI313" s="3553"/>
      <c r="AJ313" s="3553"/>
      <c r="AK313" s="3553"/>
      <c r="AL313" s="3553"/>
    </row>
    <row r="314" spans="15:38" ht="21.95" customHeight="1">
      <c r="O314" s="3"/>
      <c r="AB314" s="12" t="s">
        <v>5902</v>
      </c>
      <c r="AC314" s="3553" t="s">
        <v>5947</v>
      </c>
      <c r="AD314" s="3553"/>
      <c r="AE314" s="3553"/>
      <c r="AF314" s="3553"/>
      <c r="AG314" s="3553"/>
      <c r="AH314" s="3553"/>
      <c r="AI314" s="3553"/>
      <c r="AJ314" s="3553"/>
      <c r="AK314" s="3553"/>
      <c r="AL314" s="3553"/>
    </row>
    <row r="315" spans="15:38" ht="21.95" customHeight="1">
      <c r="O315" s="3"/>
      <c r="AB315" s="3572" t="s">
        <v>5948</v>
      </c>
      <c r="AC315" s="3552" t="s">
        <v>5949</v>
      </c>
      <c r="AD315" s="3553"/>
      <c r="AE315" s="3553"/>
      <c r="AF315" s="3553"/>
      <c r="AG315" s="3553"/>
      <c r="AH315" s="3553"/>
      <c r="AI315" s="3553"/>
      <c r="AJ315" s="3553"/>
      <c r="AK315" s="3553"/>
      <c r="AL315" s="3553"/>
    </row>
    <row r="316" spans="15:38" ht="21.95" customHeight="1">
      <c r="O316" s="3"/>
      <c r="AB316" s="3573"/>
      <c r="AC316" s="3553"/>
      <c r="AD316" s="3553"/>
      <c r="AE316" s="3553"/>
      <c r="AF316" s="3553"/>
      <c r="AG316" s="3553"/>
      <c r="AH316" s="3553"/>
      <c r="AI316" s="3553"/>
      <c r="AJ316" s="3553"/>
      <c r="AK316" s="3553"/>
      <c r="AL316" s="3553"/>
    </row>
    <row r="317" spans="15:38" ht="21.95" customHeight="1">
      <c r="O317" s="3"/>
      <c r="AB317" s="3573"/>
      <c r="AC317" s="3553"/>
      <c r="AD317" s="3553"/>
      <c r="AE317" s="3553"/>
      <c r="AF317" s="3553"/>
      <c r="AG317" s="3553"/>
      <c r="AH317" s="3553"/>
      <c r="AI317" s="3553"/>
      <c r="AJ317" s="3553"/>
      <c r="AK317" s="3553"/>
      <c r="AL317" s="3553"/>
    </row>
    <row r="318" spans="15:38" ht="21.95" customHeight="1">
      <c r="O318" s="3"/>
      <c r="AB318" s="3573"/>
      <c r="AC318" s="3553"/>
      <c r="AD318" s="3553"/>
      <c r="AE318" s="3553"/>
      <c r="AF318" s="3553"/>
      <c r="AG318" s="3553"/>
      <c r="AH318" s="3553"/>
      <c r="AI318" s="3553"/>
      <c r="AJ318" s="3553"/>
      <c r="AK318" s="3553"/>
      <c r="AL318" s="3553"/>
    </row>
    <row r="319" spans="15:38" ht="21.95" customHeight="1">
      <c r="O319" s="3"/>
      <c r="AB319" s="3573"/>
      <c r="AC319" s="3553"/>
      <c r="AD319" s="3553"/>
      <c r="AE319" s="3553"/>
      <c r="AF319" s="3553"/>
      <c r="AG319" s="3553"/>
      <c r="AH319" s="3553"/>
      <c r="AI319" s="3553"/>
      <c r="AJ319" s="3553"/>
      <c r="AK319" s="3553"/>
      <c r="AL319" s="3553"/>
    </row>
    <row r="320" spans="15:38" ht="21.95" customHeight="1">
      <c r="O320" s="3"/>
      <c r="AB320" s="3572" t="s">
        <v>5950</v>
      </c>
      <c r="AC320" s="3552" t="s">
        <v>5951</v>
      </c>
      <c r="AD320" s="3552"/>
      <c r="AE320" s="3552"/>
      <c r="AF320" s="3552"/>
      <c r="AG320" s="3552"/>
      <c r="AH320" s="3552"/>
      <c r="AI320" s="3552"/>
      <c r="AJ320" s="3552"/>
      <c r="AK320" s="3552"/>
      <c r="AL320" s="3552"/>
    </row>
    <row r="321" spans="15:38" ht="21.95" customHeight="1">
      <c r="O321" s="3"/>
      <c r="AB321" s="3573"/>
      <c r="AC321" s="3552"/>
      <c r="AD321" s="3552"/>
      <c r="AE321" s="3552"/>
      <c r="AF321" s="3552"/>
      <c r="AG321" s="3552"/>
      <c r="AH321" s="3552"/>
      <c r="AI321" s="3552"/>
      <c r="AJ321" s="3552"/>
      <c r="AK321" s="3552"/>
      <c r="AL321" s="3552"/>
    </row>
    <row r="322" spans="15:38" ht="21.95" customHeight="1">
      <c r="O322" s="3"/>
      <c r="AB322" s="3573"/>
      <c r="AC322" s="3552"/>
      <c r="AD322" s="3552"/>
      <c r="AE322" s="3552"/>
      <c r="AF322" s="3552"/>
      <c r="AG322" s="3552"/>
      <c r="AH322" s="3552"/>
      <c r="AI322" s="3552"/>
      <c r="AJ322" s="3552"/>
      <c r="AK322" s="3552"/>
      <c r="AL322" s="3552"/>
    </row>
    <row r="323" spans="15:38" ht="21.95" customHeight="1">
      <c r="O323" s="3"/>
      <c r="AB323" s="3573"/>
      <c r="AC323" s="3552"/>
      <c r="AD323" s="3552"/>
      <c r="AE323" s="3552"/>
      <c r="AF323" s="3552"/>
      <c r="AG323" s="3552"/>
      <c r="AH323" s="3552"/>
      <c r="AI323" s="3552"/>
      <c r="AJ323" s="3552"/>
      <c r="AK323" s="3552"/>
      <c r="AL323" s="3552"/>
    </row>
    <row r="324" spans="15:38" ht="21.95" customHeight="1">
      <c r="O324" s="3"/>
      <c r="AB324" s="3573"/>
      <c r="AC324" s="3552"/>
      <c r="AD324" s="3552"/>
      <c r="AE324" s="3552"/>
      <c r="AF324" s="3552"/>
      <c r="AG324" s="3552"/>
      <c r="AH324" s="3552"/>
      <c r="AI324" s="3552"/>
      <c r="AJ324" s="3552"/>
      <c r="AK324" s="3552"/>
      <c r="AL324" s="3552"/>
    </row>
    <row r="325" spans="15:38" ht="21.95" customHeight="1">
      <c r="O325" s="3"/>
      <c r="AB325" s="3573"/>
      <c r="AC325" s="3552"/>
      <c r="AD325" s="3552"/>
      <c r="AE325" s="3552"/>
      <c r="AF325" s="3552"/>
      <c r="AG325" s="3552"/>
      <c r="AH325" s="3552"/>
      <c r="AI325" s="3552"/>
      <c r="AJ325" s="3552"/>
      <c r="AK325" s="3552"/>
      <c r="AL325" s="3552"/>
    </row>
    <row r="326" spans="15:38" ht="21.95" customHeight="1">
      <c r="O326" s="3"/>
      <c r="AB326" s="3557" t="s">
        <v>5952</v>
      </c>
      <c r="AC326" s="3558"/>
      <c r="AD326" s="3558"/>
      <c r="AE326" s="3558"/>
      <c r="AF326" s="3558"/>
      <c r="AG326" s="3558"/>
      <c r="AH326" s="3558"/>
      <c r="AI326" s="3558"/>
      <c r="AJ326" s="3558"/>
      <c r="AK326" s="3558"/>
      <c r="AL326" s="3558"/>
    </row>
    <row r="327" spans="15:38" ht="21.95" customHeight="1">
      <c r="O327" s="3"/>
      <c r="AB327" s="14" t="s">
        <v>5699</v>
      </c>
      <c r="AC327" s="3553" t="s">
        <v>5953</v>
      </c>
      <c r="AD327" s="3553"/>
      <c r="AE327" s="3553"/>
      <c r="AF327" s="3553"/>
      <c r="AG327" s="3553"/>
      <c r="AH327" s="3553"/>
      <c r="AI327" s="3553"/>
      <c r="AJ327" s="3553"/>
      <c r="AK327" s="3553"/>
      <c r="AL327" s="3553"/>
    </row>
    <row r="328" spans="15:38" ht="21.95" customHeight="1">
      <c r="O328" s="3"/>
      <c r="AB328" s="3572" t="s">
        <v>5954</v>
      </c>
      <c r="AC328" s="3553" t="s">
        <v>5955</v>
      </c>
      <c r="AD328" s="3553"/>
      <c r="AE328" s="3553"/>
      <c r="AF328" s="3553"/>
      <c r="AG328" s="3553"/>
      <c r="AH328" s="3553"/>
      <c r="AI328" s="3553"/>
      <c r="AJ328" s="3553"/>
      <c r="AK328" s="3553"/>
      <c r="AL328" s="3553"/>
    </row>
    <row r="329" spans="15:38" ht="21.95" customHeight="1">
      <c r="O329" s="3"/>
      <c r="AB329" s="3573"/>
      <c r="AC329" s="3553" t="s">
        <v>5956</v>
      </c>
      <c r="AD329" s="3553"/>
      <c r="AE329" s="3553"/>
      <c r="AF329" s="3553"/>
      <c r="AG329" s="3553"/>
      <c r="AH329" s="3553"/>
      <c r="AI329" s="3553"/>
      <c r="AJ329" s="3553"/>
      <c r="AK329" s="3553"/>
      <c r="AL329" s="3553"/>
    </row>
    <row r="330" spans="15:38" ht="21.95" customHeight="1">
      <c r="O330" s="3"/>
      <c r="AB330" s="3573"/>
      <c r="AC330" s="3553" t="s">
        <v>5957</v>
      </c>
      <c r="AD330" s="3553"/>
      <c r="AE330" s="3553"/>
      <c r="AF330" s="3553"/>
      <c r="AG330" s="3553"/>
      <c r="AH330" s="3553"/>
      <c r="AI330" s="3553"/>
      <c r="AJ330" s="3553"/>
      <c r="AK330" s="3553"/>
      <c r="AL330" s="3553"/>
    </row>
    <row r="331" spans="15:38" ht="21.95" customHeight="1">
      <c r="O331" s="3"/>
      <c r="AB331" s="3573"/>
      <c r="AC331" s="3552" t="s">
        <v>5958</v>
      </c>
      <c r="AD331" s="3552"/>
      <c r="AE331" s="3552"/>
      <c r="AF331" s="3552"/>
      <c r="AG331" s="3552"/>
      <c r="AH331" s="3552"/>
      <c r="AI331" s="3552"/>
      <c r="AJ331" s="3552"/>
      <c r="AK331" s="3552"/>
      <c r="AL331" s="3552"/>
    </row>
    <row r="332" spans="15:38" ht="21.95" customHeight="1">
      <c r="O332" s="3"/>
      <c r="AB332" s="3573"/>
      <c r="AC332" s="3552"/>
      <c r="AD332" s="3552"/>
      <c r="AE332" s="3552"/>
      <c r="AF332" s="3552"/>
      <c r="AG332" s="3552"/>
      <c r="AH332" s="3552"/>
      <c r="AI332" s="3552"/>
      <c r="AJ332" s="3552"/>
      <c r="AK332" s="3552"/>
      <c r="AL332" s="3552"/>
    </row>
    <row r="333" spans="15:38" ht="21.95" customHeight="1">
      <c r="O333" s="3"/>
      <c r="AB333" s="3573"/>
      <c r="AC333" s="3552"/>
      <c r="AD333" s="3552"/>
      <c r="AE333" s="3552"/>
      <c r="AF333" s="3552"/>
      <c r="AG333" s="3552"/>
      <c r="AH333" s="3552"/>
      <c r="AI333" s="3552"/>
      <c r="AJ333" s="3552"/>
      <c r="AK333" s="3552"/>
      <c r="AL333" s="3552"/>
    </row>
    <row r="334" spans="15:38" ht="21.95" customHeight="1">
      <c r="O334" s="3"/>
      <c r="AB334" s="3573"/>
      <c r="AC334" s="3553" t="s">
        <v>5959</v>
      </c>
      <c r="AD334" s="3553"/>
      <c r="AE334" s="3553"/>
      <c r="AF334" s="3553"/>
      <c r="AG334" s="3553"/>
      <c r="AH334" s="3553"/>
      <c r="AI334" s="3553"/>
      <c r="AJ334" s="3553"/>
      <c r="AK334" s="3553"/>
      <c r="AL334" s="3553"/>
    </row>
    <row r="335" spans="15:38" ht="21.95" customHeight="1">
      <c r="O335" s="3"/>
      <c r="AB335" s="3573"/>
      <c r="AC335" s="3553" t="s">
        <v>5960</v>
      </c>
      <c r="AD335" s="3553"/>
      <c r="AE335" s="3553"/>
      <c r="AF335" s="3553"/>
      <c r="AG335" s="3553"/>
      <c r="AH335" s="3553"/>
      <c r="AI335" s="3553"/>
      <c r="AJ335" s="3553"/>
      <c r="AK335" s="3553"/>
      <c r="AL335" s="3553"/>
    </row>
    <row r="336" spans="15:38" ht="21.95" customHeight="1">
      <c r="O336" s="3"/>
      <c r="AB336" s="3573"/>
      <c r="AC336" s="3553" t="s">
        <v>5961</v>
      </c>
      <c r="AD336" s="3553"/>
      <c r="AE336" s="3553"/>
      <c r="AF336" s="3553"/>
      <c r="AG336" s="3553"/>
      <c r="AH336" s="3553"/>
      <c r="AI336" s="3553"/>
      <c r="AJ336" s="3553"/>
      <c r="AK336" s="3553"/>
      <c r="AL336" s="3553"/>
    </row>
    <row r="337" spans="15:38" ht="21.95" customHeight="1">
      <c r="O337" s="3"/>
      <c r="AB337" s="3573"/>
      <c r="AC337" s="3552" t="s">
        <v>5962</v>
      </c>
      <c r="AD337" s="3553"/>
      <c r="AE337" s="3553"/>
      <c r="AF337" s="3553"/>
      <c r="AG337" s="3553"/>
      <c r="AH337" s="3553"/>
      <c r="AI337" s="3553"/>
      <c r="AJ337" s="3553"/>
      <c r="AK337" s="3553"/>
      <c r="AL337" s="3553"/>
    </row>
    <row r="338" spans="15:38" ht="21.95" customHeight="1">
      <c r="O338" s="3"/>
      <c r="AB338" s="3573"/>
      <c r="AC338" s="3553"/>
      <c r="AD338" s="3553"/>
      <c r="AE338" s="3553"/>
      <c r="AF338" s="3553"/>
      <c r="AG338" s="3553"/>
      <c r="AH338" s="3553"/>
      <c r="AI338" s="3553"/>
      <c r="AJ338" s="3553"/>
      <c r="AK338" s="3553"/>
      <c r="AL338" s="3553"/>
    </row>
    <row r="339" spans="15:38" ht="21.95" customHeight="1">
      <c r="O339" s="3"/>
      <c r="AB339" s="3573"/>
      <c r="AC339" s="3553" t="s">
        <v>5963</v>
      </c>
      <c r="AD339" s="3553"/>
      <c r="AE339" s="3553"/>
      <c r="AF339" s="3553"/>
      <c r="AG339" s="3553"/>
      <c r="AH339" s="3553"/>
      <c r="AI339" s="3553"/>
      <c r="AJ339" s="3553"/>
      <c r="AK339" s="3553"/>
      <c r="AL339" s="3553"/>
    </row>
    <row r="340" spans="15:38" ht="21.95" customHeight="1">
      <c r="O340" s="3"/>
      <c r="AB340" s="3573"/>
      <c r="AC340" s="3552" t="s">
        <v>5964</v>
      </c>
      <c r="AD340" s="3553"/>
      <c r="AE340" s="3553"/>
      <c r="AF340" s="3553"/>
      <c r="AG340" s="3553"/>
      <c r="AH340" s="3553"/>
      <c r="AI340" s="3553"/>
      <c r="AJ340" s="3553"/>
      <c r="AK340" s="3553"/>
      <c r="AL340" s="3553"/>
    </row>
    <row r="341" spans="15:38" ht="21.95" customHeight="1">
      <c r="O341" s="3"/>
      <c r="AB341" s="3573"/>
      <c r="AC341" s="3553"/>
      <c r="AD341" s="3553"/>
      <c r="AE341" s="3553"/>
      <c r="AF341" s="3553"/>
      <c r="AG341" s="3553"/>
      <c r="AH341" s="3553"/>
      <c r="AI341" s="3553"/>
      <c r="AJ341" s="3553"/>
      <c r="AK341" s="3553"/>
      <c r="AL341" s="3553"/>
    </row>
    <row r="342" spans="15:38" ht="21.95" customHeight="1">
      <c r="O342" s="3"/>
      <c r="AB342" s="3573"/>
      <c r="AC342" s="3553" t="s">
        <v>5965</v>
      </c>
      <c r="AD342" s="3553"/>
      <c r="AE342" s="3553"/>
      <c r="AF342" s="3553"/>
      <c r="AG342" s="3553"/>
      <c r="AH342" s="3553"/>
      <c r="AI342" s="3553"/>
      <c r="AJ342" s="3553"/>
      <c r="AK342" s="3553"/>
      <c r="AL342" s="3553"/>
    </row>
    <row r="343" spans="15:38" ht="21.95" customHeight="1">
      <c r="O343" s="3"/>
      <c r="AB343" s="3573"/>
      <c r="AC343" s="3553" t="s">
        <v>5966</v>
      </c>
      <c r="AD343" s="3553"/>
      <c r="AE343" s="3553"/>
      <c r="AF343" s="3553"/>
      <c r="AG343" s="3553"/>
      <c r="AH343" s="3553"/>
      <c r="AI343" s="3553"/>
      <c r="AJ343" s="3553"/>
      <c r="AK343" s="3553"/>
      <c r="AL343" s="3553"/>
    </row>
    <row r="344" spans="15:38" ht="21.95" customHeight="1">
      <c r="O344" s="3"/>
      <c r="AB344" s="3573"/>
      <c r="AC344" s="3552" t="s">
        <v>5967</v>
      </c>
      <c r="AD344" s="3553"/>
      <c r="AE344" s="3553"/>
      <c r="AF344" s="3553"/>
      <c r="AG344" s="3553"/>
      <c r="AH344" s="3553"/>
      <c r="AI344" s="3553"/>
      <c r="AJ344" s="3553"/>
      <c r="AK344" s="3553"/>
      <c r="AL344" s="3553"/>
    </row>
    <row r="345" spans="15:38" ht="21.95" customHeight="1">
      <c r="O345" s="3"/>
      <c r="AB345" s="3573"/>
      <c r="AC345" s="3553"/>
      <c r="AD345" s="3553"/>
      <c r="AE345" s="3553"/>
      <c r="AF345" s="3553"/>
      <c r="AG345" s="3553"/>
      <c r="AH345" s="3553"/>
      <c r="AI345" s="3553"/>
      <c r="AJ345" s="3553"/>
      <c r="AK345" s="3553"/>
      <c r="AL345" s="3553"/>
    </row>
    <row r="346" spans="15:38" ht="21.95" customHeight="1">
      <c r="O346" s="3"/>
      <c r="AB346" s="3573"/>
      <c r="AC346" s="3553" t="s">
        <v>5968</v>
      </c>
      <c r="AD346" s="3553"/>
      <c r="AE346" s="3553"/>
      <c r="AF346" s="3553"/>
      <c r="AG346" s="3553"/>
      <c r="AH346" s="3553"/>
      <c r="AI346" s="3553"/>
      <c r="AJ346" s="3553"/>
      <c r="AK346" s="3553"/>
      <c r="AL346" s="3553"/>
    </row>
    <row r="347" spans="15:38" ht="21.95" customHeight="1">
      <c r="O347" s="3"/>
      <c r="AB347" s="3574" t="s">
        <v>5902</v>
      </c>
      <c r="AC347" s="3552" t="s">
        <v>5969</v>
      </c>
      <c r="AD347" s="3553"/>
      <c r="AE347" s="3553"/>
      <c r="AF347" s="3553"/>
      <c r="AG347" s="3553"/>
      <c r="AH347" s="3553"/>
      <c r="AI347" s="3553"/>
      <c r="AJ347" s="3553"/>
      <c r="AK347" s="3553"/>
      <c r="AL347" s="3553"/>
    </row>
    <row r="348" spans="15:38" ht="21.95" customHeight="1">
      <c r="O348" s="3"/>
      <c r="AB348" s="3575"/>
      <c r="AC348" s="3553"/>
      <c r="AD348" s="3553"/>
      <c r="AE348" s="3553"/>
      <c r="AF348" s="3553"/>
      <c r="AG348" s="3553"/>
      <c r="AH348" s="3553"/>
      <c r="AI348" s="3553"/>
      <c r="AJ348" s="3553"/>
      <c r="AK348" s="3553"/>
      <c r="AL348" s="3553"/>
    </row>
    <row r="349" spans="15:38" ht="21.95" customHeight="1">
      <c r="O349" s="3"/>
      <c r="AB349" s="3576" t="s">
        <v>5970</v>
      </c>
      <c r="AC349" s="3552" t="s">
        <v>5971</v>
      </c>
      <c r="AD349" s="3553"/>
      <c r="AE349" s="3553"/>
      <c r="AF349" s="3553"/>
      <c r="AG349" s="3553"/>
      <c r="AH349" s="3553"/>
      <c r="AI349" s="3553"/>
      <c r="AJ349" s="3553"/>
      <c r="AK349" s="3553"/>
      <c r="AL349" s="3553"/>
    </row>
    <row r="350" spans="15:38" ht="21.95" customHeight="1">
      <c r="O350" s="3"/>
      <c r="AB350" s="3577"/>
      <c r="AC350" s="3553"/>
      <c r="AD350" s="3553"/>
      <c r="AE350" s="3553"/>
      <c r="AF350" s="3553"/>
      <c r="AG350" s="3553"/>
      <c r="AH350" s="3553"/>
      <c r="AI350" s="3553"/>
      <c r="AJ350" s="3553"/>
      <c r="AK350" s="3553"/>
      <c r="AL350" s="3553"/>
    </row>
    <row r="351" spans="15:38" ht="21.95" customHeight="1">
      <c r="O351" s="3"/>
      <c r="AB351" s="3557" t="s">
        <v>5972</v>
      </c>
      <c r="AC351" s="3558"/>
      <c r="AD351" s="3558"/>
      <c r="AE351" s="3558"/>
      <c r="AF351" s="3558"/>
      <c r="AG351" s="3558"/>
      <c r="AH351" s="3558"/>
      <c r="AI351" s="3558"/>
      <c r="AJ351" s="3558"/>
      <c r="AK351" s="3558"/>
      <c r="AL351" s="3558"/>
    </row>
    <row r="352" spans="15:38" ht="21.95" customHeight="1">
      <c r="O352" s="3"/>
      <c r="AB352" s="3572" t="s">
        <v>5954</v>
      </c>
      <c r="AC352" s="3552" t="s">
        <v>5973</v>
      </c>
      <c r="AD352" s="3553"/>
      <c r="AE352" s="3553"/>
      <c r="AF352" s="3553"/>
      <c r="AG352" s="3553"/>
      <c r="AH352" s="3553"/>
      <c r="AI352" s="3553"/>
      <c r="AJ352" s="3553"/>
      <c r="AK352" s="3553"/>
      <c r="AL352" s="3553"/>
    </row>
    <row r="353" spans="15:38" ht="21.95" customHeight="1">
      <c r="O353" s="3"/>
      <c r="AB353" s="3573"/>
      <c r="AC353" s="3553"/>
      <c r="AD353" s="3553"/>
      <c r="AE353" s="3553"/>
      <c r="AF353" s="3553"/>
      <c r="AG353" s="3553"/>
      <c r="AH353" s="3553"/>
      <c r="AI353" s="3553"/>
      <c r="AJ353" s="3553"/>
      <c r="AK353" s="3553"/>
      <c r="AL353" s="3553"/>
    </row>
    <row r="354" spans="15:38" ht="21.95" customHeight="1">
      <c r="O354" s="3"/>
      <c r="AB354" s="3573"/>
      <c r="AC354" s="3553" t="s">
        <v>5974</v>
      </c>
      <c r="AD354" s="3553"/>
      <c r="AE354" s="3553"/>
      <c r="AF354" s="3553"/>
      <c r="AG354" s="3553"/>
      <c r="AH354" s="3553"/>
      <c r="AI354" s="3553"/>
      <c r="AJ354" s="3553"/>
      <c r="AK354" s="3553"/>
      <c r="AL354" s="3553"/>
    </row>
    <row r="355" spans="15:38" ht="21.95" customHeight="1">
      <c r="O355" s="3"/>
      <c r="AB355" s="3573"/>
      <c r="AC355" s="3553" t="s">
        <v>5975</v>
      </c>
      <c r="AD355" s="3553"/>
      <c r="AE355" s="3553"/>
      <c r="AF355" s="3553"/>
      <c r="AG355" s="3553"/>
      <c r="AH355" s="3553"/>
      <c r="AI355" s="3553"/>
      <c r="AJ355" s="3553"/>
      <c r="AK355" s="3553"/>
      <c r="AL355" s="3553"/>
    </row>
    <row r="356" spans="15:38" ht="21.95" customHeight="1">
      <c r="O356" s="3"/>
      <c r="AB356" s="3573"/>
      <c r="AC356" s="3552" t="s">
        <v>5976</v>
      </c>
      <c r="AD356" s="3552"/>
      <c r="AE356" s="3552"/>
      <c r="AF356" s="3552"/>
      <c r="AG356" s="3552"/>
      <c r="AH356" s="3552"/>
      <c r="AI356" s="3552"/>
      <c r="AJ356" s="3552"/>
      <c r="AK356" s="3552"/>
      <c r="AL356" s="3552"/>
    </row>
    <row r="357" spans="15:38" ht="21.95" customHeight="1">
      <c r="O357" s="3"/>
      <c r="AB357" s="3573"/>
      <c r="AC357" s="3552"/>
      <c r="AD357" s="3552"/>
      <c r="AE357" s="3552"/>
      <c r="AF357" s="3552"/>
      <c r="AG357" s="3552"/>
      <c r="AH357" s="3552"/>
      <c r="AI357" s="3552"/>
      <c r="AJ357" s="3552"/>
      <c r="AK357" s="3552"/>
      <c r="AL357" s="3552"/>
    </row>
    <row r="358" spans="15:38" ht="21.95" customHeight="1">
      <c r="O358" s="3"/>
      <c r="AB358" s="3573"/>
      <c r="AC358" s="3552"/>
      <c r="AD358" s="3552"/>
      <c r="AE358" s="3552"/>
      <c r="AF358" s="3552"/>
      <c r="AG358" s="3552"/>
      <c r="AH358" s="3552"/>
      <c r="AI358" s="3552"/>
      <c r="AJ358" s="3552"/>
      <c r="AK358" s="3552"/>
      <c r="AL358" s="3552"/>
    </row>
    <row r="359" spans="15:38" ht="21.95" customHeight="1">
      <c r="O359" s="3"/>
      <c r="AB359" s="3573"/>
      <c r="AC359" s="3553" t="s">
        <v>5977</v>
      </c>
      <c r="AD359" s="3553"/>
      <c r="AE359" s="3553"/>
      <c r="AF359" s="3553"/>
      <c r="AG359" s="3553"/>
      <c r="AH359" s="3553"/>
      <c r="AI359" s="3553"/>
      <c r="AJ359" s="3553"/>
      <c r="AK359" s="3553"/>
      <c r="AL359" s="3553"/>
    </row>
    <row r="360" spans="15:38" ht="21.95" customHeight="1">
      <c r="O360" s="3"/>
      <c r="AB360" s="3573"/>
      <c r="AC360" s="3553" t="s">
        <v>5978</v>
      </c>
      <c r="AD360" s="3553"/>
      <c r="AE360" s="3553"/>
      <c r="AF360" s="3553"/>
      <c r="AG360" s="3553"/>
      <c r="AH360" s="3553"/>
      <c r="AI360" s="3553"/>
      <c r="AJ360" s="3553"/>
      <c r="AK360" s="3553"/>
      <c r="AL360" s="3553"/>
    </row>
    <row r="361" spans="15:38" ht="21.95" customHeight="1">
      <c r="O361" s="3"/>
      <c r="AB361" s="3572" t="s">
        <v>5597</v>
      </c>
      <c r="AC361" s="3553" t="s">
        <v>5979</v>
      </c>
      <c r="AD361" s="3553"/>
      <c r="AE361" s="3553"/>
      <c r="AF361" s="3553"/>
      <c r="AG361" s="3553"/>
      <c r="AH361" s="3553"/>
      <c r="AI361" s="3553"/>
      <c r="AJ361" s="3553"/>
      <c r="AK361" s="3553"/>
      <c r="AL361" s="3553"/>
    </row>
    <row r="362" spans="15:38" ht="21.95" customHeight="1">
      <c r="O362" s="3"/>
      <c r="AB362" s="3573"/>
      <c r="AC362" s="3553" t="s">
        <v>5980</v>
      </c>
      <c r="AD362" s="3553"/>
      <c r="AE362" s="3553"/>
      <c r="AF362" s="3553"/>
      <c r="AG362" s="3553"/>
      <c r="AH362" s="3553"/>
      <c r="AI362" s="3553"/>
      <c r="AJ362" s="3553"/>
      <c r="AK362" s="3553"/>
      <c r="AL362" s="3553"/>
    </row>
    <row r="363" spans="15:38" ht="21.95" customHeight="1">
      <c r="O363" s="3"/>
      <c r="AB363" s="3573"/>
      <c r="AC363" s="3553" t="s">
        <v>5981</v>
      </c>
      <c r="AD363" s="3553"/>
      <c r="AE363" s="3553"/>
      <c r="AF363" s="3553"/>
      <c r="AG363" s="3553"/>
      <c r="AH363" s="3553"/>
      <c r="AI363" s="3553"/>
      <c r="AJ363" s="3553"/>
      <c r="AK363" s="3553"/>
      <c r="AL363" s="3553"/>
    </row>
    <row r="364" spans="15:38" ht="21.95" customHeight="1">
      <c r="O364" s="3"/>
      <c r="AB364" s="4" t="s">
        <v>5910</v>
      </c>
      <c r="AC364" s="3553" t="s">
        <v>5982</v>
      </c>
      <c r="AD364" s="3553"/>
      <c r="AE364" s="3553"/>
      <c r="AF364" s="3553"/>
      <c r="AG364" s="3553"/>
      <c r="AH364" s="3553"/>
      <c r="AI364" s="3553"/>
      <c r="AJ364" s="3553"/>
      <c r="AK364" s="3553"/>
      <c r="AL364" s="3553"/>
    </row>
    <row r="365" spans="15:38" ht="21.95" customHeight="1">
      <c r="O365" s="3"/>
      <c r="AB365" s="3572" t="s">
        <v>5983</v>
      </c>
      <c r="AC365" s="3553" t="s">
        <v>5984</v>
      </c>
      <c r="AD365" s="3553"/>
      <c r="AE365" s="3553"/>
      <c r="AF365" s="3553"/>
      <c r="AG365" s="3553"/>
      <c r="AH365" s="3553"/>
      <c r="AI365" s="3553"/>
      <c r="AJ365" s="3553"/>
      <c r="AK365" s="3553"/>
      <c r="AL365" s="3553"/>
    </row>
    <row r="366" spans="15:38" ht="21.95" customHeight="1">
      <c r="O366" s="3"/>
      <c r="AB366" s="3573"/>
      <c r="AC366" s="3552" t="s">
        <v>5985</v>
      </c>
      <c r="AD366" s="3553"/>
      <c r="AE366" s="3553"/>
      <c r="AF366" s="3553"/>
      <c r="AG366" s="3553"/>
      <c r="AH366" s="3553"/>
      <c r="AI366" s="3553"/>
      <c r="AJ366" s="3553"/>
      <c r="AK366" s="3553"/>
      <c r="AL366" s="3553"/>
    </row>
    <row r="367" spans="15:38" ht="21.95" customHeight="1">
      <c r="O367" s="3"/>
      <c r="AB367" s="3573"/>
      <c r="AC367" s="3553"/>
      <c r="AD367" s="3553"/>
      <c r="AE367" s="3553"/>
      <c r="AF367" s="3553"/>
      <c r="AG367" s="3553"/>
      <c r="AH367" s="3553"/>
      <c r="AI367" s="3553"/>
      <c r="AJ367" s="3553"/>
      <c r="AK367" s="3553"/>
      <c r="AL367" s="3553"/>
    </row>
    <row r="368" spans="15:38" ht="21.95" customHeight="1">
      <c r="O368" s="3"/>
      <c r="AB368" s="3573"/>
      <c r="AC368" s="3553"/>
      <c r="AD368" s="3553"/>
      <c r="AE368" s="3553"/>
      <c r="AF368" s="3553"/>
      <c r="AG368" s="3553"/>
      <c r="AH368" s="3553"/>
      <c r="AI368" s="3553"/>
      <c r="AJ368" s="3553"/>
      <c r="AK368" s="3553"/>
      <c r="AL368" s="3553"/>
    </row>
    <row r="369" spans="15:38" ht="21.95" customHeight="1">
      <c r="O369" s="3"/>
      <c r="AB369" s="3573"/>
      <c r="AC369" s="3553"/>
      <c r="AD369" s="3553"/>
      <c r="AE369" s="3553"/>
      <c r="AF369" s="3553"/>
      <c r="AG369" s="3553"/>
      <c r="AH369" s="3553"/>
      <c r="AI369" s="3553"/>
      <c r="AJ369" s="3553"/>
      <c r="AK369" s="3553"/>
      <c r="AL369" s="3553"/>
    </row>
    <row r="370" spans="15:38" ht="21.95" customHeight="1">
      <c r="O370" s="3"/>
      <c r="AB370" s="3573"/>
      <c r="AC370" s="3564" t="s">
        <v>5986</v>
      </c>
      <c r="AD370" s="3564"/>
      <c r="AE370" s="3564"/>
      <c r="AF370" s="3564"/>
      <c r="AG370" s="3564"/>
      <c r="AH370" s="3564"/>
      <c r="AI370" s="3564"/>
      <c r="AJ370" s="3564"/>
      <c r="AK370" s="3564"/>
      <c r="AL370" s="3564"/>
    </row>
    <row r="371" spans="15:38" ht="21.95" customHeight="1">
      <c r="O371" s="3"/>
      <c r="AB371" s="3557" t="s">
        <v>5987</v>
      </c>
      <c r="AC371" s="3558"/>
      <c r="AD371" s="3558"/>
      <c r="AE371" s="3558"/>
      <c r="AF371" s="3558"/>
      <c r="AG371" s="3558"/>
      <c r="AH371" s="3558"/>
      <c r="AI371" s="3558"/>
      <c r="AJ371" s="3558"/>
      <c r="AK371" s="3558"/>
      <c r="AL371" s="3558"/>
    </row>
    <row r="372" spans="15:38" ht="21.95" customHeight="1">
      <c r="O372" s="3"/>
      <c r="AB372" s="3572" t="s">
        <v>5954</v>
      </c>
      <c r="AC372" s="3566" t="s">
        <v>5988</v>
      </c>
      <c r="AD372" s="3603"/>
      <c r="AE372" s="3603"/>
      <c r="AF372" s="3603"/>
      <c r="AG372" s="3603"/>
      <c r="AH372" s="3603"/>
      <c r="AI372" s="3603"/>
      <c r="AJ372" s="3603"/>
      <c r="AK372" s="3603"/>
      <c r="AL372" s="3603"/>
    </row>
    <row r="373" spans="15:38" ht="21.95" customHeight="1">
      <c r="O373" s="3"/>
      <c r="AB373" s="3573"/>
      <c r="AC373" s="3603"/>
      <c r="AD373" s="3603"/>
      <c r="AE373" s="3603"/>
      <c r="AF373" s="3603"/>
      <c r="AG373" s="3603"/>
      <c r="AH373" s="3603"/>
      <c r="AI373" s="3603"/>
      <c r="AJ373" s="3603"/>
      <c r="AK373" s="3603"/>
      <c r="AL373" s="3603"/>
    </row>
    <row r="374" spans="15:38" ht="21.95" customHeight="1">
      <c r="O374" s="3"/>
      <c r="AB374" s="3573"/>
      <c r="AC374" s="3601" t="s">
        <v>5989</v>
      </c>
      <c r="AD374" s="3602"/>
      <c r="AE374" s="3602"/>
      <c r="AF374" s="3602"/>
      <c r="AG374" s="3602"/>
      <c r="AH374" s="3602"/>
      <c r="AI374" s="3602"/>
      <c r="AJ374" s="3602"/>
      <c r="AK374" s="3602"/>
      <c r="AL374" s="3602"/>
    </row>
    <row r="375" spans="15:38" ht="21.95" customHeight="1">
      <c r="O375" s="3"/>
      <c r="AB375" s="3573"/>
      <c r="AC375" s="3602"/>
      <c r="AD375" s="3602"/>
      <c r="AE375" s="3602"/>
      <c r="AF375" s="3602"/>
      <c r="AG375" s="3602"/>
      <c r="AH375" s="3602"/>
      <c r="AI375" s="3602"/>
      <c r="AJ375" s="3602"/>
      <c r="AK375" s="3602"/>
      <c r="AL375" s="3602"/>
    </row>
    <row r="376" spans="15:38" ht="21.95" customHeight="1">
      <c r="O376" s="3"/>
      <c r="AB376" s="3573"/>
      <c r="AC376" s="3602"/>
      <c r="AD376" s="3602"/>
      <c r="AE376" s="3602"/>
      <c r="AF376" s="3602"/>
      <c r="AG376" s="3602"/>
      <c r="AH376" s="3602"/>
      <c r="AI376" s="3602"/>
      <c r="AJ376" s="3602"/>
      <c r="AK376" s="3602"/>
      <c r="AL376" s="3602"/>
    </row>
    <row r="377" spans="15:38" ht="21.95" customHeight="1">
      <c r="O377" s="3"/>
      <c r="AB377" s="3573"/>
      <c r="AC377" s="3552" t="s">
        <v>5990</v>
      </c>
      <c r="AD377" s="3553"/>
      <c r="AE377" s="3553"/>
      <c r="AF377" s="3553"/>
      <c r="AG377" s="3553"/>
      <c r="AH377" s="3553"/>
      <c r="AI377" s="3553"/>
      <c r="AJ377" s="3553"/>
      <c r="AK377" s="3553"/>
      <c r="AL377" s="3553"/>
    </row>
    <row r="378" spans="15:38" ht="21.95" customHeight="1">
      <c r="O378" s="3"/>
      <c r="AB378" s="3573"/>
      <c r="AC378" s="3553"/>
      <c r="AD378" s="3553"/>
      <c r="AE378" s="3553"/>
      <c r="AF378" s="3553"/>
      <c r="AG378" s="3553"/>
      <c r="AH378" s="3553"/>
      <c r="AI378" s="3553"/>
      <c r="AJ378" s="3553"/>
      <c r="AK378" s="3553"/>
      <c r="AL378" s="3553"/>
    </row>
    <row r="379" spans="15:38" ht="21.95" customHeight="1">
      <c r="O379" s="3"/>
      <c r="AB379" s="3573"/>
      <c r="AC379" s="3553" t="s">
        <v>5991</v>
      </c>
      <c r="AD379" s="3553"/>
      <c r="AE379" s="3553"/>
      <c r="AF379" s="3553"/>
      <c r="AG379" s="3553"/>
      <c r="AH379" s="3553"/>
      <c r="AI379" s="3553"/>
      <c r="AJ379" s="3553"/>
      <c r="AK379" s="3553"/>
      <c r="AL379" s="3553"/>
    </row>
    <row r="380" spans="15:38" ht="21.95" customHeight="1">
      <c r="O380" s="3"/>
      <c r="AB380" s="3573"/>
      <c r="AC380" s="3601" t="s">
        <v>5992</v>
      </c>
      <c r="AD380" s="3601"/>
      <c r="AE380" s="3601"/>
      <c r="AF380" s="3601"/>
      <c r="AG380" s="3601"/>
      <c r="AH380" s="3601"/>
      <c r="AI380" s="3601"/>
      <c r="AJ380" s="3601"/>
      <c r="AK380" s="3601"/>
      <c r="AL380" s="3601"/>
    </row>
    <row r="381" spans="15:38" ht="21.95" customHeight="1">
      <c r="O381" s="3"/>
      <c r="AB381" s="3573"/>
      <c r="AC381" s="3601"/>
      <c r="AD381" s="3601"/>
      <c r="AE381" s="3601"/>
      <c r="AF381" s="3601"/>
      <c r="AG381" s="3601"/>
      <c r="AH381" s="3601"/>
      <c r="AI381" s="3601"/>
      <c r="AJ381" s="3601"/>
      <c r="AK381" s="3601"/>
      <c r="AL381" s="3601"/>
    </row>
    <row r="382" spans="15:38" ht="21.95" customHeight="1">
      <c r="O382" s="3"/>
      <c r="AB382" s="3573"/>
      <c r="AC382" s="3601"/>
      <c r="AD382" s="3601"/>
      <c r="AE382" s="3601"/>
      <c r="AF382" s="3601"/>
      <c r="AG382" s="3601"/>
      <c r="AH382" s="3601"/>
      <c r="AI382" s="3601"/>
      <c r="AJ382" s="3601"/>
      <c r="AK382" s="3601"/>
      <c r="AL382" s="3601"/>
    </row>
    <row r="383" spans="15:38" ht="21.95" customHeight="1">
      <c r="O383" s="3"/>
      <c r="AB383" s="3573"/>
      <c r="AC383" s="3601" t="s">
        <v>5993</v>
      </c>
      <c r="AD383" s="3601"/>
      <c r="AE383" s="3601"/>
      <c r="AF383" s="3601"/>
      <c r="AG383" s="3601"/>
      <c r="AH383" s="3601"/>
      <c r="AI383" s="3601"/>
      <c r="AJ383" s="3601"/>
      <c r="AK383" s="3601"/>
      <c r="AL383" s="3601"/>
    </row>
    <row r="384" spans="15:38" ht="21.95" customHeight="1">
      <c r="O384" s="3"/>
      <c r="AB384" s="3573"/>
      <c r="AC384" s="3601"/>
      <c r="AD384" s="3601"/>
      <c r="AE384" s="3601"/>
      <c r="AF384" s="3601"/>
      <c r="AG384" s="3601"/>
      <c r="AH384" s="3601"/>
      <c r="AI384" s="3601"/>
      <c r="AJ384" s="3601"/>
      <c r="AK384" s="3601"/>
      <c r="AL384" s="3601"/>
    </row>
    <row r="385" spans="15:38" ht="21.95" customHeight="1">
      <c r="O385" s="3"/>
      <c r="AB385" s="3573"/>
      <c r="AC385" s="3601"/>
      <c r="AD385" s="3601"/>
      <c r="AE385" s="3601"/>
      <c r="AF385" s="3601"/>
      <c r="AG385" s="3601"/>
      <c r="AH385" s="3601"/>
      <c r="AI385" s="3601"/>
      <c r="AJ385" s="3601"/>
      <c r="AK385" s="3601"/>
      <c r="AL385" s="3601"/>
    </row>
    <row r="386" spans="15:38" ht="21.95" customHeight="1">
      <c r="O386" s="3"/>
      <c r="AB386" s="3576" t="s">
        <v>5902</v>
      </c>
      <c r="AC386" s="3552" t="s">
        <v>5994</v>
      </c>
      <c r="AD386" s="3553"/>
      <c r="AE386" s="3553"/>
      <c r="AF386" s="3553"/>
      <c r="AG386" s="3553"/>
      <c r="AH386" s="3553"/>
      <c r="AI386" s="3553"/>
      <c r="AJ386" s="3553"/>
      <c r="AK386" s="3553"/>
      <c r="AL386" s="3553"/>
    </row>
    <row r="387" spans="15:38" ht="21.95" customHeight="1">
      <c r="O387" s="3"/>
      <c r="AB387" s="3577"/>
      <c r="AC387" s="3553"/>
      <c r="AD387" s="3553"/>
      <c r="AE387" s="3553"/>
      <c r="AF387" s="3553"/>
      <c r="AG387" s="3553"/>
      <c r="AH387" s="3553"/>
      <c r="AI387" s="3553"/>
      <c r="AJ387" s="3553"/>
      <c r="AK387" s="3553"/>
      <c r="AL387" s="3553"/>
    </row>
    <row r="388" spans="15:38" ht="21.95" customHeight="1">
      <c r="O388" s="3"/>
      <c r="AB388" s="10" t="s">
        <v>5597</v>
      </c>
      <c r="AC388" s="3553" t="s">
        <v>5995</v>
      </c>
      <c r="AD388" s="3553"/>
      <c r="AE388" s="3553"/>
      <c r="AF388" s="3553"/>
      <c r="AG388" s="3553"/>
      <c r="AH388" s="3553"/>
      <c r="AI388" s="3553"/>
      <c r="AJ388" s="3553"/>
      <c r="AK388" s="3553"/>
      <c r="AL388" s="3553"/>
    </row>
    <row r="389" spans="15:38" ht="21.95" customHeight="1">
      <c r="O389" s="3"/>
      <c r="AB389" s="3572" t="s">
        <v>5996</v>
      </c>
      <c r="AC389" s="3553" t="s">
        <v>5997</v>
      </c>
      <c r="AD389" s="3553"/>
      <c r="AE389" s="3553"/>
      <c r="AF389" s="3553"/>
      <c r="AG389" s="3553"/>
      <c r="AH389" s="3553"/>
      <c r="AI389" s="3553"/>
      <c r="AJ389" s="3553"/>
      <c r="AK389" s="3553"/>
      <c r="AL389" s="3553"/>
    </row>
    <row r="390" spans="15:38" ht="21.95" customHeight="1">
      <c r="O390" s="3"/>
      <c r="AB390" s="3573"/>
      <c r="AC390" s="3553" t="s">
        <v>5998</v>
      </c>
      <c r="AD390" s="3553"/>
      <c r="AE390" s="3553"/>
      <c r="AF390" s="3553"/>
      <c r="AG390" s="3553"/>
      <c r="AH390" s="3553"/>
      <c r="AI390" s="3553"/>
      <c r="AJ390" s="3553"/>
      <c r="AK390" s="3553"/>
      <c r="AL390" s="3553"/>
    </row>
    <row r="391" spans="15:38" ht="21.95" customHeight="1">
      <c r="O391" s="3"/>
    </row>
    <row r="392" spans="15:38" ht="21.95" customHeight="1">
      <c r="O392" s="3"/>
    </row>
    <row r="393" spans="15:38" ht="21.95" customHeight="1">
      <c r="O393" s="3"/>
    </row>
    <row r="394" spans="15:38" ht="21.95" customHeight="1">
      <c r="O394" s="3"/>
    </row>
    <row r="395" spans="15:38" ht="21.95" customHeight="1">
      <c r="O395" s="3"/>
    </row>
    <row r="396" spans="15:38" ht="21.95" customHeight="1">
      <c r="O396" s="3"/>
    </row>
    <row r="397" spans="15:38" ht="21.95" customHeight="1">
      <c r="O397" s="3"/>
    </row>
    <row r="398" spans="15:38" ht="21.95" customHeight="1">
      <c r="O398" s="3"/>
    </row>
    <row r="399" spans="15:38" ht="21.95" customHeight="1">
      <c r="O399" s="3"/>
    </row>
    <row r="400" spans="15:38" ht="21.95" customHeight="1">
      <c r="O400" s="3"/>
    </row>
    <row r="401" spans="15:15" ht="21.95" customHeight="1">
      <c r="O401" s="3"/>
    </row>
    <row r="402" spans="15:15" ht="21.95" customHeight="1">
      <c r="O402" s="3"/>
    </row>
    <row r="403" spans="15:15" ht="21.95" customHeight="1">
      <c r="O403" s="3"/>
    </row>
    <row r="404" spans="15:15" ht="21.95" customHeight="1">
      <c r="O404" s="3"/>
    </row>
    <row r="405" spans="15:15" ht="21.95" customHeight="1">
      <c r="O405" s="3"/>
    </row>
    <row r="406" spans="15:15" ht="21.95" customHeight="1">
      <c r="O406" s="3"/>
    </row>
    <row r="407" spans="15:15" ht="21.95" customHeight="1">
      <c r="O407" s="3"/>
    </row>
    <row r="408" spans="15:15" ht="21.95" customHeight="1">
      <c r="O408" s="3"/>
    </row>
    <row r="409" spans="15:15" ht="21.95" customHeight="1">
      <c r="O409" s="3"/>
    </row>
    <row r="410" spans="15:15" ht="21.95" customHeight="1">
      <c r="O410" s="3"/>
    </row>
    <row r="411" spans="15:15" ht="21.95" customHeight="1">
      <c r="O411" s="3"/>
    </row>
    <row r="412" spans="15:15" ht="21.95" customHeight="1">
      <c r="O412" s="3"/>
    </row>
    <row r="413" spans="15:15" ht="21.95" customHeight="1">
      <c r="O413" s="3"/>
    </row>
    <row r="414" spans="15:15" ht="21.95" customHeight="1">
      <c r="O414" s="3"/>
    </row>
    <row r="415" spans="15:15" ht="21.95" customHeight="1">
      <c r="O415" s="3"/>
    </row>
    <row r="416" spans="15:15" ht="21.95" customHeight="1">
      <c r="O416" s="3"/>
    </row>
    <row r="417" spans="15:15" ht="21.95" customHeight="1">
      <c r="O417" s="3"/>
    </row>
    <row r="418" spans="15:15" ht="21.95" customHeight="1">
      <c r="O418" s="3"/>
    </row>
    <row r="419" spans="15:15" ht="21.95" customHeight="1">
      <c r="O419" s="3"/>
    </row>
    <row r="420" spans="15:15" ht="21.95" customHeight="1">
      <c r="O420" s="3"/>
    </row>
    <row r="421" spans="15:15" ht="21.95" customHeight="1">
      <c r="O421" s="3"/>
    </row>
    <row r="422" spans="15:15" ht="21.95" customHeight="1">
      <c r="O422" s="3"/>
    </row>
    <row r="423" spans="15:15" ht="21.95" customHeight="1">
      <c r="O423" s="3"/>
    </row>
    <row r="424" spans="15:15" ht="21.95" customHeight="1">
      <c r="O424" s="3"/>
    </row>
    <row r="425" spans="15:15" ht="21.95" customHeight="1">
      <c r="O425" s="3"/>
    </row>
    <row r="426" spans="15:15" ht="21.95" customHeight="1">
      <c r="O426" s="3"/>
    </row>
    <row r="427" spans="15:15" ht="21.95" customHeight="1">
      <c r="O427" s="3"/>
    </row>
    <row r="428" spans="15:15" ht="21.95" customHeight="1">
      <c r="O428" s="3"/>
    </row>
    <row r="429" spans="15:15" ht="21.95" customHeight="1">
      <c r="O429" s="3"/>
    </row>
    <row r="430" spans="15:15" ht="21.95" customHeight="1">
      <c r="O430" s="3"/>
    </row>
    <row r="431" spans="15:15" ht="21.95" customHeight="1">
      <c r="O431" s="3"/>
    </row>
    <row r="432" spans="15:15" ht="21.95" customHeight="1">
      <c r="O432" s="3"/>
    </row>
    <row r="433" spans="15:15" ht="21.95" customHeight="1">
      <c r="O433" s="3"/>
    </row>
    <row r="434" spans="15:15" ht="21.95" customHeight="1">
      <c r="O434" s="3"/>
    </row>
    <row r="435" spans="15:15" ht="21.95" customHeight="1">
      <c r="O435" s="3"/>
    </row>
    <row r="436" spans="15:15" ht="21.95" customHeight="1">
      <c r="O436" s="3"/>
    </row>
    <row r="437" spans="15:15" ht="21.95" customHeight="1">
      <c r="O437" s="3"/>
    </row>
    <row r="438" spans="15:15" ht="21.95" customHeight="1">
      <c r="O438" s="3"/>
    </row>
    <row r="439" spans="15:15" ht="21.95" customHeight="1">
      <c r="O439" s="3"/>
    </row>
    <row r="440" spans="15:15" ht="21.95" customHeight="1">
      <c r="O440" s="3"/>
    </row>
    <row r="441" spans="15:15" ht="21.95" customHeight="1">
      <c r="O441" s="3"/>
    </row>
    <row r="442" spans="15:15" ht="21.95" customHeight="1">
      <c r="O442" s="3"/>
    </row>
    <row r="443" spans="15:15" ht="21.95" customHeight="1">
      <c r="O443" s="3"/>
    </row>
    <row r="444" spans="15:15" ht="21.95" customHeight="1">
      <c r="O444" s="3"/>
    </row>
    <row r="445" spans="15:15" ht="21.95" customHeight="1">
      <c r="O445" s="3"/>
    </row>
    <row r="446" spans="15:15" ht="21.95" customHeight="1">
      <c r="O446" s="3"/>
    </row>
    <row r="447" spans="15:15" ht="21.95" customHeight="1">
      <c r="O447" s="3"/>
    </row>
    <row r="448" spans="15:15" ht="21.95" customHeight="1">
      <c r="O448" s="3"/>
    </row>
    <row r="449" spans="15:15" ht="21.95" customHeight="1">
      <c r="O449" s="3"/>
    </row>
    <row r="450" spans="15:15" ht="21.95" customHeight="1">
      <c r="O450" s="3"/>
    </row>
    <row r="451" spans="15:15" ht="21.95" customHeight="1">
      <c r="O451" s="3"/>
    </row>
    <row r="452" spans="15:15" ht="21.95" customHeight="1">
      <c r="O452" s="3"/>
    </row>
    <row r="453" spans="15:15" ht="21.95" customHeight="1">
      <c r="O453" s="3"/>
    </row>
    <row r="454" spans="15:15" ht="21.95" customHeight="1">
      <c r="O454" s="3"/>
    </row>
    <row r="455" spans="15:15" ht="21.95" customHeight="1">
      <c r="O455" s="3"/>
    </row>
    <row r="456" spans="15:15" ht="21.95" customHeight="1">
      <c r="O456" s="3"/>
    </row>
    <row r="457" spans="15:15" ht="21.95" customHeight="1">
      <c r="O457" s="3"/>
    </row>
    <row r="458" spans="15:15" ht="21.95" customHeight="1">
      <c r="O458" s="3"/>
    </row>
    <row r="459" spans="15:15" ht="16.5">
      <c r="O459" s="3"/>
    </row>
    <row r="460" spans="15:15" ht="16.5">
      <c r="O460" s="3"/>
    </row>
    <row r="461" spans="15:15" ht="16.5">
      <c r="O461" s="3"/>
    </row>
    <row r="462" spans="15:15" ht="16.5">
      <c r="O462" s="3"/>
    </row>
    <row r="463" spans="15:15" ht="16.5">
      <c r="O463" s="3"/>
    </row>
    <row r="464" spans="15:15" ht="16.5">
      <c r="O464" s="3"/>
    </row>
    <row r="465" spans="15:15" ht="16.5">
      <c r="O465" s="3"/>
    </row>
    <row r="466" spans="15:15" ht="16.5">
      <c r="O466" s="3"/>
    </row>
    <row r="467" spans="15:15" ht="16.5">
      <c r="O467" s="3"/>
    </row>
    <row r="468" spans="15:15" ht="16.5">
      <c r="O468" s="3"/>
    </row>
    <row r="469" spans="15:15" ht="16.5">
      <c r="O469" s="3"/>
    </row>
    <row r="470" spans="15:15" ht="16.5">
      <c r="O470" s="3"/>
    </row>
    <row r="471" spans="15:15" ht="16.5">
      <c r="O471" s="3"/>
    </row>
    <row r="472" spans="15:15" ht="16.5">
      <c r="O472" s="3"/>
    </row>
    <row r="473" spans="15:15" ht="16.5">
      <c r="O473" s="3"/>
    </row>
    <row r="474" spans="15:15" ht="16.5">
      <c r="O474" s="3"/>
    </row>
    <row r="475" spans="15:15" ht="16.5">
      <c r="O475" s="3"/>
    </row>
    <row r="476" spans="15:15" ht="16.5">
      <c r="O476" s="3"/>
    </row>
    <row r="477" spans="15:15" ht="16.5">
      <c r="O477" s="3"/>
    </row>
    <row r="478" spans="15:15" ht="16.5">
      <c r="O478" s="3"/>
    </row>
    <row r="479" spans="15:15" ht="16.5">
      <c r="O479" s="3"/>
    </row>
    <row r="480" spans="15:15" ht="16.5">
      <c r="O480" s="3"/>
    </row>
    <row r="481" spans="15:15" ht="16.5">
      <c r="O481" s="3"/>
    </row>
    <row r="482" spans="15:15" ht="16.5">
      <c r="O482" s="3"/>
    </row>
    <row r="483" spans="15:15" ht="16.5">
      <c r="O483" s="3"/>
    </row>
    <row r="484" spans="15:15" ht="16.5">
      <c r="O484" s="3"/>
    </row>
    <row r="485" spans="15:15" ht="16.5">
      <c r="O485" s="3"/>
    </row>
    <row r="486" spans="15:15" ht="16.5">
      <c r="O486" s="3"/>
    </row>
    <row r="487" spans="15:15" ht="16.5">
      <c r="O487" s="3"/>
    </row>
    <row r="488" spans="15:15" ht="16.5">
      <c r="O488" s="3"/>
    </row>
    <row r="489" spans="15:15" ht="16.5">
      <c r="O489" s="3"/>
    </row>
    <row r="490" spans="15:15" ht="16.5">
      <c r="O490" s="3"/>
    </row>
    <row r="491" spans="15:15" ht="16.5">
      <c r="O491" s="3"/>
    </row>
    <row r="492" spans="15:15" ht="16.5">
      <c r="O492" s="3"/>
    </row>
    <row r="493" spans="15:15" ht="16.5">
      <c r="O493" s="3"/>
    </row>
    <row r="494" spans="15:15" ht="16.5">
      <c r="O494" s="3"/>
    </row>
    <row r="495" spans="15:15" ht="16.5">
      <c r="O495" s="3"/>
    </row>
    <row r="496" spans="15:15" ht="16.5">
      <c r="O496" s="3"/>
    </row>
    <row r="497" spans="15:15" ht="16.5">
      <c r="O497" s="3"/>
    </row>
    <row r="498" spans="15:15" ht="16.5">
      <c r="O498" s="3"/>
    </row>
    <row r="499" spans="15:15" ht="16.5">
      <c r="O499" s="3"/>
    </row>
    <row r="500" spans="15:15" ht="16.5">
      <c r="O500" s="15"/>
    </row>
    <row r="501" spans="15:15" ht="16.5">
      <c r="O501" s="15"/>
    </row>
    <row r="502" spans="15:15" ht="16.5">
      <c r="O502" s="15"/>
    </row>
    <row r="503" spans="15:15" ht="16.5">
      <c r="O503" s="15"/>
    </row>
    <row r="504" spans="15:15" ht="16.5">
      <c r="O504" s="15"/>
    </row>
    <row r="505" spans="15:15" ht="16.5">
      <c r="O505" s="15"/>
    </row>
    <row r="506" spans="15:15" ht="16.5">
      <c r="O506" s="15"/>
    </row>
    <row r="507" spans="15:15" ht="16.5">
      <c r="O507" s="15"/>
    </row>
    <row r="508" spans="15:15" ht="16.5">
      <c r="O508" s="15"/>
    </row>
    <row r="509" spans="15:15" ht="16.5">
      <c r="O509" s="15"/>
    </row>
    <row r="510" spans="15:15" ht="16.5">
      <c r="O510" s="15"/>
    </row>
    <row r="511" spans="15:15" ht="16.5">
      <c r="O511" s="15"/>
    </row>
    <row r="512" spans="15:15" ht="16.5">
      <c r="O512" s="15"/>
    </row>
    <row r="513" spans="15:15" ht="16.5">
      <c r="O513" s="15"/>
    </row>
    <row r="514" spans="15:15" ht="16.5">
      <c r="O514" s="15"/>
    </row>
    <row r="515" spans="15:15" ht="16.5">
      <c r="O515" s="15"/>
    </row>
    <row r="516" spans="15:15" ht="16.5">
      <c r="O516" s="15"/>
    </row>
    <row r="517" spans="15:15" ht="16.5">
      <c r="O517" s="15"/>
    </row>
    <row r="518" spans="15:15" ht="16.5">
      <c r="O518" s="15"/>
    </row>
    <row r="519" spans="15:15" ht="16.5">
      <c r="O519" s="15"/>
    </row>
    <row r="520" spans="15:15" ht="16.5">
      <c r="O520" s="15"/>
    </row>
    <row r="521" spans="15:15" ht="16.5"/>
    <row r="522" spans="15:15" ht="16.5"/>
    <row r="523" spans="15:15" ht="16.5"/>
    <row r="524" spans="15:15" ht="16.5"/>
    <row r="525" spans="15:15" ht="16.5"/>
    <row r="526" spans="15:15" ht="16.5"/>
    <row r="527" spans="15:15" ht="16.5"/>
    <row r="528" spans="15:15" ht="16.5"/>
    <row r="529" ht="16.5"/>
    <row r="530" ht="16.5"/>
    <row r="531" ht="16.5"/>
    <row r="532" ht="16.5"/>
    <row r="533" ht="16.5"/>
    <row r="534" ht="16.5"/>
    <row r="535" ht="16.5"/>
    <row r="536" ht="16.5"/>
    <row r="537" ht="16.5"/>
    <row r="538" ht="16.5"/>
    <row r="539" ht="16.5"/>
    <row r="540" ht="16.5"/>
    <row r="541" ht="16.5"/>
    <row r="542" ht="16.5"/>
    <row r="543" ht="16.5"/>
    <row r="544" ht="16.5"/>
    <row r="545" ht="16.5"/>
    <row r="546" ht="16.5"/>
    <row r="547" ht="16.5"/>
    <row r="548" ht="16.5"/>
    <row r="549" ht="16.5"/>
    <row r="550" ht="16.5"/>
    <row r="551" ht="16.5"/>
  </sheetData>
  <sheetProtection sheet="1" objects="1"/>
  <mergeCells count="563">
    <mergeCell ref="F3:N4"/>
    <mergeCell ref="F7:N8"/>
    <mergeCell ref="AO4:AX15"/>
    <mergeCell ref="D13:E14"/>
    <mergeCell ref="AC5:AL6"/>
    <mergeCell ref="AC7:AL10"/>
    <mergeCell ref="D3:E4"/>
    <mergeCell ref="D5:E6"/>
    <mergeCell ref="AO22:AX22"/>
    <mergeCell ref="AC20:AL20"/>
    <mergeCell ref="P21:Z21"/>
    <mergeCell ref="AC21:AL21"/>
    <mergeCell ref="AC22:AL22"/>
    <mergeCell ref="F5:N6"/>
    <mergeCell ref="D7:E8"/>
    <mergeCell ref="D11:E12"/>
    <mergeCell ref="F9:N10"/>
    <mergeCell ref="D17:N18"/>
    <mergeCell ref="D16:N16"/>
    <mergeCell ref="D9:E10"/>
    <mergeCell ref="F13:N14"/>
    <mergeCell ref="P3:Z3"/>
    <mergeCell ref="AB3:AL3"/>
    <mergeCell ref="AN3:AX3"/>
    <mergeCell ref="AC4:AL4"/>
    <mergeCell ref="P12:Z12"/>
    <mergeCell ref="AC14:AL14"/>
    <mergeCell ref="AC15:AL15"/>
    <mergeCell ref="AC16:AL16"/>
    <mergeCell ref="AN16:AX16"/>
    <mergeCell ref="P4:P7"/>
    <mergeCell ref="P8:P11"/>
    <mergeCell ref="P13:P16"/>
    <mergeCell ref="AN4:AN15"/>
    <mergeCell ref="D40:F40"/>
    <mergeCell ref="G40:N40"/>
    <mergeCell ref="AC40:AL40"/>
    <mergeCell ref="AN37:AN41"/>
    <mergeCell ref="D37:F37"/>
    <mergeCell ref="G37:N37"/>
    <mergeCell ref="AC37:AL37"/>
    <mergeCell ref="AC23:AL23"/>
    <mergeCell ref="AO23:AX23"/>
    <mergeCell ref="AN17:AN36"/>
    <mergeCell ref="Q17:Z20"/>
    <mergeCell ref="AO17:AX21"/>
    <mergeCell ref="P31:P33"/>
    <mergeCell ref="Q22:Z25"/>
    <mergeCell ref="AB17:AL17"/>
    <mergeCell ref="AC18:AL18"/>
    <mergeCell ref="AC19:AL19"/>
    <mergeCell ref="G45:N45"/>
    <mergeCell ref="AC45:AL45"/>
    <mergeCell ref="D46:F46"/>
    <mergeCell ref="G46:N46"/>
    <mergeCell ref="P46:Z46"/>
    <mergeCell ref="P34:P45"/>
    <mergeCell ref="D41:F41"/>
    <mergeCell ref="G41:N41"/>
    <mergeCell ref="AC41:AL41"/>
    <mergeCell ref="D42:F42"/>
    <mergeCell ref="G42:N42"/>
    <mergeCell ref="AC42:AL42"/>
    <mergeCell ref="D43:F43"/>
    <mergeCell ref="G43:N43"/>
    <mergeCell ref="AB43:AL43"/>
    <mergeCell ref="D35:N35"/>
    <mergeCell ref="D36:F36"/>
    <mergeCell ref="G36:N36"/>
    <mergeCell ref="D38:F38"/>
    <mergeCell ref="G38:N38"/>
    <mergeCell ref="AC38:AL38"/>
    <mergeCell ref="D39:F39"/>
    <mergeCell ref="G39:N39"/>
    <mergeCell ref="AC39:AL39"/>
    <mergeCell ref="D47:F47"/>
    <mergeCell ref="G47:N47"/>
    <mergeCell ref="D48:F48"/>
    <mergeCell ref="G48:N48"/>
    <mergeCell ref="D49:F49"/>
    <mergeCell ref="G49:N49"/>
    <mergeCell ref="D50:F50"/>
    <mergeCell ref="G50:N50"/>
    <mergeCell ref="AO50:AX50"/>
    <mergeCell ref="P47:P50"/>
    <mergeCell ref="AN42:AN49"/>
    <mergeCell ref="Q34:Z45"/>
    <mergeCell ref="AO27:AX36"/>
    <mergeCell ref="AC31:AL36"/>
    <mergeCell ref="AO42:AX44"/>
    <mergeCell ref="AO38:AX41"/>
    <mergeCell ref="Q26:Z29"/>
    <mergeCell ref="Q31:Z33"/>
    <mergeCell ref="D31:N32"/>
    <mergeCell ref="AO24:AX26"/>
    <mergeCell ref="D44:F44"/>
    <mergeCell ref="G44:N44"/>
    <mergeCell ref="AC44:AL44"/>
    <mergeCell ref="D45:F45"/>
    <mergeCell ref="D58:F58"/>
    <mergeCell ref="G58:N58"/>
    <mergeCell ref="AC58:AL58"/>
    <mergeCell ref="P52:P55"/>
    <mergeCell ref="D51:F51"/>
    <mergeCell ref="G51:N51"/>
    <mergeCell ref="P51:Z51"/>
    <mergeCell ref="D52:F52"/>
    <mergeCell ref="G52:N52"/>
    <mergeCell ref="AC52:AL52"/>
    <mergeCell ref="D53:F53"/>
    <mergeCell ref="G53:N53"/>
    <mergeCell ref="D54:F54"/>
    <mergeCell ref="G54:N54"/>
    <mergeCell ref="D59:F59"/>
    <mergeCell ref="G59:N59"/>
    <mergeCell ref="AC59:AL59"/>
    <mergeCell ref="D60:F60"/>
    <mergeCell ref="G60:N60"/>
    <mergeCell ref="P60:Z60"/>
    <mergeCell ref="D61:F61"/>
    <mergeCell ref="G61:N61"/>
    <mergeCell ref="AO61:AX61"/>
    <mergeCell ref="P56:P59"/>
    <mergeCell ref="AN50:AN60"/>
    <mergeCell ref="AN61:AN83"/>
    <mergeCell ref="Q47:Z50"/>
    <mergeCell ref="Q52:Z55"/>
    <mergeCell ref="Q56:Z59"/>
    <mergeCell ref="AO79:AX83"/>
    <mergeCell ref="AO67:AX78"/>
    <mergeCell ref="AO64:AX66"/>
    <mergeCell ref="D55:F55"/>
    <mergeCell ref="G55:N55"/>
    <mergeCell ref="D56:F56"/>
    <mergeCell ref="G56:N56"/>
    <mergeCell ref="D57:F57"/>
    <mergeCell ref="G57:N57"/>
    <mergeCell ref="D62:F62"/>
    <mergeCell ref="G62:N62"/>
    <mergeCell ref="D63:F63"/>
    <mergeCell ref="G63:N63"/>
    <mergeCell ref="AC66:AL66"/>
    <mergeCell ref="AB67:AL67"/>
    <mergeCell ref="AC68:AL68"/>
    <mergeCell ref="P69:Z69"/>
    <mergeCell ref="AC69:AL69"/>
    <mergeCell ref="P61:P64"/>
    <mergeCell ref="P65:P68"/>
    <mergeCell ref="Q61:Z64"/>
    <mergeCell ref="Q65:Z68"/>
    <mergeCell ref="P78:Z78"/>
    <mergeCell ref="AC82:AL82"/>
    <mergeCell ref="AC83:AL83"/>
    <mergeCell ref="AC84:AL84"/>
    <mergeCell ref="AC85:AL85"/>
    <mergeCell ref="AC86:AL86"/>
    <mergeCell ref="P70:P74"/>
    <mergeCell ref="P75:P77"/>
    <mergeCell ref="P79:P81"/>
    <mergeCell ref="P82:P86"/>
    <mergeCell ref="Q70:Z74"/>
    <mergeCell ref="Q75:Z77"/>
    <mergeCell ref="Q79:Z81"/>
    <mergeCell ref="AC80:AL81"/>
    <mergeCell ref="AC72:AL73"/>
    <mergeCell ref="P87:Z87"/>
    <mergeCell ref="AC87:AL87"/>
    <mergeCell ref="AC88:AL88"/>
    <mergeCell ref="AC89:AL89"/>
    <mergeCell ref="AC90:AL90"/>
    <mergeCell ref="P91:Z91"/>
    <mergeCell ref="AC91:AL91"/>
    <mergeCell ref="AC92:AL92"/>
    <mergeCell ref="AC93:AL93"/>
    <mergeCell ref="P88:P90"/>
    <mergeCell ref="Q88:Z90"/>
    <mergeCell ref="P95:Z95"/>
    <mergeCell ref="AC95:AL95"/>
    <mergeCell ref="AC96:AL96"/>
    <mergeCell ref="AC97:AL97"/>
    <mergeCell ref="AC98:AL98"/>
    <mergeCell ref="P99:Z99"/>
    <mergeCell ref="AC99:AL99"/>
    <mergeCell ref="AC100:AL100"/>
    <mergeCell ref="P92:P94"/>
    <mergeCell ref="P96:P98"/>
    <mergeCell ref="Q96:Z98"/>
    <mergeCell ref="P111:P113"/>
    <mergeCell ref="P114:P116"/>
    <mergeCell ref="P117:P118"/>
    <mergeCell ref="P119:P120"/>
    <mergeCell ref="Q111:Z113"/>
    <mergeCell ref="Q114:Z116"/>
    <mergeCell ref="Q117:Z118"/>
    <mergeCell ref="AC101:AL101"/>
    <mergeCell ref="AC104:AL104"/>
    <mergeCell ref="AC105:AL105"/>
    <mergeCell ref="AC106:AL106"/>
    <mergeCell ref="AC107:AL107"/>
    <mergeCell ref="AC108:AL108"/>
    <mergeCell ref="AC109:AL109"/>
    <mergeCell ref="P110:Z110"/>
    <mergeCell ref="AC110:AL110"/>
    <mergeCell ref="P100:P102"/>
    <mergeCell ref="P103:P105"/>
    <mergeCell ref="P106:P107"/>
    <mergeCell ref="P108:P109"/>
    <mergeCell ref="Q100:Z102"/>
    <mergeCell ref="Q103:Z105"/>
    <mergeCell ref="Q106:Z107"/>
    <mergeCell ref="Q108:Z109"/>
    <mergeCell ref="AC127:AL127"/>
    <mergeCell ref="AC128:AL128"/>
    <mergeCell ref="AC136:AL136"/>
    <mergeCell ref="AC137:AL137"/>
    <mergeCell ref="P139:Z139"/>
    <mergeCell ref="AC153:AL153"/>
    <mergeCell ref="AC154:AL154"/>
    <mergeCell ref="AC155:AL155"/>
    <mergeCell ref="P122:P136"/>
    <mergeCell ref="P137:P138"/>
    <mergeCell ref="P140:P143"/>
    <mergeCell ref="P144:P147"/>
    <mergeCell ref="P148:P150"/>
    <mergeCell ref="P151:P152"/>
    <mergeCell ref="P153:P154"/>
    <mergeCell ref="Q148:Z150"/>
    <mergeCell ref="Q122:Z136"/>
    <mergeCell ref="Q137:Z138"/>
    <mergeCell ref="Q140:Z141"/>
    <mergeCell ref="Q142:Z143"/>
    <mergeCell ref="Q144:Z145"/>
    <mergeCell ref="Q153:Z154"/>
    <mergeCell ref="AC148:AL152"/>
    <mergeCell ref="AC125:AL125"/>
    <mergeCell ref="AC156:AL156"/>
    <mergeCell ref="P157:Z157"/>
    <mergeCell ref="AB157:AL157"/>
    <mergeCell ref="AC158:AL158"/>
    <mergeCell ref="AC159:AL159"/>
    <mergeCell ref="AB160:AL160"/>
    <mergeCell ref="AC161:AL161"/>
    <mergeCell ref="AB162:AL162"/>
    <mergeCell ref="P171:Z171"/>
    <mergeCell ref="P155:P156"/>
    <mergeCell ref="P158:P159"/>
    <mergeCell ref="P160:P161"/>
    <mergeCell ref="P162:P163"/>
    <mergeCell ref="P164:P165"/>
    <mergeCell ref="P166:P167"/>
    <mergeCell ref="P168:P170"/>
    <mergeCell ref="AB163:AB178"/>
    <mergeCell ref="P172:P176"/>
    <mergeCell ref="AC166:AL167"/>
    <mergeCell ref="AC184:AL184"/>
    <mergeCell ref="AB185:AL185"/>
    <mergeCell ref="P186:Z186"/>
    <mergeCell ref="AC186:AL186"/>
    <mergeCell ref="AC189:AL189"/>
    <mergeCell ref="AC190:AL190"/>
    <mergeCell ref="AC191:AL191"/>
    <mergeCell ref="AC192:AL192"/>
    <mergeCell ref="AC193:AL193"/>
    <mergeCell ref="AB180:AB184"/>
    <mergeCell ref="AB186:AB191"/>
    <mergeCell ref="Q191:Z192"/>
    <mergeCell ref="Q181:Z185"/>
    <mergeCell ref="Q187:Z188"/>
    <mergeCell ref="Q189:Z190"/>
    <mergeCell ref="P177:P180"/>
    <mergeCell ref="P181:P185"/>
    <mergeCell ref="P187:P192"/>
    <mergeCell ref="AC179:AL179"/>
    <mergeCell ref="AC180:AL180"/>
    <mergeCell ref="AC181:AL181"/>
    <mergeCell ref="AC182:AL182"/>
    <mergeCell ref="AC183:AL183"/>
    <mergeCell ref="AC194:AL194"/>
    <mergeCell ref="AC195:AL195"/>
    <mergeCell ref="AC196:AL196"/>
    <mergeCell ref="AB197:AL197"/>
    <mergeCell ref="AC198:AL198"/>
    <mergeCell ref="AC199:AL199"/>
    <mergeCell ref="P200:Z200"/>
    <mergeCell ref="AC200:AL200"/>
    <mergeCell ref="AC203:AL203"/>
    <mergeCell ref="AB195:AB196"/>
    <mergeCell ref="AB198:AB203"/>
    <mergeCell ref="Q197:Z199"/>
    <mergeCell ref="Q193:Z194"/>
    <mergeCell ref="Q195:Z196"/>
    <mergeCell ref="P193:P196"/>
    <mergeCell ref="P197:P199"/>
    <mergeCell ref="P201:P203"/>
    <mergeCell ref="AC204:AL204"/>
    <mergeCell ref="AC208:AL208"/>
    <mergeCell ref="P211:Z211"/>
    <mergeCell ref="AC214:AL214"/>
    <mergeCell ref="AC215:AL215"/>
    <mergeCell ref="AC216:AL216"/>
    <mergeCell ref="Q219:Z219"/>
    <mergeCell ref="AC219:AL219"/>
    <mergeCell ref="AC220:AL220"/>
    <mergeCell ref="P212:P219"/>
    <mergeCell ref="AB204:AB215"/>
    <mergeCell ref="AB216:AB218"/>
    <mergeCell ref="P204:P205"/>
    <mergeCell ref="P206:P210"/>
    <mergeCell ref="AC224:AL224"/>
    <mergeCell ref="P225:Z225"/>
    <mergeCell ref="AB225:AL225"/>
    <mergeCell ref="AC226:AL226"/>
    <mergeCell ref="P229:Z229"/>
    <mergeCell ref="AC229:AL229"/>
    <mergeCell ref="Q230:Z230"/>
    <mergeCell ref="AC236:AL236"/>
    <mergeCell ref="AC242:AL242"/>
    <mergeCell ref="P220:P224"/>
    <mergeCell ref="P226:P228"/>
    <mergeCell ref="P230:P237"/>
    <mergeCell ref="P238:P240"/>
    <mergeCell ref="P241:P242"/>
    <mergeCell ref="AB220:AB224"/>
    <mergeCell ref="AB226:AB235"/>
    <mergeCell ref="AB236:AB241"/>
    <mergeCell ref="AC246:AL246"/>
    <mergeCell ref="AC254:AL254"/>
    <mergeCell ref="AC255:AL255"/>
    <mergeCell ref="AB256:AL256"/>
    <mergeCell ref="AC257:AL257"/>
    <mergeCell ref="AC258:AL258"/>
    <mergeCell ref="AC259:AL259"/>
    <mergeCell ref="AC260:AL260"/>
    <mergeCell ref="AB263:AL263"/>
    <mergeCell ref="AB242:AB253"/>
    <mergeCell ref="AB254:AB255"/>
    <mergeCell ref="AB257:AB259"/>
    <mergeCell ref="AB261:AB262"/>
    <mergeCell ref="AC249:AL253"/>
    <mergeCell ref="AC261:AL262"/>
    <mergeCell ref="AC243:AL245"/>
    <mergeCell ref="AC264:AL264"/>
    <mergeCell ref="AC267:AL267"/>
    <mergeCell ref="AC274:AL274"/>
    <mergeCell ref="AC275:AL275"/>
    <mergeCell ref="AC276:AL276"/>
    <mergeCell ref="AB277:AL277"/>
    <mergeCell ref="AC278:AL278"/>
    <mergeCell ref="AC279:AL279"/>
    <mergeCell ref="AC280:AL280"/>
    <mergeCell ref="AB264:AB273"/>
    <mergeCell ref="AC270:AL273"/>
    <mergeCell ref="AC281:AL281"/>
    <mergeCell ref="AC282:AL282"/>
    <mergeCell ref="AC290:AL290"/>
    <mergeCell ref="AB291:AL291"/>
    <mergeCell ref="AC292:AL292"/>
    <mergeCell ref="AC297:AL297"/>
    <mergeCell ref="AC298:AL298"/>
    <mergeCell ref="AC299:AL299"/>
    <mergeCell ref="AC300:AL300"/>
    <mergeCell ref="AB279:AB282"/>
    <mergeCell ref="AB283:AB289"/>
    <mergeCell ref="AC329:AL329"/>
    <mergeCell ref="AC330:AL330"/>
    <mergeCell ref="AC334:AL334"/>
    <mergeCell ref="AC335:AL335"/>
    <mergeCell ref="AC336:AL336"/>
    <mergeCell ref="AC339:AL339"/>
    <mergeCell ref="AC342:AL342"/>
    <mergeCell ref="AC303:AL303"/>
    <mergeCell ref="AC304:AL304"/>
    <mergeCell ref="AC305:AL305"/>
    <mergeCell ref="AC308:AL308"/>
    <mergeCell ref="AC311:AL311"/>
    <mergeCell ref="AC312:AL312"/>
    <mergeCell ref="AC313:AL313"/>
    <mergeCell ref="AC314:AL314"/>
    <mergeCell ref="AB326:AL326"/>
    <mergeCell ref="AB292:AB307"/>
    <mergeCell ref="AB308:AB311"/>
    <mergeCell ref="AB312:AB313"/>
    <mergeCell ref="AB315:AB319"/>
    <mergeCell ref="AB320:AB325"/>
    <mergeCell ref="AC331:AL333"/>
    <mergeCell ref="AC315:AL319"/>
    <mergeCell ref="AC309:AL310"/>
    <mergeCell ref="AC388:AL388"/>
    <mergeCell ref="AC389:AL389"/>
    <mergeCell ref="AC390:AL390"/>
    <mergeCell ref="AB361:AB363"/>
    <mergeCell ref="AB365:AB370"/>
    <mergeCell ref="AB372:AB385"/>
    <mergeCell ref="AB386:AB387"/>
    <mergeCell ref="AB389:AB390"/>
    <mergeCell ref="AC386:AL387"/>
    <mergeCell ref="AC361:AL361"/>
    <mergeCell ref="AC362:AL362"/>
    <mergeCell ref="AC374:AL376"/>
    <mergeCell ref="AC366:AL369"/>
    <mergeCell ref="AC383:AL385"/>
    <mergeCell ref="AC380:AL382"/>
    <mergeCell ref="AC377:AL378"/>
    <mergeCell ref="AC372:AL373"/>
    <mergeCell ref="AC379:AL379"/>
    <mergeCell ref="P243:P244"/>
    <mergeCell ref="P245:P249"/>
    <mergeCell ref="AB4:AB1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B101:AB104"/>
    <mergeCell ref="AB105:AB108"/>
    <mergeCell ref="AB109:AB112"/>
    <mergeCell ref="AB114:AB115"/>
    <mergeCell ref="AB117:AB124"/>
    <mergeCell ref="AB125:AB128"/>
    <mergeCell ref="AB129:AB137"/>
    <mergeCell ref="AB138:AB154"/>
    <mergeCell ref="AB155:AB156"/>
    <mergeCell ref="Q119:Z120"/>
    <mergeCell ref="Q245:Z249"/>
    <mergeCell ref="Q206:Z210"/>
    <mergeCell ref="Q212:Z213"/>
    <mergeCell ref="Q214:Z216"/>
    <mergeCell ref="Q217:Z218"/>
    <mergeCell ref="Q220:Z224"/>
    <mergeCell ref="Q243:Z244"/>
    <mergeCell ref="Q241:Z242"/>
    <mergeCell ref="Q238:Z240"/>
    <mergeCell ref="Q226:Z228"/>
    <mergeCell ref="Q231:Z232"/>
    <mergeCell ref="Q233:Z234"/>
    <mergeCell ref="Q235:Z237"/>
    <mergeCell ref="P121:Z121"/>
    <mergeCell ref="AC301:AL302"/>
    <mergeCell ref="D1:N2"/>
    <mergeCell ref="F11:N12"/>
    <mergeCell ref="D33:N34"/>
    <mergeCell ref="AC293:AL296"/>
    <mergeCell ref="AC283:AL289"/>
    <mergeCell ref="AC201:AL202"/>
    <mergeCell ref="AC102:AL103"/>
    <mergeCell ref="AC53:AL57"/>
    <mergeCell ref="AC49:AL51"/>
    <mergeCell ref="AC265:AL266"/>
    <mergeCell ref="AC268:AL269"/>
    <mergeCell ref="AC133:AL135"/>
    <mergeCell ref="AC129:AL132"/>
    <mergeCell ref="AC217:AL218"/>
    <mergeCell ref="AC205:AL207"/>
    <mergeCell ref="AC138:AL147"/>
    <mergeCell ref="Q201:Z203"/>
    <mergeCell ref="Q204:Z205"/>
    <mergeCell ref="Q92:Z94"/>
    <mergeCell ref="Q82:Z86"/>
    <mergeCell ref="Q162:Z163"/>
    <mergeCell ref="Q164:Z165"/>
    <mergeCell ref="Q166:Z167"/>
    <mergeCell ref="P1:Z2"/>
    <mergeCell ref="AC356:AL358"/>
    <mergeCell ref="AC320:AL325"/>
    <mergeCell ref="AC227:AL228"/>
    <mergeCell ref="AC230:AL235"/>
    <mergeCell ref="AC221:AL223"/>
    <mergeCell ref="AC237:AL241"/>
    <mergeCell ref="AC187:AL188"/>
    <mergeCell ref="AC209:AL213"/>
    <mergeCell ref="AC247:AL248"/>
    <mergeCell ref="AC343:AL343"/>
    <mergeCell ref="AC346:AL346"/>
    <mergeCell ref="AB351:AL351"/>
    <mergeCell ref="AC354:AL354"/>
    <mergeCell ref="AC355:AL355"/>
    <mergeCell ref="AB328:AB346"/>
    <mergeCell ref="AB347:AB348"/>
    <mergeCell ref="AB349:AB350"/>
    <mergeCell ref="AB352:AB360"/>
    <mergeCell ref="AC327:AL327"/>
    <mergeCell ref="AC328:AL328"/>
    <mergeCell ref="AC337:AL338"/>
    <mergeCell ref="AC340:AL341"/>
    <mergeCell ref="AC306:AL307"/>
    <mergeCell ref="AN1:AX2"/>
    <mergeCell ref="AC63:AL65"/>
    <mergeCell ref="AC29:AL30"/>
    <mergeCell ref="AC122:AL124"/>
    <mergeCell ref="AC117:AL120"/>
    <mergeCell ref="AC75:AL79"/>
    <mergeCell ref="AC60:AL62"/>
    <mergeCell ref="AC46:AL48"/>
    <mergeCell ref="AO62:AX63"/>
    <mergeCell ref="AO51:AX60"/>
    <mergeCell ref="AO45:AX49"/>
    <mergeCell ref="AC111:AL111"/>
    <mergeCell ref="AC112:AL112"/>
    <mergeCell ref="AB113:AL113"/>
    <mergeCell ref="AC114:AL114"/>
    <mergeCell ref="AC115:AL115"/>
    <mergeCell ref="AC116:AL116"/>
    <mergeCell ref="AC121:AL121"/>
    <mergeCell ref="AC94:AL94"/>
    <mergeCell ref="AC70:AL70"/>
    <mergeCell ref="AC71:AL71"/>
    <mergeCell ref="AB74:AL74"/>
    <mergeCell ref="AO37:AX37"/>
    <mergeCell ref="AB1:AL2"/>
    <mergeCell ref="Q172:Z173"/>
    <mergeCell ref="Q174:Z176"/>
    <mergeCell ref="Q177:Z178"/>
    <mergeCell ref="Q179:Z180"/>
    <mergeCell ref="Q168:Z170"/>
    <mergeCell ref="Q155:Z156"/>
    <mergeCell ref="Q4:Z7"/>
    <mergeCell ref="Q8:Z11"/>
    <mergeCell ref="Q151:Z152"/>
    <mergeCell ref="Q158:Z159"/>
    <mergeCell ref="Q160:Z161"/>
    <mergeCell ref="AC170:AL171"/>
    <mergeCell ref="AC163:AL165"/>
    <mergeCell ref="AC176:AL178"/>
    <mergeCell ref="AC11:AL13"/>
    <mergeCell ref="Q13:Z16"/>
    <mergeCell ref="AC168:AL169"/>
    <mergeCell ref="Q146:Z147"/>
    <mergeCell ref="AC172:AL172"/>
    <mergeCell ref="AC173:AL173"/>
    <mergeCell ref="AC174:AL174"/>
    <mergeCell ref="AC175:AL175"/>
    <mergeCell ref="AC126:AL126"/>
    <mergeCell ref="AC347:AL348"/>
    <mergeCell ref="AC352:AL353"/>
    <mergeCell ref="AC344:AL345"/>
    <mergeCell ref="AC349:AL350"/>
    <mergeCell ref="AC363:AL363"/>
    <mergeCell ref="AC364:AL364"/>
    <mergeCell ref="AC365:AL365"/>
    <mergeCell ref="AC370:AL370"/>
    <mergeCell ref="AB371:AL371"/>
    <mergeCell ref="AC359:AL359"/>
    <mergeCell ref="AC360:AL360"/>
    <mergeCell ref="D29:N30"/>
    <mergeCell ref="D19:N20"/>
    <mergeCell ref="AC26:AL28"/>
    <mergeCell ref="D21:N22"/>
    <mergeCell ref="D25:N26"/>
    <mergeCell ref="D24:N24"/>
    <mergeCell ref="AC24:AL24"/>
    <mergeCell ref="AB25:AL25"/>
    <mergeCell ref="D28:N28"/>
    <mergeCell ref="P30:Z30"/>
    <mergeCell ref="P22:P25"/>
    <mergeCell ref="P26:P29"/>
    <mergeCell ref="P17:P20"/>
  </mergeCells>
  <phoneticPr fontId="203"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showRowColHeaders="0" workbookViewId="0">
      <selection activeCell="B40" sqref="B40:Y43"/>
    </sheetView>
  </sheetViews>
  <sheetFormatPr defaultColWidth="5.625" defaultRowHeight="16.899999999999999" customHeight="1"/>
  <cols>
    <col min="1" max="19" width="5.625" style="1000" customWidth="1"/>
    <col min="20" max="20" width="59.875" style="1000" customWidth="1"/>
    <col min="21" max="21" width="5.625" style="1000" customWidth="1"/>
    <col min="22" max="16384" width="5.625" style="1000"/>
  </cols>
  <sheetData>
    <row r="1" spans="2:31" ht="7.15" customHeight="1"/>
    <row r="2" spans="2:31" ht="16.899999999999999" customHeight="1">
      <c r="B2" s="2110" t="str">
        <f>人物卡!E3&amp;"，"&amp;人物卡!M6&amp;"，"&amp;人物卡!E6&amp;"岁"&amp;"，"&amp;人物卡!E5&amp;"，"&amp;人物卡!M4&amp;"，"&amp;"现居："&amp;人物卡!E7&amp;"，"&amp;人物卡!M7&amp;"人"</f>
        <v>，，岁，，现代，现居：，人</v>
      </c>
      <c r="C2" s="2111"/>
      <c r="D2" s="2111"/>
      <c r="E2" s="2111"/>
      <c r="F2" s="2111"/>
      <c r="G2" s="2111"/>
      <c r="H2" s="2111"/>
      <c r="I2" s="2111"/>
      <c r="J2" s="2111"/>
      <c r="K2" s="2111"/>
      <c r="L2" s="2111"/>
      <c r="M2" s="2112"/>
      <c r="N2" s="2110" t="s">
        <v>312</v>
      </c>
      <c r="O2" s="2111"/>
      <c r="P2" s="2111"/>
      <c r="Q2" s="2111"/>
      <c r="R2" s="2111"/>
      <c r="S2" s="2111"/>
      <c r="T2" s="2111"/>
      <c r="U2" s="2111"/>
      <c r="V2" s="2111"/>
      <c r="W2" s="2111"/>
      <c r="X2" s="2111"/>
      <c r="Y2" s="2112"/>
      <c r="Z2" s="2130" t="s">
        <v>313</v>
      </c>
      <c r="AA2" s="2131"/>
      <c r="AB2" s="2131"/>
      <c r="AC2" s="2131"/>
      <c r="AD2" s="2131"/>
      <c r="AE2" s="2132"/>
    </row>
    <row r="3" spans="2:31" ht="16.899999999999999" customHeight="1">
      <c r="B3" s="2020" t="s">
        <v>314</v>
      </c>
      <c r="C3" s="1980">
        <f>STR</f>
        <v>70</v>
      </c>
      <c r="D3" s="1001">
        <f>INT(C3/2)</f>
        <v>35</v>
      </c>
      <c r="E3" s="1974" t="s">
        <v>315</v>
      </c>
      <c r="F3" s="1978">
        <f>DEX</f>
        <v>80</v>
      </c>
      <c r="G3" s="1002">
        <f>INT(F3/2)</f>
        <v>40</v>
      </c>
      <c r="H3" s="1889" t="s">
        <v>316</v>
      </c>
      <c r="I3" s="1980">
        <f>POW</f>
        <v>50</v>
      </c>
      <c r="J3" s="1001">
        <f>INT(I3/2)</f>
        <v>25</v>
      </c>
      <c r="K3" s="1974" t="s">
        <v>317</v>
      </c>
      <c r="L3" s="1978">
        <f>INT</f>
        <v>80</v>
      </c>
      <c r="M3" s="1014">
        <f>INT(L3/2)</f>
        <v>40</v>
      </c>
      <c r="N3" s="1989" t="str">
        <f>IF(Q3=0,"",人物卡!F16)</f>
        <v/>
      </c>
      <c r="O3" s="1986"/>
      <c r="P3" s="1986"/>
      <c r="Q3" s="1024">
        <f>IF(人物卡!R16-人物卡!J16=0,0,人物卡!R16)</f>
        <v>0</v>
      </c>
      <c r="R3" s="1025">
        <f t="shared" ref="R3:R12" si="0">INT(Q3/2)</f>
        <v>0</v>
      </c>
      <c r="S3" s="1026">
        <f t="shared" ref="S3:S12" si="1">INT(Q3/5)</f>
        <v>0</v>
      </c>
      <c r="T3" s="1978" t="str">
        <f>IF(W3=0,"",人物卡!AB16)</f>
        <v>法律</v>
      </c>
      <c r="U3" s="1979"/>
      <c r="V3" s="1979"/>
      <c r="W3" s="1027">
        <f>IF(人物卡!AN16-人物卡!AF16=0,0,人物卡!AN16)</f>
        <v>80</v>
      </c>
      <c r="X3" s="1028">
        <f t="shared" ref="X3:X36" si="2">INT(W3/2)</f>
        <v>40</v>
      </c>
      <c r="Y3" s="1038">
        <f t="shared" ref="Y3:Y36" si="3">INT(W3/5)</f>
        <v>16</v>
      </c>
      <c r="Z3" s="1982" t="str">
        <f>人物卡!E8</f>
        <v>公元</v>
      </c>
      <c r="AA3" s="1489">
        <f>人物卡!G8</f>
        <v>2023</v>
      </c>
      <c r="AB3" s="1489"/>
      <c r="AC3" s="1039" t="str">
        <f>人物卡!J8</f>
        <v>1月</v>
      </c>
      <c r="AD3" s="2133" t="str">
        <f>人物卡!N8</f>
        <v>0：00</v>
      </c>
      <c r="AE3" s="2134"/>
    </row>
    <row r="4" spans="2:31" ht="16.899999999999999" customHeight="1">
      <c r="B4" s="2021"/>
      <c r="C4" s="1986"/>
      <c r="D4" s="1003">
        <f>INT(C3/5)</f>
        <v>14</v>
      </c>
      <c r="E4" s="1975"/>
      <c r="F4" s="1979"/>
      <c r="G4" s="1003">
        <f>INT(F3/5)</f>
        <v>16</v>
      </c>
      <c r="H4" s="1890"/>
      <c r="I4" s="1986"/>
      <c r="J4" s="1003">
        <f>INT(I3/5)</f>
        <v>10</v>
      </c>
      <c r="K4" s="1975"/>
      <c r="L4" s="1979"/>
      <c r="M4" s="1015">
        <f>INT(L3/5)</f>
        <v>16</v>
      </c>
      <c r="N4" s="1989" t="str">
        <f>IF(Q4=0,"",人物卡!F17)</f>
        <v/>
      </c>
      <c r="O4" s="1986"/>
      <c r="P4" s="1986"/>
      <c r="Q4" s="1024">
        <f>IF(人物卡!R17-人物卡!J17=0,0,人物卡!R17)</f>
        <v>0</v>
      </c>
      <c r="R4" s="1025">
        <f t="shared" si="0"/>
        <v>0</v>
      </c>
      <c r="S4" s="1026">
        <f t="shared" si="1"/>
        <v>0</v>
      </c>
      <c r="T4" s="1978" t="str">
        <f>IF(W4=0,"",人物卡!AB17)</f>
        <v/>
      </c>
      <c r="U4" s="1979"/>
      <c r="V4" s="1979"/>
      <c r="W4" s="1027">
        <f>IF(人物卡!AN17-人物卡!AF17=0,0,人物卡!AN17)</f>
        <v>0</v>
      </c>
      <c r="X4" s="1028">
        <f t="shared" si="2"/>
        <v>0</v>
      </c>
      <c r="Y4" s="1038">
        <f t="shared" si="3"/>
        <v>0</v>
      </c>
      <c r="Z4" s="1983"/>
      <c r="AA4" s="2084"/>
      <c r="AB4" s="2084"/>
      <c r="AC4" s="1041" t="str">
        <f>人物卡!L8</f>
        <v>1日</v>
      </c>
      <c r="AD4" s="2135"/>
      <c r="AE4" s="2136"/>
    </row>
    <row r="5" spans="2:31" ht="16.899999999999999" customHeight="1">
      <c r="B5" s="2022" t="s">
        <v>318</v>
      </c>
      <c r="C5" s="1978">
        <f>CON</f>
        <v>50</v>
      </c>
      <c r="D5" s="1002">
        <f>INT(C5/2)</f>
        <v>25</v>
      </c>
      <c r="E5" s="1889" t="s">
        <v>319</v>
      </c>
      <c r="F5" s="1980">
        <f>APP</f>
        <v>45</v>
      </c>
      <c r="G5" s="1001">
        <f>INT(F5/2)</f>
        <v>22</v>
      </c>
      <c r="H5" s="1974" t="s">
        <v>320</v>
      </c>
      <c r="I5" s="1978">
        <f>EDU</f>
        <v>78</v>
      </c>
      <c r="J5" s="1002">
        <f>INT(I5/2)</f>
        <v>39</v>
      </c>
      <c r="K5" s="1889" t="s">
        <v>321</v>
      </c>
      <c r="L5" s="1980">
        <f>SIZ</f>
        <v>35</v>
      </c>
      <c r="M5" s="1016">
        <f>INT(L5/2)</f>
        <v>17</v>
      </c>
      <c r="N5" s="1989" t="str">
        <f>IF(Q5=0,"",人物卡!F18)</f>
        <v/>
      </c>
      <c r="O5" s="1986"/>
      <c r="P5" s="1986"/>
      <c r="Q5" s="1024">
        <f>IF(人物卡!R18-人物卡!J18=0,0,人物卡!R18)</f>
        <v>0</v>
      </c>
      <c r="R5" s="1025">
        <f t="shared" si="0"/>
        <v>0</v>
      </c>
      <c r="S5" s="1026">
        <f t="shared" si="1"/>
        <v>0</v>
      </c>
      <c r="T5" s="1978" t="str">
        <f>IF(W5=0,"",人物卡!AB18)</f>
        <v/>
      </c>
      <c r="U5" s="1979"/>
      <c r="V5" s="1979"/>
      <c r="W5" s="1027">
        <f>IF(人物卡!AN18-人物卡!AF18=0,0,人物卡!AN18)</f>
        <v>0</v>
      </c>
      <c r="X5" s="1028">
        <f t="shared" si="2"/>
        <v>0</v>
      </c>
      <c r="Y5" s="1038">
        <f t="shared" si="3"/>
        <v>0</v>
      </c>
      <c r="Z5" s="2113" t="s">
        <v>264</v>
      </c>
      <c r="AA5" s="2114"/>
      <c r="AB5" s="2114"/>
      <c r="AC5" s="2114"/>
      <c r="AD5" s="2114"/>
      <c r="AE5" s="2115"/>
    </row>
    <row r="6" spans="2:31" ht="16.899999999999999" customHeight="1">
      <c r="B6" s="2023"/>
      <c r="C6" s="1995"/>
      <c r="D6" s="1004">
        <f>INT(C5/5)</f>
        <v>10</v>
      </c>
      <c r="E6" s="1891"/>
      <c r="F6" s="1981"/>
      <c r="G6" s="1004">
        <f>INT(F5/5)</f>
        <v>9</v>
      </c>
      <c r="H6" s="2000"/>
      <c r="I6" s="1995"/>
      <c r="J6" s="1004">
        <f>INT(I5/5)</f>
        <v>15</v>
      </c>
      <c r="K6" s="1891"/>
      <c r="L6" s="1981"/>
      <c r="M6" s="1017">
        <f>INT(L5/5)</f>
        <v>7</v>
      </c>
      <c r="N6" s="1989" t="str">
        <f>IF(Q6=0,"",人物卡!F19)</f>
        <v/>
      </c>
      <c r="O6" s="1986"/>
      <c r="P6" s="1986"/>
      <c r="Q6" s="1024">
        <f>IF(人物卡!R19-人物卡!J19=0,0,人物卡!R19)</f>
        <v>0</v>
      </c>
      <c r="R6" s="1025">
        <f t="shared" si="0"/>
        <v>0</v>
      </c>
      <c r="S6" s="1026">
        <f t="shared" si="1"/>
        <v>0</v>
      </c>
      <c r="T6" s="1978" t="str">
        <f>IF(W6=0,"",人物卡!AB19)</f>
        <v/>
      </c>
      <c r="U6" s="1979"/>
      <c r="V6" s="1979"/>
      <c r="W6" s="1027">
        <f>IF(人物卡!AN19-人物卡!AF19=0,0,人物卡!AN19)</f>
        <v>0</v>
      </c>
      <c r="X6" s="1028">
        <f t="shared" si="2"/>
        <v>0</v>
      </c>
      <c r="Y6" s="1038">
        <f t="shared" si="3"/>
        <v>0</v>
      </c>
      <c r="Z6" s="1990" t="s">
        <v>7</v>
      </c>
      <c r="AA6" s="1991"/>
      <c r="AB6" s="2137" t="s">
        <v>268</v>
      </c>
      <c r="AC6" s="1991"/>
      <c r="AD6" s="1991"/>
      <c r="AE6" s="2138"/>
    </row>
    <row r="7" spans="2:31" ht="16.899999999999999" customHeight="1">
      <c r="B7" s="1992" t="s">
        <v>322</v>
      </c>
      <c r="C7" s="1970">
        <f>人物卡!E10</f>
        <v>8</v>
      </c>
      <c r="D7" s="1972">
        <f>人物卡!G10</f>
        <v>8</v>
      </c>
      <c r="E7" s="1984" t="s">
        <v>323</v>
      </c>
      <c r="F7" s="1996">
        <f>人物卡!N10</f>
        <v>50</v>
      </c>
      <c r="G7" s="1998">
        <f>人物卡!P10</f>
        <v>99</v>
      </c>
      <c r="H7" s="2001" t="s">
        <v>324</v>
      </c>
      <c r="I7" s="1970">
        <f>人物卡!W10</f>
        <v>10</v>
      </c>
      <c r="J7" s="1972">
        <f>MP</f>
        <v>10</v>
      </c>
      <c r="K7" s="1976" t="s">
        <v>325</v>
      </c>
      <c r="L7" s="1984">
        <f>人物卡!AN10</f>
        <v>12</v>
      </c>
      <c r="M7" s="1985"/>
      <c r="N7" s="1018">
        <f t="shared" ref="N7:N9" si="4">IF(Q7=0,0,"技艺：")</f>
        <v>0</v>
      </c>
      <c r="O7" s="1980" t="str">
        <f>IF(N7=0,"",人物卡!H20)</f>
        <v/>
      </c>
      <c r="P7" s="1986"/>
      <c r="Q7" s="1024">
        <f>IF(人物卡!R20-人物卡!J20=0,0,人物卡!R20)</f>
        <v>0</v>
      </c>
      <c r="R7" s="1025">
        <f t="shared" si="0"/>
        <v>0</v>
      </c>
      <c r="S7" s="1026">
        <f t="shared" si="1"/>
        <v>0</v>
      </c>
      <c r="T7" s="1978" t="str">
        <f>IF(W7=0,"",人物卡!AB20)</f>
        <v/>
      </c>
      <c r="U7" s="1979"/>
      <c r="V7" s="1979"/>
      <c r="W7" s="1027">
        <f>IF(人物卡!AN20-人物卡!AF20=0,0,人物卡!AN20)</f>
        <v>0</v>
      </c>
      <c r="X7" s="1028">
        <f t="shared" si="2"/>
        <v>0</v>
      </c>
      <c r="Y7" s="1038">
        <f t="shared" si="3"/>
        <v>0</v>
      </c>
      <c r="Z7" s="1987" t="str">
        <f>人物卡!W130</f>
        <v>例：丛雨</v>
      </c>
      <c r="AA7" s="1988"/>
      <c r="AB7" s="2124" t="str">
        <f>人物卡!AD130</f>
        <v>一起出生入死的医生小姐</v>
      </c>
      <c r="AC7" s="1988"/>
      <c r="AD7" s="1988"/>
      <c r="AE7" s="2125"/>
    </row>
    <row r="8" spans="2:31" ht="16.899999999999999" customHeight="1">
      <c r="B8" s="1993"/>
      <c r="C8" s="1971"/>
      <c r="D8" s="1973"/>
      <c r="E8" s="1890"/>
      <c r="F8" s="1997"/>
      <c r="G8" s="1999"/>
      <c r="H8" s="1895"/>
      <c r="I8" s="1971"/>
      <c r="J8" s="1973"/>
      <c r="K8" s="1977"/>
      <c r="L8" s="1890"/>
      <c r="M8" s="1892"/>
      <c r="N8" s="1018">
        <f t="shared" si="4"/>
        <v>0</v>
      </c>
      <c r="O8" s="1980" t="str">
        <f>IF(N8=0,"",人物卡!H21)</f>
        <v/>
      </c>
      <c r="P8" s="1986"/>
      <c r="Q8" s="1024">
        <f>IF(人物卡!R21-人物卡!J21=0,0,人物卡!R21)</f>
        <v>0</v>
      </c>
      <c r="R8" s="1025">
        <f t="shared" si="0"/>
        <v>0</v>
      </c>
      <c r="S8" s="1026">
        <f t="shared" si="1"/>
        <v>0</v>
      </c>
      <c r="T8" s="1978" t="str">
        <f>IF(W8=0,"",人物卡!AB21)</f>
        <v/>
      </c>
      <c r="U8" s="1979"/>
      <c r="V8" s="1979"/>
      <c r="W8" s="1027">
        <f>IF(人物卡!AN21-人物卡!AF21=0,0,人物卡!AN21)</f>
        <v>0</v>
      </c>
      <c r="X8" s="1028">
        <f t="shared" si="2"/>
        <v>0</v>
      </c>
      <c r="Y8" s="1038">
        <f t="shared" si="3"/>
        <v>0</v>
      </c>
      <c r="Z8" s="1987">
        <f>人物卡!W131</f>
        <v>0</v>
      </c>
      <c r="AA8" s="1988"/>
      <c r="AB8" s="2124">
        <f>人物卡!AD131</f>
        <v>0</v>
      </c>
      <c r="AC8" s="1988"/>
      <c r="AD8" s="1988"/>
      <c r="AE8" s="2125"/>
    </row>
    <row r="9" spans="2:31" ht="16.899999999999999" customHeight="1">
      <c r="B9" s="1993" t="s">
        <v>326</v>
      </c>
      <c r="C9" s="1895" t="str">
        <f>人物卡!AP52</f>
        <v>0</v>
      </c>
      <c r="D9" s="1895"/>
      <c r="E9" s="1889" t="s">
        <v>327</v>
      </c>
      <c r="F9" s="1889" t="str">
        <f>人物卡!AP55</f>
        <v>0</v>
      </c>
      <c r="G9" s="1890"/>
      <c r="H9" s="1895" t="s">
        <v>328</v>
      </c>
      <c r="I9" s="1895">
        <f>Luck</f>
        <v>94</v>
      </c>
      <c r="J9" s="1895"/>
      <c r="K9" s="1889" t="s">
        <v>329</v>
      </c>
      <c r="L9" s="1889">
        <f>人物卡!AF10</f>
        <v>8</v>
      </c>
      <c r="M9" s="1892"/>
      <c r="N9" s="1018">
        <f t="shared" si="4"/>
        <v>0</v>
      </c>
      <c r="O9" s="1980" t="str">
        <f>IF(N9=0,"",人物卡!H22)</f>
        <v/>
      </c>
      <c r="P9" s="1986"/>
      <c r="Q9" s="1024">
        <f>IF(人物卡!R22-人物卡!J22=0,0,人物卡!R22)</f>
        <v>0</v>
      </c>
      <c r="R9" s="1025">
        <f t="shared" si="0"/>
        <v>0</v>
      </c>
      <c r="S9" s="1026">
        <f t="shared" si="1"/>
        <v>0</v>
      </c>
      <c r="T9" s="1978" t="str">
        <f>IF(W9=0,"",人物卡!AB22)</f>
        <v/>
      </c>
      <c r="U9" s="1979"/>
      <c r="V9" s="1979"/>
      <c r="W9" s="1027">
        <f>IF(人物卡!AN22-人物卡!AF22=0,0,人物卡!AN22)</f>
        <v>0</v>
      </c>
      <c r="X9" s="1028">
        <f t="shared" si="2"/>
        <v>0</v>
      </c>
      <c r="Y9" s="1038">
        <f t="shared" si="3"/>
        <v>0</v>
      </c>
      <c r="Z9" s="1987">
        <f>人物卡!W132</f>
        <v>0</v>
      </c>
      <c r="AA9" s="1988"/>
      <c r="AB9" s="2124">
        <f>人物卡!AD132</f>
        <v>0</v>
      </c>
      <c r="AC9" s="1988"/>
      <c r="AD9" s="1988"/>
      <c r="AE9" s="2125"/>
    </row>
    <row r="10" spans="2:31" ht="16.899999999999999" customHeight="1">
      <c r="B10" s="1994"/>
      <c r="C10" s="1896"/>
      <c r="D10" s="1896"/>
      <c r="E10" s="1891"/>
      <c r="F10" s="1891"/>
      <c r="G10" s="1891"/>
      <c r="H10" s="1896"/>
      <c r="I10" s="1896"/>
      <c r="J10" s="1896"/>
      <c r="K10" s="1891"/>
      <c r="L10" s="1891"/>
      <c r="M10" s="1893"/>
      <c r="N10" s="1989" t="str">
        <f>IF(Q10=0,"",人物卡!F23)</f>
        <v/>
      </c>
      <c r="O10" s="1986"/>
      <c r="P10" s="1986"/>
      <c r="Q10" s="1024">
        <f>IF(人物卡!R23-人物卡!J23=0,0,人物卡!R23)</f>
        <v>0</v>
      </c>
      <c r="R10" s="1025">
        <f t="shared" si="0"/>
        <v>0</v>
      </c>
      <c r="S10" s="1026">
        <f t="shared" si="1"/>
        <v>0</v>
      </c>
      <c r="T10" s="1978" t="str">
        <f>IF(W10=0,"",人物卡!AB23)</f>
        <v/>
      </c>
      <c r="U10" s="1979"/>
      <c r="V10" s="1979"/>
      <c r="W10" s="1027">
        <f>IF(人物卡!AN23-人物卡!AF23=0,0,人物卡!AN23)</f>
        <v>0</v>
      </c>
      <c r="X10" s="1028">
        <f t="shared" si="2"/>
        <v>0</v>
      </c>
      <c r="Y10" s="1038">
        <f t="shared" si="3"/>
        <v>0</v>
      </c>
      <c r="Z10" s="1987">
        <f>人物卡!W133</f>
        <v>0</v>
      </c>
      <c r="AA10" s="1988"/>
      <c r="AB10" s="2124">
        <f>人物卡!AD133</f>
        <v>0</v>
      </c>
      <c r="AC10" s="1988"/>
      <c r="AD10" s="1988"/>
      <c r="AE10" s="2125"/>
    </row>
    <row r="11" spans="2:31" ht="16.899999999999999" customHeight="1">
      <c r="B11" s="2110" t="s">
        <v>159</v>
      </c>
      <c r="C11" s="2111"/>
      <c r="D11" s="2111"/>
      <c r="E11" s="2111"/>
      <c r="F11" s="2111"/>
      <c r="G11" s="2111"/>
      <c r="H11" s="2111"/>
      <c r="I11" s="2111"/>
      <c r="J11" s="2111"/>
      <c r="K11" s="2111"/>
      <c r="L11" s="2111"/>
      <c r="M11" s="2112"/>
      <c r="N11" s="1989" t="str">
        <f>IF(Q11=0,"",人物卡!F24)</f>
        <v/>
      </c>
      <c r="O11" s="1986"/>
      <c r="P11" s="1986"/>
      <c r="Q11" s="1024">
        <f>IF(人物卡!R24-人物卡!J24=0,0,人物卡!R24)</f>
        <v>0</v>
      </c>
      <c r="R11" s="1025">
        <f t="shared" si="0"/>
        <v>0</v>
      </c>
      <c r="S11" s="1026">
        <f t="shared" si="1"/>
        <v>0</v>
      </c>
      <c r="T11" s="1978" t="str">
        <f>IF(W11=0,"",人物卡!AB24)</f>
        <v/>
      </c>
      <c r="U11" s="1979"/>
      <c r="V11" s="1979"/>
      <c r="W11" s="1027">
        <f>IF(人物卡!AN24-人物卡!AF24=0,0,人物卡!AN24)</f>
        <v>0</v>
      </c>
      <c r="X11" s="1028">
        <f t="shared" si="2"/>
        <v>0</v>
      </c>
      <c r="Y11" s="1038">
        <f t="shared" si="3"/>
        <v>0</v>
      </c>
      <c r="Z11" s="1987">
        <f>人物卡!W134</f>
        <v>0</v>
      </c>
      <c r="AA11" s="1988"/>
      <c r="AB11" s="2124">
        <f>人物卡!AD134</f>
        <v>0</v>
      </c>
      <c r="AC11" s="1988"/>
      <c r="AD11" s="1988"/>
      <c r="AE11" s="2125"/>
    </row>
    <row r="12" spans="2:31" ht="16.899999999999999" customHeight="1">
      <c r="B12" s="1005" t="str">
        <f>人物卡!B53</f>
        <v>无</v>
      </c>
      <c r="C12" s="1006" t="str">
        <f>人物卡!G53</f>
        <v>肉搏</v>
      </c>
      <c r="D12" s="1006" t="str">
        <f>人物卡!M53</f>
        <v>斗殴</v>
      </c>
      <c r="E12" s="1006">
        <f>人物卡!Q53</f>
        <v>70</v>
      </c>
      <c r="F12" s="1006">
        <f>人物卡!S53</f>
        <v>35</v>
      </c>
      <c r="G12" s="1006">
        <f>人物卡!U53</f>
        <v>14</v>
      </c>
      <c r="H12" s="1006" t="str">
        <f>人物卡!W53</f>
        <v>1D3+DB</v>
      </c>
      <c r="I12" s="1006" t="str">
        <f>人物卡!AA53</f>
        <v>——</v>
      </c>
      <c r="J12" s="1006" t="str">
        <f>人物卡!AC53</f>
        <v>×</v>
      </c>
      <c r="K12" s="1006">
        <f>人物卡!AE53</f>
        <v>1</v>
      </c>
      <c r="L12" s="1006" t="str">
        <f>人物卡!AG53</f>
        <v>——</v>
      </c>
      <c r="M12" s="1019" t="str">
        <f>人物卡!AJ53</f>
        <v>——</v>
      </c>
      <c r="N12" s="1989" t="str">
        <f>IF(Q12=0,"",人物卡!F25)</f>
        <v>计算机使用 Ω</v>
      </c>
      <c r="O12" s="1986"/>
      <c r="P12" s="1986"/>
      <c r="Q12" s="1024">
        <f>IF(人物卡!R25-人物卡!J25=0,0,人物卡!R25)</f>
        <v>56</v>
      </c>
      <c r="R12" s="1025">
        <f t="shared" si="0"/>
        <v>28</v>
      </c>
      <c r="S12" s="1026">
        <f t="shared" si="1"/>
        <v>11</v>
      </c>
      <c r="T12" s="1978" t="str">
        <f>IF(W12=0,"",人物卡!AB25)</f>
        <v/>
      </c>
      <c r="U12" s="1979"/>
      <c r="V12" s="1979"/>
      <c r="W12" s="1027">
        <f>IF(人物卡!AN25-人物卡!AF25=0,0,人物卡!AN25)</f>
        <v>0</v>
      </c>
      <c r="X12" s="1028">
        <f t="shared" si="2"/>
        <v>0</v>
      </c>
      <c r="Y12" s="1038">
        <f t="shared" si="3"/>
        <v>0</v>
      </c>
      <c r="Z12" s="1987">
        <f>人物卡!W135</f>
        <v>0</v>
      </c>
      <c r="AA12" s="1988"/>
      <c r="AB12" s="2124">
        <f>人物卡!AD135</f>
        <v>0</v>
      </c>
      <c r="AC12" s="1988"/>
      <c r="AD12" s="1988"/>
      <c r="AE12" s="2125"/>
    </row>
    <row r="13" spans="2:31" ht="16.899999999999999" customHeight="1">
      <c r="B13" s="1007">
        <f>人物卡!B54</f>
        <v>0</v>
      </c>
      <c r="C13" s="1008" t="str">
        <f>人物卡!G54</f>
        <v>.38(9mm)自动手枪</v>
      </c>
      <c r="D13" s="1008" t="str">
        <f>IF(人物卡!M54="请选择类型","",人物卡!M54)</f>
        <v>手枪</v>
      </c>
      <c r="E13" s="1008">
        <f>人物卡!Q54</f>
        <v>70</v>
      </c>
      <c r="F13" s="1008">
        <f>人物卡!S54</f>
        <v>35</v>
      </c>
      <c r="G13" s="1008">
        <f>人物卡!U54</f>
        <v>14</v>
      </c>
      <c r="H13" s="1008" t="str">
        <f>人物卡!W54</f>
        <v>1D10</v>
      </c>
      <c r="I13" s="1008" t="str">
        <f>人物卡!AA54</f>
        <v>15</v>
      </c>
      <c r="J13" s="1008" t="str">
        <f>人物卡!AC54</f>
        <v>√</v>
      </c>
      <c r="K13" s="1008" t="str">
        <f>人物卡!AE54</f>
        <v>1(3)</v>
      </c>
      <c r="L13" s="1008" t="str">
        <f>人物卡!AG54</f>
        <v>8</v>
      </c>
      <c r="M13" s="1020" t="str">
        <f>人物卡!AJ54</f>
        <v>99</v>
      </c>
      <c r="N13" s="1989" t="str">
        <f>人物卡!F26</f>
        <v>信用评级</v>
      </c>
      <c r="O13" s="1986"/>
      <c r="P13" s="1986"/>
      <c r="Q13" s="1029">
        <f>人物卡!R26</f>
        <v>80</v>
      </c>
      <c r="R13" s="1030">
        <f>IF(Q13=0,32767,INT(Q13/2))</f>
        <v>40</v>
      </c>
      <c r="S13" s="1031">
        <f>IF(Q13=0,32767,INT(Q13/5))</f>
        <v>16</v>
      </c>
      <c r="T13" s="1978" t="str">
        <f>IF(W13=0,"",人物卡!AB26)</f>
        <v/>
      </c>
      <c r="U13" s="1979"/>
      <c r="V13" s="1979"/>
      <c r="W13" s="1027">
        <f>IF(人物卡!AN26-人物卡!AF26=0,0,人物卡!AN26)</f>
        <v>0</v>
      </c>
      <c r="X13" s="1028">
        <f t="shared" si="2"/>
        <v>0</v>
      </c>
      <c r="Y13" s="1038">
        <f t="shared" si="3"/>
        <v>0</v>
      </c>
      <c r="Z13" s="1987">
        <f>人物卡!W136</f>
        <v>0</v>
      </c>
      <c r="AA13" s="1988"/>
      <c r="AB13" s="2124">
        <f>人物卡!AD136</f>
        <v>0</v>
      </c>
      <c r="AC13" s="1988"/>
      <c r="AD13" s="1988"/>
      <c r="AE13" s="2125"/>
    </row>
    <row r="14" spans="2:31" ht="16.899999999999999" customHeight="1">
      <c r="B14" s="1009">
        <f>人物卡!B55</f>
        <v>0</v>
      </c>
      <c r="C14" s="1010" t="str">
        <f>人物卡!G55</f>
        <v>小型刀具(弹簧折叠刀等)</v>
      </c>
      <c r="D14" s="1010" t="str">
        <f>IF(人物卡!M55="请选择类型","",人物卡!M55)</f>
        <v>斗殴</v>
      </c>
      <c r="E14" s="1010">
        <f>人物卡!Q55</f>
        <v>70</v>
      </c>
      <c r="F14" s="1010">
        <f>人物卡!S55</f>
        <v>35</v>
      </c>
      <c r="G14" s="1010">
        <f>人物卡!U55</f>
        <v>14</v>
      </c>
      <c r="H14" s="1010" t="str">
        <f>人物卡!W55</f>
        <v>1D4+DB</v>
      </c>
      <c r="I14" s="1010" t="str">
        <f>人物卡!AA55</f>
        <v>接触</v>
      </c>
      <c r="J14" s="1010" t="str">
        <f>人物卡!AC55</f>
        <v>√</v>
      </c>
      <c r="K14" s="1010" t="str">
        <f>人物卡!AE55</f>
        <v>1</v>
      </c>
      <c r="L14" s="1010" t="str">
        <f>人物卡!AG55</f>
        <v>——</v>
      </c>
      <c r="M14" s="1021" t="str">
        <f>人物卡!AJ55</f>
        <v>——</v>
      </c>
      <c r="N14" s="1989" t="str">
        <f>IF(Q14=0,"",人物卡!F27)</f>
        <v/>
      </c>
      <c r="O14" s="1986"/>
      <c r="P14" s="1986"/>
      <c r="Q14" s="1024">
        <f>IF(人物卡!R27-人物卡!J27=0,0,人物卡!R27)</f>
        <v>0</v>
      </c>
      <c r="R14" s="1025">
        <f t="shared" ref="R14:R35" si="5">INT(Q14/2)</f>
        <v>0</v>
      </c>
      <c r="S14" s="1026">
        <f t="shared" ref="S14:S35" si="6">INT(Q14/5)</f>
        <v>0</v>
      </c>
      <c r="T14" s="1032">
        <f>IF(W14=0,0,人物卡!AB27)</f>
        <v>0</v>
      </c>
      <c r="U14" s="1978" t="str">
        <f>IF(T14=0,"",人物卡!AD27)</f>
        <v/>
      </c>
      <c r="V14" s="1979"/>
      <c r="W14" s="1027">
        <f>IF(人物卡!AN27-人物卡!AF27=0,0,人物卡!AN27)</f>
        <v>0</v>
      </c>
      <c r="X14" s="1028">
        <f t="shared" si="2"/>
        <v>0</v>
      </c>
      <c r="Y14" s="1038">
        <f t="shared" si="3"/>
        <v>0</v>
      </c>
      <c r="Z14" s="1987">
        <f>人物卡!W137</f>
        <v>0</v>
      </c>
      <c r="AA14" s="1988"/>
      <c r="AB14" s="2124">
        <f>人物卡!AD137</f>
        <v>0</v>
      </c>
      <c r="AC14" s="1988"/>
      <c r="AD14" s="1988"/>
      <c r="AE14" s="2125"/>
    </row>
    <row r="15" spans="2:31" ht="16.899999999999999" customHeight="1">
      <c r="B15" s="1007">
        <f>人物卡!B56</f>
        <v>0</v>
      </c>
      <c r="C15" s="1008">
        <f>人物卡!G56</f>
        <v>0</v>
      </c>
      <c r="D15" s="1008" t="str">
        <f>IF(人物卡!M56="请选择类型","",人物卡!M56)</f>
        <v>←请选择类型</v>
      </c>
      <c r="E15" s="1008" t="str">
        <f>人物卡!Q56</f>
        <v/>
      </c>
      <c r="F15" s="1008" t="str">
        <f>人物卡!S56</f>
        <v/>
      </c>
      <c r="G15" s="1008" t="str">
        <f>人物卡!U56</f>
        <v/>
      </c>
      <c r="H15" s="1008" t="str">
        <f>人物卡!W56</f>
        <v/>
      </c>
      <c r="I15" s="1008" t="str">
        <f>人物卡!AA56</f>
        <v/>
      </c>
      <c r="J15" s="1008" t="str">
        <f>人物卡!AC56</f>
        <v/>
      </c>
      <c r="K15" s="1008" t="str">
        <f>人物卡!AE56</f>
        <v/>
      </c>
      <c r="L15" s="1008" t="str">
        <f>人物卡!AG56</f>
        <v/>
      </c>
      <c r="M15" s="1020" t="str">
        <f>人物卡!AJ56</f>
        <v/>
      </c>
      <c r="N15" s="1989" t="str">
        <f>IF(Q15=0,"",人物卡!F28)</f>
        <v/>
      </c>
      <c r="O15" s="1986"/>
      <c r="P15" s="1986"/>
      <c r="Q15" s="1024">
        <f>IF(人物卡!R28-人物卡!J28=0,0,人物卡!R28)</f>
        <v>0</v>
      </c>
      <c r="R15" s="1025">
        <f t="shared" si="5"/>
        <v>0</v>
      </c>
      <c r="S15" s="1026">
        <f t="shared" si="6"/>
        <v>0</v>
      </c>
      <c r="T15" s="1978" t="str">
        <f>IF(W15=0,"",人物卡!AB28)</f>
        <v/>
      </c>
      <c r="U15" s="1979"/>
      <c r="V15" s="1979"/>
      <c r="W15" s="1027">
        <f>IF(人物卡!AN28-人物卡!AF28=0,0,人物卡!AN28)</f>
        <v>0</v>
      </c>
      <c r="X15" s="1028">
        <f t="shared" si="2"/>
        <v>0</v>
      </c>
      <c r="Y15" s="1038">
        <f t="shared" si="3"/>
        <v>0</v>
      </c>
      <c r="Z15" s="1987">
        <f>人物卡!W138</f>
        <v>0</v>
      </c>
      <c r="AA15" s="1988"/>
      <c r="AB15" s="2124">
        <f>人物卡!AD138</f>
        <v>0</v>
      </c>
      <c r="AC15" s="1988"/>
      <c r="AD15" s="1988"/>
      <c r="AE15" s="2125"/>
    </row>
    <row r="16" spans="2:31" ht="16.899999999999999" customHeight="1">
      <c r="B16" s="1009">
        <f>人物卡!B57</f>
        <v>0</v>
      </c>
      <c r="C16" s="1010">
        <f>人物卡!G57</f>
        <v>0</v>
      </c>
      <c r="D16" s="1010">
        <f>IF(人物卡!M57="请选择类型","",人物卡!M57)</f>
        <v>0</v>
      </c>
      <c r="E16" s="1010">
        <f>人物卡!Q57</f>
        <v>0</v>
      </c>
      <c r="F16" s="1010">
        <f>人物卡!S57</f>
        <v>0</v>
      </c>
      <c r="G16" s="1010">
        <f>人物卡!U57</f>
        <v>0</v>
      </c>
      <c r="H16" s="1010">
        <f>人物卡!W57</f>
        <v>0</v>
      </c>
      <c r="I16" s="1010">
        <f>人物卡!AA57</f>
        <v>0</v>
      </c>
      <c r="J16" s="1010">
        <f>人物卡!AC57</f>
        <v>0</v>
      </c>
      <c r="K16" s="1010">
        <f>人物卡!AE57</f>
        <v>0</v>
      </c>
      <c r="L16" s="1010">
        <f>人物卡!AG57</f>
        <v>0</v>
      </c>
      <c r="M16" s="1021">
        <f>人物卡!AJ57</f>
        <v>0</v>
      </c>
      <c r="N16" s="1989" t="str">
        <f>人物卡!F29</f>
        <v>闪避</v>
      </c>
      <c r="O16" s="1986"/>
      <c r="P16" s="1986"/>
      <c r="Q16" s="1029">
        <f>人物卡!R29</f>
        <v>40</v>
      </c>
      <c r="R16" s="1030">
        <f>IF(Q16=0,32767,INT(Q16/2))</f>
        <v>20</v>
      </c>
      <c r="S16" s="1031">
        <f>IF(Q16=0,32767,INT(Q16/5))</f>
        <v>8</v>
      </c>
      <c r="T16" s="1978" t="str">
        <f>IF(W16=0,"",人物卡!AB29)</f>
        <v>心理学</v>
      </c>
      <c r="U16" s="1979"/>
      <c r="V16" s="1979"/>
      <c r="W16" s="1027">
        <f>IF(人物卡!AN29-人物卡!AF29=0,0,人物卡!AN29)</f>
        <v>60</v>
      </c>
      <c r="X16" s="1028">
        <f t="shared" si="2"/>
        <v>30</v>
      </c>
      <c r="Y16" s="1038">
        <f t="shared" si="3"/>
        <v>12</v>
      </c>
      <c r="Z16" s="1987">
        <f>人物卡!W139</f>
        <v>0</v>
      </c>
      <c r="AA16" s="1988"/>
      <c r="AB16" s="2124">
        <f>人物卡!AD139</f>
        <v>0</v>
      </c>
      <c r="AC16" s="1988"/>
      <c r="AD16" s="1988"/>
      <c r="AE16" s="2125"/>
    </row>
    <row r="17" spans="2:31" ht="16.899999999999999" customHeight="1">
      <c r="B17" s="2110" t="s">
        <v>178</v>
      </c>
      <c r="C17" s="2111"/>
      <c r="D17" s="2111"/>
      <c r="E17" s="2111"/>
      <c r="F17" s="2111"/>
      <c r="G17" s="2111"/>
      <c r="H17" s="2111"/>
      <c r="I17" s="2111"/>
      <c r="J17" s="2111"/>
      <c r="K17" s="2111"/>
      <c r="L17" s="2111"/>
      <c r="M17" s="2112"/>
      <c r="N17" s="1989" t="str">
        <f>IF(Q17=0,"",人物卡!F30)</f>
        <v>汽车驾驶</v>
      </c>
      <c r="O17" s="1986"/>
      <c r="P17" s="1986"/>
      <c r="Q17" s="1024">
        <f>IF(人物卡!R30-人物卡!J30=0,0,人物卡!R30)</f>
        <v>60</v>
      </c>
      <c r="R17" s="1025">
        <f t="shared" si="5"/>
        <v>30</v>
      </c>
      <c r="S17" s="1026">
        <f t="shared" si="6"/>
        <v>12</v>
      </c>
      <c r="T17" s="1978" t="str">
        <f>IF(W17=0,"",人物卡!AB30)</f>
        <v/>
      </c>
      <c r="U17" s="1979"/>
      <c r="V17" s="1979"/>
      <c r="W17" s="1027">
        <f>IF(人物卡!AN30-人物卡!AF30=0,0,人物卡!AN30)</f>
        <v>0</v>
      </c>
      <c r="X17" s="1028">
        <f t="shared" si="2"/>
        <v>0</v>
      </c>
      <c r="Y17" s="1038">
        <f t="shared" si="3"/>
        <v>0</v>
      </c>
      <c r="Z17" s="2126">
        <f>人物卡!W140</f>
        <v>0</v>
      </c>
      <c r="AA17" s="2127"/>
      <c r="AB17" s="2128">
        <f>人物卡!AD140</f>
        <v>0</v>
      </c>
      <c r="AC17" s="2127"/>
      <c r="AD17" s="2127"/>
      <c r="AE17" s="2129"/>
    </row>
    <row r="18" spans="2:31" ht="16.899999999999999" customHeight="1">
      <c r="B18" s="2120" t="s">
        <v>94</v>
      </c>
      <c r="C18" s="2121"/>
      <c r="D18" s="2121"/>
      <c r="E18" s="2122" t="s">
        <v>181</v>
      </c>
      <c r="F18" s="2121"/>
      <c r="G18" s="2122" t="s">
        <v>182</v>
      </c>
      <c r="H18" s="2121"/>
      <c r="I18" s="2122" t="s">
        <v>183</v>
      </c>
      <c r="J18" s="2121"/>
      <c r="K18" s="2122" t="s">
        <v>184</v>
      </c>
      <c r="L18" s="2121"/>
      <c r="M18" s="1022" t="s">
        <v>185</v>
      </c>
      <c r="N18" s="1989" t="str">
        <f>IF(Q18=0,"",人物卡!F31)</f>
        <v/>
      </c>
      <c r="O18" s="1986"/>
      <c r="P18" s="1986"/>
      <c r="Q18" s="1024">
        <f>IF(人物卡!R31-人物卡!J31=0,0,人物卡!R31)</f>
        <v>0</v>
      </c>
      <c r="R18" s="1025">
        <f t="shared" si="5"/>
        <v>0</v>
      </c>
      <c r="S18" s="1026">
        <f t="shared" si="6"/>
        <v>0</v>
      </c>
      <c r="T18" s="1032">
        <f t="shared" ref="T18:T20" si="7">IF(W18=0,0,"科学：")</f>
        <v>0</v>
      </c>
      <c r="U18" s="1978" t="str">
        <f>IF(T18=0,"",人物卡!AD31)</f>
        <v/>
      </c>
      <c r="V18" s="1979"/>
      <c r="W18" s="1027">
        <f>IF(人物卡!AN31-人物卡!AF31=0,0,人物卡!AN31)</f>
        <v>0</v>
      </c>
      <c r="X18" s="1028">
        <f t="shared" si="2"/>
        <v>0</v>
      </c>
      <c r="Y18" s="1038">
        <f t="shared" si="3"/>
        <v>0</v>
      </c>
      <c r="Z18" s="1982"/>
      <c r="AA18" s="1489"/>
      <c r="AB18" s="1489"/>
      <c r="AC18" s="1489"/>
      <c r="AD18" s="1489"/>
      <c r="AE18" s="2083"/>
    </row>
    <row r="19" spans="2:31" ht="16.899999999999999" customHeight="1">
      <c r="B19" s="2123" t="str">
        <f>人物卡!B62</f>
        <v>80%/40%/16%</v>
      </c>
      <c r="C19" s="1977"/>
      <c r="D19" s="1977"/>
      <c r="E19" s="2011" t="str">
        <f>人物卡!F62</f>
        <v>小康</v>
      </c>
      <c r="F19" s="1977"/>
      <c r="G19" s="2011" t="str">
        <f>人物卡!I62</f>
        <v>1000</v>
      </c>
      <c r="H19" s="1977"/>
      <c r="I19" s="2011" t="str">
        <f>人物卡!L62</f>
        <v>80万</v>
      </c>
      <c r="J19" s="1977"/>
      <c r="K19" s="2011">
        <f>人物卡!O62</f>
        <v>8000</v>
      </c>
      <c r="L19" s="1977"/>
      <c r="M19" s="388" t="str">
        <f>人物卡!S62</f>
        <v>美元</v>
      </c>
      <c r="N19" s="1989" t="str">
        <f>IF(Q19=0,"",人物卡!F32)</f>
        <v/>
      </c>
      <c r="O19" s="1986"/>
      <c r="P19" s="1986"/>
      <c r="Q19" s="1024">
        <f>IF(人物卡!R32-人物卡!J32=0,0,人物卡!R32)</f>
        <v>0</v>
      </c>
      <c r="R19" s="1025">
        <f t="shared" si="5"/>
        <v>0</v>
      </c>
      <c r="S19" s="1026">
        <f t="shared" si="6"/>
        <v>0</v>
      </c>
      <c r="T19" s="1032">
        <f t="shared" si="7"/>
        <v>0</v>
      </c>
      <c r="U19" s="1978" t="str">
        <f>IF(T19=0,"",人物卡!AD32)</f>
        <v/>
      </c>
      <c r="V19" s="1979"/>
      <c r="W19" s="1027">
        <f>IF(人物卡!AN32-人物卡!AF32=0,0,人物卡!AN32)</f>
        <v>0</v>
      </c>
      <c r="X19" s="1028">
        <f t="shared" si="2"/>
        <v>0</v>
      </c>
      <c r="Y19" s="1038">
        <f t="shared" si="3"/>
        <v>0</v>
      </c>
      <c r="Z19" s="1982"/>
      <c r="AA19" s="1489"/>
      <c r="AB19" s="1489"/>
      <c r="AC19" s="1489"/>
      <c r="AD19" s="1489"/>
      <c r="AE19" s="2083"/>
    </row>
    <row r="20" spans="2:31" ht="16.899999999999999" customHeight="1">
      <c r="B20" s="2107" t="str">
        <f>人物卡!L63</f>
        <v>请在这里详述你的资产</v>
      </c>
      <c r="C20" s="2108"/>
      <c r="D20" s="2108"/>
      <c r="E20" s="2108"/>
      <c r="F20" s="2108"/>
      <c r="G20" s="2108"/>
      <c r="H20" s="2108"/>
      <c r="I20" s="2108"/>
      <c r="J20" s="2108"/>
      <c r="K20" s="2108"/>
      <c r="L20" s="2108"/>
      <c r="M20" s="2109"/>
      <c r="N20" s="1989" t="str">
        <f>IF(Q20=0,"",人物卡!F33)</f>
        <v/>
      </c>
      <c r="O20" s="1986"/>
      <c r="P20" s="1986"/>
      <c r="Q20" s="1024">
        <f>IF(人物卡!R33-人物卡!J33=0,0,人物卡!R33)</f>
        <v>0</v>
      </c>
      <c r="R20" s="1025">
        <f t="shared" si="5"/>
        <v>0</v>
      </c>
      <c r="S20" s="1026">
        <f t="shared" si="6"/>
        <v>0</v>
      </c>
      <c r="T20" s="1032">
        <f t="shared" si="7"/>
        <v>0</v>
      </c>
      <c r="U20" s="1978" t="str">
        <f>IF(T20=0,"",人物卡!AD33)</f>
        <v/>
      </c>
      <c r="V20" s="1979"/>
      <c r="W20" s="1027">
        <f>IF(人物卡!AN33-人物卡!AF33=0,0,人物卡!AN33)</f>
        <v>0</v>
      </c>
      <c r="X20" s="1028">
        <f t="shared" si="2"/>
        <v>0</v>
      </c>
      <c r="Y20" s="1038">
        <f t="shared" si="3"/>
        <v>0</v>
      </c>
      <c r="Z20" s="1983"/>
      <c r="AA20" s="2084"/>
      <c r="AB20" s="2084"/>
      <c r="AC20" s="2084"/>
      <c r="AD20" s="2084"/>
      <c r="AE20" s="2085"/>
    </row>
    <row r="21" spans="2:31" ht="16.899999999999999" customHeight="1">
      <c r="B21" s="2110" t="s">
        <v>330</v>
      </c>
      <c r="C21" s="2111"/>
      <c r="D21" s="2111"/>
      <c r="E21" s="2111"/>
      <c r="F21" s="2111"/>
      <c r="G21" s="2111"/>
      <c r="H21" s="2111"/>
      <c r="I21" s="2111"/>
      <c r="J21" s="2111"/>
      <c r="K21" s="2111"/>
      <c r="L21" s="2111"/>
      <c r="M21" s="2112"/>
      <c r="N21" s="1018" t="str">
        <f t="shared" ref="N21:N24" si="8">IF(Q21=0,0,"格斗：")</f>
        <v>格斗：</v>
      </c>
      <c r="O21" s="1980" t="str">
        <f>IF(N21=0,"",人物卡!H34)</f>
        <v>斗殴</v>
      </c>
      <c r="P21" s="1986"/>
      <c r="Q21" s="1024">
        <f>IF(人物卡!R34-人物卡!J34=0,0,人物卡!R34)</f>
        <v>70</v>
      </c>
      <c r="R21" s="1025">
        <f t="shared" si="5"/>
        <v>35</v>
      </c>
      <c r="S21" s="1026">
        <f t="shared" si="6"/>
        <v>14</v>
      </c>
      <c r="T21" s="1978" t="str">
        <f>IF(W21=0,"",人物卡!AB34)</f>
        <v/>
      </c>
      <c r="U21" s="1979"/>
      <c r="V21" s="1979"/>
      <c r="W21" s="1027">
        <f>IF(人物卡!AN34-人物卡!AF34=0,0,人物卡!AN34)</f>
        <v>0</v>
      </c>
      <c r="X21" s="1028">
        <f t="shared" si="2"/>
        <v>0</v>
      </c>
      <c r="Y21" s="1038">
        <f t="shared" si="3"/>
        <v>0</v>
      </c>
      <c r="Z21" s="2113" t="s">
        <v>214</v>
      </c>
      <c r="AA21" s="2114"/>
      <c r="AB21" s="2114"/>
      <c r="AC21" s="2114"/>
      <c r="AD21" s="2114"/>
      <c r="AE21" s="2115"/>
    </row>
    <row r="22" spans="2:31" ht="16.899999999999999" customHeight="1">
      <c r="B22" s="2105" t="str">
        <f>人物卡!F79</f>
        <v>军用包</v>
      </c>
      <c r="C22" s="2087"/>
      <c r="D22" s="2087"/>
      <c r="E22" s="2087">
        <f>人物卡!F80</f>
        <v>0</v>
      </c>
      <c r="F22" s="2087"/>
      <c r="G22" s="2087"/>
      <c r="H22" s="2087">
        <f>人物卡!F81</f>
        <v>0</v>
      </c>
      <c r="I22" s="2087"/>
      <c r="J22" s="2087"/>
      <c r="K22" s="2087">
        <f>人物卡!F82</f>
        <v>0</v>
      </c>
      <c r="L22" s="2087"/>
      <c r="M22" s="2106"/>
      <c r="N22" s="1018">
        <f t="shared" si="8"/>
        <v>0</v>
      </c>
      <c r="O22" s="1980" t="str">
        <f>IF(N22=0,"",人物卡!H35)</f>
        <v/>
      </c>
      <c r="P22" s="1986"/>
      <c r="Q22" s="1024">
        <f>IF(人物卡!R35-人物卡!J35=0,0,人物卡!R35)</f>
        <v>0</v>
      </c>
      <c r="R22" s="1025">
        <f t="shared" si="5"/>
        <v>0</v>
      </c>
      <c r="S22" s="1026">
        <f t="shared" si="6"/>
        <v>0</v>
      </c>
      <c r="T22" s="1978" t="str">
        <f>IF(W22=0,"",人物卡!AB35)</f>
        <v/>
      </c>
      <c r="U22" s="1979"/>
      <c r="V22" s="1979"/>
      <c r="W22" s="1027">
        <f>IF(人物卡!AN35-人物卡!AF35=0,0,人物卡!AN35)</f>
        <v>0</v>
      </c>
      <c r="X22" s="1028">
        <f t="shared" si="2"/>
        <v>0</v>
      </c>
      <c r="Y22" s="1038">
        <f t="shared" si="3"/>
        <v>0</v>
      </c>
      <c r="Z22" s="2116" t="s">
        <v>220</v>
      </c>
      <c r="AA22" s="2117"/>
      <c r="AB22" s="2117"/>
      <c r="AC22" s="2117"/>
      <c r="AD22" s="2118" t="s">
        <v>331</v>
      </c>
      <c r="AE22" s="2119"/>
    </row>
    <row r="23" spans="2:31" ht="16.899999999999999" customHeight="1">
      <c r="B23" s="2094">
        <f>人物卡!F83</f>
        <v>0</v>
      </c>
      <c r="C23" s="2093"/>
      <c r="D23" s="2093"/>
      <c r="E23" s="2095">
        <f>人物卡!F84</f>
        <v>0</v>
      </c>
      <c r="F23" s="2093"/>
      <c r="G23" s="2093"/>
      <c r="H23" s="2095">
        <f>人物卡!F85</f>
        <v>0</v>
      </c>
      <c r="I23" s="2093"/>
      <c r="J23" s="2093"/>
      <c r="K23" s="2095">
        <f>人物卡!F90</f>
        <v>0</v>
      </c>
      <c r="L23" s="2093"/>
      <c r="M23" s="2096"/>
      <c r="N23" s="1018">
        <f t="shared" si="8"/>
        <v>0</v>
      </c>
      <c r="O23" s="1980" t="str">
        <f>IF(N23=0,"",人物卡!H36)</f>
        <v/>
      </c>
      <c r="P23" s="1986"/>
      <c r="Q23" s="1024">
        <f>IF(人物卡!R36-人物卡!J36=0,0,人物卡!R36)</f>
        <v>0</v>
      </c>
      <c r="R23" s="1025">
        <f t="shared" si="5"/>
        <v>0</v>
      </c>
      <c r="S23" s="1026">
        <f t="shared" si="6"/>
        <v>0</v>
      </c>
      <c r="T23" s="1978" t="str">
        <f>IF(W23=0,"",人物卡!AB36)</f>
        <v>潜行</v>
      </c>
      <c r="U23" s="1979"/>
      <c r="V23" s="1979"/>
      <c r="W23" s="1027">
        <f>IF(人物卡!AN36-人物卡!AF36=0,0,人物卡!AN36)</f>
        <v>60</v>
      </c>
      <c r="X23" s="1028">
        <f t="shared" si="2"/>
        <v>30</v>
      </c>
      <c r="Y23" s="1038">
        <f t="shared" si="3"/>
        <v>12</v>
      </c>
      <c r="Z23" s="2094" t="str">
        <f>人物卡!W98</f>
        <v>例：米-戈</v>
      </c>
      <c r="AA23" s="2093"/>
      <c r="AB23" s="2093"/>
      <c r="AC23" s="2093"/>
      <c r="AD23" s="2095">
        <f>人物卡!AR98</f>
        <v>6</v>
      </c>
      <c r="AE23" s="2096"/>
    </row>
    <row r="24" spans="2:31" ht="16.899999999999999" customHeight="1">
      <c r="B24" s="2105">
        <f>人物卡!F91</f>
        <v>0</v>
      </c>
      <c r="C24" s="2087"/>
      <c r="D24" s="2087"/>
      <c r="E24" s="2087">
        <f>人物卡!F92</f>
        <v>0</v>
      </c>
      <c r="F24" s="2087"/>
      <c r="G24" s="2087"/>
      <c r="H24" s="2087" t="str">
        <f>人物卡!N79</f>
        <v>手铐，急救包、手电、备用食品</v>
      </c>
      <c r="I24" s="2087"/>
      <c r="J24" s="2087"/>
      <c r="K24" s="2087">
        <f>人物卡!N80</f>
        <v>0</v>
      </c>
      <c r="L24" s="2087"/>
      <c r="M24" s="2106"/>
      <c r="N24" s="1018">
        <f t="shared" si="8"/>
        <v>0</v>
      </c>
      <c r="O24" s="1980" t="str">
        <f>IF(N24=0,"",人物卡!H37)</f>
        <v/>
      </c>
      <c r="P24" s="1986"/>
      <c r="Q24" s="1024">
        <f>IF(人物卡!R37-人物卡!J37=0,0,人物卡!R37)</f>
        <v>0</v>
      </c>
      <c r="R24" s="1025">
        <f t="shared" si="5"/>
        <v>0</v>
      </c>
      <c r="S24" s="1026">
        <f t="shared" si="6"/>
        <v>0</v>
      </c>
      <c r="T24" s="1032">
        <f>IF(W24=0,0,人物卡!AB37)</f>
        <v>0</v>
      </c>
      <c r="U24" s="1978" t="str">
        <f>IF(T24=0,"",人物卡!AD37)</f>
        <v/>
      </c>
      <c r="V24" s="1979"/>
      <c r="W24" s="1027">
        <f>IF(人物卡!AN37-人物卡!AF37=0,0,人物卡!AN37)</f>
        <v>0</v>
      </c>
      <c r="X24" s="1028">
        <f t="shared" si="2"/>
        <v>0</v>
      </c>
      <c r="Y24" s="1038">
        <f t="shared" si="3"/>
        <v>0</v>
      </c>
      <c r="Z24" s="2094" t="str">
        <f>人物卡!W99</f>
        <v>例：修格斯</v>
      </c>
      <c r="AA24" s="2093"/>
      <c r="AB24" s="2093"/>
      <c r="AC24" s="2093"/>
      <c r="AD24" s="2095">
        <f>人物卡!AR99</f>
        <v>5</v>
      </c>
      <c r="AE24" s="2096"/>
    </row>
    <row r="25" spans="2:31" ht="16.899999999999999" customHeight="1">
      <c r="B25" s="2094">
        <f>人物卡!N81</f>
        <v>0</v>
      </c>
      <c r="C25" s="2093"/>
      <c r="D25" s="2093"/>
      <c r="E25" s="2095">
        <f>人物卡!N82</f>
        <v>0</v>
      </c>
      <c r="F25" s="2093"/>
      <c r="G25" s="2093"/>
      <c r="H25" s="2095">
        <f>人物卡!N83</f>
        <v>0</v>
      </c>
      <c r="I25" s="2093"/>
      <c r="J25" s="2093"/>
      <c r="K25" s="2095">
        <f>人物卡!N84</f>
        <v>0</v>
      </c>
      <c r="L25" s="2093"/>
      <c r="M25" s="2096"/>
      <c r="N25" s="1018" t="str">
        <f t="shared" ref="N25:N28" si="9">IF(Q25=0,0,"射击：")</f>
        <v>射击：</v>
      </c>
      <c r="O25" s="1980" t="str">
        <f>IF(N25=0,"",人物卡!H38)</f>
        <v>手枪</v>
      </c>
      <c r="P25" s="1986"/>
      <c r="Q25" s="1024">
        <f>IF(人物卡!R38-人物卡!J38=0,0,人物卡!R38)</f>
        <v>70</v>
      </c>
      <c r="R25" s="1025">
        <f t="shared" si="5"/>
        <v>35</v>
      </c>
      <c r="S25" s="1026">
        <f t="shared" si="6"/>
        <v>14</v>
      </c>
      <c r="T25" s="1978" t="str">
        <f>IF(W25=0,"",人物卡!AB38)</f>
        <v/>
      </c>
      <c r="U25" s="1979"/>
      <c r="V25" s="1979"/>
      <c r="W25" s="1027">
        <f>IF(人物卡!AN38-人物卡!AF38=0,0,人物卡!AN38)</f>
        <v>0</v>
      </c>
      <c r="X25" s="1028">
        <f t="shared" si="2"/>
        <v>0</v>
      </c>
      <c r="Y25" s="1038">
        <f t="shared" si="3"/>
        <v>0</v>
      </c>
      <c r="Z25" s="2094">
        <f>人物卡!W100</f>
        <v>0</v>
      </c>
      <c r="AA25" s="2093"/>
      <c r="AB25" s="2093"/>
      <c r="AC25" s="2093"/>
      <c r="AD25" s="2095">
        <f>人物卡!AR100</f>
        <v>0</v>
      </c>
      <c r="AE25" s="2096"/>
    </row>
    <row r="26" spans="2:31" ht="16.899999999999999" customHeight="1">
      <c r="B26" s="2102">
        <f>人物卡!N85</f>
        <v>0</v>
      </c>
      <c r="C26" s="2103"/>
      <c r="D26" s="2103"/>
      <c r="E26" s="2103">
        <f>人物卡!N90</f>
        <v>0</v>
      </c>
      <c r="F26" s="2103"/>
      <c r="G26" s="2103"/>
      <c r="H26" s="2103">
        <f>人物卡!N91</f>
        <v>0</v>
      </c>
      <c r="I26" s="2103"/>
      <c r="J26" s="2103"/>
      <c r="K26" s="2103">
        <f>人物卡!N92</f>
        <v>0</v>
      </c>
      <c r="L26" s="2103"/>
      <c r="M26" s="2104"/>
      <c r="N26" s="1018">
        <f t="shared" si="9"/>
        <v>0</v>
      </c>
      <c r="O26" s="1980" t="str">
        <f>IF(N26=0,"",人物卡!H39)</f>
        <v/>
      </c>
      <c r="P26" s="1986"/>
      <c r="Q26" s="1024">
        <f>IF(人物卡!R39-人物卡!J39=0,0,人物卡!R39)</f>
        <v>0</v>
      </c>
      <c r="R26" s="1025">
        <f t="shared" si="5"/>
        <v>0</v>
      </c>
      <c r="S26" s="1026">
        <f t="shared" si="6"/>
        <v>0</v>
      </c>
      <c r="T26" s="1978" t="str">
        <f>IF(W26=0,"",人物卡!AB39)</f>
        <v/>
      </c>
      <c r="U26" s="1979"/>
      <c r="V26" s="1979"/>
      <c r="W26" s="1027">
        <f>IF(人物卡!AN39-人物卡!AF39=0,0,人物卡!AN39)</f>
        <v>0</v>
      </c>
      <c r="X26" s="1028">
        <f t="shared" si="2"/>
        <v>0</v>
      </c>
      <c r="Y26" s="1038">
        <f t="shared" si="3"/>
        <v>0</v>
      </c>
      <c r="Z26" s="2094">
        <f>人物卡!W101</f>
        <v>0</v>
      </c>
      <c r="AA26" s="2093"/>
      <c r="AB26" s="2093"/>
      <c r="AC26" s="2093"/>
      <c r="AD26" s="2095">
        <f>人物卡!AR101</f>
        <v>0</v>
      </c>
      <c r="AE26" s="2096"/>
    </row>
    <row r="27" spans="2:31" ht="16.899999999999999" customHeight="1">
      <c r="B27" s="2097" t="s">
        <v>179</v>
      </c>
      <c r="C27" s="2098"/>
      <c r="D27" s="2098"/>
      <c r="E27" s="2098"/>
      <c r="F27" s="2098"/>
      <c r="G27" s="2098"/>
      <c r="H27" s="2098"/>
      <c r="I27" s="2098"/>
      <c r="J27" s="2098"/>
      <c r="K27" s="2098"/>
      <c r="L27" s="2098"/>
      <c r="M27" s="2099"/>
      <c r="N27" s="1018">
        <f t="shared" si="9"/>
        <v>0</v>
      </c>
      <c r="O27" s="1980" t="str">
        <f>IF(N27=0,"",人物卡!H40)</f>
        <v/>
      </c>
      <c r="P27" s="1986"/>
      <c r="Q27" s="1024">
        <f>IF(人物卡!R40-人物卡!J40=0,0,人物卡!R40)</f>
        <v>0</v>
      </c>
      <c r="R27" s="1025">
        <f t="shared" si="5"/>
        <v>0</v>
      </c>
      <c r="S27" s="1026">
        <f t="shared" si="6"/>
        <v>0</v>
      </c>
      <c r="T27" s="1978" t="str">
        <f>IF(W27=0,"",人物卡!AB40)</f>
        <v>追踪</v>
      </c>
      <c r="U27" s="1979"/>
      <c r="V27" s="1979"/>
      <c r="W27" s="1027">
        <f>IF(人物卡!AN40-人物卡!AF40=0,0,人物卡!AN40)</f>
        <v>50</v>
      </c>
      <c r="X27" s="1028">
        <f t="shared" si="2"/>
        <v>25</v>
      </c>
      <c r="Y27" s="1038">
        <f t="shared" si="3"/>
        <v>10</v>
      </c>
      <c r="Z27" s="2094">
        <f>人物卡!W102</f>
        <v>0</v>
      </c>
      <c r="AA27" s="2093"/>
      <c r="AB27" s="2093"/>
      <c r="AC27" s="2093"/>
      <c r="AD27" s="2095">
        <f>人物卡!AR102</f>
        <v>0</v>
      </c>
      <c r="AE27" s="2096"/>
    </row>
    <row r="28" spans="2:31" ht="16.899999999999999" customHeight="1">
      <c r="B28" s="372" t="s">
        <v>332</v>
      </c>
      <c r="C28" s="2100">
        <f>人物卡!AA61</f>
        <v>0</v>
      </c>
      <c r="D28" s="2101"/>
      <c r="E28" s="2101"/>
      <c r="F28" s="2101"/>
      <c r="G28" s="1011" t="s">
        <v>180</v>
      </c>
      <c r="H28" s="2073" t="str">
        <f>人物卡!W77</f>
        <v>请务必在此填写背景故事！
使用Alt+Enter换行</v>
      </c>
      <c r="I28" s="2074"/>
      <c r="J28" s="2074"/>
      <c r="K28" s="2074"/>
      <c r="L28" s="2074"/>
      <c r="M28" s="2075"/>
      <c r="N28" s="1018">
        <f t="shared" si="9"/>
        <v>0</v>
      </c>
      <c r="O28" s="1980" t="str">
        <f>IF(N28=0,"",人物卡!H41)</f>
        <v/>
      </c>
      <c r="P28" s="1986"/>
      <c r="Q28" s="1024">
        <f>IF(人物卡!R41-人物卡!J41=0,0,人物卡!R41)</f>
        <v>0</v>
      </c>
      <c r="R28" s="1025">
        <f t="shared" si="5"/>
        <v>0</v>
      </c>
      <c r="S28" s="1026">
        <f t="shared" si="6"/>
        <v>0</v>
      </c>
      <c r="T28" s="1978" t="str">
        <f>IF(W28=0,"",人物卡!AB41)</f>
        <v/>
      </c>
      <c r="U28" s="1979"/>
      <c r="V28" s="1979"/>
      <c r="W28" s="1027">
        <f>IF(人物卡!AN41-人物卡!AF41=0,0,人物卡!AN41)</f>
        <v>0</v>
      </c>
      <c r="X28" s="1028">
        <f t="shared" si="2"/>
        <v>0</v>
      </c>
      <c r="Y28" s="1038">
        <f t="shared" si="3"/>
        <v>0</v>
      </c>
      <c r="Z28" s="2094">
        <f>人物卡!W103</f>
        <v>0</v>
      </c>
      <c r="AA28" s="2093"/>
      <c r="AB28" s="2093"/>
      <c r="AC28" s="2093"/>
      <c r="AD28" s="2095">
        <f>人物卡!AR103</f>
        <v>0</v>
      </c>
      <c r="AE28" s="2096"/>
    </row>
    <row r="29" spans="2:31" ht="16.899999999999999" customHeight="1">
      <c r="B29" s="368" t="s">
        <v>333</v>
      </c>
      <c r="C29" s="2086">
        <f>人物卡!AA63</f>
        <v>0</v>
      </c>
      <c r="D29" s="2087"/>
      <c r="E29" s="2087"/>
      <c r="F29" s="2087"/>
      <c r="G29" s="1012" t="str">
        <f>人物卡!AR63</f>
        <v>☐</v>
      </c>
      <c r="H29" s="2076"/>
      <c r="I29" s="2077"/>
      <c r="J29" s="2077"/>
      <c r="K29" s="2077"/>
      <c r="L29" s="2077"/>
      <c r="M29" s="2078"/>
      <c r="N29" s="1989" t="str">
        <f>IF(Q29=0,"",人物卡!F42)</f>
        <v>急救</v>
      </c>
      <c r="O29" s="1986"/>
      <c r="P29" s="1986"/>
      <c r="Q29" s="1024">
        <f>IF(人物卡!R42-人物卡!J42=0,0,人物卡!R42)</f>
        <v>80</v>
      </c>
      <c r="R29" s="1025">
        <f t="shared" si="5"/>
        <v>40</v>
      </c>
      <c r="S29" s="1026">
        <f t="shared" si="6"/>
        <v>16</v>
      </c>
      <c r="T29" s="1978" t="str">
        <f>IF(W29=0,"",人物卡!AB47)</f>
        <v/>
      </c>
      <c r="U29" s="1979"/>
      <c r="V29" s="1979"/>
      <c r="W29" s="1027">
        <f>IF(人物卡!AN42-人物卡!AF42=0,0,人物卡!AN42)</f>
        <v>0</v>
      </c>
      <c r="X29" s="1028">
        <f t="shared" si="2"/>
        <v>0</v>
      </c>
      <c r="Y29" s="1038">
        <f t="shared" si="3"/>
        <v>0</v>
      </c>
      <c r="Z29" s="2094">
        <f>人物卡!W104</f>
        <v>0</v>
      </c>
      <c r="AA29" s="2093"/>
      <c r="AB29" s="2093"/>
      <c r="AC29" s="2093"/>
      <c r="AD29" s="2095">
        <f>人物卡!AR104</f>
        <v>0</v>
      </c>
      <c r="AE29" s="2096"/>
    </row>
    <row r="30" spans="2:31" ht="16.899999999999999" customHeight="1">
      <c r="B30" s="372" t="s">
        <v>334</v>
      </c>
      <c r="C30" s="2092">
        <f>人物卡!AA65</f>
        <v>0</v>
      </c>
      <c r="D30" s="2093"/>
      <c r="E30" s="2093"/>
      <c r="F30" s="2093"/>
      <c r="G30" s="1011" t="str">
        <f>人物卡!AR65</f>
        <v>☐</v>
      </c>
      <c r="H30" s="2076"/>
      <c r="I30" s="2077"/>
      <c r="J30" s="2077"/>
      <c r="K30" s="2077"/>
      <c r="L30" s="2077"/>
      <c r="M30" s="2078"/>
      <c r="N30" s="1989" t="str">
        <f>IF(Q30=0,"",人物卡!F43)</f>
        <v/>
      </c>
      <c r="O30" s="1986"/>
      <c r="P30" s="1986"/>
      <c r="Q30" s="1024">
        <f>IF(人物卡!R43-人物卡!J43=0,0,人物卡!R43)</f>
        <v>0</v>
      </c>
      <c r="R30" s="1025">
        <f t="shared" si="5"/>
        <v>0</v>
      </c>
      <c r="S30" s="1026">
        <f t="shared" si="6"/>
        <v>0</v>
      </c>
      <c r="T30" s="1978" t="str">
        <f>IF(W30=0,"",人物卡!AB43)</f>
        <v/>
      </c>
      <c r="U30" s="1979"/>
      <c r="V30" s="1979"/>
      <c r="W30" s="1027">
        <f>IF(人物卡!AN43-人物卡!AF43=0,0,人物卡!AN43)</f>
        <v>0</v>
      </c>
      <c r="X30" s="1028">
        <f t="shared" si="2"/>
        <v>0</v>
      </c>
      <c r="Y30" s="1038">
        <f t="shared" si="3"/>
        <v>0</v>
      </c>
      <c r="Z30" s="2094">
        <f>人物卡!W105</f>
        <v>0</v>
      </c>
      <c r="AA30" s="2093"/>
      <c r="AB30" s="2093"/>
      <c r="AC30" s="2093"/>
      <c r="AD30" s="2095">
        <f>人物卡!AR105</f>
        <v>0</v>
      </c>
      <c r="AE30" s="2096"/>
    </row>
    <row r="31" spans="2:31" ht="16.899999999999999" customHeight="1">
      <c r="B31" s="368" t="s">
        <v>335</v>
      </c>
      <c r="C31" s="2086">
        <f>人物卡!AA67</f>
        <v>0</v>
      </c>
      <c r="D31" s="2087"/>
      <c r="E31" s="2087"/>
      <c r="F31" s="2087"/>
      <c r="G31" s="1012" t="str">
        <f>人物卡!AR67</f>
        <v>☐</v>
      </c>
      <c r="H31" s="2076"/>
      <c r="I31" s="2077"/>
      <c r="J31" s="2077"/>
      <c r="K31" s="2077"/>
      <c r="L31" s="2077"/>
      <c r="M31" s="2078"/>
      <c r="N31" s="1989" t="str">
        <f>IF(Q31=0,"",人物卡!F44)</f>
        <v>恐吓</v>
      </c>
      <c r="O31" s="1986"/>
      <c r="P31" s="1986"/>
      <c r="Q31" s="1024">
        <f>IF(人物卡!R44-人物卡!J44=0,0,人物卡!R44)</f>
        <v>50</v>
      </c>
      <c r="R31" s="1025">
        <f t="shared" si="5"/>
        <v>25</v>
      </c>
      <c r="S31" s="1026">
        <f t="shared" si="6"/>
        <v>10</v>
      </c>
      <c r="T31" s="1978" t="str">
        <f>IF(W31=0,"",人物卡!AB44)</f>
        <v/>
      </c>
      <c r="U31" s="1979"/>
      <c r="V31" s="1979"/>
      <c r="W31" s="1027">
        <f>IF(人物卡!AN44-人物卡!AF44=0,0,人物卡!AN44)</f>
        <v>0</v>
      </c>
      <c r="X31" s="1028">
        <f t="shared" si="2"/>
        <v>0</v>
      </c>
      <c r="Y31" s="1038">
        <f t="shared" si="3"/>
        <v>0</v>
      </c>
      <c r="Z31" s="2094">
        <f>人物卡!W106</f>
        <v>0</v>
      </c>
      <c r="AA31" s="2093"/>
      <c r="AB31" s="2093"/>
      <c r="AC31" s="2093"/>
      <c r="AD31" s="2095">
        <f>人物卡!AR106</f>
        <v>0</v>
      </c>
      <c r="AE31" s="2096"/>
    </row>
    <row r="32" spans="2:31" ht="16.899999999999999" customHeight="1">
      <c r="B32" s="372" t="s">
        <v>336</v>
      </c>
      <c r="C32" s="2092">
        <f>人物卡!AA69</f>
        <v>0</v>
      </c>
      <c r="D32" s="2093"/>
      <c r="E32" s="2093"/>
      <c r="F32" s="2093"/>
      <c r="G32" s="1011" t="str">
        <f>人物卡!AR69</f>
        <v>☐</v>
      </c>
      <c r="H32" s="2076"/>
      <c r="I32" s="2077"/>
      <c r="J32" s="2077"/>
      <c r="K32" s="2077"/>
      <c r="L32" s="2077"/>
      <c r="M32" s="2078"/>
      <c r="N32" s="1989" t="str">
        <f>IF(Q32=0,"",人物卡!F45)</f>
        <v/>
      </c>
      <c r="O32" s="1986"/>
      <c r="P32" s="1986"/>
      <c r="Q32" s="1024">
        <f>IF(人物卡!R45-人物卡!J45=0,0,人物卡!R45)</f>
        <v>0</v>
      </c>
      <c r="R32" s="1025">
        <f t="shared" si="5"/>
        <v>0</v>
      </c>
      <c r="S32" s="1026">
        <f t="shared" si="6"/>
        <v>0</v>
      </c>
      <c r="T32" s="1978" t="str">
        <f>IF(W32=0,"",人物卡!AB45)</f>
        <v/>
      </c>
      <c r="U32" s="1979"/>
      <c r="V32" s="1979"/>
      <c r="W32" s="1027">
        <f>IF(人物卡!AN45-人物卡!AF45=0,0,人物卡!AN45)</f>
        <v>0</v>
      </c>
      <c r="X32" s="1028">
        <f t="shared" si="2"/>
        <v>0</v>
      </c>
      <c r="Y32" s="1038">
        <f t="shared" si="3"/>
        <v>0</v>
      </c>
      <c r="Z32" s="2094">
        <f>人物卡!W107</f>
        <v>0</v>
      </c>
      <c r="AA32" s="2093"/>
      <c r="AB32" s="2093"/>
      <c r="AC32" s="2093"/>
      <c r="AD32" s="2095">
        <f>人物卡!AR107</f>
        <v>0</v>
      </c>
      <c r="AE32" s="2096"/>
    </row>
    <row r="33" spans="2:41" ht="16.899999999999999" customHeight="1">
      <c r="B33" s="368" t="s">
        <v>203</v>
      </c>
      <c r="C33" s="2086">
        <f>人物卡!AA71</f>
        <v>0</v>
      </c>
      <c r="D33" s="2087"/>
      <c r="E33" s="2087"/>
      <c r="F33" s="2087"/>
      <c r="G33" s="1012" t="str">
        <f>人物卡!AR71</f>
        <v>☐</v>
      </c>
      <c r="H33" s="2076"/>
      <c r="I33" s="2077"/>
      <c r="J33" s="2077"/>
      <c r="K33" s="2077"/>
      <c r="L33" s="2077"/>
      <c r="M33" s="2078"/>
      <c r="N33" s="1018">
        <f t="shared" ref="N33:N35" si="10">IF(Q33=0,0,"外语：")</f>
        <v>0</v>
      </c>
      <c r="O33" s="1980" t="str">
        <f>IF(N33=0,"",人物卡!H46)</f>
        <v/>
      </c>
      <c r="P33" s="1986"/>
      <c r="Q33" s="1024">
        <f>IF(人物卡!R46-人物卡!J46=0,0,人物卡!R46)</f>
        <v>0</v>
      </c>
      <c r="R33" s="1025">
        <f t="shared" si="5"/>
        <v>0</v>
      </c>
      <c r="S33" s="1026">
        <f t="shared" si="6"/>
        <v>0</v>
      </c>
      <c r="T33" s="1978" t="str">
        <f>IF(W33=0,"",人物卡!AB46)</f>
        <v/>
      </c>
      <c r="U33" s="1979"/>
      <c r="V33" s="1979"/>
      <c r="W33" s="1027">
        <f>IF(人物卡!AN46-人物卡!AF46=0,0,人物卡!AN46)</f>
        <v>0</v>
      </c>
      <c r="X33" s="1028">
        <f t="shared" si="2"/>
        <v>0</v>
      </c>
      <c r="Y33" s="1038">
        <f t="shared" si="3"/>
        <v>0</v>
      </c>
      <c r="Z33" s="2088">
        <f>人物卡!W108</f>
        <v>0</v>
      </c>
      <c r="AA33" s="2089"/>
      <c r="AB33" s="2089"/>
      <c r="AC33" s="2089"/>
      <c r="AD33" s="2090">
        <f>人物卡!AR108</f>
        <v>0</v>
      </c>
      <c r="AE33" s="2091"/>
    </row>
    <row r="34" spans="2:41" ht="16.899999999999999" customHeight="1">
      <c r="B34" s="372" t="s">
        <v>337</v>
      </c>
      <c r="C34" s="2092">
        <f>人物卡!AA73</f>
        <v>0</v>
      </c>
      <c r="D34" s="2093"/>
      <c r="E34" s="2093"/>
      <c r="F34" s="2093"/>
      <c r="G34" s="1011" t="str">
        <f>人物卡!AR73</f>
        <v>☐</v>
      </c>
      <c r="H34" s="2076"/>
      <c r="I34" s="2077"/>
      <c r="J34" s="2077"/>
      <c r="K34" s="2077"/>
      <c r="L34" s="2077"/>
      <c r="M34" s="2078"/>
      <c r="N34" s="1018">
        <f t="shared" si="10"/>
        <v>0</v>
      </c>
      <c r="O34" s="1980" t="str">
        <f>IF(N34=0,"",人物卡!H47)</f>
        <v/>
      </c>
      <c r="P34" s="1986"/>
      <c r="Q34" s="1024">
        <f>IF(人物卡!R47-人物卡!J47=0,0,人物卡!R47)</f>
        <v>0</v>
      </c>
      <c r="R34" s="1025">
        <f t="shared" si="5"/>
        <v>0</v>
      </c>
      <c r="S34" s="1026">
        <f t="shared" si="6"/>
        <v>0</v>
      </c>
      <c r="T34" s="1978" t="str">
        <f>IF(W34=0,"",人物卡!#REF!)</f>
        <v/>
      </c>
      <c r="U34" s="1979"/>
      <c r="V34" s="1979"/>
      <c r="W34" s="1027">
        <f>IF(人物卡!AN47-人物卡!AF47=0,0,人物卡!AN47)</f>
        <v>0</v>
      </c>
      <c r="X34" s="1028">
        <f t="shared" si="2"/>
        <v>0</v>
      </c>
      <c r="Y34" s="1038">
        <f t="shared" si="3"/>
        <v>0</v>
      </c>
      <c r="Z34" s="1982"/>
      <c r="AA34" s="1489"/>
      <c r="AB34" s="1489"/>
      <c r="AC34" s="1489"/>
      <c r="AD34" s="1489"/>
      <c r="AE34" s="2083"/>
    </row>
    <row r="35" spans="2:41" ht="16.899999999999999" customHeight="1">
      <c r="B35" s="368" t="s">
        <v>338</v>
      </c>
      <c r="C35" s="2086">
        <f>人物卡!AA75</f>
        <v>0</v>
      </c>
      <c r="D35" s="2087"/>
      <c r="E35" s="2087"/>
      <c r="F35" s="2087"/>
      <c r="G35" s="1012" t="str">
        <f>人物卡!AR75</f>
        <v>☐</v>
      </c>
      <c r="H35" s="2076"/>
      <c r="I35" s="2077"/>
      <c r="J35" s="2077"/>
      <c r="K35" s="2077"/>
      <c r="L35" s="2077"/>
      <c r="M35" s="2078"/>
      <c r="N35" s="1018">
        <f t="shared" si="10"/>
        <v>0</v>
      </c>
      <c r="O35" s="1980" t="str">
        <f>IF(N35=0,"",人物卡!H48)</f>
        <v/>
      </c>
      <c r="P35" s="1986"/>
      <c r="Q35" s="1024">
        <f>IF(人物卡!R48-人物卡!J48=0,0,人物卡!R48)</f>
        <v>0</v>
      </c>
      <c r="R35" s="1025">
        <f t="shared" si="5"/>
        <v>0</v>
      </c>
      <c r="S35" s="1026">
        <f t="shared" si="6"/>
        <v>0</v>
      </c>
      <c r="T35" s="1978" t="str">
        <f>IF(W35=0,"",人物卡!AB48)</f>
        <v/>
      </c>
      <c r="U35" s="1979"/>
      <c r="V35" s="1979"/>
      <c r="W35" s="1027">
        <f>IF(人物卡!AN48-人物卡!AF48=0,0,人物卡!AN48)</f>
        <v>0</v>
      </c>
      <c r="X35" s="1028">
        <f t="shared" si="2"/>
        <v>0</v>
      </c>
      <c r="Y35" s="1038">
        <f t="shared" si="3"/>
        <v>0</v>
      </c>
      <c r="Z35" s="1982"/>
      <c r="AA35" s="1489"/>
      <c r="AB35" s="1489"/>
      <c r="AC35" s="1489"/>
      <c r="AD35" s="1489"/>
      <c r="AE35" s="2083"/>
    </row>
    <row r="36" spans="2:41" ht="16.899999999999999" customHeight="1">
      <c r="B36" s="1013"/>
      <c r="C36" s="2017"/>
      <c r="D36" s="2018"/>
      <c r="E36" s="2018"/>
      <c r="F36" s="2018"/>
      <c r="G36" s="2019"/>
      <c r="H36" s="2079"/>
      <c r="I36" s="2080"/>
      <c r="J36" s="2080"/>
      <c r="K36" s="2080"/>
      <c r="L36" s="2080"/>
      <c r="M36" s="2081"/>
      <c r="N36" s="1023" t="s">
        <v>339</v>
      </c>
      <c r="O36" s="2069">
        <f>人物卡!H49</f>
        <v>0</v>
      </c>
      <c r="P36" s="1981"/>
      <c r="Q36" s="1033">
        <f>人物卡!R49</f>
        <v>78</v>
      </c>
      <c r="R36" s="1034">
        <f>IF(Q36=0,32767,INT(Q36/2))</f>
        <v>39</v>
      </c>
      <c r="S36" s="1035">
        <f>IF(Q36=0,32767,INT(Q36/5))</f>
        <v>15</v>
      </c>
      <c r="T36" s="2070" t="str">
        <f>IF(W36=0,"",人物卡!AB49)</f>
        <v/>
      </c>
      <c r="U36" s="1995"/>
      <c r="V36" s="1995"/>
      <c r="W36" s="1036">
        <f>IF(人物卡!AN49-人物卡!AF49=0,0,人物卡!AN49)</f>
        <v>0</v>
      </c>
      <c r="X36" s="1037">
        <f t="shared" si="2"/>
        <v>0</v>
      </c>
      <c r="Y36" s="1042">
        <f t="shared" si="3"/>
        <v>0</v>
      </c>
      <c r="Z36" s="1983"/>
      <c r="AA36" s="2084"/>
      <c r="AB36" s="2084"/>
      <c r="AC36" s="2084"/>
      <c r="AD36" s="2084"/>
      <c r="AE36" s="2085"/>
      <c r="AF36" s="2058" t="s">
        <v>340</v>
      </c>
      <c r="AG36" s="2058"/>
      <c r="AH36" s="2058"/>
      <c r="AI36" s="2058"/>
      <c r="AJ36" s="2058"/>
      <c r="AK36" s="2058"/>
      <c r="AL36" s="2058"/>
      <c r="AM36" s="2058"/>
      <c r="AN36" s="2058"/>
      <c r="AO36" s="2058"/>
    </row>
    <row r="37" spans="2:41" ht="16.899999999999999" customHeight="1">
      <c r="B37" s="2058" t="s">
        <v>341</v>
      </c>
      <c r="C37" s="2058"/>
      <c r="D37" s="2058"/>
      <c r="E37" s="2058"/>
      <c r="F37" s="2058"/>
      <c r="G37" s="2058"/>
      <c r="H37" s="2058"/>
      <c r="I37" s="2058"/>
      <c r="J37" s="2058"/>
      <c r="K37" s="2058"/>
      <c r="L37" s="2058"/>
      <c r="M37" s="2058"/>
      <c r="N37" s="2058"/>
      <c r="O37" s="2058"/>
      <c r="P37" s="2071" t="s">
        <v>342</v>
      </c>
      <c r="Q37" s="2071"/>
      <c r="R37" s="2071"/>
      <c r="S37" s="2071"/>
      <c r="T37" s="2071"/>
      <c r="U37" s="2071"/>
      <c r="V37" s="2071"/>
      <c r="W37" s="2071"/>
      <c r="X37" s="2071"/>
      <c r="Y37" s="2071"/>
      <c r="AF37" s="2082" t="s">
        <v>343</v>
      </c>
      <c r="AG37" s="2082"/>
      <c r="AH37" s="2082"/>
      <c r="AI37" s="2082"/>
      <c r="AJ37" s="2082"/>
      <c r="AK37" s="2082"/>
      <c r="AL37" s="2082"/>
    </row>
    <row r="38" spans="2:41" ht="16.899999999999999" customHeight="1">
      <c r="B38" s="2050" t="s">
        <v>344</v>
      </c>
      <c r="C38" s="2051"/>
      <c r="D38" s="2051"/>
      <c r="E38" s="2051"/>
      <c r="F38" s="2051"/>
      <c r="G38" s="2051"/>
      <c r="H38" s="2051"/>
      <c r="I38" s="2051"/>
      <c r="J38" s="2051"/>
      <c r="K38" s="2051"/>
      <c r="L38" s="2051"/>
      <c r="M38" s="2051"/>
      <c r="N38" s="2051"/>
      <c r="O38" s="2051"/>
      <c r="P38" s="2051"/>
      <c r="Q38" s="2051"/>
      <c r="R38" s="2051"/>
      <c r="S38" s="2051"/>
      <c r="T38" s="2051"/>
      <c r="U38" s="2051"/>
      <c r="V38" s="2051"/>
      <c r="W38" s="2051"/>
      <c r="X38" s="2051"/>
      <c r="Y38" s="2051"/>
      <c r="Z38" s="363"/>
      <c r="AA38" s="1043"/>
      <c r="AB38" s="1043"/>
      <c r="AC38" s="1043"/>
      <c r="AD38" s="1043"/>
      <c r="AE38" s="1043"/>
      <c r="AF38" s="2082"/>
      <c r="AG38" s="2082"/>
      <c r="AH38" s="2082"/>
      <c r="AI38" s="2082"/>
      <c r="AJ38" s="2082"/>
      <c r="AK38" s="2082"/>
      <c r="AL38" s="2082"/>
    </row>
    <row r="39" spans="2:41" ht="16.899999999999999" customHeight="1">
      <c r="B39" s="2052" t="s">
        <v>345</v>
      </c>
      <c r="C39" s="2053"/>
      <c r="D39" s="2053"/>
      <c r="E39" s="2053"/>
      <c r="F39" s="2053"/>
      <c r="G39" s="2053"/>
      <c r="H39" s="2053"/>
      <c r="I39" s="2053"/>
      <c r="J39" s="2053"/>
      <c r="K39" s="2053"/>
      <c r="L39" s="2053"/>
      <c r="M39" s="2053"/>
      <c r="N39" s="2053"/>
      <c r="O39" s="2053"/>
      <c r="P39" s="2053"/>
      <c r="Q39" s="2053"/>
      <c r="R39" s="2053"/>
      <c r="S39" s="2053"/>
      <c r="T39" s="2053"/>
      <c r="U39" s="2053"/>
      <c r="V39" s="2053"/>
      <c r="W39" s="2053"/>
      <c r="X39" s="2053"/>
      <c r="Y39" s="2053"/>
      <c r="Z39" s="363" t="s">
        <v>346</v>
      </c>
      <c r="AA39" s="1922" t="s">
        <v>347</v>
      </c>
      <c r="AB39" s="1947"/>
      <c r="AC39" s="1947"/>
      <c r="AD39" s="1947"/>
      <c r="AE39" s="1948"/>
      <c r="AF39" s="2072" t="s">
        <v>348</v>
      </c>
      <c r="AG39" s="2072"/>
      <c r="AH39" s="2072"/>
      <c r="AI39" s="2072"/>
      <c r="AJ39" s="2072"/>
      <c r="AK39" s="2072"/>
      <c r="AL39" s="2072"/>
      <c r="AM39" s="2072"/>
      <c r="AN39" s="2072"/>
    </row>
    <row r="40" spans="2:41" ht="16.899999999999999" customHeight="1">
      <c r="B40" s="1894" t="str">
        <f>附表!S24</f>
        <v>.st 力量70str70敏捷80dex80意志50pow50体质50con50外貌45app45教育78edu78体型35siz35智力80灵感80int80san50san值50理智50理智值50幸运94运气94mp10魔法10hp8体力8会计5人类学1估价5考古学1取悦15魅惑15攀爬20计算机56计算机使用56电脑56信用80信誉80信用评级80克苏鲁0克苏鲁神话0cm0乔装5闪避40汽车60驾驶60汽车驾驶60电气维修10电子学1话术5斗殴70手枪70急救80历史5恐吓50跳跃20母语78法律80图书馆20图书馆使用20聆听20开锁1撬锁1锁匠1机械维修10医学1博物学10自然学10领航10导航10神秘学5重型操作1重型机械1操作重型机械1重型1说服10精神分析1心理学60骑术5妙手10侦查25潜行60生存10游泳20投掷20追踪50动物驯养5潜水1爆破1读唇1催眠1炮术1</v>
      </c>
      <c r="C40" s="1894"/>
      <c r="D40" s="1894"/>
      <c r="E40" s="1894"/>
      <c r="F40" s="1894"/>
      <c r="G40" s="1894"/>
      <c r="H40" s="1894"/>
      <c r="I40" s="1894"/>
      <c r="J40" s="1894"/>
      <c r="K40" s="1894"/>
      <c r="L40" s="1894"/>
      <c r="M40" s="1894"/>
      <c r="N40" s="1894"/>
      <c r="O40" s="1894"/>
      <c r="P40" s="1894"/>
      <c r="Q40" s="1894"/>
      <c r="R40" s="1894"/>
      <c r="S40" s="1894"/>
      <c r="T40" s="1894"/>
      <c r="U40" s="1894"/>
      <c r="V40" s="1894"/>
      <c r="W40" s="1894"/>
      <c r="X40" s="1894"/>
      <c r="Y40" s="1894"/>
      <c r="Z40" s="363"/>
      <c r="AA40" s="1949"/>
      <c r="AB40" s="1950"/>
      <c r="AC40" s="1950"/>
      <c r="AD40" s="1950"/>
      <c r="AE40" s="1951"/>
      <c r="AF40" s="363"/>
      <c r="AG40" s="363"/>
    </row>
    <row r="41" spans="2:41" customFormat="1" ht="13.5">
      <c r="B41" s="1894"/>
      <c r="C41" s="1894"/>
      <c r="D41" s="1894"/>
      <c r="E41" s="1894"/>
      <c r="F41" s="1894"/>
      <c r="G41" s="1894"/>
      <c r="H41" s="1894"/>
      <c r="I41" s="1894"/>
      <c r="J41" s="1894"/>
      <c r="K41" s="1894"/>
      <c r="L41" s="1894"/>
      <c r="M41" s="1894"/>
      <c r="N41" s="1894"/>
      <c r="O41" s="1894"/>
      <c r="P41" s="1894"/>
      <c r="Q41" s="1894"/>
      <c r="R41" s="1894"/>
      <c r="S41" s="1894"/>
      <c r="T41" s="1894"/>
      <c r="U41" s="1894"/>
      <c r="V41" s="1894"/>
      <c r="W41" s="1894"/>
      <c r="X41" s="1894"/>
      <c r="Y41" s="1894"/>
      <c r="Z41" s="363"/>
      <c r="AA41" s="1949"/>
      <c r="AB41" s="1950"/>
      <c r="AC41" s="1950"/>
      <c r="AD41" s="1950"/>
      <c r="AE41" s="1951"/>
      <c r="AF41" s="363"/>
      <c r="AG41" s="363"/>
    </row>
    <row r="42" spans="2:41" customFormat="1" ht="13.5">
      <c r="B42" s="1894"/>
      <c r="C42" s="1894"/>
      <c r="D42" s="1894"/>
      <c r="E42" s="1894"/>
      <c r="F42" s="1894"/>
      <c r="G42" s="1894"/>
      <c r="H42" s="1894"/>
      <c r="I42" s="1894"/>
      <c r="J42" s="1894"/>
      <c r="K42" s="1894"/>
      <c r="L42" s="1894"/>
      <c r="M42" s="1894"/>
      <c r="N42" s="1894"/>
      <c r="O42" s="1894"/>
      <c r="P42" s="1894"/>
      <c r="Q42" s="1894"/>
      <c r="R42" s="1894"/>
      <c r="S42" s="1894"/>
      <c r="T42" s="1894"/>
      <c r="U42" s="1894"/>
      <c r="V42" s="1894"/>
      <c r="W42" s="1894"/>
      <c r="X42" s="1894"/>
      <c r="Y42" s="1894"/>
      <c r="Z42" s="363"/>
      <c r="AA42" s="1949"/>
      <c r="AB42" s="1950"/>
      <c r="AC42" s="1950"/>
      <c r="AD42" s="1950"/>
      <c r="AE42" s="1951"/>
      <c r="AF42" s="363"/>
      <c r="AG42" s="363"/>
    </row>
    <row r="43" spans="2:41" customFormat="1" ht="13.5">
      <c r="B43" s="1894"/>
      <c r="C43" s="1894"/>
      <c r="D43" s="1894"/>
      <c r="E43" s="1894"/>
      <c r="F43" s="1894"/>
      <c r="G43" s="1894"/>
      <c r="H43" s="1894"/>
      <c r="I43" s="1894"/>
      <c r="J43" s="1894"/>
      <c r="K43" s="1894"/>
      <c r="L43" s="1894"/>
      <c r="M43" s="1894"/>
      <c r="N43" s="1894"/>
      <c r="O43" s="1894"/>
      <c r="P43" s="1894"/>
      <c r="Q43" s="1894"/>
      <c r="R43" s="1894"/>
      <c r="S43" s="1894"/>
      <c r="T43" s="1894"/>
      <c r="U43" s="1894"/>
      <c r="V43" s="1894"/>
      <c r="W43" s="1894"/>
      <c r="X43" s="1894"/>
      <c r="Y43" s="1894"/>
      <c r="Z43" s="363"/>
      <c r="AA43" s="1952"/>
      <c r="AB43" s="1953"/>
      <c r="AC43" s="1953"/>
      <c r="AD43" s="1953"/>
      <c r="AE43" s="1954"/>
      <c r="AF43" s="363"/>
      <c r="AG43" s="363"/>
    </row>
    <row r="44" spans="2:41" customFormat="1" ht="16.5">
      <c r="B44" s="2050" t="s">
        <v>349</v>
      </c>
      <c r="C44" s="2051"/>
      <c r="D44" s="2051"/>
      <c r="E44" s="2051"/>
      <c r="F44" s="2051"/>
      <c r="G44" s="2051"/>
      <c r="H44" s="2051"/>
      <c r="I44" s="2051"/>
      <c r="J44" s="2051"/>
      <c r="K44" s="2051"/>
      <c r="L44" s="2051"/>
      <c r="M44" s="2051"/>
      <c r="N44" s="2051"/>
      <c r="O44" s="2051"/>
      <c r="P44" s="2051"/>
      <c r="Q44" s="2051"/>
      <c r="R44" s="2051"/>
      <c r="S44" s="2051"/>
      <c r="T44" s="2051"/>
      <c r="U44" s="2051"/>
      <c r="V44" s="2051"/>
      <c r="W44" s="2051"/>
      <c r="X44" s="2051"/>
      <c r="Y44" s="2051"/>
      <c r="Z44" s="363"/>
      <c r="AA44" s="363"/>
      <c r="AB44" s="363"/>
      <c r="AC44" s="363"/>
      <c r="AD44" s="363"/>
      <c r="AE44" s="363"/>
      <c r="AF44" s="363"/>
      <c r="AG44" s="363"/>
    </row>
    <row r="45" spans="2:41" customFormat="1" ht="15.2" customHeight="1">
      <c r="B45" s="2052" t="s">
        <v>345</v>
      </c>
      <c r="C45" s="2053"/>
      <c r="D45" s="2053"/>
      <c r="E45" s="2053"/>
      <c r="F45" s="2053"/>
      <c r="G45" s="2053"/>
      <c r="H45" s="2053"/>
      <c r="I45" s="2053"/>
      <c r="J45" s="2053"/>
      <c r="K45" s="2053"/>
      <c r="L45" s="2053"/>
      <c r="M45" s="2053"/>
      <c r="N45" s="2053"/>
      <c r="O45" s="2053"/>
      <c r="P45" s="2053"/>
      <c r="Q45" s="2053"/>
      <c r="R45" s="2053"/>
      <c r="S45" s="2053"/>
      <c r="T45" s="2053"/>
      <c r="U45" s="2053"/>
      <c r="V45" s="2053"/>
      <c r="W45" s="2053"/>
      <c r="X45" s="2053"/>
      <c r="Y45" s="2053"/>
      <c r="Z45" s="363" t="s">
        <v>346</v>
      </c>
      <c r="AA45" s="1932" t="s">
        <v>350</v>
      </c>
      <c r="AB45" s="1933"/>
      <c r="AC45" s="1933"/>
      <c r="AD45" s="1933"/>
      <c r="AE45" s="1934"/>
      <c r="AF45" s="436"/>
      <c r="AG45" s="363"/>
    </row>
    <row r="46" spans="2:41" customFormat="1" ht="14.65" customHeight="1">
      <c r="B46" s="1913" t="str">
        <f>附表!S63</f>
        <v>.st -力量70str70敏捷80dex80意志50pow50体质50con50外貌45app45教育78edu78体型35siz35智力80灵感80int80san50san值50理智50理智值50幸运94运气94mp10魔法10hp8体力8会计5人类学1估价5考古学1取悦15魅惑15攀爬20计算机56计算机使用56电脑56信用80信誉80信用评级80克苏鲁0克苏鲁神话0cm0乔装5闪避40汽车60驾驶60汽车驾驶60电气维修10电子学1话术5斗殴70手枪70急救80历史5恐吓50跳跃20母语78法律80图书馆20图书馆使用20聆听20开锁1撬锁1锁匠1机械维修10医学1博物学10自然学10领航10导航10神秘学5重型操作1重型机械1操作重型机械1重型1说服10精神分析1心理学60骑术5妙手10侦查25潜行60生存10游泳20投掷20追踪50动物驯养5潜水1爆破1读唇1催眠1炮术1</v>
      </c>
      <c r="C46" s="1914"/>
      <c r="D46" s="1914"/>
      <c r="E46" s="1914"/>
      <c r="F46" s="1914"/>
      <c r="G46" s="1914"/>
      <c r="H46" s="1914"/>
      <c r="I46" s="1914"/>
      <c r="J46" s="1914"/>
      <c r="K46" s="1914"/>
      <c r="L46" s="1914"/>
      <c r="M46" s="1914"/>
      <c r="N46" s="1914"/>
      <c r="O46" s="1914"/>
      <c r="P46" s="1914"/>
      <c r="Q46" s="1914"/>
      <c r="R46" s="1914"/>
      <c r="S46" s="1914"/>
      <c r="T46" s="1914"/>
      <c r="U46" s="1914"/>
      <c r="V46" s="1914"/>
      <c r="W46" s="1914"/>
      <c r="X46" s="1914"/>
      <c r="Y46" s="1915"/>
      <c r="Z46" s="363"/>
      <c r="AA46" s="1935"/>
      <c r="AB46" s="1936"/>
      <c r="AC46" s="1936"/>
      <c r="AD46" s="1936"/>
      <c r="AE46" s="1937"/>
      <c r="AF46" s="436"/>
      <c r="AG46" s="363"/>
    </row>
    <row r="47" spans="2:41" customFormat="1" ht="14.65" customHeight="1">
      <c r="B47" s="1916"/>
      <c r="C47" s="1917"/>
      <c r="D47" s="1917"/>
      <c r="E47" s="1917"/>
      <c r="F47" s="1917"/>
      <c r="G47" s="1917"/>
      <c r="H47" s="1917"/>
      <c r="I47" s="1917"/>
      <c r="J47" s="1917"/>
      <c r="K47" s="1917"/>
      <c r="L47" s="1917"/>
      <c r="M47" s="1917"/>
      <c r="N47" s="1917"/>
      <c r="O47" s="1917"/>
      <c r="P47" s="1917"/>
      <c r="Q47" s="1917"/>
      <c r="R47" s="1917"/>
      <c r="S47" s="1917"/>
      <c r="T47" s="1917"/>
      <c r="U47" s="1917"/>
      <c r="V47" s="1917"/>
      <c r="W47" s="1917"/>
      <c r="X47" s="1917"/>
      <c r="Y47" s="1918"/>
      <c r="Z47" s="363"/>
      <c r="AA47" s="1935"/>
      <c r="AB47" s="1936"/>
      <c r="AC47" s="1936"/>
      <c r="AD47" s="1936"/>
      <c r="AE47" s="1937"/>
      <c r="AF47" s="436"/>
      <c r="AG47" s="363"/>
    </row>
    <row r="48" spans="2:41" customFormat="1" ht="14.65" customHeight="1">
      <c r="B48" s="1916"/>
      <c r="C48" s="1917"/>
      <c r="D48" s="1917"/>
      <c r="E48" s="1917"/>
      <c r="F48" s="1917"/>
      <c r="G48" s="1917"/>
      <c r="H48" s="1917"/>
      <c r="I48" s="1917"/>
      <c r="J48" s="1917"/>
      <c r="K48" s="1917"/>
      <c r="L48" s="1917"/>
      <c r="M48" s="1917"/>
      <c r="N48" s="1917"/>
      <c r="O48" s="1917"/>
      <c r="P48" s="1917"/>
      <c r="Q48" s="1917"/>
      <c r="R48" s="1917"/>
      <c r="S48" s="1917"/>
      <c r="T48" s="1917"/>
      <c r="U48" s="1917"/>
      <c r="V48" s="1917"/>
      <c r="W48" s="1917"/>
      <c r="X48" s="1917"/>
      <c r="Y48" s="1918"/>
      <c r="Z48" s="363"/>
      <c r="AA48" s="1935"/>
      <c r="AB48" s="1936"/>
      <c r="AC48" s="1936"/>
      <c r="AD48" s="1936"/>
      <c r="AE48" s="1937"/>
      <c r="AF48" s="436"/>
      <c r="AG48" s="363"/>
    </row>
    <row r="49" spans="2:33" customFormat="1" ht="14.65" customHeight="1">
      <c r="B49" s="1919"/>
      <c r="C49" s="1920"/>
      <c r="D49" s="1920"/>
      <c r="E49" s="1920"/>
      <c r="F49" s="1920"/>
      <c r="G49" s="1920"/>
      <c r="H49" s="1920"/>
      <c r="I49" s="1920"/>
      <c r="J49" s="1920"/>
      <c r="K49" s="1920"/>
      <c r="L49" s="1920"/>
      <c r="M49" s="1920"/>
      <c r="N49" s="1920"/>
      <c r="O49" s="1920"/>
      <c r="P49" s="1920"/>
      <c r="Q49" s="1920"/>
      <c r="R49" s="1920"/>
      <c r="S49" s="1920"/>
      <c r="T49" s="1920"/>
      <c r="U49" s="1920"/>
      <c r="V49" s="1920"/>
      <c r="W49" s="1920"/>
      <c r="X49" s="1920"/>
      <c r="Y49" s="1921"/>
      <c r="Z49" s="363"/>
      <c r="AA49" s="1938"/>
      <c r="AB49" s="1939"/>
      <c r="AC49" s="1939"/>
      <c r="AD49" s="1939"/>
      <c r="AE49" s="1940"/>
      <c r="AF49" s="436"/>
      <c r="AG49" s="363"/>
    </row>
    <row r="50" spans="2:33" ht="16.899999999999999" customHeight="1">
      <c r="B50" s="2054" t="s">
        <v>351</v>
      </c>
      <c r="C50" s="2055"/>
      <c r="D50" s="2055"/>
      <c r="E50" s="2055"/>
      <c r="F50" s="2055"/>
      <c r="G50" s="2055"/>
      <c r="H50" s="2055"/>
      <c r="I50" s="2055"/>
      <c r="J50" s="2055"/>
      <c r="K50" s="2055"/>
      <c r="L50" s="2055"/>
      <c r="M50" s="2055"/>
      <c r="N50" s="2055"/>
      <c r="O50" s="2055"/>
      <c r="P50" s="2055"/>
      <c r="Q50" s="2055"/>
      <c r="R50" s="2055"/>
      <c r="S50" s="2055"/>
      <c r="T50" s="2055"/>
      <c r="U50" s="2055"/>
      <c r="V50" s="2055"/>
      <c r="W50" s="2055"/>
      <c r="X50" s="2055"/>
      <c r="Y50" s="2055"/>
      <c r="Z50" s="2056"/>
      <c r="AA50" s="2057"/>
      <c r="AB50" s="2057"/>
      <c r="AC50" s="2057"/>
      <c r="AD50" s="2057"/>
      <c r="AE50" s="2057"/>
      <c r="AF50" s="436"/>
      <c r="AG50" s="363"/>
    </row>
    <row r="51" spans="2:33" ht="16.899999999999999" customHeight="1">
      <c r="B51" s="2052" t="s">
        <v>345</v>
      </c>
      <c r="C51" s="2053"/>
      <c r="D51" s="2053"/>
      <c r="E51" s="2053"/>
      <c r="F51" s="2053"/>
      <c r="G51" s="2053"/>
      <c r="H51" s="2053"/>
      <c r="I51" s="2053"/>
      <c r="J51" s="2053"/>
      <c r="K51" s="2053"/>
      <c r="L51" s="2053"/>
      <c r="M51" s="2053"/>
      <c r="N51" s="2053"/>
      <c r="O51" s="2053"/>
      <c r="P51" s="2053"/>
      <c r="Q51" s="2053"/>
      <c r="R51" s="2053"/>
      <c r="S51" s="2053"/>
      <c r="T51" s="2053"/>
      <c r="U51" s="2053"/>
      <c r="V51" s="2053"/>
      <c r="W51" s="2053"/>
      <c r="X51" s="2053"/>
      <c r="Y51" s="2053"/>
      <c r="Z51" s="1000" t="s">
        <v>346</v>
      </c>
      <c r="AA51" s="1922" t="s">
        <v>352</v>
      </c>
      <c r="AB51" s="1923"/>
      <c r="AC51" s="1923"/>
      <c r="AD51" s="1923"/>
      <c r="AE51" s="1924"/>
      <c r="AF51" s="363"/>
      <c r="AG51" s="363"/>
    </row>
    <row r="52" spans="2:33" ht="16.899999999999999" customHeight="1">
      <c r="B52" s="1894" t="str">
        <f>附表!S76</f>
        <v>.st -力量70敏捷80意志50体质50外貌45教育78体型35智力80灵感80理智50幸运94魔法10hp8体力8会计5人类学1估价5考古学1取悦15攀爬20计算机56信用80克苏鲁0乔装5闪避40汽车60驾驶60汽车驾驶60电气维修10电子学1话术5斗殴70手枪70急救80历史5恐吓50跳跃20母语78法律80图书馆20聆听20开锁1锁匠1机械维修10医学1博物学10导航10神秘学5操作重型机械1重型1说服10精神分析1心理学60骑术5妙手10侦查25潜行60生存10游泳20投掷20追踪50动物驯养5潜水1爆破1读唇1催眠1炮术1</v>
      </c>
      <c r="C52" s="1894"/>
      <c r="D52" s="1894"/>
      <c r="E52" s="1894"/>
      <c r="F52" s="1894"/>
      <c r="G52" s="1894"/>
      <c r="H52" s="1894"/>
      <c r="I52" s="1894"/>
      <c r="J52" s="1894"/>
      <c r="K52" s="1894"/>
      <c r="L52" s="1894"/>
      <c r="M52" s="1894"/>
      <c r="N52" s="1894"/>
      <c r="O52" s="1894"/>
      <c r="P52" s="1894"/>
      <c r="Q52" s="1894"/>
      <c r="R52" s="1894"/>
      <c r="S52" s="1894"/>
      <c r="T52" s="1894"/>
      <c r="U52" s="1894"/>
      <c r="V52" s="1894"/>
      <c r="W52" s="1894"/>
      <c r="X52" s="1894"/>
      <c r="Y52" s="1894"/>
      <c r="AA52" s="1925"/>
      <c r="AB52" s="1926"/>
      <c r="AC52" s="1926"/>
      <c r="AD52" s="1926"/>
      <c r="AE52" s="1927"/>
      <c r="AF52" s="363"/>
      <c r="AG52" s="363"/>
    </row>
    <row r="53" spans="2:33" ht="16.899999999999999" customHeight="1">
      <c r="B53" s="1894"/>
      <c r="C53" s="1894"/>
      <c r="D53" s="1894"/>
      <c r="E53" s="1894"/>
      <c r="F53" s="1894"/>
      <c r="G53" s="1894"/>
      <c r="H53" s="1894"/>
      <c r="I53" s="1894"/>
      <c r="J53" s="1894"/>
      <c r="K53" s="1894"/>
      <c r="L53" s="1894"/>
      <c r="M53" s="1894"/>
      <c r="N53" s="1894"/>
      <c r="O53" s="1894"/>
      <c r="P53" s="1894"/>
      <c r="Q53" s="1894"/>
      <c r="R53" s="1894"/>
      <c r="S53" s="1894"/>
      <c r="T53" s="1894"/>
      <c r="U53" s="1894"/>
      <c r="V53" s="1894"/>
      <c r="W53" s="1894"/>
      <c r="X53" s="1894"/>
      <c r="Y53" s="1894"/>
      <c r="AA53" s="1925"/>
      <c r="AB53" s="1926"/>
      <c r="AC53" s="1926"/>
      <c r="AD53" s="1926"/>
      <c r="AE53" s="1927"/>
      <c r="AF53" s="363"/>
      <c r="AG53" s="363"/>
    </row>
    <row r="54" spans="2:33" ht="16.899999999999999" customHeight="1">
      <c r="B54" s="1894"/>
      <c r="C54" s="1894"/>
      <c r="D54" s="1894"/>
      <c r="E54" s="1894"/>
      <c r="F54" s="1894"/>
      <c r="G54" s="1894"/>
      <c r="H54" s="1894"/>
      <c r="I54" s="1894"/>
      <c r="J54" s="1894"/>
      <c r="K54" s="1894"/>
      <c r="L54" s="1894"/>
      <c r="M54" s="1894"/>
      <c r="N54" s="1894"/>
      <c r="O54" s="1894"/>
      <c r="P54" s="1894"/>
      <c r="Q54" s="1894"/>
      <c r="R54" s="1894"/>
      <c r="S54" s="1894"/>
      <c r="T54" s="1894"/>
      <c r="U54" s="1894"/>
      <c r="V54" s="1894"/>
      <c r="W54" s="1894"/>
      <c r="X54" s="1894"/>
      <c r="Y54" s="1894"/>
      <c r="AA54" s="1925"/>
      <c r="AB54" s="1926"/>
      <c r="AC54" s="1926"/>
      <c r="AD54" s="1926"/>
      <c r="AE54" s="1927"/>
      <c r="AF54" s="363"/>
      <c r="AG54" s="363"/>
    </row>
    <row r="55" spans="2:33" ht="16.899999999999999" customHeight="1">
      <c r="B55" s="1894"/>
      <c r="C55" s="1894"/>
      <c r="D55" s="1894"/>
      <c r="E55" s="1894"/>
      <c r="F55" s="1894"/>
      <c r="G55" s="1894"/>
      <c r="H55" s="1894"/>
      <c r="I55" s="1894"/>
      <c r="J55" s="1894"/>
      <c r="K55" s="1894"/>
      <c r="L55" s="1894"/>
      <c r="M55" s="1894"/>
      <c r="N55" s="1894"/>
      <c r="O55" s="1894"/>
      <c r="P55" s="1894"/>
      <c r="Q55" s="1894"/>
      <c r="R55" s="1894"/>
      <c r="S55" s="1894"/>
      <c r="T55" s="1894"/>
      <c r="U55" s="1894"/>
      <c r="V55" s="1894"/>
      <c r="W55" s="1894"/>
      <c r="X55" s="1894"/>
      <c r="Y55" s="1894"/>
      <c r="AA55" s="1928"/>
      <c r="AB55" s="1929"/>
      <c r="AC55" s="1929"/>
      <c r="AD55" s="1929"/>
      <c r="AE55" s="1930"/>
      <c r="AF55" s="363"/>
      <c r="AG55" s="363"/>
    </row>
    <row r="56" spans="2:33" ht="16.899999999999999" customHeight="1">
      <c r="B56" s="705"/>
      <c r="C56" s="705"/>
      <c r="D56" s="705"/>
      <c r="E56" s="705"/>
      <c r="F56" s="705"/>
      <c r="G56" s="705"/>
      <c r="H56" s="705"/>
      <c r="I56" s="705"/>
      <c r="J56" s="705"/>
      <c r="K56" s="705"/>
      <c r="L56" s="705"/>
      <c r="M56" s="705"/>
      <c r="N56" s="705"/>
      <c r="O56" s="705"/>
      <c r="P56" s="705"/>
      <c r="Q56" s="705"/>
      <c r="R56" s="705"/>
      <c r="S56" s="705"/>
      <c r="T56" s="705"/>
      <c r="U56" s="705"/>
      <c r="V56" s="705"/>
      <c r="W56" s="705"/>
      <c r="X56" s="705"/>
      <c r="Y56" s="705"/>
      <c r="AA56" s="2058"/>
      <c r="AB56" s="2058"/>
      <c r="AC56" s="2058"/>
      <c r="AD56" s="2058"/>
      <c r="AE56" s="2058"/>
      <c r="AF56" s="363"/>
      <c r="AG56" s="363"/>
    </row>
    <row r="57" spans="2:33" ht="16.899999999999999" customHeight="1">
      <c r="AA57" s="2059"/>
      <c r="AB57" s="2059"/>
      <c r="AC57" s="2059"/>
      <c r="AD57" s="2059"/>
      <c r="AE57" s="2059"/>
      <c r="AF57" s="363"/>
      <c r="AG57" s="363"/>
    </row>
    <row r="58" spans="2:33" ht="16.899999999999999" customHeight="1">
      <c r="AF58" s="363"/>
      <c r="AG58" s="363"/>
    </row>
    <row r="59" spans="2:33" ht="16.899999999999999" customHeight="1">
      <c r="AF59" s="363"/>
      <c r="AG59" s="363"/>
    </row>
    <row r="60" spans="2:33" ht="16.899999999999999" customHeight="1">
      <c r="AF60" s="363"/>
      <c r="AG60" s="363"/>
    </row>
    <row r="61" spans="2:33" ht="16.899999999999999" customHeight="1">
      <c r="AF61" s="363"/>
      <c r="AG61" s="363"/>
    </row>
    <row r="64" spans="2:33" ht="16.899999999999999" customHeight="1">
      <c r="B64" s="2060" t="s">
        <v>353</v>
      </c>
      <c r="C64" s="2061"/>
      <c r="D64" s="2061"/>
      <c r="E64" s="2061"/>
      <c r="F64" s="2061"/>
      <c r="G64" s="2061"/>
      <c r="H64" s="2061"/>
      <c r="I64" s="2061"/>
      <c r="J64" s="2061"/>
      <c r="K64" s="2061"/>
      <c r="L64" s="2061"/>
      <c r="M64" s="2061"/>
      <c r="N64" s="2061"/>
      <c r="O64" s="2061"/>
      <c r="P64" s="2061"/>
      <c r="Q64" s="2061"/>
      <c r="R64" s="2061"/>
      <c r="S64" s="2061"/>
      <c r="T64" s="2061"/>
      <c r="U64" s="2061"/>
      <c r="V64" s="2061"/>
      <c r="W64" s="2061"/>
      <c r="X64" s="2061"/>
      <c r="Y64" s="2062"/>
      <c r="Z64" s="363"/>
      <c r="AA64" s="363"/>
      <c r="AB64" s="363"/>
      <c r="AC64" s="363"/>
      <c r="AD64" s="363"/>
      <c r="AE64" s="363"/>
    </row>
    <row r="65" spans="2:34" ht="16.899999999999999" customHeight="1">
      <c r="B65" s="2063" t="s">
        <v>354</v>
      </c>
      <c r="C65" s="2064"/>
      <c r="D65" s="2065" t="s">
        <v>355</v>
      </c>
      <c r="E65" s="2066"/>
      <c r="F65" s="2065" t="s">
        <v>356</v>
      </c>
      <c r="G65" s="2066"/>
      <c r="H65" s="2066"/>
      <c r="I65" s="2066"/>
      <c r="J65" s="2067" t="s">
        <v>354</v>
      </c>
      <c r="K65" s="2064"/>
      <c r="L65" s="2065" t="s">
        <v>355</v>
      </c>
      <c r="M65" s="2066"/>
      <c r="N65" s="2065" t="s">
        <v>356</v>
      </c>
      <c r="O65" s="2066"/>
      <c r="P65" s="2066"/>
      <c r="Q65" s="2066"/>
      <c r="R65" s="2067" t="s">
        <v>354</v>
      </c>
      <c r="S65" s="2064"/>
      <c r="T65" s="2065" t="s">
        <v>355</v>
      </c>
      <c r="U65" s="2066"/>
      <c r="V65" s="2065" t="s">
        <v>356</v>
      </c>
      <c r="W65" s="2066"/>
      <c r="X65" s="2066"/>
      <c r="Y65" s="2068"/>
      <c r="Z65" s="363"/>
      <c r="AA65" s="363"/>
      <c r="AB65" s="363"/>
      <c r="AC65" s="363"/>
      <c r="AD65" s="363"/>
      <c r="AE65" s="363"/>
      <c r="AF65" s="1050"/>
      <c r="AG65" s="1050"/>
      <c r="AH65" s="1050"/>
    </row>
    <row r="66" spans="2:34" ht="16.899999999999999" customHeight="1">
      <c r="B66" s="2014" t="s">
        <v>357</v>
      </c>
      <c r="C66" s="1489"/>
      <c r="D66" s="1489" t="s">
        <v>314</v>
      </c>
      <c r="E66" s="1489"/>
      <c r="F66" s="2015"/>
      <c r="G66" s="2015"/>
      <c r="H66" s="2015"/>
      <c r="I66" s="2016"/>
      <c r="J66" s="1489" t="s">
        <v>358</v>
      </c>
      <c r="K66" s="1489"/>
      <c r="L66" s="1489" t="s">
        <v>359</v>
      </c>
      <c r="M66" s="1489"/>
      <c r="N66" s="1488"/>
      <c r="O66" s="1488"/>
      <c r="P66" s="1488"/>
      <c r="Q66" s="2039"/>
      <c r="R66" s="2029" t="s">
        <v>109</v>
      </c>
      <c r="S66" s="2029"/>
      <c r="T66" s="2029" t="s">
        <v>360</v>
      </c>
      <c r="U66" s="2029"/>
      <c r="V66" s="2032" t="s">
        <v>361</v>
      </c>
      <c r="W66" s="2032"/>
      <c r="X66" s="2032"/>
      <c r="Y66" s="2049"/>
      <c r="Z66" s="363"/>
      <c r="AA66" s="363"/>
      <c r="AB66" s="363"/>
      <c r="AC66" s="363"/>
      <c r="AD66" s="363"/>
      <c r="AE66" s="363"/>
      <c r="AF66" s="1050"/>
      <c r="AG66" s="1050"/>
      <c r="AH66" s="1050"/>
    </row>
    <row r="67" spans="2:34" ht="16.899999999999999" customHeight="1">
      <c r="B67" s="2010" t="s">
        <v>362</v>
      </c>
      <c r="C67" s="1977"/>
      <c r="D67" s="2011" t="s">
        <v>315</v>
      </c>
      <c r="E67" s="1977"/>
      <c r="F67" s="2041"/>
      <c r="G67" s="2042"/>
      <c r="H67" s="2042"/>
      <c r="I67" s="2013"/>
      <c r="J67" s="2011" t="s">
        <v>363</v>
      </c>
      <c r="K67" s="1977"/>
      <c r="L67" s="2011" t="s">
        <v>364</v>
      </c>
      <c r="M67" s="1977"/>
      <c r="N67" s="2043" t="s">
        <v>365</v>
      </c>
      <c r="O67" s="2044"/>
      <c r="P67" s="2044"/>
      <c r="Q67" s="2045"/>
      <c r="R67" s="2046" t="s">
        <v>114</v>
      </c>
      <c r="S67" s="2047"/>
      <c r="T67" s="2011" t="s">
        <v>366</v>
      </c>
      <c r="U67" s="1977"/>
      <c r="V67" s="2011"/>
      <c r="W67" s="1977"/>
      <c r="X67" s="1977"/>
      <c r="Y67" s="2048"/>
      <c r="Z67" s="363"/>
      <c r="AA67" s="363"/>
      <c r="AB67" s="363"/>
      <c r="AC67" s="363"/>
      <c r="AD67" s="363"/>
      <c r="AE67" s="363"/>
      <c r="AF67" s="1050"/>
      <c r="AG67" s="1050"/>
      <c r="AH67" s="1050"/>
    </row>
    <row r="68" spans="2:34" ht="16.899999999999999" customHeight="1">
      <c r="B68" s="2014" t="s">
        <v>367</v>
      </c>
      <c r="C68" s="1489"/>
      <c r="D68" s="1489" t="s">
        <v>318</v>
      </c>
      <c r="E68" s="1489"/>
      <c r="F68" s="2015"/>
      <c r="G68" s="2015"/>
      <c r="H68" s="2015"/>
      <c r="I68" s="2016"/>
      <c r="J68" s="1489" t="s">
        <v>368</v>
      </c>
      <c r="K68" s="1489"/>
      <c r="L68" s="1489" t="s">
        <v>369</v>
      </c>
      <c r="M68" s="1489"/>
      <c r="N68" s="1488"/>
      <c r="O68" s="1488"/>
      <c r="P68" s="1488"/>
      <c r="Q68" s="2039"/>
      <c r="R68" s="1489" t="s">
        <v>370</v>
      </c>
      <c r="S68" s="1489"/>
      <c r="T68" s="1489" t="s">
        <v>371</v>
      </c>
      <c r="U68" s="1489"/>
      <c r="V68" s="1489" t="s">
        <v>372</v>
      </c>
      <c r="W68" s="1489"/>
      <c r="X68" s="1489"/>
      <c r="Y68" s="2040"/>
      <c r="Z68" s="363"/>
      <c r="AA68" s="363"/>
      <c r="AB68" s="363"/>
      <c r="AC68" s="363"/>
      <c r="AD68" s="363"/>
      <c r="AE68" s="363"/>
      <c r="AF68" s="1050"/>
      <c r="AG68" s="1050"/>
      <c r="AH68" s="1050"/>
    </row>
    <row r="69" spans="2:34" ht="16.899999999999999" customHeight="1">
      <c r="B69" s="2010" t="s">
        <v>373</v>
      </c>
      <c r="C69" s="1977"/>
      <c r="D69" s="2011" t="s">
        <v>321</v>
      </c>
      <c r="E69" s="1977"/>
      <c r="F69" s="2012"/>
      <c r="G69" s="2013"/>
      <c r="H69" s="2013"/>
      <c r="I69" s="2013"/>
      <c r="J69" s="1047"/>
      <c r="K69" s="1047"/>
      <c r="L69" s="1047"/>
      <c r="M69" s="1047"/>
      <c r="N69" s="1047"/>
      <c r="O69" s="1047"/>
      <c r="P69" s="1047"/>
      <c r="Q69" s="1048"/>
      <c r="R69" s="1968" t="s">
        <v>63</v>
      </c>
      <c r="S69" s="1969"/>
      <c r="T69" s="1968" t="s">
        <v>374</v>
      </c>
      <c r="U69" s="1969"/>
      <c r="V69" s="2035"/>
      <c r="W69" s="2036"/>
      <c r="X69" s="2036"/>
      <c r="Y69" s="2037"/>
      <c r="Z69" s="363"/>
      <c r="AA69" s="363"/>
      <c r="AB69" s="363"/>
      <c r="AC69" s="363"/>
      <c r="AD69" s="363"/>
      <c r="AE69" s="363"/>
      <c r="AF69" s="1050"/>
      <c r="AG69" s="1050"/>
      <c r="AH69" s="1050"/>
    </row>
    <row r="70" spans="2:34" ht="16.899999999999999" customHeight="1">
      <c r="B70" s="2014" t="s">
        <v>375</v>
      </c>
      <c r="C70" s="1489"/>
      <c r="D70" s="1489" t="s">
        <v>319</v>
      </c>
      <c r="E70" s="1489"/>
      <c r="F70" s="2015"/>
      <c r="G70" s="2015"/>
      <c r="H70" s="2015"/>
      <c r="I70" s="2016"/>
      <c r="Q70" s="1049"/>
      <c r="R70" s="1489" t="s">
        <v>70</v>
      </c>
      <c r="S70" s="1489"/>
      <c r="T70" s="1489" t="s">
        <v>376</v>
      </c>
      <c r="U70" s="1489"/>
      <c r="V70" s="1488"/>
      <c r="W70" s="1488"/>
      <c r="X70" s="1488"/>
      <c r="Y70" s="2038"/>
      <c r="Z70" s="363"/>
      <c r="AA70" s="363"/>
      <c r="AB70" s="363"/>
      <c r="AC70" s="363"/>
      <c r="AD70" s="363"/>
      <c r="AE70" s="363"/>
      <c r="AF70" s="1050"/>
      <c r="AG70" s="1050"/>
      <c r="AH70" s="1050"/>
    </row>
    <row r="71" spans="2:34" ht="16.899999999999999" customHeight="1">
      <c r="B71" s="2006" t="s">
        <v>377</v>
      </c>
      <c r="C71" s="1969"/>
      <c r="D71" s="1968" t="s">
        <v>317</v>
      </c>
      <c r="E71" s="1969"/>
      <c r="F71" s="2007" t="s">
        <v>378</v>
      </c>
      <c r="G71" s="2008"/>
      <c r="H71" s="2008"/>
      <c r="I71" s="2009"/>
      <c r="J71" s="1047"/>
      <c r="K71" s="1047"/>
      <c r="L71" s="1047"/>
      <c r="M71" s="1047"/>
      <c r="N71" s="1047"/>
      <c r="O71" s="1047"/>
      <c r="P71" s="1047"/>
      <c r="Q71" s="1048"/>
      <c r="R71" s="1968" t="s">
        <v>76</v>
      </c>
      <c r="S71" s="1969"/>
      <c r="T71" s="1968"/>
      <c r="U71" s="1969"/>
      <c r="V71" s="2007" t="s">
        <v>379</v>
      </c>
      <c r="W71" s="2008"/>
      <c r="X71" s="2008"/>
      <c r="Y71" s="2027"/>
      <c r="Z71" s="363"/>
      <c r="AA71" s="363"/>
      <c r="AB71" s="363"/>
      <c r="AC71" s="363"/>
      <c r="AD71" s="363"/>
      <c r="AE71" s="363"/>
      <c r="AF71" s="1050"/>
      <c r="AG71" s="1050"/>
      <c r="AH71" s="1050"/>
    </row>
    <row r="72" spans="2:34" ht="16.899999999999999" customHeight="1">
      <c r="B72" s="2028" t="s">
        <v>380</v>
      </c>
      <c r="C72" s="2029"/>
      <c r="D72" s="2029" t="s">
        <v>316</v>
      </c>
      <c r="E72" s="2029"/>
      <c r="F72" s="2030"/>
      <c r="G72" s="2030"/>
      <c r="H72" s="2030"/>
      <c r="I72" s="2031"/>
      <c r="J72" s="1250" t="s">
        <v>86</v>
      </c>
      <c r="K72" s="1250"/>
      <c r="L72" s="2029" t="s">
        <v>381</v>
      </c>
      <c r="M72" s="2029"/>
      <c r="N72" s="2032" t="s">
        <v>382</v>
      </c>
      <c r="O72" s="2032"/>
      <c r="P72" s="2032"/>
      <c r="Q72" s="2033"/>
      <c r="R72" s="2029" t="s">
        <v>79</v>
      </c>
      <c r="S72" s="2029"/>
      <c r="T72" s="1489"/>
      <c r="U72" s="1489"/>
      <c r="V72" s="2015" t="s">
        <v>383</v>
      </c>
      <c r="W72" s="2015"/>
      <c r="X72" s="2015"/>
      <c r="Y72" s="2034"/>
      <c r="Z72" s="363"/>
      <c r="AA72" s="363"/>
      <c r="AB72" s="363"/>
      <c r="AC72" s="363"/>
      <c r="AD72" s="363"/>
      <c r="AE72" s="363"/>
      <c r="AF72" s="1050"/>
      <c r="AG72" s="1050"/>
      <c r="AH72" s="1050"/>
    </row>
    <row r="73" spans="2:34" ht="16.899999999999999" customHeight="1">
      <c r="B73" s="2006" t="s">
        <v>384</v>
      </c>
      <c r="C73" s="1969"/>
      <c r="D73" s="1968" t="s">
        <v>320</v>
      </c>
      <c r="E73" s="1969"/>
      <c r="F73" s="2007"/>
      <c r="G73" s="2008"/>
      <c r="H73" s="2008"/>
      <c r="I73" s="2009"/>
      <c r="J73" s="1968" t="s">
        <v>94</v>
      </c>
      <c r="K73" s="1969"/>
      <c r="L73" s="1968" t="s">
        <v>385</v>
      </c>
      <c r="M73" s="1969"/>
      <c r="N73" s="2024" t="s">
        <v>386</v>
      </c>
      <c r="O73" s="2025"/>
      <c r="P73" s="2025"/>
      <c r="Q73" s="2026"/>
      <c r="R73" s="1968" t="s">
        <v>87</v>
      </c>
      <c r="S73" s="1969"/>
      <c r="T73" s="1968" t="s">
        <v>387</v>
      </c>
      <c r="U73" s="1969"/>
      <c r="V73" s="2007" t="s">
        <v>388</v>
      </c>
      <c r="W73" s="2008"/>
      <c r="X73" s="2008"/>
      <c r="Y73" s="2027"/>
      <c r="Z73" s="363"/>
      <c r="AA73" s="363"/>
      <c r="AB73" s="363"/>
      <c r="AC73" s="363"/>
      <c r="AD73" s="363"/>
      <c r="AE73" s="363"/>
      <c r="AF73" s="1050"/>
      <c r="AG73" s="1050"/>
      <c r="AH73" s="1050"/>
    </row>
    <row r="74" spans="2:34" ht="16.899999999999999" customHeight="1">
      <c r="B74" s="2002" t="s">
        <v>389</v>
      </c>
      <c r="C74" s="2003"/>
      <c r="D74" s="2003"/>
      <c r="E74" s="2003"/>
      <c r="F74" s="2004" t="s">
        <v>390</v>
      </c>
      <c r="G74" s="2004"/>
      <c r="H74" s="2004"/>
      <c r="I74" s="2005"/>
      <c r="J74" s="1962" t="s">
        <v>96</v>
      </c>
      <c r="K74" s="1962"/>
      <c r="L74" s="1962" t="s">
        <v>391</v>
      </c>
      <c r="M74" s="1962"/>
      <c r="N74" s="1963" t="s">
        <v>392</v>
      </c>
      <c r="O74" s="1963"/>
      <c r="P74" s="1963"/>
      <c r="Q74" s="1964"/>
      <c r="R74" s="1965" t="s">
        <v>132</v>
      </c>
      <c r="S74" s="1965"/>
      <c r="T74" s="1962" t="s">
        <v>393</v>
      </c>
      <c r="U74" s="1962"/>
      <c r="V74" s="1966"/>
      <c r="W74" s="1966"/>
      <c r="X74" s="1966"/>
      <c r="Y74" s="1967"/>
      <c r="Z74" s="363"/>
      <c r="AA74" s="363"/>
      <c r="AB74" s="363"/>
      <c r="AC74" s="363"/>
      <c r="AD74" s="363"/>
      <c r="AE74" s="363"/>
      <c r="AF74" s="1050"/>
      <c r="AG74" s="1050"/>
      <c r="AH74" s="1050"/>
    </row>
    <row r="75" spans="2:34" ht="16.899999999999999" customHeight="1">
      <c r="B75" s="1931" t="s">
        <v>394</v>
      </c>
      <c r="C75" s="1931"/>
      <c r="D75" s="1931"/>
      <c r="E75" s="1931"/>
      <c r="F75" s="1931"/>
      <c r="G75" s="1931"/>
      <c r="Z75" s="363"/>
      <c r="AA75" s="363"/>
      <c r="AB75" s="363"/>
      <c r="AC75" s="363"/>
      <c r="AD75" s="363"/>
      <c r="AE75" s="363"/>
      <c r="AF75" s="1050"/>
      <c r="AG75" s="1050"/>
      <c r="AH75" s="1050"/>
    </row>
    <row r="76" spans="2:34" ht="16.899999999999999" customHeight="1">
      <c r="B76" s="1931"/>
      <c r="C76" s="1931"/>
      <c r="D76" s="1931"/>
      <c r="E76" s="1931"/>
      <c r="F76" s="1931"/>
      <c r="G76" s="1931"/>
      <c r="H76" s="363"/>
      <c r="I76" s="363"/>
      <c r="J76" s="363"/>
      <c r="K76" s="363"/>
      <c r="L76" s="363"/>
      <c r="M76" s="363"/>
      <c r="N76" s="363"/>
      <c r="O76" s="363"/>
      <c r="P76" s="363"/>
      <c r="Q76" s="363"/>
      <c r="R76" s="363"/>
      <c r="S76" s="363"/>
      <c r="T76" s="363"/>
      <c r="U76" s="363"/>
      <c r="V76" s="363"/>
      <c r="W76" s="363"/>
      <c r="X76" s="363"/>
      <c r="Y76" s="363"/>
    </row>
    <row r="77" spans="2:34" ht="16.899999999999999" customHeight="1">
      <c r="B77" s="1941" t="s">
        <v>395</v>
      </c>
      <c r="C77" s="1942"/>
      <c r="D77" s="1942"/>
      <c r="E77" s="1942"/>
      <c r="F77" s="1942"/>
      <c r="G77" s="1942"/>
      <c r="H77" s="1942"/>
      <c r="I77" s="1942"/>
      <c r="J77" s="1942"/>
      <c r="K77" s="1942"/>
      <c r="L77" s="1942"/>
      <c r="M77" s="1942"/>
      <c r="N77" s="1942"/>
      <c r="O77" s="1942"/>
      <c r="P77" s="1942"/>
      <c r="Q77" s="1942"/>
      <c r="R77" s="1942"/>
      <c r="S77" s="1942"/>
      <c r="T77" s="1942"/>
      <c r="U77" s="1942"/>
      <c r="V77" s="1942"/>
      <c r="W77" s="1942"/>
      <c r="X77" s="1942"/>
      <c r="Y77" s="1942"/>
      <c r="Z77" s="1942"/>
      <c r="AA77" s="1942"/>
      <c r="AB77" s="1942"/>
      <c r="AC77" s="1942"/>
      <c r="AD77" s="1942"/>
      <c r="AE77" s="1943"/>
    </row>
    <row r="78" spans="2:34" ht="16.5">
      <c r="B78" s="1944"/>
      <c r="C78" s="1945"/>
      <c r="D78" s="1945"/>
      <c r="E78" s="1945"/>
      <c r="F78" s="1945"/>
      <c r="G78" s="1945"/>
      <c r="H78" s="1945"/>
      <c r="I78" s="1945"/>
      <c r="J78" s="1945"/>
      <c r="K78" s="1945"/>
      <c r="L78" s="1945"/>
      <c r="M78" s="1945"/>
      <c r="N78" s="1945"/>
      <c r="O78" s="1945"/>
      <c r="P78" s="1945"/>
      <c r="Q78" s="1945"/>
      <c r="R78" s="1945"/>
      <c r="S78" s="1945"/>
      <c r="T78" s="1945"/>
      <c r="U78" s="1945"/>
      <c r="V78" s="1945"/>
      <c r="W78" s="1945"/>
      <c r="X78" s="1945"/>
      <c r="Y78" s="1945"/>
      <c r="Z78" s="1945"/>
      <c r="AA78" s="1945"/>
      <c r="AB78" s="1945"/>
      <c r="AC78" s="1945"/>
      <c r="AD78" s="1945"/>
      <c r="AE78" s="1946"/>
    </row>
    <row r="79" spans="2:34" ht="16.899999999999999" customHeight="1">
      <c r="B79" s="1955" t="s">
        <v>90</v>
      </c>
      <c r="C79" s="1956"/>
      <c r="D79" s="1956"/>
      <c r="E79" s="1957" t="s">
        <v>396</v>
      </c>
      <c r="F79" s="1958"/>
      <c r="G79" s="1958"/>
      <c r="H79" s="1957" t="s">
        <v>100</v>
      </c>
      <c r="I79" s="1958"/>
      <c r="J79" s="1959" t="s">
        <v>108</v>
      </c>
      <c r="K79" s="1960"/>
      <c r="L79" s="1960"/>
      <c r="M79" s="1960"/>
      <c r="N79" s="1960"/>
      <c r="O79" s="1960"/>
      <c r="P79" s="1960"/>
      <c r="Q79" s="1960"/>
      <c r="R79" s="1960"/>
      <c r="S79" s="1960"/>
      <c r="T79" s="1960"/>
      <c r="U79" s="1960"/>
      <c r="V79" s="1960"/>
      <c r="W79" s="1960"/>
      <c r="X79" s="1960"/>
      <c r="Y79" s="1960"/>
      <c r="Z79" s="1960"/>
      <c r="AA79" s="1960"/>
      <c r="AB79" s="1960"/>
      <c r="AC79" s="1960"/>
      <c r="AD79" s="1960"/>
      <c r="AE79" s="1961"/>
    </row>
    <row r="80" spans="2:34" ht="16.5">
      <c r="B80" s="1899" t="s">
        <v>397</v>
      </c>
      <c r="C80" s="1900"/>
      <c r="D80" s="1900"/>
      <c r="E80" s="1897" t="s">
        <v>398</v>
      </c>
      <c r="F80" s="1900"/>
      <c r="G80" s="1900"/>
      <c r="H80" s="1897">
        <v>70</v>
      </c>
      <c r="I80" s="1900"/>
      <c r="J80" s="1904" t="s">
        <v>399</v>
      </c>
      <c r="K80" s="1905"/>
      <c r="L80" s="1905"/>
      <c r="M80" s="1905"/>
      <c r="N80" s="1905"/>
      <c r="O80" s="1905"/>
      <c r="P80" s="1905"/>
      <c r="Q80" s="1905"/>
      <c r="R80" s="1905"/>
      <c r="S80" s="1905"/>
      <c r="T80" s="1905"/>
      <c r="U80" s="1905"/>
      <c r="V80" s="1905"/>
      <c r="W80" s="1905"/>
      <c r="X80" s="1905"/>
      <c r="Y80" s="1905"/>
      <c r="Z80" s="1905"/>
      <c r="AA80" s="1905"/>
      <c r="AB80" s="1905"/>
      <c r="AC80" s="1905"/>
      <c r="AD80" s="1905"/>
      <c r="AE80" s="1906"/>
    </row>
    <row r="81" spans="2:31" ht="16.5">
      <c r="B81" s="1901"/>
      <c r="C81" s="1900"/>
      <c r="D81" s="1900"/>
      <c r="E81" s="1900"/>
      <c r="F81" s="1900"/>
      <c r="G81" s="1900"/>
      <c r="H81" s="1900"/>
      <c r="I81" s="1900"/>
      <c r="J81" s="1905"/>
      <c r="K81" s="1905"/>
      <c r="L81" s="1905"/>
      <c r="M81" s="1905"/>
      <c r="N81" s="1905"/>
      <c r="O81" s="1905"/>
      <c r="P81" s="1905"/>
      <c r="Q81" s="1905"/>
      <c r="R81" s="1905"/>
      <c r="S81" s="1905"/>
      <c r="T81" s="1905"/>
      <c r="U81" s="1905"/>
      <c r="V81" s="1905"/>
      <c r="W81" s="1905"/>
      <c r="X81" s="1905"/>
      <c r="Y81" s="1905"/>
      <c r="Z81" s="1905"/>
      <c r="AA81" s="1905"/>
      <c r="AB81" s="1905"/>
      <c r="AC81" s="1905"/>
      <c r="AD81" s="1905"/>
      <c r="AE81" s="1906"/>
    </row>
    <row r="82" spans="2:31" ht="16.5">
      <c r="B82" s="1885" t="s">
        <v>400</v>
      </c>
      <c r="C82" s="1886"/>
      <c r="D82" s="1886"/>
      <c r="E82" s="1886" t="s">
        <v>401</v>
      </c>
      <c r="F82" s="1886"/>
      <c r="G82" s="1886"/>
      <c r="H82" s="1886">
        <v>60</v>
      </c>
      <c r="I82" s="1886"/>
      <c r="J82" s="1907" t="s">
        <v>402</v>
      </c>
      <c r="K82" s="1907"/>
      <c r="L82" s="1907"/>
      <c r="M82" s="1907"/>
      <c r="N82" s="1907"/>
      <c r="O82" s="1907"/>
      <c r="P82" s="1907"/>
      <c r="Q82" s="1907"/>
      <c r="R82" s="1907"/>
      <c r="S82" s="1907"/>
      <c r="T82" s="1907"/>
      <c r="U82" s="1907"/>
      <c r="V82" s="1907"/>
      <c r="W82" s="1907"/>
      <c r="X82" s="1907"/>
      <c r="Y82" s="1907"/>
      <c r="Z82" s="1907"/>
      <c r="AA82" s="1907"/>
      <c r="AB82" s="1907"/>
      <c r="AC82" s="1907"/>
      <c r="AD82" s="1907"/>
      <c r="AE82" s="1908"/>
    </row>
    <row r="83" spans="2:31" ht="16.5">
      <c r="B83" s="1885"/>
      <c r="C83" s="1886"/>
      <c r="D83" s="1886"/>
      <c r="E83" s="1886"/>
      <c r="F83" s="1886"/>
      <c r="G83" s="1886"/>
      <c r="H83" s="1886"/>
      <c r="I83" s="1886"/>
      <c r="J83" s="1907"/>
      <c r="K83" s="1907"/>
      <c r="L83" s="1907"/>
      <c r="M83" s="1907"/>
      <c r="N83" s="1907"/>
      <c r="O83" s="1907"/>
      <c r="P83" s="1907"/>
      <c r="Q83" s="1907"/>
      <c r="R83" s="1907"/>
      <c r="S83" s="1907"/>
      <c r="T83" s="1907"/>
      <c r="U83" s="1907"/>
      <c r="V83" s="1907"/>
      <c r="W83" s="1907"/>
      <c r="X83" s="1907"/>
      <c r="Y83" s="1907"/>
      <c r="Z83" s="1907"/>
      <c r="AA83" s="1907"/>
      <c r="AB83" s="1907"/>
      <c r="AC83" s="1907"/>
      <c r="AD83" s="1907"/>
      <c r="AE83" s="1908"/>
    </row>
    <row r="84" spans="2:31" ht="16.5">
      <c r="B84" s="1899" t="s">
        <v>403</v>
      </c>
      <c r="C84" s="1900"/>
      <c r="D84" s="1900"/>
      <c r="E84" s="1897" t="s">
        <v>401</v>
      </c>
      <c r="F84" s="1900"/>
      <c r="G84" s="1900"/>
      <c r="H84" s="1897">
        <v>60</v>
      </c>
      <c r="I84" s="1898"/>
      <c r="J84" s="1904" t="s">
        <v>404</v>
      </c>
      <c r="K84" s="1909"/>
      <c r="L84" s="1909"/>
      <c r="M84" s="1909"/>
      <c r="N84" s="1909"/>
      <c r="O84" s="1909"/>
      <c r="P84" s="1909"/>
      <c r="Q84" s="1909"/>
      <c r="R84" s="1909"/>
      <c r="S84" s="1909"/>
      <c r="T84" s="1909"/>
      <c r="U84" s="1909"/>
      <c r="V84" s="1909"/>
      <c r="W84" s="1909"/>
      <c r="X84" s="1909"/>
      <c r="Y84" s="1909"/>
      <c r="Z84" s="1909"/>
      <c r="AA84" s="1909"/>
      <c r="AB84" s="1909"/>
      <c r="AC84" s="1909"/>
      <c r="AD84" s="1909"/>
      <c r="AE84" s="1910"/>
    </row>
    <row r="85" spans="2:31" ht="16.5">
      <c r="B85" s="1901"/>
      <c r="C85" s="1900"/>
      <c r="D85" s="1900"/>
      <c r="E85" s="1900"/>
      <c r="F85" s="1900"/>
      <c r="G85" s="1900"/>
      <c r="H85" s="1898"/>
      <c r="I85" s="1898"/>
      <c r="J85" s="1909"/>
      <c r="K85" s="1909"/>
      <c r="L85" s="1909"/>
      <c r="M85" s="1909"/>
      <c r="N85" s="1909"/>
      <c r="O85" s="1909"/>
      <c r="P85" s="1909"/>
      <c r="Q85" s="1909"/>
      <c r="R85" s="1909"/>
      <c r="S85" s="1909"/>
      <c r="T85" s="1909"/>
      <c r="U85" s="1909"/>
      <c r="V85" s="1909"/>
      <c r="W85" s="1909"/>
      <c r="X85" s="1909"/>
      <c r="Y85" s="1909"/>
      <c r="Z85" s="1909"/>
      <c r="AA85" s="1909"/>
      <c r="AB85" s="1909"/>
      <c r="AC85" s="1909"/>
      <c r="AD85" s="1909"/>
      <c r="AE85" s="1910"/>
    </row>
    <row r="86" spans="2:31" ht="16.5">
      <c r="B86" s="1885" t="s">
        <v>405</v>
      </c>
      <c r="C86" s="1886"/>
      <c r="D86" s="1886"/>
      <c r="E86" s="1886" t="s">
        <v>401</v>
      </c>
      <c r="F86" s="1886"/>
      <c r="G86" s="1886"/>
      <c r="H86" s="1886">
        <v>60</v>
      </c>
      <c r="I86" s="1886"/>
      <c r="J86" s="1907" t="s">
        <v>406</v>
      </c>
      <c r="K86" s="1907"/>
      <c r="L86" s="1907"/>
      <c r="M86" s="1907"/>
      <c r="N86" s="1907"/>
      <c r="O86" s="1907"/>
      <c r="P86" s="1907"/>
      <c r="Q86" s="1907"/>
      <c r="R86" s="1907"/>
      <c r="S86" s="1907"/>
      <c r="T86" s="1907"/>
      <c r="U86" s="1907"/>
      <c r="V86" s="1907"/>
      <c r="W86" s="1907"/>
      <c r="X86" s="1907"/>
      <c r="Y86" s="1907"/>
      <c r="Z86" s="1907"/>
      <c r="AA86" s="1907"/>
      <c r="AB86" s="1907"/>
      <c r="AC86" s="1907"/>
      <c r="AD86" s="1907"/>
      <c r="AE86" s="1908"/>
    </row>
    <row r="87" spans="2:31" ht="16.5">
      <c r="B87" s="1885"/>
      <c r="C87" s="1886"/>
      <c r="D87" s="1886"/>
      <c r="E87" s="1886"/>
      <c r="F87" s="1886"/>
      <c r="G87" s="1886"/>
      <c r="H87" s="1886"/>
      <c r="I87" s="1886"/>
      <c r="J87" s="1907"/>
      <c r="K87" s="1907"/>
      <c r="L87" s="1907"/>
      <c r="M87" s="1907"/>
      <c r="N87" s="1907"/>
      <c r="O87" s="1907"/>
      <c r="P87" s="1907"/>
      <c r="Q87" s="1907"/>
      <c r="R87" s="1907"/>
      <c r="S87" s="1907"/>
      <c r="T87" s="1907"/>
      <c r="U87" s="1907"/>
      <c r="V87" s="1907"/>
      <c r="W87" s="1907"/>
      <c r="X87" s="1907"/>
      <c r="Y87" s="1907"/>
      <c r="Z87" s="1907"/>
      <c r="AA87" s="1907"/>
      <c r="AB87" s="1907"/>
      <c r="AC87" s="1907"/>
      <c r="AD87" s="1907"/>
      <c r="AE87" s="1908"/>
    </row>
    <row r="88" spans="2:31" ht="16.5">
      <c r="B88" s="1899" t="s">
        <v>407</v>
      </c>
      <c r="C88" s="1900"/>
      <c r="D88" s="1900"/>
      <c r="E88" s="1902" t="s">
        <v>408</v>
      </c>
      <c r="F88" s="1903"/>
      <c r="G88" s="1903"/>
      <c r="H88" s="1897">
        <v>0</v>
      </c>
      <c r="I88" s="1898"/>
      <c r="J88" s="1904" t="s">
        <v>409</v>
      </c>
      <c r="K88" s="1909"/>
      <c r="L88" s="1909"/>
      <c r="M88" s="1909"/>
      <c r="N88" s="1909"/>
      <c r="O88" s="1909"/>
      <c r="P88" s="1909"/>
      <c r="Q88" s="1909"/>
      <c r="R88" s="1909"/>
      <c r="S88" s="1909"/>
      <c r="T88" s="1909"/>
      <c r="U88" s="1909"/>
      <c r="V88" s="1909"/>
      <c r="W88" s="1909"/>
      <c r="X88" s="1909"/>
      <c r="Y88" s="1909"/>
      <c r="Z88" s="1909"/>
      <c r="AA88" s="1909"/>
      <c r="AB88" s="1909"/>
      <c r="AC88" s="1909"/>
      <c r="AD88" s="1909"/>
      <c r="AE88" s="1910"/>
    </row>
    <row r="89" spans="2:31" ht="16.5">
      <c r="B89" s="1901"/>
      <c r="C89" s="1900"/>
      <c r="D89" s="1900"/>
      <c r="E89" s="1903"/>
      <c r="F89" s="1903"/>
      <c r="G89" s="1903"/>
      <c r="H89" s="1898"/>
      <c r="I89" s="1898"/>
      <c r="J89" s="1909"/>
      <c r="K89" s="1909"/>
      <c r="L89" s="1909"/>
      <c r="M89" s="1909"/>
      <c r="N89" s="1909"/>
      <c r="O89" s="1909"/>
      <c r="P89" s="1909"/>
      <c r="Q89" s="1909"/>
      <c r="R89" s="1909"/>
      <c r="S89" s="1909"/>
      <c r="T89" s="1909"/>
      <c r="U89" s="1909"/>
      <c r="V89" s="1909"/>
      <c r="W89" s="1909"/>
      <c r="X89" s="1909"/>
      <c r="Y89" s="1909"/>
      <c r="Z89" s="1909"/>
      <c r="AA89" s="1909"/>
      <c r="AB89" s="1909"/>
      <c r="AC89" s="1909"/>
      <c r="AD89" s="1909"/>
      <c r="AE89" s="1910"/>
    </row>
    <row r="90" spans="2:31" ht="16.5">
      <c r="B90" s="1885" t="str">
        <f>IF(ISBLANK(人物卡!BC26),"",人物卡!BC26)</f>
        <v/>
      </c>
      <c r="C90" s="1886"/>
      <c r="D90" s="1886"/>
      <c r="E90" s="1886" t="str">
        <f>IF(ISBLANK(人物卡!BC28),"",人物卡!BC28)</f>
        <v/>
      </c>
      <c r="F90" s="1886"/>
      <c r="G90" s="1886"/>
      <c r="H90" s="1886" t="str">
        <f>IF(ISBLANK(人物卡!BG28),"",人物卡!BG28)</f>
        <v/>
      </c>
      <c r="I90" s="1886"/>
      <c r="J90" s="1907" t="str">
        <f>IF(ISBLANK(人物卡!BC30),"",人物卡!BC30)</f>
        <v/>
      </c>
      <c r="K90" s="1907"/>
      <c r="L90" s="1907"/>
      <c r="M90" s="1907"/>
      <c r="N90" s="1907"/>
      <c r="O90" s="1907"/>
      <c r="P90" s="1907"/>
      <c r="Q90" s="1907"/>
      <c r="R90" s="1907"/>
      <c r="S90" s="1907"/>
      <c r="T90" s="1907"/>
      <c r="U90" s="1907"/>
      <c r="V90" s="1907"/>
      <c r="W90" s="1907"/>
      <c r="X90" s="1907"/>
      <c r="Y90" s="1907"/>
      <c r="Z90" s="1907"/>
      <c r="AA90" s="1907"/>
      <c r="AB90" s="1907"/>
      <c r="AC90" s="1907"/>
      <c r="AD90" s="1907"/>
      <c r="AE90" s="1908"/>
    </row>
    <row r="91" spans="2:31" ht="16.5">
      <c r="B91" s="1887"/>
      <c r="C91" s="1888"/>
      <c r="D91" s="1888"/>
      <c r="E91" s="1888"/>
      <c r="F91" s="1888"/>
      <c r="G91" s="1888"/>
      <c r="H91" s="1888"/>
      <c r="I91" s="1888"/>
      <c r="J91" s="1911"/>
      <c r="K91" s="1911"/>
      <c r="L91" s="1911"/>
      <c r="M91" s="1911"/>
      <c r="N91" s="1911"/>
      <c r="O91" s="1911"/>
      <c r="P91" s="1911"/>
      <c r="Q91" s="1911"/>
      <c r="R91" s="1911"/>
      <c r="S91" s="1911"/>
      <c r="T91" s="1911"/>
      <c r="U91" s="1911"/>
      <c r="V91" s="1911"/>
      <c r="W91" s="1911"/>
      <c r="X91" s="1911"/>
      <c r="Y91" s="1911"/>
      <c r="Z91" s="1911"/>
      <c r="AA91" s="1911"/>
      <c r="AB91" s="1911"/>
      <c r="AC91" s="1911"/>
      <c r="AD91" s="1911"/>
      <c r="AE91" s="1912"/>
    </row>
    <row r="97" ht="16.5"/>
    <row r="98" ht="16.5"/>
    <row r="99" ht="16.5"/>
    <row r="100" ht="16.5"/>
    <row r="101" ht="16.5"/>
    <row r="102" ht="16.5"/>
    <row r="103" ht="16.5"/>
    <row r="104" ht="16.5"/>
    <row r="105" ht="16.5"/>
    <row r="106" ht="16.5"/>
    <row r="107" ht="16.5"/>
    <row r="108" ht="16.5"/>
    <row r="109" ht="16.5"/>
    <row r="110" ht="16.5"/>
    <row r="111" ht="16.5"/>
    <row r="112" ht="16.5"/>
    <row r="113" ht="16.5"/>
    <row r="114" ht="16.5"/>
    <row r="115" ht="16.5"/>
    <row r="116" ht="16.5"/>
    <row r="117" ht="16.5"/>
    <row r="118" ht="16.5"/>
    <row r="119" ht="16.5"/>
    <row r="120" ht="16.5"/>
    <row r="121" ht="16.5"/>
    <row r="122" ht="16.5"/>
    <row r="123" ht="16.5"/>
    <row r="124" ht="16.5"/>
  </sheetData>
  <sheetProtection sheet="1" objects="1" selectLockedCells="1"/>
  <protectedRanges>
    <protectedRange sqref="AG3:AG6 AJ3:AJ6" name="技能表以上"/>
    <protectedRange sqref="E3:E6 H3:H6 B3:B6 K3:K6 AA4 AD4" name="技能表以上_1"/>
  </protectedRanges>
  <mergeCells count="338">
    <mergeCell ref="B2:M2"/>
    <mergeCell ref="N2:Y2"/>
    <mergeCell ref="Z2:AE2"/>
    <mergeCell ref="N3:P3"/>
    <mergeCell ref="T3:V3"/>
    <mergeCell ref="N4:P4"/>
    <mergeCell ref="T4:V4"/>
    <mergeCell ref="N5:P5"/>
    <mergeCell ref="T5:V5"/>
    <mergeCell ref="Z5:AE5"/>
    <mergeCell ref="I3:I4"/>
    <mergeCell ref="I5:I6"/>
    <mergeCell ref="AA3:AB4"/>
    <mergeCell ref="AD3:AE4"/>
    <mergeCell ref="AB6:AE6"/>
    <mergeCell ref="F3:F4"/>
    <mergeCell ref="F5:F6"/>
    <mergeCell ref="AB10:AE10"/>
    <mergeCell ref="B11:M11"/>
    <mergeCell ref="N11:P11"/>
    <mergeCell ref="T11:V11"/>
    <mergeCell ref="Z11:AA11"/>
    <mergeCell ref="AB11:AE11"/>
    <mergeCell ref="O7:P7"/>
    <mergeCell ref="T7:V7"/>
    <mergeCell ref="Z7:AA7"/>
    <mergeCell ref="AB7:AE7"/>
    <mergeCell ref="O8:P8"/>
    <mergeCell ref="T8:V8"/>
    <mergeCell ref="Z8:AA8"/>
    <mergeCell ref="AB8:AE8"/>
    <mergeCell ref="AB9:AE9"/>
    <mergeCell ref="N12:P12"/>
    <mergeCell ref="T12:V12"/>
    <mergeCell ref="Z12:AA12"/>
    <mergeCell ref="AB12:AE12"/>
    <mergeCell ref="N13:P13"/>
    <mergeCell ref="T13:V13"/>
    <mergeCell ref="Z13:AA13"/>
    <mergeCell ref="AB13:AE13"/>
    <mergeCell ref="N14:P14"/>
    <mergeCell ref="U14:V14"/>
    <mergeCell ref="Z14:AA14"/>
    <mergeCell ref="AB14:AE14"/>
    <mergeCell ref="AB15:AE15"/>
    <mergeCell ref="N16:P16"/>
    <mergeCell ref="T16:V16"/>
    <mergeCell ref="Z16:AA16"/>
    <mergeCell ref="AB16:AE16"/>
    <mergeCell ref="B17:M17"/>
    <mergeCell ref="N17:P17"/>
    <mergeCell ref="T17:V17"/>
    <mergeCell ref="Z17:AA17"/>
    <mergeCell ref="AB17:AE17"/>
    <mergeCell ref="E19:F19"/>
    <mergeCell ref="G19:H19"/>
    <mergeCell ref="I19:J19"/>
    <mergeCell ref="K19:L19"/>
    <mergeCell ref="N19:P19"/>
    <mergeCell ref="U19:V19"/>
    <mergeCell ref="N15:P15"/>
    <mergeCell ref="T15:V15"/>
    <mergeCell ref="Z15:AA15"/>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Z18:AE20"/>
    <mergeCell ref="B18:D18"/>
    <mergeCell ref="E18:F18"/>
    <mergeCell ref="G18:H18"/>
    <mergeCell ref="I18:J18"/>
    <mergeCell ref="K18:L18"/>
    <mergeCell ref="N18:P18"/>
    <mergeCell ref="U18:V18"/>
    <mergeCell ref="B19:D19"/>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O36:P36"/>
    <mergeCell ref="T36:V36"/>
    <mergeCell ref="AF36:AO36"/>
    <mergeCell ref="B37:O37"/>
    <mergeCell ref="P37:Y37"/>
    <mergeCell ref="B38:Y38"/>
    <mergeCell ref="B39:Y39"/>
    <mergeCell ref="AF39:AN39"/>
    <mergeCell ref="H28:M36"/>
    <mergeCell ref="AF37:AL38"/>
    <mergeCell ref="Z34:AE36"/>
    <mergeCell ref="C33:F33"/>
    <mergeCell ref="O33:P33"/>
    <mergeCell ref="T33:V33"/>
    <mergeCell ref="Z33:AC33"/>
    <mergeCell ref="AD33:AE33"/>
    <mergeCell ref="C34:F34"/>
    <mergeCell ref="O34:P34"/>
    <mergeCell ref="T34:V34"/>
    <mergeCell ref="C35:F35"/>
    <mergeCell ref="O35:P35"/>
    <mergeCell ref="T35:V35"/>
    <mergeCell ref="C31:F31"/>
    <mergeCell ref="N31:P31"/>
    <mergeCell ref="Z50:AE50"/>
    <mergeCell ref="B51:Y51"/>
    <mergeCell ref="AA56:AE56"/>
    <mergeCell ref="AA57:AE57"/>
    <mergeCell ref="B64:Y64"/>
    <mergeCell ref="B65:C65"/>
    <mergeCell ref="D65:E65"/>
    <mergeCell ref="F65:I65"/>
    <mergeCell ref="J65:K65"/>
    <mergeCell ref="L65:M65"/>
    <mergeCell ref="N65:Q65"/>
    <mergeCell ref="R65:S65"/>
    <mergeCell ref="T65:U65"/>
    <mergeCell ref="V65:Y65"/>
    <mergeCell ref="J66:K66"/>
    <mergeCell ref="L66:M66"/>
    <mergeCell ref="N66:Q66"/>
    <mergeCell ref="R66:S66"/>
    <mergeCell ref="T66:U66"/>
    <mergeCell ref="V66:Y66"/>
    <mergeCell ref="B44:Y44"/>
    <mergeCell ref="B45:Y45"/>
    <mergeCell ref="B50:Y50"/>
    <mergeCell ref="J68:K68"/>
    <mergeCell ref="L68:M68"/>
    <mergeCell ref="N68:Q68"/>
    <mergeCell ref="R68:S68"/>
    <mergeCell ref="T68:U68"/>
    <mergeCell ref="V68:Y68"/>
    <mergeCell ref="B67:C67"/>
    <mergeCell ref="D67:E67"/>
    <mergeCell ref="F67:I67"/>
    <mergeCell ref="J67:K67"/>
    <mergeCell ref="L67:M67"/>
    <mergeCell ref="N67:Q67"/>
    <mergeCell ref="R67:S67"/>
    <mergeCell ref="T67:U67"/>
    <mergeCell ref="V67:Y67"/>
    <mergeCell ref="R69:S69"/>
    <mergeCell ref="T69:U69"/>
    <mergeCell ref="V69:Y69"/>
    <mergeCell ref="B70:C70"/>
    <mergeCell ref="D70:E70"/>
    <mergeCell ref="F70:I70"/>
    <mergeCell ref="R70:S70"/>
    <mergeCell ref="T70:U70"/>
    <mergeCell ref="V70:Y70"/>
    <mergeCell ref="N73:Q73"/>
    <mergeCell ref="R73:S73"/>
    <mergeCell ref="T73:U73"/>
    <mergeCell ref="V73:Y73"/>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F7:F8"/>
    <mergeCell ref="G7:G8"/>
    <mergeCell ref="H3:H4"/>
    <mergeCell ref="H5:H6"/>
    <mergeCell ref="H7:H8"/>
    <mergeCell ref="H9:H10"/>
    <mergeCell ref="B74:C74"/>
    <mergeCell ref="D74:E74"/>
    <mergeCell ref="F74:I74"/>
    <mergeCell ref="B73:C73"/>
    <mergeCell ref="D73:E73"/>
    <mergeCell ref="F73:I73"/>
    <mergeCell ref="B69:C69"/>
    <mergeCell ref="D69:E69"/>
    <mergeCell ref="F69:I69"/>
    <mergeCell ref="B68:C68"/>
    <mergeCell ref="D68:E68"/>
    <mergeCell ref="F68:I68"/>
    <mergeCell ref="B66:C66"/>
    <mergeCell ref="D66:E66"/>
    <mergeCell ref="F66:I66"/>
    <mergeCell ref="C36:G36"/>
    <mergeCell ref="B3:B4"/>
    <mergeCell ref="B5:B6"/>
    <mergeCell ref="B7:B8"/>
    <mergeCell ref="B9:B10"/>
    <mergeCell ref="C3:C4"/>
    <mergeCell ref="C5:C6"/>
    <mergeCell ref="C7:C8"/>
    <mergeCell ref="D7:D8"/>
    <mergeCell ref="E3:E4"/>
    <mergeCell ref="E5:E6"/>
    <mergeCell ref="E7:E8"/>
    <mergeCell ref="E9:E10"/>
    <mergeCell ref="I7:I8"/>
    <mergeCell ref="J7:J8"/>
    <mergeCell ref="K3:K4"/>
    <mergeCell ref="K5:K6"/>
    <mergeCell ref="K7:K8"/>
    <mergeCell ref="K9:K10"/>
    <mergeCell ref="L3:L4"/>
    <mergeCell ref="L5:L6"/>
    <mergeCell ref="Z3:Z4"/>
    <mergeCell ref="L7:M8"/>
    <mergeCell ref="O9:P9"/>
    <mergeCell ref="T9:V9"/>
    <mergeCell ref="Z9:AA9"/>
    <mergeCell ref="N6:P6"/>
    <mergeCell ref="T6:V6"/>
    <mergeCell ref="Z6:AA6"/>
    <mergeCell ref="N10:P10"/>
    <mergeCell ref="T10:V10"/>
    <mergeCell ref="Z10:AA10"/>
    <mergeCell ref="B80:D81"/>
    <mergeCell ref="E80:G81"/>
    <mergeCell ref="B75:G76"/>
    <mergeCell ref="H80:I81"/>
    <mergeCell ref="H82:I83"/>
    <mergeCell ref="B40:Y43"/>
    <mergeCell ref="AA45:AE49"/>
    <mergeCell ref="B77:AE78"/>
    <mergeCell ref="J84:AE85"/>
    <mergeCell ref="B84:D85"/>
    <mergeCell ref="E84:G85"/>
    <mergeCell ref="AA39:AE43"/>
    <mergeCell ref="B79:D79"/>
    <mergeCell ref="E79:G79"/>
    <mergeCell ref="H79:I79"/>
    <mergeCell ref="J79:AE79"/>
    <mergeCell ref="J74:K74"/>
    <mergeCell ref="L74:M74"/>
    <mergeCell ref="N74:Q74"/>
    <mergeCell ref="R74:S74"/>
    <mergeCell ref="T74:U74"/>
    <mergeCell ref="V74:Y74"/>
    <mergeCell ref="J73:K73"/>
    <mergeCell ref="L73:M73"/>
    <mergeCell ref="B90:D91"/>
    <mergeCell ref="E90:G91"/>
    <mergeCell ref="F9:G10"/>
    <mergeCell ref="L9:M10"/>
    <mergeCell ref="B52:Y55"/>
    <mergeCell ref="C9:D10"/>
    <mergeCell ref="I9:J10"/>
    <mergeCell ref="B86:D87"/>
    <mergeCell ref="E86:G87"/>
    <mergeCell ref="H88:I89"/>
    <mergeCell ref="B88:D89"/>
    <mergeCell ref="E88:G89"/>
    <mergeCell ref="H86:I87"/>
    <mergeCell ref="H90:I91"/>
    <mergeCell ref="J80:AE81"/>
    <mergeCell ref="J82:AE83"/>
    <mergeCell ref="J86:AE87"/>
    <mergeCell ref="H84:I85"/>
    <mergeCell ref="J88:AE89"/>
    <mergeCell ref="J90:AE91"/>
    <mergeCell ref="B82:D83"/>
    <mergeCell ref="E82:G83"/>
    <mergeCell ref="B46:Y49"/>
    <mergeCell ref="AA51:AE55"/>
  </mergeCells>
  <phoneticPr fontId="203" type="noConversion"/>
  <dataValidations count="4">
    <dataValidation allowBlank="1" showInputMessage="1" showErrorMessage="1" sqref="B3:D3 E3:F3 G3 H3:I3 J3 K3:L3 M3 B4:D4 E4:F4 G4 H4:I4 J4 K4:L4 M4 B5:C5 D5 E5:F5 G5 H5:I5 J5 K5:L5 M5 B6:C6 D6 E6:F6 G6 H6:I6 J6 K6:L6 M6" xr:uid="{00000000-0002-0000-0100-000000000000}"/>
    <dataValidation type="list" allowBlank="1" showInputMessage="1" showErrorMessage="1" sqref="Z3" xr:uid="{00000000-0002-0000-0100-000001000000}">
      <formula1>"公元,公元前"</formula1>
    </dataValidation>
    <dataValidation type="list" allowBlank="1" showInputMessage="1" showErrorMessage="1" sqref="AA3 AC3 AC4" xr:uid="{00000000-0002-0000-0100-000002000000}">
      <formula1>#REF!</formula1>
    </dataValidation>
    <dataValidation allowBlank="1" showErrorMessage="1" sqref="I18:J18 K18:L18 M18" xr:uid="{00000000-0002-0000-0100-000003000000}"/>
  </dataValidations>
  <pageMargins left="0.75" right="0.75" top="1" bottom="1" header="0.51180555555555596" footer="0.51180555555555596"/>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
  <sheetViews>
    <sheetView showGridLines="0" showRowColHeaders="0" workbookViewId="0">
      <pane ySplit="1" topLeftCell="A2" activePane="bottomLeft" state="frozen"/>
      <selection pane="bottomLeft" activeCell="I5" sqref="I5:J5"/>
    </sheetView>
  </sheetViews>
  <sheetFormatPr defaultColWidth="9" defaultRowHeight="16.5"/>
  <cols>
    <col min="1" max="1" width="4.75" style="902" customWidth="1"/>
    <col min="2" max="3" width="12.625" style="903" customWidth="1"/>
    <col min="4" max="4" width="6.125" style="904" customWidth="1"/>
    <col min="5" max="5" width="26.5" style="902" customWidth="1"/>
    <col min="6" max="6" width="7.625" style="902" customWidth="1"/>
    <col min="7" max="7" width="138" style="902" customWidth="1"/>
    <col min="8" max="8" width="12.875" style="903" customWidth="1"/>
    <col min="9" max="9" width="9.875" style="902" customWidth="1"/>
    <col min="10" max="10" width="9.5" style="902" customWidth="1"/>
    <col min="11" max="11" width="13.125" style="902" hidden="1"/>
    <col min="12" max="12" width="13.75" style="905" hidden="1"/>
    <col min="13" max="13" width="17.625" style="905" hidden="1"/>
    <col min="14" max="14" width="17.125" style="905" hidden="1"/>
    <col min="15" max="15" width="10.75" style="905" customWidth="1"/>
    <col min="16" max="16" width="8.5" style="905" customWidth="1"/>
    <col min="17" max="17" width="23.625" style="906" customWidth="1"/>
    <col min="18" max="18" width="8.125" style="905" customWidth="1"/>
    <col min="19" max="20" width="9" style="905" customWidth="1"/>
    <col min="21" max="21" width="11.375" style="905" customWidth="1"/>
    <col min="22" max="22" width="9" style="905" customWidth="1"/>
    <col min="23" max="16384" width="9" style="905"/>
  </cols>
  <sheetData>
    <row r="1" spans="1:33" ht="33">
      <c r="A1" s="907" t="s">
        <v>410</v>
      </c>
      <c r="B1" s="2183" t="s">
        <v>14</v>
      </c>
      <c r="C1" s="2184"/>
      <c r="D1" s="909" t="s">
        <v>94</v>
      </c>
      <c r="E1" s="908" t="s">
        <v>411</v>
      </c>
      <c r="F1" s="908" t="s">
        <v>412</v>
      </c>
      <c r="G1" s="910" t="s">
        <v>413</v>
      </c>
      <c r="H1" s="902"/>
      <c r="K1" s="2185" t="s">
        <v>414</v>
      </c>
      <c r="L1" s="2186"/>
      <c r="M1" s="2185" t="s">
        <v>147</v>
      </c>
      <c r="N1" s="2186"/>
    </row>
    <row r="2" spans="1:33">
      <c r="A2" s="911">
        <v>0</v>
      </c>
      <c r="B2" s="2187" t="s">
        <v>415</v>
      </c>
      <c r="C2" s="2187"/>
      <c r="D2" s="2187"/>
      <c r="E2" s="2187"/>
      <c r="F2" s="2187"/>
      <c r="G2" s="2188"/>
      <c r="H2" s="2141" t="s">
        <v>416</v>
      </c>
      <c r="I2" s="2189" t="s">
        <v>417</v>
      </c>
      <c r="J2" s="2190"/>
      <c r="K2" s="927"/>
      <c r="L2" s="928"/>
      <c r="M2" s="928"/>
      <c r="N2" s="928"/>
      <c r="O2" s="906"/>
      <c r="P2" s="906"/>
      <c r="Q2" s="363"/>
      <c r="R2" s="941"/>
    </row>
    <row r="3" spans="1:33" ht="17.25" customHeight="1">
      <c r="A3" s="912">
        <v>1</v>
      </c>
      <c r="B3" s="913" t="str">
        <f>IF(C3="","自定义职业",C3)</f>
        <v>自定义职业</v>
      </c>
      <c r="C3" s="914"/>
      <c r="D3" s="915"/>
      <c r="E3" s="916" t="str">
        <f>附表!AA9</f>
        <v>教育×4</v>
      </c>
      <c r="F3" s="917">
        <f>SUM(附表!AF10:AF12)</f>
        <v>312</v>
      </c>
      <c r="G3" s="918" t="str">
        <f>IF(I3&lt;&gt;"",I3&amp;"，"&amp;I4&amp;"，"&amp;I5&amp;"，"&amp;I6&amp;"，"&amp;I7&amp;"，"&amp;I8&amp;"，"&amp;I9&amp;"，"&amp;I10,"不多于8个本职技能。在右侧职业属性中输入第二职业属性的数值（留空则视为EDU）并自行设置起始信誉。使用自定义职业前，请先咨询你的守秘人。")</f>
        <v>不多于8个本职技能。在右侧职业属性中输入第二职业属性的数值（留空则视为EDU）并自行设置起始信誉。使用自定义职业前，请先咨询你的守秘人。</v>
      </c>
      <c r="H3" s="2141"/>
      <c r="I3" s="2181"/>
      <c r="J3" s="2182"/>
      <c r="K3" s="2166" t="s">
        <v>418</v>
      </c>
      <c r="L3" s="2166"/>
      <c r="M3" s="929" t="s">
        <v>419</v>
      </c>
      <c r="N3" s="930"/>
      <c r="O3" s="906"/>
      <c r="P3" s="906"/>
      <c r="Q3" s="363"/>
      <c r="R3" s="941"/>
    </row>
    <row r="4" spans="1:33">
      <c r="A4" s="911">
        <v>2</v>
      </c>
      <c r="B4" s="2165" t="s">
        <v>420</v>
      </c>
      <c r="C4" s="2165"/>
      <c r="D4" s="902" t="s">
        <v>421</v>
      </c>
      <c r="E4" s="902" t="s">
        <v>422</v>
      </c>
      <c r="F4" s="902">
        <f>EDU*4</f>
        <v>312</v>
      </c>
      <c r="G4" s="919" t="s">
        <v>423</v>
      </c>
      <c r="H4" s="2141"/>
      <c r="I4" s="2181"/>
      <c r="J4" s="2182"/>
      <c r="K4" s="2166" t="s">
        <v>424</v>
      </c>
      <c r="L4" s="2166"/>
      <c r="M4" s="929" t="s">
        <v>425</v>
      </c>
      <c r="N4" s="930"/>
      <c r="O4" s="906"/>
      <c r="P4" s="906"/>
      <c r="Q4" s="363"/>
      <c r="R4" s="941"/>
    </row>
    <row r="5" spans="1:33">
      <c r="A5" s="920">
        <v>3</v>
      </c>
      <c r="B5" s="2167" t="s">
        <v>426</v>
      </c>
      <c r="C5" s="2168"/>
      <c r="D5" s="922" t="s">
        <v>427</v>
      </c>
      <c r="E5" s="923" t="s">
        <v>428</v>
      </c>
      <c r="F5" s="923">
        <f>EDU*2+DEX*2</f>
        <v>316</v>
      </c>
      <c r="G5" s="924" t="s">
        <v>429</v>
      </c>
      <c r="H5" s="2141"/>
      <c r="I5" s="2181"/>
      <c r="J5" s="2182"/>
      <c r="K5" s="2166" t="s">
        <v>430</v>
      </c>
      <c r="L5" s="2166"/>
      <c r="M5" s="929" t="s">
        <v>431</v>
      </c>
      <c r="N5" s="930"/>
      <c r="O5" s="906"/>
      <c r="P5" s="906"/>
      <c r="Q5" s="363"/>
      <c r="R5" s="941"/>
    </row>
    <row r="6" spans="1:33">
      <c r="A6" s="911">
        <v>4</v>
      </c>
      <c r="B6" s="2165" t="s">
        <v>432</v>
      </c>
      <c r="C6" s="2165"/>
      <c r="D6" s="902" t="s">
        <v>433</v>
      </c>
      <c r="E6" s="902" t="s">
        <v>434</v>
      </c>
      <c r="F6" s="902">
        <f>EDU*2+APP*2</f>
        <v>246</v>
      </c>
      <c r="G6" s="919" t="s">
        <v>435</v>
      </c>
      <c r="H6" s="2141"/>
      <c r="I6" s="2181"/>
      <c r="J6" s="2182"/>
      <c r="K6" s="2166" t="s">
        <v>436</v>
      </c>
      <c r="L6" s="2166"/>
      <c r="M6" s="929" t="s">
        <v>437</v>
      </c>
      <c r="N6" s="930"/>
      <c r="O6" s="906"/>
      <c r="P6" s="906"/>
      <c r="Q6" s="363"/>
      <c r="R6" s="942"/>
    </row>
    <row r="7" spans="1:33" ht="16.5" customHeight="1">
      <c r="A7" s="920">
        <v>5</v>
      </c>
      <c r="B7" s="2167" t="s">
        <v>438</v>
      </c>
      <c r="C7" s="2168"/>
      <c r="D7" s="922" t="s">
        <v>439</v>
      </c>
      <c r="E7" s="923" t="s">
        <v>434</v>
      </c>
      <c r="F7" s="923">
        <f>EDU*2+APP*2</f>
        <v>246</v>
      </c>
      <c r="G7" s="924" t="s">
        <v>440</v>
      </c>
      <c r="H7" s="2141"/>
      <c r="I7" s="2181"/>
      <c r="J7" s="2182"/>
      <c r="K7" s="2166" t="s">
        <v>441</v>
      </c>
      <c r="L7" s="2166"/>
      <c r="M7" s="929" t="s">
        <v>437</v>
      </c>
      <c r="N7" s="930"/>
      <c r="O7" s="906"/>
      <c r="P7" s="906"/>
      <c r="Q7" s="363"/>
      <c r="R7" s="943"/>
    </row>
    <row r="8" spans="1:33">
      <c r="A8" s="911">
        <v>6</v>
      </c>
      <c r="B8" s="2165" t="s">
        <v>442</v>
      </c>
      <c r="C8" s="2165"/>
      <c r="D8" s="902" t="s">
        <v>443</v>
      </c>
      <c r="E8" s="902" t="s">
        <v>444</v>
      </c>
      <c r="F8" s="902">
        <f>EDU*2+MAX(STR*2,DEX*2)</f>
        <v>316</v>
      </c>
      <c r="G8" s="919" t="s">
        <v>445</v>
      </c>
      <c r="H8" s="2141"/>
      <c r="I8" s="2181"/>
      <c r="J8" s="2182"/>
      <c r="K8" s="2166" t="s">
        <v>446</v>
      </c>
      <c r="L8" s="2166"/>
      <c r="M8" s="929" t="s">
        <v>447</v>
      </c>
      <c r="N8" s="930"/>
      <c r="O8" s="906"/>
      <c r="P8" s="906"/>
      <c r="Q8" s="363"/>
      <c r="R8" s="942"/>
    </row>
    <row r="9" spans="1:33">
      <c r="A9" s="920">
        <v>7</v>
      </c>
      <c r="B9" s="2167" t="s">
        <v>448</v>
      </c>
      <c r="C9" s="2168"/>
      <c r="D9" s="922" t="s">
        <v>449</v>
      </c>
      <c r="E9" s="923" t="s">
        <v>450</v>
      </c>
      <c r="F9" s="923">
        <f>EDU*4</f>
        <v>312</v>
      </c>
      <c r="G9" s="924" t="s">
        <v>451</v>
      </c>
      <c r="H9" s="2141"/>
      <c r="I9" s="2181" t="s">
        <v>212</v>
      </c>
      <c r="J9" s="2182"/>
      <c r="K9" s="2166" t="s">
        <v>452</v>
      </c>
      <c r="L9" s="2166"/>
      <c r="M9" s="929" t="s">
        <v>453</v>
      </c>
      <c r="N9" s="930"/>
      <c r="O9" s="906"/>
      <c r="P9" s="906"/>
      <c r="Q9" s="363"/>
      <c r="R9" s="941"/>
    </row>
    <row r="10" spans="1:33">
      <c r="A10" s="911">
        <v>8</v>
      </c>
      <c r="B10" s="2165" t="s">
        <v>454</v>
      </c>
      <c r="C10" s="2165"/>
      <c r="D10" s="902" t="s">
        <v>455</v>
      </c>
      <c r="E10" s="902" t="s">
        <v>456</v>
      </c>
      <c r="F10" s="902">
        <f>EDU*2+MAX(APP*2,POW*2)</f>
        <v>256</v>
      </c>
      <c r="G10" s="919" t="s">
        <v>457</v>
      </c>
      <c r="H10" s="2141"/>
      <c r="I10" s="2181" t="s">
        <v>212</v>
      </c>
      <c r="J10" s="2182"/>
      <c r="K10" s="2166" t="s">
        <v>458</v>
      </c>
      <c r="L10" s="2166"/>
      <c r="M10" s="929" t="s">
        <v>459</v>
      </c>
      <c r="N10" s="930"/>
      <c r="O10" s="906"/>
      <c r="P10" s="906"/>
      <c r="Q10" s="363"/>
      <c r="R10" s="941"/>
      <c r="S10" s="363"/>
      <c r="T10" s="363"/>
      <c r="U10" s="363"/>
      <c r="V10" s="363"/>
      <c r="W10" s="363"/>
      <c r="X10" s="363"/>
      <c r="Y10" s="363"/>
      <c r="Z10" s="363"/>
      <c r="AA10" s="363"/>
      <c r="AB10" s="363"/>
      <c r="AC10" s="363"/>
      <c r="AD10" s="363"/>
      <c r="AE10" s="363"/>
      <c r="AF10" s="363"/>
      <c r="AG10" s="363"/>
    </row>
    <row r="11" spans="1:33" ht="17.25" customHeight="1">
      <c r="A11" s="920">
        <v>9</v>
      </c>
      <c r="B11" s="2167" t="s">
        <v>460</v>
      </c>
      <c r="C11" s="2168"/>
      <c r="D11" s="922" t="s">
        <v>421</v>
      </c>
      <c r="E11" s="923" t="s">
        <v>450</v>
      </c>
      <c r="F11" s="923">
        <f>EDU*4</f>
        <v>312</v>
      </c>
      <c r="G11" s="924" t="s">
        <v>461</v>
      </c>
      <c r="I11" s="931" t="s">
        <v>462</v>
      </c>
      <c r="J11" s="932"/>
      <c r="K11" s="2166" t="s">
        <v>463</v>
      </c>
      <c r="L11" s="2166"/>
      <c r="M11" s="929" t="s">
        <v>464</v>
      </c>
      <c r="N11" s="930"/>
      <c r="O11" s="906"/>
      <c r="P11" s="906"/>
      <c r="Q11" s="363"/>
      <c r="R11" s="941"/>
      <c r="S11" s="363"/>
      <c r="T11" s="363"/>
      <c r="U11" s="363"/>
      <c r="V11" s="363"/>
      <c r="W11" s="363"/>
      <c r="X11" s="363"/>
      <c r="Y11" s="363"/>
      <c r="Z11" s="363"/>
      <c r="AA11" s="363"/>
      <c r="AB11" s="363"/>
      <c r="AC11" s="363"/>
      <c r="AD11" s="363"/>
      <c r="AE11" s="363"/>
      <c r="AF11" s="363"/>
      <c r="AG11" s="363"/>
    </row>
    <row r="12" spans="1:33">
      <c r="A12" s="911">
        <v>10</v>
      </c>
      <c r="B12" s="2165" t="s">
        <v>465</v>
      </c>
      <c r="C12" s="2165"/>
      <c r="D12" s="902" t="s">
        <v>466</v>
      </c>
      <c r="E12" s="902" t="s">
        <v>450</v>
      </c>
      <c r="F12" s="902">
        <f>EDU*4</f>
        <v>312</v>
      </c>
      <c r="G12" s="919" t="s">
        <v>467</v>
      </c>
      <c r="H12" s="905"/>
      <c r="I12" s="905"/>
      <c r="J12" s="905"/>
      <c r="K12" s="2166" t="s">
        <v>468</v>
      </c>
      <c r="L12" s="2166"/>
      <c r="M12" s="929" t="s">
        <v>469</v>
      </c>
      <c r="N12" s="930"/>
      <c r="O12" s="906"/>
      <c r="P12" s="906"/>
      <c r="Q12" s="363"/>
      <c r="R12" s="941"/>
      <c r="S12" s="363"/>
      <c r="T12" s="363"/>
      <c r="U12" s="363"/>
      <c r="V12" s="363"/>
      <c r="W12" s="363"/>
      <c r="X12" s="363"/>
      <c r="Y12" s="363"/>
      <c r="Z12" s="363"/>
      <c r="AA12" s="363"/>
      <c r="AB12" s="363"/>
      <c r="AC12" s="363"/>
      <c r="AD12" s="363"/>
      <c r="AE12" s="363"/>
      <c r="AF12" s="363"/>
      <c r="AG12" s="363"/>
    </row>
    <row r="13" spans="1:33">
      <c r="A13" s="920">
        <v>11</v>
      </c>
      <c r="B13" s="2167" t="s">
        <v>470</v>
      </c>
      <c r="C13" s="2168"/>
      <c r="D13" s="922" t="s">
        <v>455</v>
      </c>
      <c r="E13" s="923" t="s">
        <v>450</v>
      </c>
      <c r="F13" s="923">
        <f>EDU*4</f>
        <v>312</v>
      </c>
      <c r="G13" s="921" t="s">
        <v>471</v>
      </c>
      <c r="H13" s="2178" t="s">
        <v>472</v>
      </c>
      <c r="I13" s="2179"/>
      <c r="J13" s="2180"/>
      <c r="K13" s="2166" t="s">
        <v>473</v>
      </c>
      <c r="L13" s="2166"/>
      <c r="M13" s="929" t="s">
        <v>474</v>
      </c>
      <c r="N13" s="930"/>
      <c r="O13" s="906"/>
      <c r="P13" s="906"/>
      <c r="Q13" s="363"/>
      <c r="R13" s="941"/>
      <c r="S13" s="363"/>
      <c r="T13" s="363"/>
      <c r="U13" s="363"/>
      <c r="V13" s="363"/>
      <c r="W13" s="363"/>
      <c r="X13" s="363"/>
      <c r="Y13" s="363"/>
      <c r="Z13" s="363"/>
      <c r="AA13" s="363"/>
      <c r="AB13" s="363"/>
      <c r="AC13" s="363"/>
      <c r="AD13" s="363"/>
      <c r="AE13" s="363"/>
      <c r="AF13" s="363"/>
      <c r="AG13" s="363"/>
    </row>
    <row r="14" spans="1:33">
      <c r="A14" s="911">
        <v>12</v>
      </c>
      <c r="B14" s="2165" t="s">
        <v>475</v>
      </c>
      <c r="C14" s="2165"/>
      <c r="D14" s="902" t="s">
        <v>421</v>
      </c>
      <c r="E14" s="902" t="s">
        <v>450</v>
      </c>
      <c r="F14" s="902">
        <f>EDU*4</f>
        <v>312</v>
      </c>
      <c r="G14" s="903" t="s">
        <v>476</v>
      </c>
      <c r="H14" s="925" t="s">
        <v>477</v>
      </c>
      <c r="I14" s="933" t="s">
        <v>478</v>
      </c>
      <c r="J14" s="934" t="s">
        <v>479</v>
      </c>
      <c r="K14" s="2166" t="s">
        <v>480</v>
      </c>
      <c r="L14" s="2166"/>
      <c r="M14" s="929" t="s">
        <v>481</v>
      </c>
      <c r="N14" s="930"/>
      <c r="O14" s="906"/>
      <c r="P14" s="906"/>
      <c r="Q14" s="363"/>
      <c r="R14" s="941"/>
      <c r="S14" s="363"/>
      <c r="T14" s="363"/>
      <c r="U14" s="363"/>
      <c r="V14" s="363"/>
      <c r="W14" s="363"/>
      <c r="X14" s="363"/>
      <c r="Y14" s="363"/>
      <c r="Z14" s="363"/>
      <c r="AA14" s="363"/>
      <c r="AB14" s="363"/>
      <c r="AC14" s="363"/>
      <c r="AD14" s="363"/>
      <c r="AE14" s="363"/>
      <c r="AF14" s="363"/>
      <c r="AG14" s="363"/>
    </row>
    <row r="15" spans="1:33" ht="17.25" customHeight="1">
      <c r="A15" s="920">
        <v>13</v>
      </c>
      <c r="B15" s="2167" t="s">
        <v>482</v>
      </c>
      <c r="C15" s="2168"/>
      <c r="D15" s="922" t="s">
        <v>483</v>
      </c>
      <c r="E15" s="923" t="s">
        <v>484</v>
      </c>
      <c r="F15" s="923">
        <f>EDU*2+MAX(DEX*2,POW*2)</f>
        <v>316</v>
      </c>
      <c r="G15" s="921" t="s">
        <v>485</v>
      </c>
      <c r="H15" s="926" t="s">
        <v>357</v>
      </c>
      <c r="I15" s="935" t="s">
        <v>175</v>
      </c>
      <c r="J15" s="936">
        <f>IF(I15="√",2,0)</f>
        <v>0</v>
      </c>
      <c r="K15" s="2166" t="s">
        <v>486</v>
      </c>
      <c r="L15" s="2166"/>
      <c r="M15" s="929" t="s">
        <v>487</v>
      </c>
      <c r="N15" s="930"/>
      <c r="O15" s="906"/>
      <c r="P15" s="906"/>
      <c r="Q15" s="363"/>
      <c r="R15" s="941"/>
      <c r="S15" s="363"/>
      <c r="T15" s="363"/>
      <c r="U15" s="363"/>
      <c r="V15" s="363"/>
      <c r="W15" s="363"/>
      <c r="X15" s="363"/>
      <c r="Y15" s="363"/>
      <c r="Z15" s="363"/>
      <c r="AA15" s="363"/>
      <c r="AB15" s="363"/>
      <c r="AC15" s="363"/>
      <c r="AD15" s="363"/>
      <c r="AE15" s="363"/>
      <c r="AF15" s="363"/>
      <c r="AG15" s="363"/>
    </row>
    <row r="16" spans="1:33" ht="17.25" customHeight="1">
      <c r="A16" s="911">
        <v>14</v>
      </c>
      <c r="B16" s="2165" t="s">
        <v>488</v>
      </c>
      <c r="C16" s="2165"/>
      <c r="D16" s="902" t="s">
        <v>489</v>
      </c>
      <c r="E16" s="902" t="s">
        <v>444</v>
      </c>
      <c r="F16" s="902">
        <f>EDU*2+MAX(STR*2,DEX*2)</f>
        <v>316</v>
      </c>
      <c r="G16" s="903" t="s">
        <v>490</v>
      </c>
      <c r="H16" s="435" t="s">
        <v>362</v>
      </c>
      <c r="I16" s="937" t="s">
        <v>175</v>
      </c>
      <c r="J16" s="938">
        <f>IF(I16="√",2,0)</f>
        <v>0</v>
      </c>
      <c r="K16" s="2166" t="s">
        <v>491</v>
      </c>
      <c r="L16" s="2166"/>
      <c r="M16" s="929" t="s">
        <v>492</v>
      </c>
      <c r="N16" s="930"/>
      <c r="O16" s="906"/>
      <c r="P16" s="906"/>
      <c r="Q16" s="363"/>
      <c r="R16" s="941"/>
      <c r="S16" s="363"/>
      <c r="T16" s="363"/>
      <c r="U16" s="363"/>
      <c r="V16" s="363"/>
      <c r="W16" s="363"/>
      <c r="X16" s="363"/>
      <c r="Y16" s="363"/>
      <c r="Z16" s="363"/>
      <c r="AA16" s="363"/>
      <c r="AB16" s="363"/>
      <c r="AC16" s="363"/>
      <c r="AD16" s="363"/>
      <c r="AE16" s="363"/>
      <c r="AF16" s="363"/>
      <c r="AG16" s="363"/>
    </row>
    <row r="17" spans="1:33" ht="16.5" customHeight="1">
      <c r="A17" s="920">
        <v>15</v>
      </c>
      <c r="B17" s="2167" t="s">
        <v>493</v>
      </c>
      <c r="C17" s="2168"/>
      <c r="D17" s="922" t="s">
        <v>494</v>
      </c>
      <c r="E17" s="923" t="s">
        <v>444</v>
      </c>
      <c r="F17" s="923">
        <f>EDU*2+MAX(STR*2,DEX*2)</f>
        <v>316</v>
      </c>
      <c r="G17" s="921" t="s">
        <v>495</v>
      </c>
      <c r="H17" s="926" t="s">
        <v>367</v>
      </c>
      <c r="I17" s="935" t="s">
        <v>175</v>
      </c>
      <c r="J17" s="936">
        <f>IF(I17="√",2,0)</f>
        <v>0</v>
      </c>
      <c r="K17" s="2166" t="s">
        <v>496</v>
      </c>
      <c r="L17" s="2166"/>
      <c r="M17" s="929" t="s">
        <v>497</v>
      </c>
      <c r="N17" s="930"/>
      <c r="O17" s="906"/>
      <c r="P17" s="906"/>
      <c r="Q17" s="363"/>
      <c r="R17" s="941"/>
      <c r="S17" s="363"/>
      <c r="T17" s="363"/>
      <c r="U17" s="363"/>
      <c r="V17" s="363"/>
      <c r="W17" s="363"/>
      <c r="X17" s="363"/>
      <c r="Y17" s="363"/>
      <c r="Z17" s="363"/>
      <c r="AA17" s="363"/>
      <c r="AB17" s="363"/>
      <c r="AC17" s="363"/>
      <c r="AD17" s="363"/>
      <c r="AE17" s="363"/>
      <c r="AF17" s="363"/>
      <c r="AG17" s="363"/>
    </row>
    <row r="18" spans="1:33">
      <c r="A18" s="911">
        <v>16</v>
      </c>
      <c r="B18" s="2165" t="s">
        <v>498</v>
      </c>
      <c r="C18" s="2165"/>
      <c r="D18" s="902" t="s">
        <v>499</v>
      </c>
      <c r="E18" s="902" t="s">
        <v>450</v>
      </c>
      <c r="F18" s="902">
        <f>EDU*4</f>
        <v>312</v>
      </c>
      <c r="G18" s="903" t="s">
        <v>500</v>
      </c>
      <c r="H18" s="435" t="s">
        <v>373</v>
      </c>
      <c r="I18" s="937" t="s">
        <v>175</v>
      </c>
      <c r="J18" s="938">
        <f t="shared" ref="J18:J23" si="0">IF(I18="√",2,0)</f>
        <v>0</v>
      </c>
      <c r="K18" s="2166" t="s">
        <v>501</v>
      </c>
      <c r="L18" s="2166"/>
      <c r="M18" s="929" t="s">
        <v>502</v>
      </c>
      <c r="N18" s="930"/>
      <c r="O18" s="906"/>
      <c r="P18" s="906"/>
      <c r="Q18" s="363"/>
      <c r="R18" s="941"/>
      <c r="S18" s="363"/>
      <c r="T18" s="363"/>
      <c r="U18" s="363"/>
      <c r="V18" s="363"/>
      <c r="W18" s="363"/>
      <c r="X18" s="363"/>
      <c r="Y18" s="363"/>
      <c r="Z18" s="363"/>
      <c r="AA18" s="363"/>
      <c r="AB18" s="363"/>
      <c r="AC18" s="363"/>
      <c r="AD18" s="363"/>
      <c r="AE18" s="363"/>
      <c r="AF18" s="363"/>
      <c r="AG18" s="363"/>
    </row>
    <row r="19" spans="1:33" ht="16.5" customHeight="1">
      <c r="A19" s="920">
        <v>17</v>
      </c>
      <c r="B19" s="2167" t="s">
        <v>503</v>
      </c>
      <c r="C19" s="2168"/>
      <c r="D19" s="922" t="s">
        <v>504</v>
      </c>
      <c r="E19" s="923" t="s">
        <v>434</v>
      </c>
      <c r="F19" s="923">
        <f>EDU*2+APP*2</f>
        <v>246</v>
      </c>
      <c r="G19" s="921" t="s">
        <v>505</v>
      </c>
      <c r="H19" s="926" t="s">
        <v>375</v>
      </c>
      <c r="I19" s="935" t="s">
        <v>175</v>
      </c>
      <c r="J19" s="936">
        <f t="shared" si="0"/>
        <v>0</v>
      </c>
      <c r="K19" s="2166" t="s">
        <v>506</v>
      </c>
      <c r="L19" s="2166"/>
      <c r="M19" s="929" t="s">
        <v>507</v>
      </c>
      <c r="N19" s="930"/>
      <c r="O19" s="906"/>
      <c r="P19" s="906"/>
      <c r="Q19" s="363"/>
      <c r="R19" s="941"/>
      <c r="S19" s="363"/>
      <c r="T19" s="363"/>
      <c r="U19" s="363"/>
      <c r="V19" s="363"/>
      <c r="W19" s="363"/>
      <c r="X19" s="363"/>
      <c r="Y19" s="363"/>
      <c r="Z19" s="363"/>
      <c r="AA19" s="363"/>
      <c r="AB19" s="363"/>
      <c r="AC19" s="363"/>
      <c r="AD19" s="363"/>
      <c r="AE19" s="363"/>
      <c r="AF19" s="363"/>
      <c r="AG19" s="363"/>
    </row>
    <row r="20" spans="1:33" ht="16.5" customHeight="1">
      <c r="A20" s="911">
        <v>18</v>
      </c>
      <c r="B20" s="2165" t="s">
        <v>508</v>
      </c>
      <c r="C20" s="2165"/>
      <c r="D20" s="902" t="s">
        <v>509</v>
      </c>
      <c r="E20" s="902" t="s">
        <v>444</v>
      </c>
      <c r="F20" s="902">
        <f>EDU*2+MAX(STR*2,DEX*2)</f>
        <v>316</v>
      </c>
      <c r="G20" s="903" t="s">
        <v>510</v>
      </c>
      <c r="H20" s="435" t="s">
        <v>377</v>
      </c>
      <c r="I20" s="937" t="s">
        <v>175</v>
      </c>
      <c r="J20" s="938">
        <f t="shared" si="0"/>
        <v>0</v>
      </c>
      <c r="K20" s="2166" t="s">
        <v>511</v>
      </c>
      <c r="L20" s="2166"/>
      <c r="M20" s="929" t="s">
        <v>512</v>
      </c>
      <c r="N20" s="930"/>
      <c r="O20" s="906"/>
      <c r="P20" s="906"/>
      <c r="Q20" s="363"/>
      <c r="R20" s="941"/>
      <c r="S20" s="363"/>
      <c r="T20" s="363"/>
      <c r="U20" s="363"/>
      <c r="V20" s="363"/>
      <c r="W20" s="363"/>
      <c r="X20" s="363"/>
      <c r="Y20" s="363"/>
      <c r="Z20" s="363"/>
      <c r="AA20" s="363"/>
      <c r="AB20" s="363"/>
      <c r="AC20" s="363"/>
      <c r="AD20" s="363"/>
    </row>
    <row r="21" spans="1:33">
      <c r="A21" s="920">
        <v>19</v>
      </c>
      <c r="B21" s="2167" t="s">
        <v>513</v>
      </c>
      <c r="C21" s="2168"/>
      <c r="D21" s="922" t="s">
        <v>514</v>
      </c>
      <c r="E21" s="923" t="s">
        <v>450</v>
      </c>
      <c r="F21" s="923">
        <f>EDU*4</f>
        <v>312</v>
      </c>
      <c r="G21" s="921" t="s">
        <v>515</v>
      </c>
      <c r="H21" s="926" t="s">
        <v>384</v>
      </c>
      <c r="I21" s="935" t="s">
        <v>516</v>
      </c>
      <c r="J21" s="936">
        <f>IF(I21="√",IF(SUM(J15:J20,J22:J23)&gt;0,2,4),0)</f>
        <v>4</v>
      </c>
      <c r="K21" s="2166" t="s">
        <v>517</v>
      </c>
      <c r="L21" s="2166"/>
      <c r="M21" s="929" t="s">
        <v>518</v>
      </c>
      <c r="N21" s="930"/>
      <c r="O21" s="906"/>
      <c r="P21" s="906"/>
      <c r="Q21" s="363"/>
      <c r="R21" s="943"/>
      <c r="S21" s="363"/>
      <c r="T21" s="363"/>
      <c r="U21" s="363"/>
      <c r="V21" s="363"/>
      <c r="W21" s="363"/>
      <c r="X21" s="363"/>
      <c r="Y21" s="363"/>
      <c r="Z21" s="363"/>
      <c r="AA21" s="363"/>
      <c r="AB21" s="363"/>
      <c r="AC21" s="363"/>
      <c r="AD21" s="363"/>
    </row>
    <row r="22" spans="1:33" ht="16.5" customHeight="1">
      <c r="A22" s="911">
        <v>20</v>
      </c>
      <c r="B22" s="2165" t="s">
        <v>519</v>
      </c>
      <c r="C22" s="2165"/>
      <c r="D22" s="902" t="s">
        <v>499</v>
      </c>
      <c r="E22" s="902" t="s">
        <v>444</v>
      </c>
      <c r="F22" s="902">
        <f>EDU*2+MAX(STR*2,DEX*2)</f>
        <v>316</v>
      </c>
      <c r="G22" s="903" t="s">
        <v>520</v>
      </c>
      <c r="H22" s="435" t="s">
        <v>380</v>
      </c>
      <c r="I22" s="937" t="s">
        <v>175</v>
      </c>
      <c r="J22" s="938">
        <f t="shared" si="0"/>
        <v>0</v>
      </c>
      <c r="K22" s="2166" t="s">
        <v>521</v>
      </c>
      <c r="L22" s="2166"/>
      <c r="M22" s="929" t="s">
        <v>522</v>
      </c>
      <c r="N22" s="930"/>
      <c r="O22" s="906"/>
      <c r="P22" s="906"/>
      <c r="Q22" s="363"/>
      <c r="R22" s="943"/>
      <c r="S22" s="363"/>
      <c r="T22" s="363"/>
      <c r="U22" s="363"/>
      <c r="V22" s="363"/>
      <c r="W22" s="363"/>
      <c r="X22" s="363"/>
      <c r="Y22" s="363"/>
      <c r="Z22" s="363"/>
      <c r="AA22" s="363"/>
      <c r="AB22" s="363"/>
      <c r="AC22" s="363"/>
      <c r="AD22" s="363"/>
    </row>
    <row r="23" spans="1:33" ht="16.5" customHeight="1">
      <c r="A23" s="920">
        <v>21</v>
      </c>
      <c r="B23" s="2167" t="s">
        <v>523</v>
      </c>
      <c r="C23" s="2168"/>
      <c r="D23" s="922" t="s">
        <v>524</v>
      </c>
      <c r="E23" s="923" t="s">
        <v>525</v>
      </c>
      <c r="F23" s="923">
        <f>EDU*2+STR*2</f>
        <v>296</v>
      </c>
      <c r="G23" s="921" t="s">
        <v>526</v>
      </c>
      <c r="H23" s="926" t="s">
        <v>389</v>
      </c>
      <c r="I23" s="935" t="s">
        <v>175</v>
      </c>
      <c r="J23" s="936">
        <f t="shared" si="0"/>
        <v>0</v>
      </c>
      <c r="K23" s="2166" t="s">
        <v>527</v>
      </c>
      <c r="L23" s="2166"/>
      <c r="M23" s="929" t="s">
        <v>528</v>
      </c>
      <c r="N23" s="930"/>
      <c r="O23" s="906"/>
      <c r="P23" s="906"/>
      <c r="Q23" s="363"/>
      <c r="R23" s="941"/>
      <c r="S23" s="363"/>
      <c r="T23" s="363"/>
      <c r="U23" s="363"/>
      <c r="V23" s="363"/>
      <c r="W23" s="363"/>
      <c r="X23" s="363"/>
      <c r="Y23" s="363"/>
      <c r="Z23" s="363"/>
      <c r="AA23" s="363"/>
      <c r="AB23" s="363"/>
      <c r="AC23" s="363"/>
    </row>
    <row r="24" spans="1:33">
      <c r="A24" s="911">
        <v>22</v>
      </c>
      <c r="B24" s="2165" t="s">
        <v>529</v>
      </c>
      <c r="C24" s="2165"/>
      <c r="D24" s="902" t="s">
        <v>433</v>
      </c>
      <c r="E24" s="902" t="s">
        <v>450</v>
      </c>
      <c r="F24" s="902">
        <f>EDU*4</f>
        <v>312</v>
      </c>
      <c r="G24" s="919" t="s">
        <v>530</v>
      </c>
      <c r="H24" s="2175" t="s">
        <v>531</v>
      </c>
      <c r="I24" s="2176"/>
      <c r="J24" s="2177"/>
      <c r="K24" s="939"/>
      <c r="L24" s="939"/>
      <c r="M24" s="939"/>
      <c r="N24" s="939"/>
      <c r="O24" s="939"/>
      <c r="P24" s="939"/>
      <c r="Q24" s="363"/>
      <c r="R24" s="942"/>
      <c r="S24" s="363"/>
      <c r="T24" s="363"/>
      <c r="U24" s="363"/>
      <c r="V24" s="363"/>
      <c r="W24" s="363"/>
      <c r="X24" s="363"/>
      <c r="Y24" s="363"/>
      <c r="Z24" s="363"/>
      <c r="AA24" s="363"/>
      <c r="AB24" s="363"/>
      <c r="AC24" s="363"/>
    </row>
    <row r="25" spans="1:33">
      <c r="A25" s="920">
        <v>23</v>
      </c>
      <c r="B25" s="2167" t="s">
        <v>532</v>
      </c>
      <c r="C25" s="2168"/>
      <c r="D25" s="922" t="s">
        <v>524</v>
      </c>
      <c r="E25" s="923" t="s">
        <v>450</v>
      </c>
      <c r="F25" s="923">
        <f>EDU*4</f>
        <v>312</v>
      </c>
      <c r="G25" s="924" t="s">
        <v>533</v>
      </c>
      <c r="H25" s="2172" t="s">
        <v>534</v>
      </c>
      <c r="I25" s="2173"/>
      <c r="J25" s="2174"/>
      <c r="K25" s="2166" t="s">
        <v>535</v>
      </c>
      <c r="L25" s="2166"/>
      <c r="M25" s="929" t="s">
        <v>536</v>
      </c>
      <c r="N25" s="930"/>
      <c r="O25" s="906"/>
      <c r="P25" s="906"/>
      <c r="Q25" s="363"/>
      <c r="R25" s="943"/>
    </row>
    <row r="26" spans="1:33">
      <c r="A26" s="911">
        <v>24</v>
      </c>
      <c r="B26" s="2165" t="s">
        <v>537</v>
      </c>
      <c r="C26" s="2165"/>
      <c r="D26" s="902" t="s">
        <v>538</v>
      </c>
      <c r="E26" s="902" t="s">
        <v>450</v>
      </c>
      <c r="F26" s="902">
        <f>EDU*4</f>
        <v>312</v>
      </c>
      <c r="G26" s="919" t="s">
        <v>539</v>
      </c>
      <c r="J26" s="905"/>
      <c r="K26" s="2166" t="s">
        <v>540</v>
      </c>
      <c r="L26" s="2166"/>
      <c r="M26" s="929" t="s">
        <v>541</v>
      </c>
      <c r="N26" s="930"/>
      <c r="O26" s="906"/>
      <c r="P26" s="906"/>
      <c r="Q26" s="363"/>
      <c r="R26" s="943"/>
    </row>
    <row r="27" spans="1:33">
      <c r="A27" s="920">
        <v>25</v>
      </c>
      <c r="B27" s="2167" t="s">
        <v>542</v>
      </c>
      <c r="C27" s="2168"/>
      <c r="D27" s="922" t="s">
        <v>538</v>
      </c>
      <c r="E27" s="923" t="s">
        <v>450</v>
      </c>
      <c r="F27" s="923">
        <f>EDU*4</f>
        <v>312</v>
      </c>
      <c r="G27" s="924" t="s">
        <v>543</v>
      </c>
      <c r="J27" s="905"/>
      <c r="K27" s="2166" t="s">
        <v>544</v>
      </c>
      <c r="L27" s="2166"/>
      <c r="M27" s="929" t="s">
        <v>545</v>
      </c>
      <c r="N27" s="930"/>
      <c r="O27" s="906"/>
      <c r="P27" s="906"/>
      <c r="Q27" s="363"/>
      <c r="R27" s="942"/>
    </row>
    <row r="28" spans="1:33" ht="17.25" customHeight="1">
      <c r="A28" s="911">
        <v>26</v>
      </c>
      <c r="B28" s="2165" t="s">
        <v>546</v>
      </c>
      <c r="C28" s="2165"/>
      <c r="D28" s="902" t="s">
        <v>427</v>
      </c>
      <c r="E28" s="902" t="s">
        <v>444</v>
      </c>
      <c r="F28" s="902">
        <f>EDU*2+MAX(STR*2,DEX*2)</f>
        <v>316</v>
      </c>
      <c r="G28" s="919" t="s">
        <v>547</v>
      </c>
      <c r="J28" s="905"/>
      <c r="K28" s="2166" t="s">
        <v>548</v>
      </c>
      <c r="L28" s="2166"/>
      <c r="M28" s="929" t="s">
        <v>549</v>
      </c>
      <c r="N28" s="930"/>
      <c r="O28" s="906"/>
      <c r="P28" s="906"/>
      <c r="Q28" s="363"/>
      <c r="R28" s="941"/>
    </row>
    <row r="29" spans="1:33" ht="16.5" customHeight="1">
      <c r="A29" s="920">
        <v>27</v>
      </c>
      <c r="B29" s="2167" t="s">
        <v>550</v>
      </c>
      <c r="C29" s="2168"/>
      <c r="D29" s="922" t="s">
        <v>455</v>
      </c>
      <c r="E29" s="923" t="s">
        <v>551</v>
      </c>
      <c r="F29" s="923">
        <f>EDU*2+DEX*2</f>
        <v>316</v>
      </c>
      <c r="G29" s="924" t="s">
        <v>552</v>
      </c>
      <c r="J29" s="905"/>
      <c r="K29" s="2166" t="s">
        <v>553</v>
      </c>
      <c r="L29" s="2166"/>
      <c r="M29" s="929" t="s">
        <v>554</v>
      </c>
      <c r="N29" s="930"/>
      <c r="O29" s="906"/>
      <c r="P29" s="906"/>
      <c r="Q29" s="363"/>
      <c r="R29" s="941"/>
    </row>
    <row r="30" spans="1:33" ht="17.25" customHeight="1">
      <c r="A30" s="911">
        <v>28</v>
      </c>
      <c r="B30" s="2165" t="s">
        <v>555</v>
      </c>
      <c r="C30" s="2165"/>
      <c r="D30" s="902" t="s">
        <v>556</v>
      </c>
      <c r="E30" s="902" t="s">
        <v>444</v>
      </c>
      <c r="F30" s="902">
        <f>EDU*2+MAX(STR*2,DEX*2)</f>
        <v>316</v>
      </c>
      <c r="G30" s="919" t="s">
        <v>557</v>
      </c>
      <c r="J30" s="905"/>
      <c r="K30" s="2166" t="s">
        <v>558</v>
      </c>
      <c r="L30" s="2166"/>
      <c r="M30" s="929" t="s">
        <v>559</v>
      </c>
      <c r="N30" s="930"/>
      <c r="O30" s="906"/>
      <c r="P30" s="906"/>
      <c r="Q30" s="363"/>
      <c r="R30" s="941"/>
    </row>
    <row r="31" spans="1:33" ht="17.25" customHeight="1">
      <c r="A31" s="920">
        <v>29</v>
      </c>
      <c r="B31" s="2167" t="s">
        <v>560</v>
      </c>
      <c r="C31" s="2168"/>
      <c r="D31" s="922" t="s">
        <v>561</v>
      </c>
      <c r="E31" s="923" t="s">
        <v>562</v>
      </c>
      <c r="F31" s="923">
        <f>EDU*2+MAX(STR*2,DEX*2)</f>
        <v>316</v>
      </c>
      <c r="G31" s="924" t="s">
        <v>563</v>
      </c>
      <c r="K31" s="2166" t="s">
        <v>564</v>
      </c>
      <c r="L31" s="2166"/>
      <c r="M31" s="929" t="s">
        <v>565</v>
      </c>
      <c r="N31" s="930"/>
      <c r="O31" s="906"/>
      <c r="P31" s="906"/>
      <c r="Q31" s="363"/>
      <c r="R31" s="941"/>
    </row>
    <row r="32" spans="1:33" ht="17.25" customHeight="1">
      <c r="A32" s="911">
        <v>30</v>
      </c>
      <c r="B32" s="2165" t="s">
        <v>566</v>
      </c>
      <c r="C32" s="2165"/>
      <c r="D32" s="902" t="s">
        <v>567</v>
      </c>
      <c r="E32" s="902" t="s">
        <v>568</v>
      </c>
      <c r="F32" s="902">
        <f>EDU*2+STR*2</f>
        <v>296</v>
      </c>
      <c r="G32" s="919" t="s">
        <v>569</v>
      </c>
      <c r="K32" s="2166" t="s">
        <v>570</v>
      </c>
      <c r="L32" s="2166"/>
      <c r="M32" s="929" t="s">
        <v>571</v>
      </c>
      <c r="N32" s="930"/>
      <c r="O32" s="906"/>
      <c r="P32" s="906"/>
      <c r="Q32" s="363"/>
      <c r="R32" s="942"/>
    </row>
    <row r="33" spans="1:18" ht="17.25" customHeight="1">
      <c r="A33" s="920">
        <v>31</v>
      </c>
      <c r="B33" s="2167" t="s">
        <v>572</v>
      </c>
      <c r="C33" s="2168"/>
      <c r="D33" s="922" t="s">
        <v>573</v>
      </c>
      <c r="E33" s="923" t="s">
        <v>574</v>
      </c>
      <c r="F33" s="923">
        <f>EDU*2+DEX*2</f>
        <v>316</v>
      </c>
      <c r="G33" s="924" t="s">
        <v>575</v>
      </c>
      <c r="K33" s="2166" t="s">
        <v>576</v>
      </c>
      <c r="L33" s="2166"/>
      <c r="M33" s="929" t="s">
        <v>565</v>
      </c>
      <c r="N33" s="930"/>
      <c r="O33" s="906"/>
      <c r="P33" s="906"/>
      <c r="Q33" s="363"/>
      <c r="R33" s="943"/>
    </row>
    <row r="34" spans="1:18" ht="17.25" customHeight="1">
      <c r="A34" s="911">
        <v>32</v>
      </c>
      <c r="B34" s="2165" t="s">
        <v>577</v>
      </c>
      <c r="C34" s="2165"/>
      <c r="D34" s="902" t="s">
        <v>578</v>
      </c>
      <c r="E34" s="902" t="s">
        <v>579</v>
      </c>
      <c r="F34" s="902">
        <f>EDU*2+APP*2</f>
        <v>246</v>
      </c>
      <c r="G34" s="919" t="s">
        <v>580</v>
      </c>
      <c r="K34" s="2166" t="s">
        <v>581</v>
      </c>
      <c r="L34" s="2166"/>
      <c r="M34" s="929" t="s">
        <v>582</v>
      </c>
      <c r="N34" s="930"/>
      <c r="O34" s="906"/>
      <c r="P34" s="906"/>
      <c r="Q34" s="363"/>
      <c r="R34" s="942"/>
    </row>
    <row r="35" spans="1:18" ht="17.25" customHeight="1">
      <c r="A35" s="920">
        <v>33</v>
      </c>
      <c r="B35" s="2167" t="s">
        <v>583</v>
      </c>
      <c r="C35" s="2168"/>
      <c r="D35" s="922" t="s">
        <v>584</v>
      </c>
      <c r="E35" s="923" t="s">
        <v>585</v>
      </c>
      <c r="F35" s="923">
        <f>EDU*2+MAX(DEX*2,APP*2)</f>
        <v>316</v>
      </c>
      <c r="G35" s="924" t="s">
        <v>586</v>
      </c>
      <c r="K35" s="2166" t="s">
        <v>587</v>
      </c>
      <c r="L35" s="2166"/>
      <c r="M35" s="929" t="s">
        <v>565</v>
      </c>
      <c r="N35" s="930"/>
      <c r="O35" s="906"/>
      <c r="P35" s="906"/>
      <c r="Q35" s="363"/>
      <c r="R35" s="941"/>
    </row>
    <row r="36" spans="1:18" ht="17.25" customHeight="1">
      <c r="A36" s="911">
        <v>34</v>
      </c>
      <c r="B36" s="2165" t="s">
        <v>588</v>
      </c>
      <c r="C36" s="2165"/>
      <c r="D36" s="902" t="s">
        <v>589</v>
      </c>
      <c r="E36" s="902" t="s">
        <v>579</v>
      </c>
      <c r="F36" s="902">
        <f>EDU*2+APP*2</f>
        <v>246</v>
      </c>
      <c r="G36" s="919" t="s">
        <v>590</v>
      </c>
      <c r="K36" s="2166" t="s">
        <v>591</v>
      </c>
      <c r="L36" s="2166"/>
      <c r="M36" s="929" t="s">
        <v>592</v>
      </c>
      <c r="N36" s="930"/>
      <c r="O36" s="906"/>
      <c r="P36" s="906"/>
      <c r="Q36" s="363"/>
      <c r="R36" s="906"/>
    </row>
    <row r="37" spans="1:18" ht="17.25" customHeight="1">
      <c r="A37" s="920">
        <v>35</v>
      </c>
      <c r="B37" s="2167" t="s">
        <v>593</v>
      </c>
      <c r="C37" s="2168"/>
      <c r="D37" s="922" t="s">
        <v>514</v>
      </c>
      <c r="E37" s="923" t="s">
        <v>579</v>
      </c>
      <c r="F37" s="923">
        <f>EDU*2+APP*2</f>
        <v>246</v>
      </c>
      <c r="G37" s="924" t="s">
        <v>594</v>
      </c>
      <c r="K37" s="2166" t="s">
        <v>595</v>
      </c>
      <c r="L37" s="2166"/>
      <c r="M37" s="929" t="s">
        <v>596</v>
      </c>
      <c r="N37" s="930"/>
      <c r="O37" s="906"/>
      <c r="P37" s="906"/>
      <c r="Q37" s="363"/>
      <c r="R37" s="906"/>
    </row>
    <row r="38" spans="1:18">
      <c r="A38" s="911">
        <v>36</v>
      </c>
      <c r="B38" s="2165" t="s">
        <v>597</v>
      </c>
      <c r="C38" s="2165"/>
      <c r="D38" s="902" t="s">
        <v>598</v>
      </c>
      <c r="E38" s="902" t="s">
        <v>450</v>
      </c>
      <c r="F38" s="902">
        <f>EDU*4</f>
        <v>312</v>
      </c>
      <c r="G38" s="919" t="s">
        <v>599</v>
      </c>
      <c r="K38" s="2166" t="s">
        <v>600</v>
      </c>
      <c r="L38" s="2166"/>
      <c r="M38" s="929" t="s">
        <v>601</v>
      </c>
      <c r="N38" s="930"/>
      <c r="O38" s="906"/>
      <c r="P38" s="906"/>
      <c r="Q38" s="363"/>
      <c r="R38" s="906"/>
    </row>
    <row r="39" spans="1:18" ht="17.25" customHeight="1">
      <c r="A39" s="920">
        <v>37</v>
      </c>
      <c r="B39" s="2167" t="s">
        <v>602</v>
      </c>
      <c r="C39" s="2168"/>
      <c r="D39" s="922" t="s">
        <v>598</v>
      </c>
      <c r="E39" s="923" t="s">
        <v>603</v>
      </c>
      <c r="F39" s="923">
        <f>EDU*2+MAX(DEX*2,APP*2)</f>
        <v>316</v>
      </c>
      <c r="G39" s="924" t="s">
        <v>604</v>
      </c>
      <c r="K39" s="2166" t="s">
        <v>605</v>
      </c>
      <c r="L39" s="2166"/>
      <c r="M39" s="929" t="s">
        <v>606</v>
      </c>
      <c r="N39" s="930"/>
      <c r="O39" s="906"/>
      <c r="P39" s="906"/>
      <c r="Q39" s="363"/>
      <c r="R39" s="906"/>
    </row>
    <row r="40" spans="1:18" ht="17.25" customHeight="1">
      <c r="A40" s="911">
        <v>38</v>
      </c>
      <c r="B40" s="2165" t="s">
        <v>607</v>
      </c>
      <c r="C40" s="2165"/>
      <c r="D40" s="902" t="s">
        <v>608</v>
      </c>
      <c r="E40" s="902" t="s">
        <v>444</v>
      </c>
      <c r="F40" s="902">
        <f>EDU*2+MAX(STR*2,DEX*2)</f>
        <v>316</v>
      </c>
      <c r="G40" s="919" t="s">
        <v>609</v>
      </c>
      <c r="K40" s="2166" t="s">
        <v>610</v>
      </c>
      <c r="L40" s="2166"/>
      <c r="M40" s="929" t="s">
        <v>611</v>
      </c>
      <c r="N40" s="930"/>
      <c r="O40" s="906"/>
      <c r="P40" s="906"/>
      <c r="Q40" s="363"/>
      <c r="R40" s="906"/>
    </row>
    <row r="41" spans="1:18">
      <c r="A41" s="920">
        <v>39</v>
      </c>
      <c r="B41" s="2167" t="s">
        <v>612</v>
      </c>
      <c r="C41" s="2168"/>
      <c r="D41" s="922" t="s">
        <v>556</v>
      </c>
      <c r="E41" s="923" t="s">
        <v>450</v>
      </c>
      <c r="F41" s="923">
        <f>EDU*4</f>
        <v>312</v>
      </c>
      <c r="G41" s="924" t="s">
        <v>613</v>
      </c>
      <c r="K41" s="2166" t="s">
        <v>614</v>
      </c>
      <c r="L41" s="2166"/>
      <c r="M41" s="929" t="s">
        <v>615</v>
      </c>
      <c r="N41" s="930"/>
      <c r="O41" s="906"/>
      <c r="P41" s="906"/>
      <c r="Q41" s="363"/>
      <c r="R41" s="906"/>
    </row>
    <row r="42" spans="1:18">
      <c r="A42" s="911">
        <v>40</v>
      </c>
      <c r="B42" s="2165" t="s">
        <v>616</v>
      </c>
      <c r="C42" s="2165"/>
      <c r="D42" s="902" t="s">
        <v>509</v>
      </c>
      <c r="E42" s="902" t="s">
        <v>450</v>
      </c>
      <c r="F42" s="902">
        <f>EDU*4</f>
        <v>312</v>
      </c>
      <c r="G42" s="919" t="s">
        <v>617</v>
      </c>
      <c r="K42" s="2166" t="s">
        <v>618</v>
      </c>
      <c r="L42" s="2166"/>
      <c r="M42" s="929" t="s">
        <v>619</v>
      </c>
      <c r="N42" s="930"/>
      <c r="O42" s="906"/>
      <c r="P42" s="906"/>
      <c r="Q42" s="363"/>
      <c r="R42" s="906"/>
    </row>
    <row r="43" spans="1:18">
      <c r="A43" s="920">
        <v>41</v>
      </c>
      <c r="B43" s="2167" t="s">
        <v>620</v>
      </c>
      <c r="C43" s="2168"/>
      <c r="D43" s="922" t="s">
        <v>598</v>
      </c>
      <c r="E43" s="923" t="s">
        <v>450</v>
      </c>
      <c r="F43" s="923">
        <f>EDU*4</f>
        <v>312</v>
      </c>
      <c r="G43" s="924" t="s">
        <v>621</v>
      </c>
      <c r="K43" s="2166" t="s">
        <v>622</v>
      </c>
      <c r="L43" s="2166"/>
      <c r="M43" s="929" t="s">
        <v>623</v>
      </c>
      <c r="N43" s="930"/>
      <c r="O43" s="906"/>
      <c r="P43" s="906"/>
      <c r="Q43" s="363"/>
      <c r="R43" s="906"/>
    </row>
    <row r="44" spans="1:18" ht="17.25" customHeight="1">
      <c r="A44" s="911">
        <v>42</v>
      </c>
      <c r="B44" s="2165" t="s">
        <v>624</v>
      </c>
      <c r="C44" s="2165"/>
      <c r="D44" s="902" t="s">
        <v>625</v>
      </c>
      <c r="E44" s="902" t="s">
        <v>434</v>
      </c>
      <c r="F44" s="902">
        <f>EDU*2+APP*2</f>
        <v>246</v>
      </c>
      <c r="G44" s="919" t="s">
        <v>626</v>
      </c>
      <c r="K44" s="2166" t="s">
        <v>627</v>
      </c>
      <c r="L44" s="2166"/>
      <c r="M44" s="929" t="s">
        <v>628</v>
      </c>
      <c r="N44" s="930"/>
      <c r="O44" s="906"/>
      <c r="P44" s="906"/>
      <c r="Q44" s="363"/>
      <c r="R44" s="906"/>
    </row>
    <row r="45" spans="1:18" ht="17.25" customHeight="1">
      <c r="A45" s="920">
        <v>43</v>
      </c>
      <c r="B45" s="2167" t="s">
        <v>629</v>
      </c>
      <c r="C45" s="2168"/>
      <c r="D45" s="922" t="s">
        <v>499</v>
      </c>
      <c r="E45" s="923" t="s">
        <v>574</v>
      </c>
      <c r="F45" s="923">
        <f>EDU*2+DEX*2</f>
        <v>316</v>
      </c>
      <c r="G45" s="924" t="s">
        <v>630</v>
      </c>
      <c r="K45" s="2166" t="s">
        <v>631</v>
      </c>
      <c r="L45" s="2166"/>
      <c r="M45" s="929" t="s">
        <v>632</v>
      </c>
      <c r="N45" s="930"/>
      <c r="O45" s="906"/>
      <c r="P45" s="906"/>
      <c r="Q45" s="363"/>
      <c r="R45" s="906"/>
    </row>
    <row r="46" spans="1:18">
      <c r="A46" s="911">
        <v>44</v>
      </c>
      <c r="B46" s="2165" t="s">
        <v>633</v>
      </c>
      <c r="C46" s="2165"/>
      <c r="D46" s="902" t="s">
        <v>634</v>
      </c>
      <c r="E46" s="902" t="s">
        <v>450</v>
      </c>
      <c r="F46" s="902">
        <f>EDU*4</f>
        <v>312</v>
      </c>
      <c r="G46" s="919" t="s">
        <v>635</v>
      </c>
      <c r="K46" s="2166" t="s">
        <v>636</v>
      </c>
      <c r="L46" s="2166"/>
      <c r="M46" s="929" t="s">
        <v>637</v>
      </c>
      <c r="N46" s="930"/>
      <c r="O46" s="906"/>
      <c r="P46" s="906"/>
      <c r="Q46" s="363"/>
      <c r="R46" s="906"/>
    </row>
    <row r="47" spans="1:18" ht="17.25" customHeight="1">
      <c r="A47" s="920">
        <v>45</v>
      </c>
      <c r="B47" s="2167" t="s">
        <v>638</v>
      </c>
      <c r="C47" s="2168"/>
      <c r="D47" s="922" t="s">
        <v>639</v>
      </c>
      <c r="E47" s="923" t="s">
        <v>640</v>
      </c>
      <c r="F47" s="923">
        <f>EDU*2+MAX(DEX*2,APP*2,STR*2)</f>
        <v>316</v>
      </c>
      <c r="G47" s="924" t="s">
        <v>641</v>
      </c>
      <c r="K47" s="2166" t="s">
        <v>642</v>
      </c>
      <c r="L47" s="2166"/>
      <c r="M47" s="929" t="s">
        <v>643</v>
      </c>
      <c r="N47" s="930"/>
      <c r="O47" s="906"/>
      <c r="P47" s="906"/>
      <c r="Q47" s="363"/>
      <c r="R47" s="906"/>
    </row>
    <row r="48" spans="1:18" ht="17.25" customHeight="1">
      <c r="A48" s="911">
        <v>46</v>
      </c>
      <c r="B48" s="2165" t="s">
        <v>644</v>
      </c>
      <c r="C48" s="2165"/>
      <c r="D48" s="902" t="s">
        <v>455</v>
      </c>
      <c r="E48" s="902" t="s">
        <v>428</v>
      </c>
      <c r="F48" s="902">
        <f>EDU*2+DEX*2</f>
        <v>316</v>
      </c>
      <c r="G48" s="919" t="s">
        <v>645</v>
      </c>
      <c r="K48" s="2166" t="s">
        <v>646</v>
      </c>
      <c r="L48" s="2166"/>
      <c r="M48" s="929" t="s">
        <v>647</v>
      </c>
      <c r="N48" s="930"/>
      <c r="O48" s="906"/>
      <c r="P48" s="906"/>
      <c r="Q48" s="363"/>
      <c r="R48" s="906"/>
    </row>
    <row r="49" spans="1:18" ht="17.25" customHeight="1">
      <c r="A49" s="920">
        <v>47</v>
      </c>
      <c r="B49" s="2167" t="s">
        <v>648</v>
      </c>
      <c r="C49" s="2168"/>
      <c r="D49" s="922" t="s">
        <v>427</v>
      </c>
      <c r="E49" s="923" t="s">
        <v>444</v>
      </c>
      <c r="F49" s="923">
        <f>EDU*2+MAX(STR*2,DEX*2)</f>
        <v>316</v>
      </c>
      <c r="G49" s="924" t="s">
        <v>649</v>
      </c>
      <c r="K49" s="2166" t="s">
        <v>650</v>
      </c>
      <c r="L49" s="2166"/>
      <c r="M49" s="929" t="s">
        <v>651</v>
      </c>
      <c r="N49" s="930"/>
      <c r="O49" s="906"/>
      <c r="P49" s="906"/>
      <c r="Q49" s="363"/>
      <c r="R49" s="906"/>
    </row>
    <row r="50" spans="1:18" ht="17.25" customHeight="1">
      <c r="A50" s="911">
        <v>48</v>
      </c>
      <c r="B50" s="2165" t="s">
        <v>652</v>
      </c>
      <c r="C50" s="2165"/>
      <c r="D50" s="902" t="s">
        <v>499</v>
      </c>
      <c r="E50" s="902" t="s">
        <v>574</v>
      </c>
      <c r="F50" s="902">
        <f>EDU*2+DEX*2</f>
        <v>316</v>
      </c>
      <c r="G50" s="919" t="s">
        <v>653</v>
      </c>
      <c r="K50" s="2166" t="s">
        <v>654</v>
      </c>
      <c r="L50" s="2166"/>
      <c r="M50" s="929" t="s">
        <v>655</v>
      </c>
      <c r="N50" s="930"/>
      <c r="O50" s="906"/>
      <c r="P50" s="906"/>
      <c r="Q50" s="363"/>
      <c r="R50" s="906"/>
    </row>
    <row r="51" spans="1:18">
      <c r="A51" s="920">
        <v>49</v>
      </c>
      <c r="B51" s="2167" t="s">
        <v>656</v>
      </c>
      <c r="C51" s="2168"/>
      <c r="D51" s="922" t="s">
        <v>657</v>
      </c>
      <c r="E51" s="923" t="s">
        <v>450</v>
      </c>
      <c r="F51" s="923">
        <f>EDU*4</f>
        <v>312</v>
      </c>
      <c r="G51" s="924" t="s">
        <v>658</v>
      </c>
      <c r="K51" s="2166" t="s">
        <v>659</v>
      </c>
      <c r="L51" s="2166"/>
      <c r="M51" s="929" t="s">
        <v>660</v>
      </c>
      <c r="N51" s="930"/>
      <c r="O51" s="906"/>
      <c r="P51" s="906"/>
      <c r="Q51" s="363"/>
      <c r="R51" s="906"/>
    </row>
    <row r="52" spans="1:18" ht="17.25" customHeight="1">
      <c r="A52" s="911">
        <v>50</v>
      </c>
      <c r="B52" s="2165" t="s">
        <v>661</v>
      </c>
      <c r="C52" s="2165"/>
      <c r="D52" s="902" t="s">
        <v>662</v>
      </c>
      <c r="E52" s="902" t="s">
        <v>579</v>
      </c>
      <c r="F52" s="902">
        <f>EDU*2+APP*2</f>
        <v>246</v>
      </c>
      <c r="G52" s="919" t="s">
        <v>663</v>
      </c>
      <c r="K52" s="2166" t="s">
        <v>664</v>
      </c>
      <c r="L52" s="2166"/>
      <c r="M52" s="929" t="s">
        <v>665</v>
      </c>
      <c r="N52" s="930"/>
      <c r="O52" s="906"/>
      <c r="P52" s="906"/>
      <c r="Q52" s="363"/>
      <c r="R52" s="906"/>
    </row>
    <row r="53" spans="1:18">
      <c r="A53" s="920">
        <v>51</v>
      </c>
      <c r="B53" s="2167" t="s">
        <v>666</v>
      </c>
      <c r="C53" s="2168"/>
      <c r="D53" s="922" t="s">
        <v>556</v>
      </c>
      <c r="E53" s="923" t="s">
        <v>450</v>
      </c>
      <c r="F53" s="923">
        <f>EDU*4</f>
        <v>312</v>
      </c>
      <c r="G53" s="924" t="s">
        <v>667</v>
      </c>
      <c r="K53" s="2166" t="s">
        <v>668</v>
      </c>
      <c r="L53" s="2166"/>
      <c r="M53" s="929" t="s">
        <v>669</v>
      </c>
      <c r="N53" s="930"/>
      <c r="O53" s="906"/>
      <c r="P53" s="906"/>
      <c r="Q53" s="363"/>
      <c r="R53" s="906"/>
    </row>
    <row r="54" spans="1:18" ht="16.5" customHeight="1">
      <c r="A54" s="911">
        <v>52</v>
      </c>
      <c r="B54" s="2165" t="s">
        <v>670</v>
      </c>
      <c r="C54" s="2165"/>
      <c r="D54" s="902" t="s">
        <v>494</v>
      </c>
      <c r="E54" s="902" t="s">
        <v>434</v>
      </c>
      <c r="F54" s="902">
        <f>EDU*2+APP*2</f>
        <v>246</v>
      </c>
      <c r="G54" s="919" t="s">
        <v>671</v>
      </c>
      <c r="K54" s="2166" t="s">
        <v>672</v>
      </c>
      <c r="L54" s="2166"/>
      <c r="M54" s="929" t="s">
        <v>673</v>
      </c>
      <c r="N54" s="930"/>
      <c r="O54" s="906"/>
      <c r="P54" s="906"/>
      <c r="Q54" s="363"/>
      <c r="R54" s="906"/>
    </row>
    <row r="55" spans="1:18" ht="17.25" customHeight="1">
      <c r="A55" s="920">
        <v>53</v>
      </c>
      <c r="B55" s="2167" t="s">
        <v>674</v>
      </c>
      <c r="C55" s="2168"/>
      <c r="D55" s="922" t="s">
        <v>675</v>
      </c>
      <c r="E55" s="923" t="s">
        <v>640</v>
      </c>
      <c r="F55" s="923">
        <f>EDU*2+MAX(DEX*2,APP*2,STR*2)</f>
        <v>316</v>
      </c>
      <c r="G55" s="924" t="s">
        <v>676</v>
      </c>
      <c r="K55" s="2166" t="s">
        <v>677</v>
      </c>
      <c r="L55" s="2166"/>
      <c r="M55" s="929" t="s">
        <v>678</v>
      </c>
      <c r="N55" s="930"/>
      <c r="O55" s="906"/>
      <c r="P55" s="906"/>
      <c r="Q55" s="363"/>
      <c r="R55" s="906"/>
    </row>
    <row r="56" spans="1:18" ht="16.5" customHeight="1">
      <c r="A56" s="911">
        <v>54</v>
      </c>
      <c r="B56" s="2165" t="s">
        <v>679</v>
      </c>
      <c r="C56" s="2165"/>
      <c r="D56" s="902" t="s">
        <v>499</v>
      </c>
      <c r="E56" s="902" t="s">
        <v>444</v>
      </c>
      <c r="F56" s="902">
        <f>EDU*2+MAX(STR*2,DEX*2)</f>
        <v>316</v>
      </c>
      <c r="G56" s="919" t="s">
        <v>680</v>
      </c>
      <c r="K56" s="2166" t="s">
        <v>681</v>
      </c>
      <c r="L56" s="2166"/>
      <c r="M56" s="929" t="s">
        <v>682</v>
      </c>
      <c r="N56" s="930"/>
      <c r="O56" s="906"/>
      <c r="P56" s="906"/>
      <c r="Q56" s="363"/>
      <c r="R56" s="906"/>
    </row>
    <row r="57" spans="1:18">
      <c r="A57" s="920">
        <v>55</v>
      </c>
      <c r="B57" s="2167" t="s">
        <v>683</v>
      </c>
      <c r="C57" s="2168"/>
      <c r="D57" s="922" t="s">
        <v>514</v>
      </c>
      <c r="E57" s="923" t="s">
        <v>450</v>
      </c>
      <c r="F57" s="923">
        <f>EDU*4</f>
        <v>312</v>
      </c>
      <c r="G57" s="924" t="s">
        <v>684</v>
      </c>
      <c r="H57" s="902"/>
      <c r="K57" s="2166" t="s">
        <v>685</v>
      </c>
      <c r="L57" s="2166"/>
      <c r="M57" s="929" t="s">
        <v>686</v>
      </c>
      <c r="N57" s="930"/>
      <c r="O57" s="906"/>
      <c r="P57" s="906"/>
      <c r="Q57" s="363"/>
      <c r="R57" s="906"/>
    </row>
    <row r="58" spans="1:18" ht="15" customHeight="1">
      <c r="A58" s="911">
        <v>56</v>
      </c>
      <c r="B58" s="2165" t="s">
        <v>687</v>
      </c>
      <c r="C58" s="2165"/>
      <c r="D58" s="902" t="s">
        <v>499</v>
      </c>
      <c r="E58" s="902" t="s">
        <v>444</v>
      </c>
      <c r="F58" s="902">
        <f>EDU*2+MAX(STR*2,DEX*2)</f>
        <v>316</v>
      </c>
      <c r="G58" s="919" t="s">
        <v>688</v>
      </c>
      <c r="H58" s="902"/>
      <c r="K58" s="2166" t="s">
        <v>689</v>
      </c>
      <c r="L58" s="2166"/>
      <c r="M58" s="929" t="s">
        <v>690</v>
      </c>
      <c r="N58" s="930"/>
      <c r="O58" s="906"/>
      <c r="P58" s="906"/>
      <c r="Q58" s="363"/>
      <c r="R58" s="906"/>
    </row>
    <row r="59" spans="1:18" ht="16.149999999999999" customHeight="1">
      <c r="A59" s="920">
        <v>57</v>
      </c>
      <c r="B59" s="2167" t="s">
        <v>691</v>
      </c>
      <c r="C59" s="2168"/>
      <c r="D59" s="922" t="s">
        <v>455</v>
      </c>
      <c r="E59" s="923" t="s">
        <v>450</v>
      </c>
      <c r="F59" s="923">
        <f>EDU*4</f>
        <v>312</v>
      </c>
      <c r="G59" s="924" t="s">
        <v>692</v>
      </c>
      <c r="H59" s="902"/>
      <c r="K59" s="2166" t="s">
        <v>693</v>
      </c>
      <c r="L59" s="2166"/>
      <c r="M59" s="940" t="s">
        <v>694</v>
      </c>
      <c r="N59" s="930"/>
      <c r="O59" s="906"/>
      <c r="P59" s="906"/>
      <c r="Q59" s="363"/>
      <c r="R59" s="906"/>
    </row>
    <row r="60" spans="1:18">
      <c r="A60" s="911">
        <v>58</v>
      </c>
      <c r="B60" s="2165" t="s">
        <v>695</v>
      </c>
      <c r="C60" s="2165"/>
      <c r="D60" s="902" t="s">
        <v>696</v>
      </c>
      <c r="E60" s="902" t="s">
        <v>450</v>
      </c>
      <c r="F60" s="902">
        <f>EDU*4</f>
        <v>312</v>
      </c>
      <c r="G60" s="919" t="s">
        <v>697</v>
      </c>
      <c r="H60" s="902"/>
      <c r="K60" s="2166" t="s">
        <v>698</v>
      </c>
      <c r="L60" s="2166"/>
      <c r="M60" s="929" t="s">
        <v>699</v>
      </c>
      <c r="N60" s="930"/>
      <c r="O60" s="906"/>
      <c r="P60" s="906"/>
      <c r="Q60" s="363"/>
      <c r="R60" s="906"/>
    </row>
    <row r="61" spans="1:18">
      <c r="A61" s="920">
        <v>59</v>
      </c>
      <c r="B61" s="2167" t="s">
        <v>700</v>
      </c>
      <c r="C61" s="2168"/>
      <c r="D61" s="922" t="s">
        <v>701</v>
      </c>
      <c r="E61" s="923" t="s">
        <v>702</v>
      </c>
      <c r="F61" s="923">
        <f>EDU*2+MAX(DEX*2,APP*2)</f>
        <v>316</v>
      </c>
      <c r="G61" s="924" t="s">
        <v>703</v>
      </c>
      <c r="H61" s="902"/>
      <c r="K61" s="2166" t="s">
        <v>704</v>
      </c>
      <c r="L61" s="2166"/>
      <c r="M61" s="929" t="s">
        <v>705</v>
      </c>
      <c r="N61" s="930"/>
      <c r="O61" s="906"/>
      <c r="P61" s="906"/>
      <c r="Q61" s="363"/>
      <c r="R61" s="906"/>
    </row>
    <row r="62" spans="1:18">
      <c r="A62" s="911">
        <v>60</v>
      </c>
      <c r="B62" s="2165" t="s">
        <v>706</v>
      </c>
      <c r="C62" s="2165"/>
      <c r="D62" s="902" t="s">
        <v>707</v>
      </c>
      <c r="E62" s="902" t="s">
        <v>434</v>
      </c>
      <c r="F62" s="902">
        <f>EDU*2+APP*2</f>
        <v>246</v>
      </c>
      <c r="G62" s="919" t="s">
        <v>708</v>
      </c>
      <c r="H62" s="902"/>
      <c r="K62" s="2166" t="s">
        <v>709</v>
      </c>
      <c r="L62" s="2166"/>
      <c r="M62" s="929" t="s">
        <v>710</v>
      </c>
      <c r="N62" s="930"/>
      <c r="O62" s="906"/>
      <c r="P62" s="906"/>
      <c r="Q62" s="363"/>
      <c r="R62" s="906"/>
    </row>
    <row r="63" spans="1:18">
      <c r="A63" s="920">
        <v>61</v>
      </c>
      <c r="B63" s="2167" t="s">
        <v>711</v>
      </c>
      <c r="C63" s="2168"/>
      <c r="D63" s="922" t="s">
        <v>427</v>
      </c>
      <c r="E63" s="923" t="s">
        <v>444</v>
      </c>
      <c r="F63" s="923">
        <f>EDU*2+MAX(STR*2,DEX*2)</f>
        <v>316</v>
      </c>
      <c r="G63" s="924" t="s">
        <v>712</v>
      </c>
      <c r="H63" s="902"/>
      <c r="K63" s="2166" t="s">
        <v>713</v>
      </c>
      <c r="L63" s="2166"/>
      <c r="M63" s="929" t="s">
        <v>710</v>
      </c>
      <c r="N63" s="930"/>
      <c r="O63" s="906"/>
      <c r="P63" s="906"/>
      <c r="Q63" s="363"/>
      <c r="R63" s="906"/>
    </row>
    <row r="64" spans="1:18">
      <c r="A64" s="911">
        <v>62</v>
      </c>
      <c r="B64" s="2165" t="s">
        <v>714</v>
      </c>
      <c r="C64" s="2165"/>
      <c r="D64" s="902" t="s">
        <v>715</v>
      </c>
      <c r="E64" s="902" t="s">
        <v>579</v>
      </c>
      <c r="F64" s="902">
        <f>EDU*2+APP*2</f>
        <v>246</v>
      </c>
      <c r="G64" s="919" t="s">
        <v>716</v>
      </c>
      <c r="H64" s="902"/>
      <c r="K64" s="2166" t="s">
        <v>717</v>
      </c>
      <c r="L64" s="2166"/>
      <c r="M64" s="929" t="s">
        <v>718</v>
      </c>
      <c r="N64" s="930"/>
      <c r="O64" s="906"/>
      <c r="P64" s="906"/>
      <c r="Q64" s="363"/>
      <c r="R64" s="906"/>
    </row>
    <row r="65" spans="1:20">
      <c r="A65" s="920">
        <v>63</v>
      </c>
      <c r="B65" s="2167" t="s">
        <v>719</v>
      </c>
      <c r="C65" s="2168"/>
      <c r="D65" s="922" t="s">
        <v>639</v>
      </c>
      <c r="E65" s="923" t="s">
        <v>720</v>
      </c>
      <c r="F65" s="923">
        <f>EDU*2+MAX(DEX*2,APP*2)</f>
        <v>316</v>
      </c>
      <c r="G65" s="924" t="s">
        <v>721</v>
      </c>
      <c r="H65" s="902"/>
      <c r="K65" s="2166" t="s">
        <v>722</v>
      </c>
      <c r="L65" s="2166"/>
      <c r="M65" s="929" t="s">
        <v>723</v>
      </c>
      <c r="N65" s="930"/>
      <c r="O65" s="906"/>
      <c r="P65" s="906"/>
      <c r="Q65" s="363"/>
      <c r="R65" s="906"/>
    </row>
    <row r="66" spans="1:20">
      <c r="A66" s="911">
        <v>64</v>
      </c>
      <c r="B66" s="2165" t="s">
        <v>724</v>
      </c>
      <c r="C66" s="2165"/>
      <c r="D66" s="902" t="s">
        <v>725</v>
      </c>
      <c r="E66" s="902" t="s">
        <v>726</v>
      </c>
      <c r="F66" s="902">
        <f>EDU*2+STR*2</f>
        <v>296</v>
      </c>
      <c r="G66" s="919" t="s">
        <v>727</v>
      </c>
      <c r="H66" s="902"/>
      <c r="K66" s="2166" t="s">
        <v>728</v>
      </c>
      <c r="L66" s="2166"/>
      <c r="M66" s="929" t="s">
        <v>729</v>
      </c>
      <c r="N66" s="930"/>
      <c r="O66" s="906"/>
      <c r="P66" s="906"/>
      <c r="Q66" s="363"/>
      <c r="R66" s="906"/>
    </row>
    <row r="67" spans="1:20">
      <c r="A67" s="920">
        <v>65</v>
      </c>
      <c r="B67" s="2167" t="s">
        <v>730</v>
      </c>
      <c r="C67" s="2168"/>
      <c r="D67" s="922" t="s">
        <v>499</v>
      </c>
      <c r="E67" s="923" t="s">
        <v>450</v>
      </c>
      <c r="F67" s="923">
        <f>EDU*4</f>
        <v>312</v>
      </c>
      <c r="G67" s="924" t="s">
        <v>731</v>
      </c>
      <c r="H67" s="902"/>
      <c r="K67" s="2166" t="s">
        <v>732</v>
      </c>
      <c r="L67" s="2166"/>
      <c r="M67" s="929" t="s">
        <v>733</v>
      </c>
      <c r="N67" s="930"/>
      <c r="O67" s="906"/>
      <c r="P67" s="906"/>
      <c r="Q67" s="363"/>
      <c r="R67" s="906"/>
    </row>
    <row r="68" spans="1:20">
      <c r="A68" s="911">
        <v>66</v>
      </c>
      <c r="B68" s="2165" t="s">
        <v>734</v>
      </c>
      <c r="C68" s="2165"/>
      <c r="D68" s="902" t="s">
        <v>499</v>
      </c>
      <c r="E68" s="902" t="s">
        <v>450</v>
      </c>
      <c r="F68" s="902">
        <f>EDU*4</f>
        <v>312</v>
      </c>
      <c r="G68" s="919" t="s">
        <v>735</v>
      </c>
      <c r="H68" s="902"/>
      <c r="K68" s="2166" t="s">
        <v>736</v>
      </c>
      <c r="L68" s="2166"/>
      <c r="M68" s="929" t="s">
        <v>737</v>
      </c>
      <c r="N68" s="930"/>
      <c r="O68" s="906"/>
      <c r="P68" s="906"/>
      <c r="R68" s="906"/>
      <c r="S68" s="906"/>
    </row>
    <row r="69" spans="1:20">
      <c r="A69" s="920">
        <v>67</v>
      </c>
      <c r="B69" s="2167" t="s">
        <v>738</v>
      </c>
      <c r="C69" s="2168"/>
      <c r="D69" s="922" t="s">
        <v>739</v>
      </c>
      <c r="E69" s="923" t="s">
        <v>450</v>
      </c>
      <c r="F69" s="923">
        <f>EDU*4</f>
        <v>312</v>
      </c>
      <c r="G69" s="924" t="s">
        <v>740</v>
      </c>
      <c r="H69" s="902"/>
      <c r="K69" s="2166" t="s">
        <v>741</v>
      </c>
      <c r="L69" s="2166"/>
      <c r="M69" s="929" t="s">
        <v>742</v>
      </c>
      <c r="N69" s="930"/>
      <c r="O69" s="906"/>
      <c r="P69" s="906"/>
      <c r="R69" s="906"/>
      <c r="S69" s="906"/>
    </row>
    <row r="70" spans="1:20">
      <c r="A70" s="911">
        <v>68</v>
      </c>
      <c r="B70" s="2165" t="s">
        <v>743</v>
      </c>
      <c r="C70" s="2165"/>
      <c r="D70" s="902" t="s">
        <v>657</v>
      </c>
      <c r="E70" s="902" t="s">
        <v>450</v>
      </c>
      <c r="F70" s="902">
        <f>EDU*4</f>
        <v>312</v>
      </c>
      <c r="G70" s="919" t="s">
        <v>744</v>
      </c>
      <c r="H70" s="902"/>
      <c r="K70" s="2166" t="s">
        <v>745</v>
      </c>
      <c r="L70" s="2166"/>
      <c r="M70" s="929" t="s">
        <v>746</v>
      </c>
      <c r="N70" s="930"/>
      <c r="O70" s="906"/>
      <c r="P70" s="906"/>
      <c r="R70" s="906"/>
      <c r="S70" s="906"/>
      <c r="T70" s="906"/>
    </row>
    <row r="71" spans="1:20">
      <c r="A71" s="920">
        <v>69</v>
      </c>
      <c r="B71" s="2167" t="s">
        <v>747</v>
      </c>
      <c r="C71" s="2168"/>
      <c r="D71" s="922" t="s">
        <v>499</v>
      </c>
      <c r="E71" s="923" t="s">
        <v>444</v>
      </c>
      <c r="F71" s="923">
        <f>EDU*2+MAX(STR*2,DEX*2)</f>
        <v>316</v>
      </c>
      <c r="G71" s="924" t="s">
        <v>748</v>
      </c>
      <c r="H71" s="902"/>
      <c r="K71" s="2166" t="s">
        <v>749</v>
      </c>
      <c r="L71" s="2166"/>
      <c r="M71" s="929" t="s">
        <v>750</v>
      </c>
      <c r="N71" s="930"/>
      <c r="O71" s="906"/>
      <c r="P71" s="906"/>
      <c r="R71" s="906"/>
      <c r="S71" s="906"/>
      <c r="T71" s="906"/>
    </row>
    <row r="72" spans="1:20" ht="16.5" customHeight="1">
      <c r="A72" s="911">
        <v>70</v>
      </c>
      <c r="B72" s="2165" t="s">
        <v>751</v>
      </c>
      <c r="C72" s="2165"/>
      <c r="D72" s="902" t="s">
        <v>499</v>
      </c>
      <c r="E72" s="902" t="s">
        <v>444</v>
      </c>
      <c r="F72" s="902">
        <f>EDU*2+MAX(STR*2,DEX*2)</f>
        <v>316</v>
      </c>
      <c r="G72" s="919" t="s">
        <v>752</v>
      </c>
      <c r="H72" s="902"/>
      <c r="K72" s="2166" t="s">
        <v>753</v>
      </c>
      <c r="L72" s="2166"/>
      <c r="M72" s="929" t="s">
        <v>750</v>
      </c>
      <c r="N72" s="930"/>
      <c r="O72" s="906"/>
      <c r="P72" s="906"/>
      <c r="R72" s="906"/>
      <c r="S72" s="906"/>
      <c r="T72" s="906"/>
    </row>
    <row r="73" spans="1:20" ht="16.5" customHeight="1">
      <c r="A73" s="920">
        <v>71</v>
      </c>
      <c r="B73" s="2167" t="s">
        <v>754</v>
      </c>
      <c r="C73" s="2168"/>
      <c r="D73" s="922" t="s">
        <v>499</v>
      </c>
      <c r="E73" s="923" t="s">
        <v>444</v>
      </c>
      <c r="F73" s="923">
        <f>EDU*2+MAX(STR*2,DEX*2)</f>
        <v>316</v>
      </c>
      <c r="G73" s="924" t="s">
        <v>755</v>
      </c>
      <c r="H73" s="902"/>
      <c r="K73" s="2166" t="s">
        <v>756</v>
      </c>
      <c r="L73" s="2166"/>
      <c r="M73" s="929" t="s">
        <v>750</v>
      </c>
      <c r="N73" s="930"/>
      <c r="O73" s="906"/>
      <c r="P73" s="906"/>
      <c r="R73" s="906"/>
      <c r="S73" s="906"/>
      <c r="T73" s="906"/>
    </row>
    <row r="74" spans="1:20">
      <c r="A74" s="911">
        <v>72</v>
      </c>
      <c r="B74" s="2165" t="s">
        <v>757</v>
      </c>
      <c r="C74" s="2165"/>
      <c r="D74" s="902" t="s">
        <v>634</v>
      </c>
      <c r="E74" s="902" t="s">
        <v>450</v>
      </c>
      <c r="F74" s="902">
        <f>EDU*4</f>
        <v>312</v>
      </c>
      <c r="G74" s="919" t="s">
        <v>758</v>
      </c>
      <c r="H74" s="902"/>
      <c r="K74" s="2166" t="s">
        <v>759</v>
      </c>
      <c r="L74" s="2166"/>
      <c r="M74" s="929" t="s">
        <v>760</v>
      </c>
      <c r="N74" s="930"/>
      <c r="O74" s="906"/>
      <c r="P74" s="906"/>
      <c r="R74" s="906"/>
      <c r="S74" s="906"/>
      <c r="T74" s="906"/>
    </row>
    <row r="75" spans="1:20">
      <c r="A75" s="920">
        <v>73</v>
      </c>
      <c r="B75" s="2167" t="s">
        <v>761</v>
      </c>
      <c r="C75" s="2168"/>
      <c r="D75" s="922" t="s">
        <v>762</v>
      </c>
      <c r="E75" s="923" t="s">
        <v>450</v>
      </c>
      <c r="F75" s="923">
        <f>EDU*4</f>
        <v>312</v>
      </c>
      <c r="G75" s="924" t="s">
        <v>763</v>
      </c>
      <c r="H75" s="902"/>
      <c r="K75" s="2166" t="s">
        <v>764</v>
      </c>
      <c r="L75" s="2166"/>
      <c r="M75" s="929" t="s">
        <v>765</v>
      </c>
      <c r="N75" s="930"/>
      <c r="O75" s="906"/>
      <c r="P75" s="906"/>
      <c r="R75" s="906"/>
      <c r="S75" s="906"/>
      <c r="T75" s="906"/>
    </row>
    <row r="76" spans="1:20">
      <c r="A76" s="911">
        <v>74</v>
      </c>
      <c r="B76" s="2165" t="s">
        <v>766</v>
      </c>
      <c r="C76" s="2165"/>
      <c r="D76" s="902" t="s">
        <v>433</v>
      </c>
      <c r="E76" s="902" t="s">
        <v>450</v>
      </c>
      <c r="F76" s="902">
        <f>EDU*4</f>
        <v>312</v>
      </c>
      <c r="G76" s="919" t="s">
        <v>767</v>
      </c>
      <c r="H76" s="902"/>
      <c r="K76" s="2166" t="s">
        <v>768</v>
      </c>
      <c r="L76" s="2166"/>
      <c r="M76" s="929" t="s">
        <v>769</v>
      </c>
      <c r="N76" s="930"/>
      <c r="O76" s="906"/>
      <c r="P76" s="906"/>
      <c r="R76" s="906"/>
      <c r="S76" s="906"/>
      <c r="T76" s="906"/>
    </row>
    <row r="77" spans="1:20" ht="16.5" customHeight="1">
      <c r="A77" s="920">
        <v>75</v>
      </c>
      <c r="B77" s="2167" t="s">
        <v>770</v>
      </c>
      <c r="C77" s="2168"/>
      <c r="D77" s="922" t="s">
        <v>771</v>
      </c>
      <c r="E77" s="923" t="s">
        <v>444</v>
      </c>
      <c r="F77" s="923">
        <f>EDU*2+MAX(STR*2,DEX*2)</f>
        <v>316</v>
      </c>
      <c r="G77" s="924" t="s">
        <v>772</v>
      </c>
      <c r="H77" s="902"/>
      <c r="K77" s="2166" t="s">
        <v>773</v>
      </c>
      <c r="L77" s="2166"/>
      <c r="M77" s="929" t="s">
        <v>774</v>
      </c>
      <c r="N77" s="930"/>
      <c r="O77" s="906"/>
      <c r="P77" s="906"/>
      <c r="R77" s="906"/>
      <c r="S77" s="906"/>
      <c r="T77" s="906"/>
    </row>
    <row r="78" spans="1:20" ht="17.25" customHeight="1">
      <c r="A78" s="911">
        <v>76</v>
      </c>
      <c r="B78" s="2165" t="s">
        <v>775</v>
      </c>
      <c r="C78" s="2165"/>
      <c r="D78" s="902" t="s">
        <v>776</v>
      </c>
      <c r="E78" s="902" t="s">
        <v>434</v>
      </c>
      <c r="F78" s="902">
        <f>EDU*2+APP*2</f>
        <v>246</v>
      </c>
      <c r="G78" s="919" t="s">
        <v>777</v>
      </c>
      <c r="H78" s="902"/>
      <c r="K78" s="2166" t="s">
        <v>778</v>
      </c>
      <c r="L78" s="2166"/>
      <c r="M78" s="929" t="s">
        <v>779</v>
      </c>
      <c r="N78" s="930"/>
      <c r="O78" s="906"/>
      <c r="P78" s="906"/>
      <c r="R78" s="906"/>
      <c r="S78" s="906"/>
      <c r="T78" s="906"/>
    </row>
    <row r="79" spans="1:20" ht="17.25" customHeight="1">
      <c r="A79" s="920">
        <v>77</v>
      </c>
      <c r="B79" s="2167" t="s">
        <v>780</v>
      </c>
      <c r="C79" s="2168"/>
      <c r="D79" s="922" t="s">
        <v>556</v>
      </c>
      <c r="E79" s="923" t="s">
        <v>444</v>
      </c>
      <c r="F79" s="923">
        <f>EDU*2+MAX(STR*2,DEX*2)</f>
        <v>316</v>
      </c>
      <c r="G79" s="924" t="s">
        <v>781</v>
      </c>
      <c r="H79" s="902"/>
      <c r="K79" s="2166" t="s">
        <v>782</v>
      </c>
      <c r="L79" s="2166"/>
      <c r="M79" s="929" t="s">
        <v>783</v>
      </c>
      <c r="N79" s="930"/>
      <c r="O79" s="906"/>
      <c r="P79" s="906"/>
      <c r="R79" s="906"/>
      <c r="S79" s="906"/>
      <c r="T79" s="906"/>
    </row>
    <row r="80" spans="1:20">
      <c r="A80" s="911">
        <v>78</v>
      </c>
      <c r="B80" s="2165" t="s">
        <v>784</v>
      </c>
      <c r="C80" s="2165"/>
      <c r="D80" s="902" t="s">
        <v>657</v>
      </c>
      <c r="E80" s="902" t="s">
        <v>450</v>
      </c>
      <c r="F80" s="902">
        <f>EDU*4</f>
        <v>312</v>
      </c>
      <c r="G80" s="919" t="s">
        <v>785</v>
      </c>
      <c r="H80" s="902"/>
      <c r="K80" s="2166" t="s">
        <v>786</v>
      </c>
      <c r="L80" s="2166"/>
      <c r="M80" s="929" t="s">
        <v>787</v>
      </c>
      <c r="N80" s="930"/>
      <c r="O80" s="906"/>
      <c r="P80" s="906"/>
      <c r="R80" s="906"/>
      <c r="S80" s="906"/>
      <c r="T80" s="906"/>
    </row>
    <row r="81" spans="1:20" ht="16.5" customHeight="1">
      <c r="A81" s="920">
        <v>79</v>
      </c>
      <c r="B81" s="2167" t="s">
        <v>788</v>
      </c>
      <c r="C81" s="2168"/>
      <c r="D81" s="922" t="s">
        <v>499</v>
      </c>
      <c r="E81" s="923" t="s">
        <v>789</v>
      </c>
      <c r="F81" s="923">
        <f>EDU*2+MAX(POW*2,DEX*2)</f>
        <v>316</v>
      </c>
      <c r="G81" s="924" t="s">
        <v>790</v>
      </c>
      <c r="H81" s="902"/>
      <c r="K81" s="2166" t="s">
        <v>791</v>
      </c>
      <c r="L81" s="2166"/>
      <c r="M81" s="929" t="s">
        <v>792</v>
      </c>
      <c r="N81" s="930"/>
      <c r="O81" s="906"/>
      <c r="P81" s="906"/>
      <c r="R81" s="906"/>
      <c r="S81" s="906"/>
      <c r="T81" s="906"/>
    </row>
    <row r="82" spans="1:20">
      <c r="A82" s="911">
        <v>80</v>
      </c>
      <c r="B82" s="2165" t="s">
        <v>793</v>
      </c>
      <c r="C82" s="2165"/>
      <c r="D82" s="902" t="s">
        <v>499</v>
      </c>
      <c r="E82" s="902" t="s">
        <v>450</v>
      </c>
      <c r="F82" s="902">
        <f>EDU*4</f>
        <v>312</v>
      </c>
      <c r="G82" s="919" t="s">
        <v>794</v>
      </c>
      <c r="H82" s="902"/>
      <c r="K82" s="2166" t="s">
        <v>795</v>
      </c>
      <c r="L82" s="2166"/>
      <c r="M82" s="929" t="s">
        <v>796</v>
      </c>
      <c r="N82" s="930"/>
      <c r="O82" s="906"/>
      <c r="P82" s="906"/>
      <c r="R82" s="906"/>
      <c r="S82" s="906"/>
      <c r="T82" s="906"/>
    </row>
    <row r="83" spans="1:20" ht="16.149999999999999" customHeight="1">
      <c r="A83" s="920">
        <v>81</v>
      </c>
      <c r="B83" s="2167" t="s">
        <v>797</v>
      </c>
      <c r="C83" s="2168"/>
      <c r="D83" s="922" t="s">
        <v>798</v>
      </c>
      <c r="E83" s="923" t="s">
        <v>450</v>
      </c>
      <c r="F83" s="923">
        <f>EDU*4</f>
        <v>312</v>
      </c>
      <c r="G83" s="924" t="s">
        <v>799</v>
      </c>
      <c r="H83" s="902"/>
      <c r="K83" s="2166" t="s">
        <v>800</v>
      </c>
      <c r="L83" s="2166"/>
      <c r="M83" s="940" t="s">
        <v>801</v>
      </c>
      <c r="N83" s="930"/>
      <c r="O83" s="906"/>
      <c r="P83" s="906"/>
      <c r="R83" s="906"/>
      <c r="S83" s="906"/>
      <c r="T83" s="906"/>
    </row>
    <row r="84" spans="1:20" ht="16.5" customHeight="1">
      <c r="A84" s="911">
        <v>82</v>
      </c>
      <c r="B84" s="2165" t="s">
        <v>802</v>
      </c>
      <c r="C84" s="2165"/>
      <c r="D84" s="902" t="s">
        <v>803</v>
      </c>
      <c r="E84" s="902" t="s">
        <v>444</v>
      </c>
      <c r="F84" s="902">
        <f>EDU*2+MAX(STR*2,DEX*2)</f>
        <v>316</v>
      </c>
      <c r="G84" s="919" t="s">
        <v>804</v>
      </c>
      <c r="K84" s="2166" t="s">
        <v>805</v>
      </c>
      <c r="L84" s="2166"/>
      <c r="M84" s="929" t="s">
        <v>806</v>
      </c>
      <c r="N84" s="930"/>
      <c r="O84" s="906"/>
      <c r="P84" s="906"/>
      <c r="R84" s="906"/>
      <c r="S84" s="906"/>
      <c r="T84" s="906"/>
    </row>
    <row r="85" spans="1:20" ht="15" customHeight="1">
      <c r="A85" s="920">
        <v>83</v>
      </c>
      <c r="B85" s="2167" t="s">
        <v>807</v>
      </c>
      <c r="C85" s="2168"/>
      <c r="D85" s="922" t="s">
        <v>499</v>
      </c>
      <c r="E85" s="923" t="s">
        <v>450</v>
      </c>
      <c r="F85" s="923">
        <f>EDU*4</f>
        <v>312</v>
      </c>
      <c r="G85" s="924" t="s">
        <v>808</v>
      </c>
      <c r="K85" s="2166" t="s">
        <v>809</v>
      </c>
      <c r="L85" s="2166"/>
      <c r="M85" s="940" t="s">
        <v>810</v>
      </c>
      <c r="N85" s="930"/>
      <c r="O85" s="906"/>
      <c r="P85" s="906"/>
      <c r="R85" s="906"/>
      <c r="S85" s="906"/>
      <c r="T85" s="906"/>
    </row>
    <row r="86" spans="1:20">
      <c r="A86" s="911">
        <v>84</v>
      </c>
      <c r="B86" s="2165" t="s">
        <v>811</v>
      </c>
      <c r="C86" s="2165"/>
      <c r="D86" s="902" t="s">
        <v>812</v>
      </c>
      <c r="E86" s="902" t="s">
        <v>450</v>
      </c>
      <c r="F86" s="902">
        <f>EDU*4</f>
        <v>312</v>
      </c>
      <c r="G86" s="919" t="s">
        <v>813</v>
      </c>
      <c r="K86" s="2166" t="s">
        <v>814</v>
      </c>
      <c r="L86" s="2166"/>
      <c r="M86" s="929" t="s">
        <v>815</v>
      </c>
      <c r="N86" s="930"/>
      <c r="O86" s="906"/>
      <c r="P86" s="906"/>
      <c r="R86" s="906"/>
      <c r="S86" s="906"/>
      <c r="T86" s="906"/>
    </row>
    <row r="87" spans="1:20">
      <c r="A87" s="920">
        <v>85</v>
      </c>
      <c r="B87" s="2167" t="s">
        <v>816</v>
      </c>
      <c r="C87" s="2168"/>
      <c r="D87" s="922" t="s">
        <v>499</v>
      </c>
      <c r="E87" s="923" t="s">
        <v>450</v>
      </c>
      <c r="F87" s="923">
        <f>EDU*4</f>
        <v>312</v>
      </c>
      <c r="G87" s="924" t="s">
        <v>817</v>
      </c>
      <c r="K87" s="2166" t="s">
        <v>818</v>
      </c>
      <c r="L87" s="2166"/>
      <c r="M87" s="929" t="s">
        <v>819</v>
      </c>
      <c r="N87" s="930"/>
      <c r="O87" s="906"/>
      <c r="P87" s="906"/>
      <c r="R87" s="906"/>
      <c r="S87" s="906"/>
      <c r="T87" s="906"/>
    </row>
    <row r="88" spans="1:20">
      <c r="A88" s="911">
        <v>86</v>
      </c>
      <c r="B88" s="2165" t="s">
        <v>820</v>
      </c>
      <c r="C88" s="2165"/>
      <c r="D88" s="902" t="s">
        <v>657</v>
      </c>
      <c r="E88" s="902" t="s">
        <v>450</v>
      </c>
      <c r="F88" s="902">
        <f>EDU*4</f>
        <v>312</v>
      </c>
      <c r="G88" s="919" t="s">
        <v>821</v>
      </c>
      <c r="K88" s="2166" t="s">
        <v>822</v>
      </c>
      <c r="L88" s="2166"/>
      <c r="M88" s="929" t="s">
        <v>819</v>
      </c>
      <c r="N88" s="930"/>
      <c r="O88" s="906"/>
      <c r="P88" s="906"/>
      <c r="R88" s="906"/>
      <c r="S88" s="906"/>
      <c r="T88" s="906"/>
    </row>
    <row r="89" spans="1:20" ht="16.5" customHeight="1">
      <c r="A89" s="920">
        <v>87</v>
      </c>
      <c r="B89" s="2167" t="s">
        <v>823</v>
      </c>
      <c r="C89" s="2168"/>
      <c r="D89" s="922" t="s">
        <v>771</v>
      </c>
      <c r="E89" s="923" t="s">
        <v>551</v>
      </c>
      <c r="F89" s="923">
        <f>EDU*2+DEX*2</f>
        <v>316</v>
      </c>
      <c r="G89" s="924" t="s">
        <v>824</v>
      </c>
      <c r="K89" s="2166" t="s">
        <v>825</v>
      </c>
      <c r="L89" s="2166"/>
      <c r="M89" s="929" t="s">
        <v>826</v>
      </c>
      <c r="N89" s="930"/>
      <c r="O89" s="906"/>
      <c r="P89" s="906"/>
      <c r="R89" s="906"/>
      <c r="S89" s="906"/>
      <c r="T89" s="906"/>
    </row>
    <row r="90" spans="1:20">
      <c r="A90" s="911">
        <v>88</v>
      </c>
      <c r="B90" s="2165" t="s">
        <v>827</v>
      </c>
      <c r="C90" s="2165"/>
      <c r="D90" s="902" t="s">
        <v>556</v>
      </c>
      <c r="E90" s="902" t="s">
        <v>450</v>
      </c>
      <c r="F90" s="902">
        <f>EDU*4</f>
        <v>312</v>
      </c>
      <c r="G90" s="919" t="s">
        <v>828</v>
      </c>
      <c r="K90" s="2166" t="s">
        <v>829</v>
      </c>
      <c r="L90" s="2166"/>
      <c r="M90" s="929" t="s">
        <v>830</v>
      </c>
      <c r="N90" s="930"/>
      <c r="O90" s="906"/>
      <c r="P90" s="906"/>
      <c r="R90" s="906"/>
      <c r="S90" s="906"/>
      <c r="T90" s="906"/>
    </row>
    <row r="91" spans="1:20" ht="16.5" customHeight="1">
      <c r="A91" s="920">
        <v>89</v>
      </c>
      <c r="B91" s="2167" t="s">
        <v>831</v>
      </c>
      <c r="C91" s="2168"/>
      <c r="D91" s="922" t="s">
        <v>509</v>
      </c>
      <c r="E91" s="923" t="s">
        <v>444</v>
      </c>
      <c r="F91" s="923">
        <f>EDU*2+MAX(STR*2,DEX*2)</f>
        <v>316</v>
      </c>
      <c r="G91" s="924" t="s">
        <v>832</v>
      </c>
      <c r="K91" s="2166" t="s">
        <v>833</v>
      </c>
      <c r="L91" s="2166"/>
      <c r="M91" s="929" t="s">
        <v>834</v>
      </c>
      <c r="N91" s="930"/>
      <c r="O91" s="906"/>
      <c r="P91" s="906"/>
      <c r="R91" s="906"/>
      <c r="S91" s="906"/>
      <c r="T91" s="906"/>
    </row>
    <row r="92" spans="1:20" ht="16.5" customHeight="1">
      <c r="A92" s="911">
        <v>90</v>
      </c>
      <c r="B92" s="2165" t="s">
        <v>835</v>
      </c>
      <c r="C92" s="2165"/>
      <c r="D92" s="902" t="s">
        <v>499</v>
      </c>
      <c r="E92" s="902" t="s">
        <v>444</v>
      </c>
      <c r="F92" s="902">
        <f>EDU*2+MAX(STR*2,DEX*2)</f>
        <v>316</v>
      </c>
      <c r="G92" s="919" t="s">
        <v>836</v>
      </c>
      <c r="K92" s="2166" t="s">
        <v>837</v>
      </c>
      <c r="L92" s="2166"/>
      <c r="M92" s="929" t="s">
        <v>838</v>
      </c>
      <c r="N92" s="930"/>
      <c r="O92" s="906"/>
      <c r="P92" s="906"/>
      <c r="R92" s="906"/>
      <c r="S92" s="906"/>
      <c r="T92" s="906"/>
    </row>
    <row r="93" spans="1:20" ht="16.5" customHeight="1">
      <c r="A93" s="920">
        <v>91</v>
      </c>
      <c r="B93" s="2167" t="s">
        <v>839</v>
      </c>
      <c r="C93" s="2168"/>
      <c r="D93" s="922" t="s">
        <v>499</v>
      </c>
      <c r="E93" s="923" t="s">
        <v>444</v>
      </c>
      <c r="F93" s="923">
        <f>EDU*2+MAX(STR*2,DEX*2)</f>
        <v>316</v>
      </c>
      <c r="G93" s="924" t="s">
        <v>840</v>
      </c>
      <c r="K93" s="2166" t="s">
        <v>841</v>
      </c>
      <c r="L93" s="2166"/>
      <c r="M93" s="929" t="s">
        <v>842</v>
      </c>
      <c r="N93" s="930"/>
      <c r="O93" s="906"/>
      <c r="P93" s="906"/>
      <c r="R93" s="906"/>
      <c r="S93" s="906"/>
      <c r="T93" s="906"/>
    </row>
    <row r="94" spans="1:20">
      <c r="A94" s="911">
        <v>92</v>
      </c>
      <c r="B94" s="2165" t="s">
        <v>843</v>
      </c>
      <c r="C94" s="2165"/>
      <c r="D94" s="902" t="s">
        <v>771</v>
      </c>
      <c r="E94" s="902" t="s">
        <v>450</v>
      </c>
      <c r="F94" s="902">
        <f>EDU*4</f>
        <v>312</v>
      </c>
      <c r="G94" s="919" t="s">
        <v>844</v>
      </c>
      <c r="K94" s="2166" t="s">
        <v>845</v>
      </c>
      <c r="L94" s="2166"/>
      <c r="M94" s="929" t="s">
        <v>846</v>
      </c>
      <c r="N94" s="930"/>
      <c r="O94" s="906"/>
      <c r="P94" s="906"/>
      <c r="R94" s="906"/>
      <c r="S94" s="906"/>
      <c r="T94" s="906"/>
    </row>
    <row r="95" spans="1:20" ht="16.5" customHeight="1">
      <c r="A95" s="920">
        <v>93</v>
      </c>
      <c r="B95" s="2167" t="s">
        <v>847</v>
      </c>
      <c r="C95" s="2168"/>
      <c r="D95" s="922" t="s">
        <v>848</v>
      </c>
      <c r="E95" s="923" t="s">
        <v>444</v>
      </c>
      <c r="F95" s="923">
        <f>EDU*2+MAX(STR*2,DEX*2)</f>
        <v>316</v>
      </c>
      <c r="G95" s="924" t="s">
        <v>849</v>
      </c>
      <c r="K95" s="2166" t="s">
        <v>850</v>
      </c>
      <c r="L95" s="2166"/>
      <c r="M95" s="929" t="s">
        <v>851</v>
      </c>
      <c r="N95" s="930"/>
      <c r="O95" s="906"/>
      <c r="P95" s="906"/>
      <c r="R95" s="906"/>
      <c r="S95" s="906"/>
      <c r="T95" s="906"/>
    </row>
    <row r="96" spans="1:20" ht="17.25" customHeight="1">
      <c r="A96" s="911">
        <v>94</v>
      </c>
      <c r="B96" s="2165" t="s">
        <v>852</v>
      </c>
      <c r="C96" s="2165"/>
      <c r="D96" s="902" t="s">
        <v>853</v>
      </c>
      <c r="E96" s="902" t="s">
        <v>434</v>
      </c>
      <c r="F96" s="902">
        <f>EDU*2+APP*2</f>
        <v>246</v>
      </c>
      <c r="G96" s="919" t="s">
        <v>854</v>
      </c>
      <c r="K96" s="2166" t="s">
        <v>855</v>
      </c>
      <c r="L96" s="2166"/>
      <c r="M96" s="929" t="s">
        <v>856</v>
      </c>
      <c r="N96" s="930"/>
      <c r="O96" s="906"/>
      <c r="P96" s="906"/>
      <c r="R96" s="906"/>
      <c r="S96" s="906"/>
      <c r="T96" s="906"/>
    </row>
    <row r="97" spans="1:20">
      <c r="A97" s="920">
        <v>95</v>
      </c>
      <c r="B97" s="2167" t="s">
        <v>857</v>
      </c>
      <c r="C97" s="2168"/>
      <c r="D97" s="922" t="s">
        <v>634</v>
      </c>
      <c r="E97" s="923" t="s">
        <v>450</v>
      </c>
      <c r="F97" s="923">
        <f>EDU*4</f>
        <v>312</v>
      </c>
      <c r="G97" s="924" t="s">
        <v>858</v>
      </c>
      <c r="K97" s="2166" t="s">
        <v>859</v>
      </c>
      <c r="L97" s="2166"/>
      <c r="M97" s="929" t="s">
        <v>860</v>
      </c>
      <c r="N97" s="930"/>
      <c r="O97" s="906"/>
      <c r="P97" s="906"/>
      <c r="R97" s="906"/>
      <c r="S97" s="906"/>
      <c r="T97" s="906"/>
    </row>
    <row r="98" spans="1:20">
      <c r="A98" s="911">
        <v>96</v>
      </c>
      <c r="B98" s="2165" t="s">
        <v>861</v>
      </c>
      <c r="C98" s="2165"/>
      <c r="D98" s="902" t="s">
        <v>455</v>
      </c>
      <c r="E98" s="902" t="s">
        <v>450</v>
      </c>
      <c r="F98" s="902">
        <f>EDU*4</f>
        <v>312</v>
      </c>
      <c r="G98" s="919" t="s">
        <v>862</v>
      </c>
      <c r="K98" s="2166" t="s">
        <v>863</v>
      </c>
      <c r="L98" s="2166"/>
      <c r="M98" s="929" t="s">
        <v>864</v>
      </c>
      <c r="N98" s="930"/>
      <c r="O98" s="906"/>
      <c r="P98" s="906"/>
      <c r="R98" s="906"/>
      <c r="S98" s="906"/>
      <c r="T98" s="906"/>
    </row>
    <row r="99" spans="1:20">
      <c r="A99" s="920">
        <v>97</v>
      </c>
      <c r="B99" s="2167" t="s">
        <v>865</v>
      </c>
      <c r="C99" s="2168"/>
      <c r="D99" s="922" t="s">
        <v>499</v>
      </c>
      <c r="E99" s="923" t="s">
        <v>450</v>
      </c>
      <c r="F99" s="923">
        <f>EDU*4</f>
        <v>312</v>
      </c>
      <c r="G99" s="924" t="s">
        <v>866</v>
      </c>
      <c r="K99" s="2166" t="s">
        <v>867</v>
      </c>
      <c r="L99" s="2166"/>
      <c r="M99" s="929" t="s">
        <v>868</v>
      </c>
      <c r="N99" s="930"/>
      <c r="O99" s="906"/>
      <c r="P99" s="906"/>
      <c r="R99" s="906"/>
      <c r="S99" s="906"/>
      <c r="T99" s="906"/>
    </row>
    <row r="100" spans="1:20">
      <c r="A100" s="911">
        <v>98</v>
      </c>
      <c r="B100" s="2165" t="s">
        <v>869</v>
      </c>
      <c r="C100" s="2165"/>
      <c r="D100" s="902" t="s">
        <v>499</v>
      </c>
      <c r="E100" s="902" t="s">
        <v>870</v>
      </c>
      <c r="F100" s="902">
        <f>EDU*2+MAX(STR*2,DEX*2)</f>
        <v>316</v>
      </c>
      <c r="G100" s="919" t="s">
        <v>871</v>
      </c>
      <c r="K100" s="2166" t="s">
        <v>872</v>
      </c>
      <c r="L100" s="2166"/>
      <c r="M100" s="929" t="s">
        <v>873</v>
      </c>
      <c r="N100" s="930"/>
      <c r="O100" s="906"/>
      <c r="P100" s="906"/>
      <c r="R100" s="906"/>
      <c r="S100" s="906"/>
      <c r="T100" s="906"/>
    </row>
    <row r="101" spans="1:20">
      <c r="A101" s="920">
        <v>99</v>
      </c>
      <c r="B101" s="2167" t="s">
        <v>874</v>
      </c>
      <c r="C101" s="2168"/>
      <c r="D101" s="922" t="s">
        <v>514</v>
      </c>
      <c r="E101" s="923" t="s">
        <v>870</v>
      </c>
      <c r="F101" s="923">
        <f>EDU*2+MAX(STR*2,DEX*2)</f>
        <v>316</v>
      </c>
      <c r="G101" s="924" t="s">
        <v>875</v>
      </c>
      <c r="K101" s="2166" t="s">
        <v>876</v>
      </c>
      <c r="L101" s="2166"/>
      <c r="M101" s="929" t="s">
        <v>877</v>
      </c>
      <c r="N101" s="930"/>
      <c r="O101" s="906"/>
      <c r="P101" s="906"/>
      <c r="R101" s="906"/>
      <c r="S101" s="906"/>
      <c r="T101" s="906"/>
    </row>
    <row r="102" spans="1:20" ht="17.25" customHeight="1">
      <c r="A102" s="911">
        <v>100</v>
      </c>
      <c r="B102" s="2165" t="s">
        <v>878</v>
      </c>
      <c r="C102" s="2165"/>
      <c r="D102" s="902" t="s">
        <v>433</v>
      </c>
      <c r="E102" s="902" t="s">
        <v>579</v>
      </c>
      <c r="F102" s="902">
        <f>EDU*2+APP*2</f>
        <v>246</v>
      </c>
      <c r="G102" s="919" t="s">
        <v>879</v>
      </c>
      <c r="K102" s="2166" t="s">
        <v>880</v>
      </c>
      <c r="L102" s="2166"/>
      <c r="M102" s="929" t="s">
        <v>881</v>
      </c>
      <c r="N102" s="930"/>
      <c r="O102" s="906"/>
      <c r="P102" s="906"/>
      <c r="R102" s="906"/>
      <c r="S102" s="906"/>
      <c r="T102" s="906"/>
    </row>
    <row r="103" spans="1:20">
      <c r="A103" s="920">
        <v>101</v>
      </c>
      <c r="B103" s="2167" t="s">
        <v>882</v>
      </c>
      <c r="C103" s="2168"/>
      <c r="D103" s="922" t="s">
        <v>483</v>
      </c>
      <c r="E103" s="923" t="s">
        <v>450</v>
      </c>
      <c r="F103" s="923">
        <f>EDU*4</f>
        <v>312</v>
      </c>
      <c r="G103" s="924" t="s">
        <v>883</v>
      </c>
      <c r="K103" s="2166" t="s">
        <v>884</v>
      </c>
      <c r="L103" s="2166"/>
      <c r="M103" s="929" t="s">
        <v>885</v>
      </c>
      <c r="N103" s="930"/>
      <c r="O103" s="906"/>
      <c r="P103" s="906"/>
      <c r="R103" s="906"/>
      <c r="S103" s="906"/>
      <c r="T103" s="906"/>
    </row>
    <row r="104" spans="1:20" ht="17.25" customHeight="1">
      <c r="A104" s="911">
        <v>102</v>
      </c>
      <c r="B104" s="2165" t="s">
        <v>886</v>
      </c>
      <c r="C104" s="2165"/>
      <c r="D104" s="902" t="s">
        <v>499</v>
      </c>
      <c r="E104" s="902" t="s">
        <v>887</v>
      </c>
      <c r="F104" s="902">
        <f>EDU*2+MAX(DEX*2,APP*2)</f>
        <v>316</v>
      </c>
      <c r="G104" s="919" t="s">
        <v>888</v>
      </c>
      <c r="K104" s="2166" t="s">
        <v>889</v>
      </c>
      <c r="L104" s="2166"/>
      <c r="M104" s="929" t="s">
        <v>890</v>
      </c>
      <c r="N104" s="930"/>
      <c r="O104" s="906"/>
      <c r="P104" s="906"/>
      <c r="R104" s="906"/>
      <c r="S104" s="906"/>
      <c r="T104" s="906"/>
    </row>
    <row r="105" spans="1:20" ht="17.25" customHeight="1">
      <c r="A105" s="920">
        <v>103</v>
      </c>
      <c r="B105" s="2167" t="s">
        <v>891</v>
      </c>
      <c r="C105" s="2168"/>
      <c r="D105" s="922" t="s">
        <v>514</v>
      </c>
      <c r="E105" s="923" t="s">
        <v>702</v>
      </c>
      <c r="F105" s="923">
        <f>EDU*2+MAX(DEX*2,APP*2)</f>
        <v>316</v>
      </c>
      <c r="G105" s="924" t="s">
        <v>892</v>
      </c>
      <c r="K105" s="2166" t="s">
        <v>893</v>
      </c>
      <c r="L105" s="2166"/>
      <c r="M105" s="929" t="s">
        <v>894</v>
      </c>
      <c r="N105" s="930"/>
      <c r="O105" s="906"/>
      <c r="P105" s="906"/>
      <c r="R105" s="906"/>
      <c r="S105" s="906"/>
      <c r="T105" s="906"/>
    </row>
    <row r="106" spans="1:20" ht="16.5" customHeight="1">
      <c r="A106" s="911">
        <v>104</v>
      </c>
      <c r="B106" s="2165" t="s">
        <v>895</v>
      </c>
      <c r="C106" s="2165"/>
      <c r="D106" s="902" t="s">
        <v>499</v>
      </c>
      <c r="E106" s="902" t="s">
        <v>444</v>
      </c>
      <c r="F106" s="902">
        <f>EDU*2+MAX(STR*2,DEX*2)</f>
        <v>316</v>
      </c>
      <c r="G106" s="919" t="s">
        <v>896</v>
      </c>
      <c r="K106" s="2166" t="s">
        <v>872</v>
      </c>
      <c r="L106" s="2166"/>
      <c r="M106" s="929" t="s">
        <v>897</v>
      </c>
      <c r="N106" s="930"/>
      <c r="O106" s="906"/>
      <c r="P106" s="906"/>
      <c r="R106" s="906"/>
      <c r="S106" s="906"/>
      <c r="T106" s="906"/>
    </row>
    <row r="107" spans="1:20" ht="17.25" customHeight="1">
      <c r="A107" s="920">
        <v>105</v>
      </c>
      <c r="B107" s="2167" t="s">
        <v>898</v>
      </c>
      <c r="C107" s="2168"/>
      <c r="D107" s="922" t="s">
        <v>598</v>
      </c>
      <c r="E107" s="923" t="s">
        <v>603</v>
      </c>
      <c r="F107" s="923">
        <f>EDU*2+MAX(DEX*2,APP*2)</f>
        <v>316</v>
      </c>
      <c r="G107" s="924" t="s">
        <v>899</v>
      </c>
      <c r="K107" s="2166" t="s">
        <v>900</v>
      </c>
      <c r="L107" s="2166"/>
      <c r="M107" s="929" t="s">
        <v>901</v>
      </c>
      <c r="N107" s="930"/>
      <c r="O107" s="906"/>
      <c r="P107" s="906"/>
      <c r="R107" s="906"/>
      <c r="S107" s="906"/>
      <c r="T107" s="906"/>
    </row>
    <row r="108" spans="1:20">
      <c r="A108" s="911">
        <v>106</v>
      </c>
      <c r="B108" s="2165" t="s">
        <v>902</v>
      </c>
      <c r="C108" s="2165"/>
      <c r="D108" s="902" t="s">
        <v>903</v>
      </c>
      <c r="E108" s="902" t="s">
        <v>450</v>
      </c>
      <c r="F108" s="902">
        <f>EDU*4</f>
        <v>312</v>
      </c>
      <c r="G108" s="919" t="s">
        <v>904</v>
      </c>
      <c r="K108" s="2166" t="s">
        <v>905</v>
      </c>
      <c r="L108" s="2166"/>
      <c r="M108" s="929" t="s">
        <v>906</v>
      </c>
      <c r="N108" s="930"/>
      <c r="O108" s="906"/>
      <c r="P108" s="906"/>
      <c r="R108" s="906"/>
      <c r="S108" s="906"/>
      <c r="T108" s="906"/>
    </row>
    <row r="109" spans="1:20" ht="16.5" customHeight="1">
      <c r="A109" s="920">
        <v>107</v>
      </c>
      <c r="B109" s="2167" t="s">
        <v>907</v>
      </c>
      <c r="C109" s="2168"/>
      <c r="D109" s="922" t="s">
        <v>908</v>
      </c>
      <c r="E109" s="923" t="s">
        <v>444</v>
      </c>
      <c r="F109" s="923">
        <f>EDU*2+MAX(STR*2,DEX*2)</f>
        <v>316</v>
      </c>
      <c r="G109" s="924" t="s">
        <v>909</v>
      </c>
      <c r="K109" s="2166" t="s">
        <v>910</v>
      </c>
      <c r="L109" s="2166"/>
      <c r="M109" s="929" t="s">
        <v>911</v>
      </c>
      <c r="N109" s="930"/>
      <c r="O109" s="906"/>
      <c r="P109" s="906"/>
      <c r="R109" s="906"/>
      <c r="S109" s="906"/>
      <c r="T109" s="906"/>
    </row>
    <row r="110" spans="1:20" ht="16.5" customHeight="1">
      <c r="A110" s="911">
        <v>108</v>
      </c>
      <c r="B110" s="2165" t="s">
        <v>912</v>
      </c>
      <c r="C110" s="2165"/>
      <c r="D110" s="902" t="s">
        <v>913</v>
      </c>
      <c r="E110" s="902" t="s">
        <v>444</v>
      </c>
      <c r="F110" s="902">
        <f>EDU*2+MAX(STR*2,DEX*2)</f>
        <v>316</v>
      </c>
      <c r="G110" s="919" t="s">
        <v>914</v>
      </c>
      <c r="K110" s="2166" t="s">
        <v>915</v>
      </c>
      <c r="L110" s="2166"/>
      <c r="M110" s="929" t="s">
        <v>916</v>
      </c>
      <c r="N110" s="930"/>
      <c r="O110" s="906"/>
      <c r="P110" s="906"/>
      <c r="R110" s="906"/>
      <c r="S110" s="906"/>
      <c r="T110" s="906"/>
    </row>
    <row r="111" spans="1:20">
      <c r="A111" s="920">
        <v>109</v>
      </c>
      <c r="B111" s="2167" t="s">
        <v>917</v>
      </c>
      <c r="C111" s="2168"/>
      <c r="D111" s="922" t="s">
        <v>514</v>
      </c>
      <c r="E111" s="923" t="s">
        <v>450</v>
      </c>
      <c r="F111" s="923">
        <f>EDU*4</f>
        <v>312</v>
      </c>
      <c r="G111" s="924" t="s">
        <v>918</v>
      </c>
      <c r="K111" s="2166" t="s">
        <v>919</v>
      </c>
      <c r="L111" s="2166"/>
      <c r="M111" s="929" t="s">
        <v>920</v>
      </c>
      <c r="N111" s="930"/>
      <c r="O111" s="906"/>
      <c r="P111" s="906"/>
      <c r="R111" s="906"/>
      <c r="S111" s="906"/>
      <c r="T111" s="906"/>
    </row>
    <row r="112" spans="1:20">
      <c r="A112" s="911">
        <v>110</v>
      </c>
      <c r="B112" s="2165" t="s">
        <v>921</v>
      </c>
      <c r="C112" s="2165"/>
      <c r="D112" s="902" t="s">
        <v>853</v>
      </c>
      <c r="E112" s="902" t="s">
        <v>450</v>
      </c>
      <c r="F112" s="902">
        <f>EDU*4</f>
        <v>312</v>
      </c>
      <c r="G112" s="919" t="s">
        <v>922</v>
      </c>
      <c r="K112" s="2166" t="s">
        <v>923</v>
      </c>
      <c r="L112" s="2166"/>
      <c r="M112" s="929" t="s">
        <v>924</v>
      </c>
      <c r="N112" s="930"/>
      <c r="O112" s="906"/>
      <c r="P112" s="906"/>
      <c r="R112" s="906"/>
      <c r="S112" s="906"/>
      <c r="T112" s="906"/>
    </row>
    <row r="113" spans="1:20" ht="17.25" customHeight="1">
      <c r="A113" s="920">
        <v>111</v>
      </c>
      <c r="B113" s="2167" t="s">
        <v>925</v>
      </c>
      <c r="C113" s="2168"/>
      <c r="D113" s="922" t="s">
        <v>427</v>
      </c>
      <c r="E113" s="923" t="s">
        <v>720</v>
      </c>
      <c r="F113" s="923">
        <f>EDU*2+MAX(DEX*2,APP*2)</f>
        <v>316</v>
      </c>
      <c r="G113" s="924" t="s">
        <v>926</v>
      </c>
      <c r="K113" s="2166" t="s">
        <v>927</v>
      </c>
      <c r="L113" s="2166"/>
      <c r="M113" s="929" t="s">
        <v>928</v>
      </c>
      <c r="N113" s="930"/>
      <c r="O113" s="906"/>
      <c r="P113" s="906"/>
      <c r="R113" s="906"/>
      <c r="S113" s="906"/>
      <c r="T113" s="906"/>
    </row>
    <row r="114" spans="1:20">
      <c r="A114" s="911">
        <v>112</v>
      </c>
      <c r="B114" s="2165" t="s">
        <v>929</v>
      </c>
      <c r="C114" s="2165"/>
      <c r="D114" s="902" t="s">
        <v>427</v>
      </c>
      <c r="E114" s="902" t="s">
        <v>450</v>
      </c>
      <c r="F114" s="902">
        <f>EDU*4</f>
        <v>312</v>
      </c>
      <c r="G114" s="919" t="s">
        <v>930</v>
      </c>
      <c r="K114" s="2166" t="s">
        <v>931</v>
      </c>
      <c r="L114" s="2166"/>
      <c r="M114" s="929" t="s">
        <v>932</v>
      </c>
      <c r="N114" s="930"/>
      <c r="O114" s="906"/>
      <c r="P114" s="906"/>
      <c r="R114" s="906"/>
      <c r="S114" s="906"/>
      <c r="T114" s="906"/>
    </row>
    <row r="115" spans="1:20">
      <c r="A115" s="920">
        <v>113</v>
      </c>
      <c r="B115" s="2167" t="s">
        <v>933</v>
      </c>
      <c r="C115" s="2168"/>
      <c r="D115" s="922" t="s">
        <v>934</v>
      </c>
      <c r="E115" s="923" t="s">
        <v>450</v>
      </c>
      <c r="F115" s="923">
        <f>EDU*4</f>
        <v>312</v>
      </c>
      <c r="G115" s="924" t="s">
        <v>935</v>
      </c>
      <c r="K115" s="2166" t="s">
        <v>936</v>
      </c>
      <c r="L115" s="2166"/>
      <c r="M115" s="929" t="s">
        <v>937</v>
      </c>
      <c r="N115" s="930"/>
      <c r="O115" s="906"/>
      <c r="P115" s="906"/>
      <c r="R115" s="906"/>
      <c r="S115" s="906"/>
      <c r="T115" s="906"/>
    </row>
    <row r="116" spans="1:20" ht="16.5" customHeight="1">
      <c r="A116" s="911">
        <v>114</v>
      </c>
      <c r="B116" s="2165" t="s">
        <v>938</v>
      </c>
      <c r="C116" s="2165"/>
      <c r="D116" s="902" t="s">
        <v>776</v>
      </c>
      <c r="E116" s="902" t="s">
        <v>456</v>
      </c>
      <c r="F116" s="902">
        <f>EDU*2+MAX(APP*2,POW*2)</f>
        <v>256</v>
      </c>
      <c r="G116" s="919" t="s">
        <v>939</v>
      </c>
      <c r="K116" s="2166" t="s">
        <v>940</v>
      </c>
      <c r="L116" s="2166"/>
      <c r="M116" s="929" t="s">
        <v>941</v>
      </c>
      <c r="N116" s="930"/>
      <c r="O116" s="906"/>
      <c r="P116" s="906"/>
      <c r="R116" s="906"/>
      <c r="S116" s="906"/>
      <c r="T116" s="906"/>
    </row>
    <row r="117" spans="1:20">
      <c r="A117" s="944">
        <v>115</v>
      </c>
      <c r="B117" s="2169" t="s">
        <v>942</v>
      </c>
      <c r="C117" s="2170"/>
      <c r="D117" s="945" t="s">
        <v>433</v>
      </c>
      <c r="E117" s="946" t="s">
        <v>450</v>
      </c>
      <c r="F117" s="946">
        <f>EDU*4</f>
        <v>312</v>
      </c>
      <c r="G117" s="947" t="s">
        <v>943</v>
      </c>
      <c r="K117" s="2166" t="s">
        <v>944</v>
      </c>
      <c r="L117" s="2166"/>
      <c r="M117" s="929" t="s">
        <v>945</v>
      </c>
      <c r="N117" s="930"/>
      <c r="O117" s="906"/>
      <c r="P117" s="906"/>
      <c r="R117" s="906"/>
      <c r="S117" s="906"/>
      <c r="T117" s="906"/>
    </row>
    <row r="118" spans="1:20">
      <c r="A118" s="948">
        <v>116</v>
      </c>
      <c r="B118" s="2171" t="s">
        <v>946</v>
      </c>
      <c r="C118" s="2171"/>
      <c r="D118" s="949" t="s">
        <v>662</v>
      </c>
      <c r="E118" s="950" t="s">
        <v>579</v>
      </c>
      <c r="F118" s="949">
        <f>EDU*2+APP*2</f>
        <v>246</v>
      </c>
      <c r="G118" s="638" t="s">
        <v>947</v>
      </c>
      <c r="H118" s="2144" t="s">
        <v>948</v>
      </c>
      <c r="I118" s="2144"/>
      <c r="K118" s="957" t="s">
        <v>949</v>
      </c>
      <c r="L118" s="906"/>
      <c r="M118" s="957" t="s">
        <v>950</v>
      </c>
      <c r="N118" s="906"/>
      <c r="O118" s="906"/>
      <c r="P118" s="906"/>
      <c r="R118" s="906"/>
      <c r="S118" s="906"/>
      <c r="T118" s="906"/>
    </row>
    <row r="119" spans="1:20">
      <c r="A119" s="951">
        <v>117</v>
      </c>
      <c r="B119" s="2153" t="s">
        <v>951</v>
      </c>
      <c r="C119" s="2153"/>
      <c r="D119" s="952" t="s">
        <v>427</v>
      </c>
      <c r="E119" s="953" t="s">
        <v>444</v>
      </c>
      <c r="F119" s="954">
        <f>EDU*2+MAX(STR*2,DEX*2)</f>
        <v>316</v>
      </c>
      <c r="G119" s="955" t="s">
        <v>952</v>
      </c>
      <c r="H119" s="2144"/>
      <c r="I119" s="2144"/>
      <c r="K119" s="957" t="s">
        <v>496</v>
      </c>
      <c r="L119" s="906"/>
      <c r="M119" s="957" t="s">
        <v>950</v>
      </c>
      <c r="N119" s="906"/>
      <c r="O119" s="906"/>
      <c r="P119" s="906"/>
      <c r="R119" s="906"/>
      <c r="S119" s="906"/>
      <c r="T119" s="906"/>
    </row>
    <row r="120" spans="1:20">
      <c r="A120" s="956">
        <v>118</v>
      </c>
      <c r="B120" s="2152" t="s">
        <v>953</v>
      </c>
      <c r="C120" s="2152"/>
      <c r="D120" s="905" t="s">
        <v>954</v>
      </c>
      <c r="E120" s="902" t="s">
        <v>444</v>
      </c>
      <c r="F120" s="905">
        <f>EDU*2+MAX(STR*2,DEX*2)</f>
        <v>316</v>
      </c>
      <c r="G120" s="632" t="s">
        <v>955</v>
      </c>
      <c r="H120" s="2144"/>
      <c r="I120" s="2144"/>
      <c r="K120" s="957" t="s">
        <v>956</v>
      </c>
      <c r="L120" s="906"/>
      <c r="M120" s="957" t="s">
        <v>957</v>
      </c>
      <c r="N120" s="906"/>
      <c r="O120" s="906"/>
      <c r="P120" s="906"/>
      <c r="R120" s="906"/>
      <c r="S120" s="906"/>
      <c r="T120" s="906"/>
    </row>
    <row r="121" spans="1:20">
      <c r="A121" s="951">
        <v>119</v>
      </c>
      <c r="B121" s="2153" t="s">
        <v>958</v>
      </c>
      <c r="C121" s="2153"/>
      <c r="D121" s="952" t="s">
        <v>421</v>
      </c>
      <c r="E121" s="953" t="s">
        <v>444</v>
      </c>
      <c r="F121" s="954">
        <f>EDU*2+MAX(STR*2,DEX*2)</f>
        <v>316</v>
      </c>
      <c r="G121" s="955" t="s">
        <v>959</v>
      </c>
      <c r="H121" s="2144"/>
      <c r="I121" s="2144"/>
      <c r="K121" s="957" t="s">
        <v>960</v>
      </c>
      <c r="L121" s="906"/>
      <c r="M121" s="957" t="s">
        <v>950</v>
      </c>
      <c r="N121" s="906"/>
      <c r="O121" s="906"/>
      <c r="P121" s="906"/>
      <c r="R121" s="906"/>
      <c r="S121" s="906"/>
      <c r="T121" s="906"/>
    </row>
    <row r="122" spans="1:20">
      <c r="A122" s="956">
        <v>120</v>
      </c>
      <c r="B122" s="2152" t="s">
        <v>961</v>
      </c>
      <c r="C122" s="2152"/>
      <c r="D122" s="905" t="s">
        <v>427</v>
      </c>
      <c r="E122" s="902" t="s">
        <v>444</v>
      </c>
      <c r="F122" s="905">
        <f>EDU*2+MAX(STR*2,DEX*2)</f>
        <v>316</v>
      </c>
      <c r="G122" s="632" t="s">
        <v>962</v>
      </c>
      <c r="H122" s="2144"/>
      <c r="I122" s="2144"/>
      <c r="K122" s="957" t="s">
        <v>963</v>
      </c>
      <c r="L122" s="906"/>
      <c r="M122" s="957" t="s">
        <v>957</v>
      </c>
      <c r="N122" s="906"/>
      <c r="O122" s="906"/>
      <c r="P122" s="906"/>
      <c r="R122" s="906"/>
      <c r="S122" s="906"/>
      <c r="T122" s="906"/>
    </row>
    <row r="123" spans="1:20">
      <c r="A123" s="951">
        <v>121</v>
      </c>
      <c r="B123" s="2153" t="s">
        <v>964</v>
      </c>
      <c r="C123" s="2153"/>
      <c r="D123" s="952" t="s">
        <v>739</v>
      </c>
      <c r="E123" s="953" t="s">
        <v>450</v>
      </c>
      <c r="F123" s="954">
        <f t="shared" ref="F123:F128" si="1">EDU*4</f>
        <v>312</v>
      </c>
      <c r="G123" s="955" t="s">
        <v>965</v>
      </c>
      <c r="H123" s="2144"/>
      <c r="I123" s="2144"/>
      <c r="K123" s="957" t="s">
        <v>966</v>
      </c>
      <c r="L123" s="906"/>
      <c r="M123" s="957" t="s">
        <v>957</v>
      </c>
      <c r="N123" s="906"/>
      <c r="O123" s="906"/>
      <c r="P123" s="906"/>
      <c r="R123" s="906"/>
      <c r="S123" s="906"/>
      <c r="T123" s="906"/>
    </row>
    <row r="124" spans="1:20">
      <c r="A124" s="956">
        <v>122</v>
      </c>
      <c r="B124" s="2152" t="s">
        <v>967</v>
      </c>
      <c r="C124" s="2152"/>
      <c r="D124" s="905" t="s">
        <v>739</v>
      </c>
      <c r="E124" s="902" t="s">
        <v>450</v>
      </c>
      <c r="F124" s="905">
        <f t="shared" si="1"/>
        <v>312</v>
      </c>
      <c r="G124" s="632" t="s">
        <v>968</v>
      </c>
      <c r="H124" s="2145" t="s">
        <v>969</v>
      </c>
      <c r="I124" s="2145"/>
      <c r="K124" s="957" t="s">
        <v>970</v>
      </c>
      <c r="L124" s="906"/>
      <c r="M124" s="957" t="s">
        <v>957</v>
      </c>
      <c r="N124" s="906"/>
      <c r="O124" s="906"/>
      <c r="P124" s="906"/>
      <c r="R124" s="906"/>
      <c r="S124" s="906"/>
      <c r="T124" s="906"/>
    </row>
    <row r="125" spans="1:20">
      <c r="A125" s="951">
        <v>123</v>
      </c>
      <c r="B125" s="2153" t="s">
        <v>971</v>
      </c>
      <c r="C125" s="2153"/>
      <c r="D125" s="952" t="s">
        <v>771</v>
      </c>
      <c r="E125" s="953" t="s">
        <v>450</v>
      </c>
      <c r="F125" s="954">
        <f t="shared" si="1"/>
        <v>312</v>
      </c>
      <c r="G125" s="955" t="s">
        <v>972</v>
      </c>
      <c r="H125" s="2145" t="s">
        <v>973</v>
      </c>
      <c r="I125" s="2145"/>
      <c r="K125" s="957" t="s">
        <v>535</v>
      </c>
      <c r="L125" s="906"/>
      <c r="M125" s="957" t="s">
        <v>957</v>
      </c>
      <c r="N125" s="906"/>
      <c r="O125" s="906"/>
      <c r="P125" s="906"/>
      <c r="R125" s="906"/>
      <c r="S125" s="906"/>
      <c r="T125" s="906"/>
    </row>
    <row r="126" spans="1:20">
      <c r="A126" s="956">
        <v>124</v>
      </c>
      <c r="B126" s="2152" t="s">
        <v>974</v>
      </c>
      <c r="C126" s="2152"/>
      <c r="D126" s="905" t="s">
        <v>524</v>
      </c>
      <c r="E126" s="902" t="s">
        <v>450</v>
      </c>
      <c r="F126" s="905">
        <f t="shared" si="1"/>
        <v>312</v>
      </c>
      <c r="G126" s="632" t="s">
        <v>533</v>
      </c>
      <c r="K126" s="957" t="s">
        <v>535</v>
      </c>
      <c r="L126" s="906"/>
      <c r="M126" s="957" t="s">
        <v>957</v>
      </c>
      <c r="N126" s="906"/>
      <c r="O126" s="906"/>
      <c r="P126" s="906"/>
      <c r="R126" s="906"/>
      <c r="S126" s="906"/>
      <c r="T126" s="906"/>
    </row>
    <row r="127" spans="1:20">
      <c r="A127" s="951">
        <v>125</v>
      </c>
      <c r="B127" s="2153" t="s">
        <v>975</v>
      </c>
      <c r="C127" s="2153"/>
      <c r="D127" s="952" t="s">
        <v>524</v>
      </c>
      <c r="E127" s="953" t="s">
        <v>450</v>
      </c>
      <c r="F127" s="954">
        <f t="shared" si="1"/>
        <v>312</v>
      </c>
      <c r="G127" s="955" t="s">
        <v>976</v>
      </c>
      <c r="K127" s="957" t="s">
        <v>977</v>
      </c>
      <c r="L127" s="906"/>
      <c r="M127" s="957" t="s">
        <v>957</v>
      </c>
      <c r="N127" s="906"/>
      <c r="O127" s="906"/>
      <c r="P127" s="906"/>
      <c r="R127" s="906"/>
      <c r="S127" s="906"/>
      <c r="T127" s="906"/>
    </row>
    <row r="128" spans="1:20">
      <c r="A128" s="956">
        <v>126</v>
      </c>
      <c r="B128" s="2152" t="s">
        <v>978</v>
      </c>
      <c r="C128" s="2152"/>
      <c r="D128" s="905" t="s">
        <v>421</v>
      </c>
      <c r="E128" s="902" t="s">
        <v>450</v>
      </c>
      <c r="F128" s="905">
        <f t="shared" si="1"/>
        <v>312</v>
      </c>
      <c r="G128" s="632" t="s">
        <v>979</v>
      </c>
      <c r="K128" s="957" t="s">
        <v>980</v>
      </c>
      <c r="L128" s="906"/>
      <c r="M128" s="957" t="s">
        <v>957</v>
      </c>
      <c r="N128" s="906"/>
      <c r="O128" s="906"/>
      <c r="P128" s="906"/>
      <c r="R128" s="906"/>
      <c r="S128" s="906"/>
      <c r="T128" s="906"/>
    </row>
    <row r="129" spans="1:20">
      <c r="A129" s="951">
        <v>127</v>
      </c>
      <c r="B129" s="2153" t="s">
        <v>981</v>
      </c>
      <c r="C129" s="2153"/>
      <c r="D129" s="952" t="s">
        <v>776</v>
      </c>
      <c r="E129" s="953" t="s">
        <v>456</v>
      </c>
      <c r="F129" s="954">
        <f>EDU*2+MAX(APP*2,POW*2)</f>
        <v>256</v>
      </c>
      <c r="G129" s="955" t="s">
        <v>982</v>
      </c>
      <c r="K129" s="957" t="s">
        <v>983</v>
      </c>
      <c r="L129" s="906"/>
      <c r="M129" s="957" t="s">
        <v>957</v>
      </c>
      <c r="N129" s="906"/>
      <c r="O129" s="906"/>
      <c r="P129" s="906"/>
      <c r="R129" s="906"/>
      <c r="S129" s="906"/>
      <c r="T129" s="906"/>
    </row>
    <row r="130" spans="1:20">
      <c r="A130" s="956">
        <v>128</v>
      </c>
      <c r="B130" s="2152" t="s">
        <v>984</v>
      </c>
      <c r="C130" s="2152"/>
      <c r="D130" s="905" t="s">
        <v>598</v>
      </c>
      <c r="E130" s="902" t="s">
        <v>450</v>
      </c>
      <c r="F130" s="905">
        <f>EDU*4</f>
        <v>312</v>
      </c>
      <c r="G130" s="632" t="s">
        <v>985</v>
      </c>
      <c r="K130" s="957" t="s">
        <v>986</v>
      </c>
      <c r="L130" s="906"/>
      <c r="M130" s="957" t="s">
        <v>957</v>
      </c>
      <c r="N130" s="906"/>
      <c r="O130" s="906"/>
      <c r="P130" s="906"/>
      <c r="R130" s="906"/>
      <c r="S130" s="906"/>
      <c r="T130" s="906"/>
    </row>
    <row r="131" spans="1:20">
      <c r="A131" s="951">
        <v>129</v>
      </c>
      <c r="B131" s="2153" t="s">
        <v>987</v>
      </c>
      <c r="C131" s="2153"/>
      <c r="D131" s="952" t="s">
        <v>739</v>
      </c>
      <c r="E131" s="953" t="s">
        <v>887</v>
      </c>
      <c r="F131" s="954">
        <f>EDU*2+MAX(DEX*2,APP*2)</f>
        <v>316</v>
      </c>
      <c r="G131" s="955" t="s">
        <v>988</v>
      </c>
      <c r="K131" s="957" t="s">
        <v>989</v>
      </c>
      <c r="L131" s="906"/>
      <c r="M131" s="957" t="s">
        <v>957</v>
      </c>
      <c r="N131" s="906"/>
      <c r="O131" s="906"/>
      <c r="P131" s="906"/>
      <c r="R131" s="906"/>
      <c r="S131" s="906"/>
      <c r="T131" s="906"/>
    </row>
    <row r="132" spans="1:20">
      <c r="A132" s="956">
        <v>130</v>
      </c>
      <c r="B132" s="2152" t="s">
        <v>990</v>
      </c>
      <c r="C132" s="2152"/>
      <c r="D132" s="905" t="s">
        <v>739</v>
      </c>
      <c r="E132" s="902" t="s">
        <v>887</v>
      </c>
      <c r="F132" s="905">
        <f>EDU*2+MAX(DEX*2,APP*2)</f>
        <v>316</v>
      </c>
      <c r="G132" s="632" t="s">
        <v>991</v>
      </c>
      <c r="K132" s="957" t="s">
        <v>992</v>
      </c>
      <c r="L132" s="906"/>
      <c r="M132" s="957" t="s">
        <v>957</v>
      </c>
      <c r="N132" s="906"/>
      <c r="O132" s="906"/>
      <c r="P132" s="906"/>
      <c r="R132" s="906"/>
      <c r="S132" s="906"/>
      <c r="T132" s="906"/>
    </row>
    <row r="133" spans="1:20">
      <c r="A133" s="951">
        <v>131</v>
      </c>
      <c r="B133" s="2153" t="s">
        <v>993</v>
      </c>
      <c r="C133" s="2153"/>
      <c r="D133" s="952" t="s">
        <v>499</v>
      </c>
      <c r="E133" s="953" t="s">
        <v>551</v>
      </c>
      <c r="F133" s="954">
        <f>EDU*2+DEX*2</f>
        <v>316</v>
      </c>
      <c r="G133" s="955" t="s">
        <v>994</v>
      </c>
      <c r="K133" s="957" t="s">
        <v>995</v>
      </c>
      <c r="L133" s="906"/>
      <c r="M133" s="957" t="s">
        <v>957</v>
      </c>
      <c r="N133" s="906"/>
      <c r="O133" s="906"/>
      <c r="P133" s="906"/>
      <c r="R133" s="906"/>
      <c r="S133" s="906"/>
      <c r="T133" s="906"/>
    </row>
    <row r="134" spans="1:20">
      <c r="A134" s="956">
        <v>132</v>
      </c>
      <c r="B134" s="2152" t="s">
        <v>996</v>
      </c>
      <c r="C134" s="2152"/>
      <c r="D134" s="905" t="s">
        <v>421</v>
      </c>
      <c r="E134" s="902" t="s">
        <v>422</v>
      </c>
      <c r="F134" s="905">
        <f>EDU*4</f>
        <v>312</v>
      </c>
      <c r="G134" s="632" t="s">
        <v>997</v>
      </c>
      <c r="K134" s="957" t="s">
        <v>998</v>
      </c>
      <c r="L134" s="906"/>
      <c r="M134" s="957" t="s">
        <v>957</v>
      </c>
      <c r="N134" s="906"/>
      <c r="O134" s="906"/>
      <c r="P134" s="906"/>
      <c r="R134" s="906"/>
      <c r="S134" s="906"/>
      <c r="T134" s="906"/>
    </row>
    <row r="135" spans="1:20">
      <c r="A135" s="951">
        <v>133</v>
      </c>
      <c r="B135" s="2153" t="s">
        <v>999</v>
      </c>
      <c r="C135" s="2153"/>
      <c r="D135" s="952" t="s">
        <v>634</v>
      </c>
      <c r="E135" s="953" t="s">
        <v>450</v>
      </c>
      <c r="F135" s="954">
        <f>EDU*4</f>
        <v>312</v>
      </c>
      <c r="G135" s="955" t="s">
        <v>758</v>
      </c>
      <c r="K135" s="957" t="s">
        <v>998</v>
      </c>
      <c r="L135" s="906"/>
      <c r="M135" s="957" t="s">
        <v>957</v>
      </c>
      <c r="N135" s="906"/>
      <c r="O135" s="906"/>
      <c r="P135" s="906"/>
      <c r="R135" s="906"/>
      <c r="S135" s="906"/>
      <c r="T135" s="906"/>
    </row>
    <row r="136" spans="1:20">
      <c r="A136" s="956">
        <v>134</v>
      </c>
      <c r="B136" s="2152" t="s">
        <v>1000</v>
      </c>
      <c r="C136" s="2152"/>
      <c r="D136" s="905" t="s">
        <v>421</v>
      </c>
      <c r="E136" s="902" t="s">
        <v>450</v>
      </c>
      <c r="F136" s="905">
        <f>EDU*4</f>
        <v>312</v>
      </c>
      <c r="G136" s="632" t="s">
        <v>635</v>
      </c>
      <c r="K136" s="957" t="s">
        <v>636</v>
      </c>
      <c r="L136" s="906"/>
      <c r="M136" s="957" t="s">
        <v>957</v>
      </c>
      <c r="N136" s="906"/>
      <c r="O136" s="906"/>
      <c r="P136" s="906"/>
      <c r="R136" s="906"/>
      <c r="S136" s="906"/>
      <c r="T136" s="906"/>
    </row>
    <row r="137" spans="1:20">
      <c r="A137" s="951">
        <v>135</v>
      </c>
      <c r="B137" s="2153" t="s">
        <v>1001</v>
      </c>
      <c r="C137" s="2153"/>
      <c r="D137" s="952" t="s">
        <v>739</v>
      </c>
      <c r="E137" s="953" t="s">
        <v>450</v>
      </c>
      <c r="F137" s="954">
        <f>EDU*4</f>
        <v>312</v>
      </c>
      <c r="G137" s="955" t="s">
        <v>635</v>
      </c>
      <c r="K137" s="957" t="s">
        <v>636</v>
      </c>
      <c r="L137" s="906"/>
      <c r="M137" s="957" t="s">
        <v>957</v>
      </c>
      <c r="N137" s="906"/>
      <c r="O137" s="906"/>
      <c r="P137" s="906"/>
      <c r="R137" s="906"/>
      <c r="S137" s="906"/>
      <c r="T137" s="906"/>
    </row>
    <row r="138" spans="1:20">
      <c r="A138" s="956">
        <v>136</v>
      </c>
      <c r="B138" s="2152" t="s">
        <v>1002</v>
      </c>
      <c r="C138" s="2152"/>
      <c r="D138" s="905" t="s">
        <v>634</v>
      </c>
      <c r="E138" s="902" t="s">
        <v>450</v>
      </c>
      <c r="F138" s="905">
        <f>EDU*4</f>
        <v>312</v>
      </c>
      <c r="G138" s="632" t="s">
        <v>635</v>
      </c>
      <c r="K138" s="957" t="s">
        <v>1003</v>
      </c>
      <c r="L138" s="906"/>
      <c r="M138" s="957" t="s">
        <v>957</v>
      </c>
      <c r="N138" s="906"/>
      <c r="O138" s="906"/>
      <c r="P138" s="906"/>
      <c r="R138" s="906"/>
      <c r="S138" s="906"/>
      <c r="T138" s="906"/>
    </row>
    <row r="139" spans="1:20">
      <c r="A139" s="951">
        <v>137</v>
      </c>
      <c r="B139" s="2153" t="s">
        <v>1004</v>
      </c>
      <c r="C139" s="2153"/>
      <c r="D139" s="952" t="s">
        <v>466</v>
      </c>
      <c r="E139" s="953" t="s">
        <v>574</v>
      </c>
      <c r="F139" s="954">
        <f>EDU*2+DEX*2</f>
        <v>316</v>
      </c>
      <c r="G139" s="955" t="s">
        <v>1005</v>
      </c>
      <c r="K139" s="957" t="s">
        <v>1006</v>
      </c>
      <c r="L139" s="906"/>
      <c r="M139" s="957" t="s">
        <v>957</v>
      </c>
      <c r="N139" s="906"/>
      <c r="O139" s="906"/>
      <c r="P139" s="906"/>
      <c r="R139" s="906"/>
      <c r="S139" s="906"/>
      <c r="T139" s="906"/>
    </row>
    <row r="140" spans="1:20">
      <c r="A140" s="956">
        <v>138</v>
      </c>
      <c r="B140" s="2152" t="s">
        <v>1007</v>
      </c>
      <c r="C140" s="2152"/>
      <c r="D140" s="905" t="s">
        <v>499</v>
      </c>
      <c r="E140" s="902" t="s">
        <v>450</v>
      </c>
      <c r="F140" s="905">
        <f>EDU*4</f>
        <v>312</v>
      </c>
      <c r="G140" s="632" t="s">
        <v>1008</v>
      </c>
      <c r="K140" s="957" t="s">
        <v>1009</v>
      </c>
      <c r="L140" s="906"/>
      <c r="M140" s="957" t="s">
        <v>957</v>
      </c>
      <c r="N140" s="906"/>
      <c r="O140" s="906"/>
      <c r="P140" s="906"/>
      <c r="R140" s="906"/>
      <c r="S140" s="906"/>
      <c r="T140" s="906"/>
    </row>
    <row r="141" spans="1:20">
      <c r="A141" s="951">
        <v>139</v>
      </c>
      <c r="B141" s="2153" t="s">
        <v>1010</v>
      </c>
      <c r="C141" s="2153"/>
      <c r="D141" s="952" t="s">
        <v>499</v>
      </c>
      <c r="E141" s="953" t="s">
        <v>789</v>
      </c>
      <c r="F141" s="954">
        <f>EDU*2+MAX(DEX*2,POW*2)</f>
        <v>316</v>
      </c>
      <c r="G141" s="955" t="s">
        <v>1011</v>
      </c>
      <c r="K141" s="957" t="s">
        <v>1012</v>
      </c>
      <c r="L141" s="906"/>
      <c r="M141" s="957" t="s">
        <v>957</v>
      </c>
      <c r="N141" s="906"/>
      <c r="O141" s="906"/>
      <c r="P141" s="906"/>
      <c r="R141" s="906"/>
      <c r="S141" s="906"/>
      <c r="T141" s="906"/>
    </row>
    <row r="142" spans="1:20">
      <c r="A142" s="956">
        <v>140</v>
      </c>
      <c r="B142" s="2152" t="s">
        <v>1013</v>
      </c>
      <c r="C142" s="2152"/>
      <c r="D142" s="905" t="s">
        <v>466</v>
      </c>
      <c r="E142" s="902" t="s">
        <v>450</v>
      </c>
      <c r="F142" s="905">
        <f>EDU*4</f>
        <v>312</v>
      </c>
      <c r="G142" s="632" t="s">
        <v>1014</v>
      </c>
      <c r="K142" s="957" t="s">
        <v>1015</v>
      </c>
      <c r="L142" s="906"/>
      <c r="M142" s="957" t="s">
        <v>957</v>
      </c>
      <c r="N142" s="906"/>
      <c r="O142" s="906"/>
      <c r="P142" s="906"/>
      <c r="R142" s="906"/>
      <c r="S142" s="906"/>
      <c r="T142" s="906"/>
    </row>
    <row r="143" spans="1:20">
      <c r="A143" s="951">
        <v>141</v>
      </c>
      <c r="B143" s="2153" t="s">
        <v>1016</v>
      </c>
      <c r="C143" s="2153"/>
      <c r="D143" s="952" t="s">
        <v>771</v>
      </c>
      <c r="E143" s="953" t="s">
        <v>444</v>
      </c>
      <c r="F143" s="954">
        <f>EDU*2+MAX(STR*2,DEX*2)</f>
        <v>316</v>
      </c>
      <c r="G143" s="955" t="s">
        <v>1017</v>
      </c>
      <c r="K143" s="957" t="s">
        <v>1018</v>
      </c>
      <c r="L143" s="906"/>
      <c r="M143" s="957" t="s">
        <v>957</v>
      </c>
      <c r="N143" s="906"/>
      <c r="O143" s="906"/>
      <c r="P143" s="906"/>
      <c r="R143" s="906"/>
      <c r="S143" s="906"/>
      <c r="T143" s="906"/>
    </row>
    <row r="144" spans="1:20">
      <c r="A144" s="956">
        <v>142</v>
      </c>
      <c r="B144" s="2152" t="s">
        <v>1019</v>
      </c>
      <c r="C144" s="2152"/>
      <c r="D144" s="905" t="s">
        <v>1020</v>
      </c>
      <c r="E144" s="902" t="s">
        <v>444</v>
      </c>
      <c r="F144" s="905">
        <f>EDU*2+MAX(STR*2,DEX*2)</f>
        <v>316</v>
      </c>
      <c r="G144" s="632" t="s">
        <v>1021</v>
      </c>
      <c r="K144" s="957" t="s">
        <v>1022</v>
      </c>
      <c r="L144" s="906"/>
      <c r="M144" s="957" t="s">
        <v>957</v>
      </c>
      <c r="N144" s="906"/>
      <c r="O144" s="906"/>
      <c r="P144" s="906"/>
      <c r="R144" s="906"/>
      <c r="S144" s="906"/>
      <c r="T144" s="906"/>
    </row>
    <row r="145" spans="1:20">
      <c r="A145" s="951">
        <v>143</v>
      </c>
      <c r="B145" s="2153" t="s">
        <v>1023</v>
      </c>
      <c r="C145" s="2153"/>
      <c r="D145" s="952" t="s">
        <v>499</v>
      </c>
      <c r="E145" s="953" t="s">
        <v>789</v>
      </c>
      <c r="F145" s="954">
        <f>EDU*2+MAX(POW*2,DEX*2)</f>
        <v>316</v>
      </c>
      <c r="G145" s="955" t="s">
        <v>1024</v>
      </c>
      <c r="K145" s="957" t="s">
        <v>1025</v>
      </c>
      <c r="L145" s="906"/>
      <c r="M145" s="957" t="s">
        <v>957</v>
      </c>
      <c r="N145" s="906"/>
      <c r="O145" s="906"/>
      <c r="P145" s="906"/>
      <c r="R145" s="906"/>
      <c r="S145" s="906"/>
      <c r="T145" s="906"/>
    </row>
    <row r="146" spans="1:20">
      <c r="A146" s="956">
        <v>144</v>
      </c>
      <c r="B146" s="2152" t="s">
        <v>1026</v>
      </c>
      <c r="C146" s="2152"/>
      <c r="D146" s="905" t="s">
        <v>421</v>
      </c>
      <c r="E146" s="902" t="s">
        <v>574</v>
      </c>
      <c r="F146" s="905">
        <f>EDU*2+DEX*2</f>
        <v>316</v>
      </c>
      <c r="G146" s="632" t="s">
        <v>1027</v>
      </c>
      <c r="K146" s="957" t="s">
        <v>1028</v>
      </c>
      <c r="L146" s="906"/>
      <c r="M146" s="957" t="s">
        <v>957</v>
      </c>
      <c r="N146" s="906"/>
      <c r="O146" s="906"/>
      <c r="P146" s="906"/>
      <c r="R146" s="906"/>
      <c r="S146" s="906"/>
      <c r="T146" s="906"/>
    </row>
    <row r="147" spans="1:20">
      <c r="A147" s="951">
        <v>145</v>
      </c>
      <c r="B147" s="2153" t="s">
        <v>1029</v>
      </c>
      <c r="C147" s="2153"/>
      <c r="D147" s="952" t="s">
        <v>739</v>
      </c>
      <c r="E147" s="953" t="s">
        <v>450</v>
      </c>
      <c r="F147" s="954">
        <f>EDU*4</f>
        <v>312</v>
      </c>
      <c r="G147" s="955" t="s">
        <v>1030</v>
      </c>
      <c r="K147" s="957" t="s">
        <v>1031</v>
      </c>
      <c r="L147" s="906"/>
      <c r="M147" s="957" t="s">
        <v>957</v>
      </c>
      <c r="N147" s="906"/>
      <c r="O147" s="906"/>
      <c r="P147" s="906"/>
      <c r="R147" s="906"/>
      <c r="S147" s="906"/>
      <c r="T147" s="906"/>
    </row>
    <row r="148" spans="1:20">
      <c r="A148" s="956">
        <v>146</v>
      </c>
      <c r="B148" s="2152" t="s">
        <v>1032</v>
      </c>
      <c r="C148" s="2152"/>
      <c r="D148" s="905" t="s">
        <v>433</v>
      </c>
      <c r="E148" s="902" t="s">
        <v>579</v>
      </c>
      <c r="F148" s="905">
        <f>EDU*2+APP*2</f>
        <v>246</v>
      </c>
      <c r="G148" s="632" t="s">
        <v>879</v>
      </c>
      <c r="K148" s="957" t="s">
        <v>1033</v>
      </c>
      <c r="L148" s="906"/>
      <c r="M148" s="957" t="s">
        <v>957</v>
      </c>
      <c r="N148" s="906"/>
      <c r="O148" s="906"/>
      <c r="P148" s="906"/>
      <c r="R148" s="906"/>
      <c r="S148" s="906"/>
      <c r="T148" s="906"/>
    </row>
    <row r="149" spans="1:20">
      <c r="A149" s="951">
        <v>147</v>
      </c>
      <c r="B149" s="2153" t="s">
        <v>1034</v>
      </c>
      <c r="C149" s="2153"/>
      <c r="D149" s="952" t="s">
        <v>499</v>
      </c>
      <c r="E149" s="953" t="s">
        <v>579</v>
      </c>
      <c r="F149" s="954">
        <f>EDU*2+APP*2</f>
        <v>246</v>
      </c>
      <c r="G149" s="955" t="s">
        <v>1035</v>
      </c>
      <c r="K149" s="957" t="s">
        <v>1006</v>
      </c>
      <c r="L149" s="906"/>
      <c r="M149" s="957" t="s">
        <v>957</v>
      </c>
      <c r="N149" s="906"/>
      <c r="O149" s="906"/>
      <c r="P149" s="906"/>
      <c r="R149" s="906"/>
      <c r="S149" s="906"/>
      <c r="T149" s="906"/>
    </row>
    <row r="150" spans="1:20">
      <c r="A150" s="956">
        <v>148</v>
      </c>
      <c r="B150" s="2152" t="s">
        <v>1036</v>
      </c>
      <c r="C150" s="2152"/>
      <c r="D150" s="905" t="s">
        <v>954</v>
      </c>
      <c r="E150" s="902" t="s">
        <v>450</v>
      </c>
      <c r="F150" s="905">
        <f>EDU*4</f>
        <v>312</v>
      </c>
      <c r="G150" s="632" t="s">
        <v>1037</v>
      </c>
      <c r="K150" s="957" t="s">
        <v>1038</v>
      </c>
      <c r="L150" s="906"/>
      <c r="M150" s="957" t="s">
        <v>957</v>
      </c>
      <c r="N150" s="906"/>
      <c r="O150" s="906"/>
      <c r="P150" s="906"/>
      <c r="R150" s="906"/>
      <c r="S150" s="906"/>
      <c r="T150" s="906"/>
    </row>
    <row r="151" spans="1:20">
      <c r="A151" s="951">
        <v>149</v>
      </c>
      <c r="B151" s="2153" t="s">
        <v>1039</v>
      </c>
      <c r="C151" s="2153"/>
      <c r="D151" s="952" t="s">
        <v>427</v>
      </c>
      <c r="E151" s="953" t="s">
        <v>444</v>
      </c>
      <c r="F151" s="954">
        <f>EDU*2+MAX(STR*2,DEX*2)</f>
        <v>316</v>
      </c>
      <c r="G151" s="955" t="s">
        <v>1040</v>
      </c>
      <c r="K151" s="957" t="s">
        <v>1041</v>
      </c>
      <c r="L151" s="906"/>
      <c r="M151" s="957" t="s">
        <v>957</v>
      </c>
      <c r="N151" s="906"/>
      <c r="O151" s="906"/>
      <c r="P151" s="906"/>
      <c r="R151" s="906"/>
      <c r="S151" s="906"/>
      <c r="T151" s="906"/>
    </row>
    <row r="152" spans="1:20">
      <c r="A152" s="956">
        <v>150</v>
      </c>
      <c r="B152" s="2152" t="s">
        <v>1042</v>
      </c>
      <c r="C152" s="2152"/>
      <c r="D152" s="905" t="s">
        <v>1043</v>
      </c>
      <c r="E152" s="902" t="s">
        <v>450</v>
      </c>
      <c r="F152" s="905">
        <f t="shared" ref="F152:F157" si="2">EDU*4</f>
        <v>312</v>
      </c>
      <c r="G152" s="632" t="s">
        <v>1044</v>
      </c>
      <c r="K152" s="957" t="s">
        <v>1045</v>
      </c>
      <c r="L152" s="906"/>
      <c r="M152" s="957" t="s">
        <v>957</v>
      </c>
      <c r="N152" s="906"/>
      <c r="O152" s="906"/>
      <c r="P152" s="906"/>
      <c r="R152" s="906"/>
      <c r="S152" s="906"/>
      <c r="T152" s="906"/>
    </row>
    <row r="153" spans="1:20">
      <c r="A153" s="951">
        <v>151</v>
      </c>
      <c r="B153" s="2153" t="s">
        <v>1046</v>
      </c>
      <c r="C153" s="2153"/>
      <c r="D153" s="952" t="s">
        <v>598</v>
      </c>
      <c r="E153" s="953" t="s">
        <v>450</v>
      </c>
      <c r="F153" s="954">
        <f t="shared" si="2"/>
        <v>312</v>
      </c>
      <c r="G153" s="955" t="s">
        <v>1047</v>
      </c>
      <c r="K153" s="957" t="s">
        <v>1048</v>
      </c>
      <c r="L153" s="906"/>
      <c r="M153" s="957" t="s">
        <v>957</v>
      </c>
      <c r="N153" s="906"/>
      <c r="O153" s="906"/>
      <c r="P153" s="906"/>
      <c r="R153" s="906"/>
      <c r="S153" s="906"/>
      <c r="T153" s="906"/>
    </row>
    <row r="154" spans="1:20">
      <c r="A154" s="956">
        <v>152</v>
      </c>
      <c r="B154" s="2152" t="s">
        <v>1049</v>
      </c>
      <c r="C154" s="2152"/>
      <c r="D154" s="905" t="s">
        <v>509</v>
      </c>
      <c r="E154" s="902" t="s">
        <v>450</v>
      </c>
      <c r="F154" s="905">
        <f t="shared" si="2"/>
        <v>312</v>
      </c>
      <c r="G154" s="632" t="s">
        <v>1050</v>
      </c>
      <c r="K154" s="957" t="s">
        <v>1051</v>
      </c>
      <c r="L154" s="906"/>
      <c r="M154" s="957" t="s">
        <v>957</v>
      </c>
      <c r="N154" s="906"/>
      <c r="O154" s="906"/>
      <c r="P154" s="906"/>
      <c r="R154" s="906"/>
      <c r="S154" s="906"/>
      <c r="T154" s="906"/>
    </row>
    <row r="155" spans="1:20">
      <c r="A155" s="951">
        <v>153</v>
      </c>
      <c r="B155" s="2153" t="s">
        <v>1052</v>
      </c>
      <c r="C155" s="2153"/>
      <c r="D155" s="952" t="s">
        <v>499</v>
      </c>
      <c r="E155" s="953" t="s">
        <v>450</v>
      </c>
      <c r="F155" s="954">
        <f t="shared" si="2"/>
        <v>312</v>
      </c>
      <c r="G155" s="955" t="s">
        <v>1053</v>
      </c>
      <c r="K155" s="957" t="s">
        <v>1054</v>
      </c>
      <c r="L155" s="906"/>
      <c r="M155" s="957" t="s">
        <v>957</v>
      </c>
      <c r="N155" s="906"/>
      <c r="O155" s="906"/>
      <c r="P155" s="906"/>
      <c r="R155" s="906"/>
      <c r="S155" s="906"/>
      <c r="T155" s="906"/>
    </row>
    <row r="156" spans="1:20" ht="14.1" customHeight="1">
      <c r="A156" s="956">
        <v>154</v>
      </c>
      <c r="B156" s="2152" t="s">
        <v>1055</v>
      </c>
      <c r="C156" s="2152"/>
      <c r="D156" s="905" t="s">
        <v>556</v>
      </c>
      <c r="E156" s="902" t="s">
        <v>450</v>
      </c>
      <c r="F156" s="905">
        <f t="shared" si="2"/>
        <v>312</v>
      </c>
      <c r="G156" s="632" t="s">
        <v>1056</v>
      </c>
      <c r="K156" s="939" t="s">
        <v>1057</v>
      </c>
      <c r="L156" s="906"/>
      <c r="M156" s="957" t="s">
        <v>957</v>
      </c>
      <c r="N156" s="906"/>
      <c r="O156" s="906"/>
      <c r="P156" s="906"/>
      <c r="R156" s="906"/>
      <c r="S156" s="906"/>
      <c r="T156" s="906"/>
    </row>
    <row r="157" spans="1:20">
      <c r="A157" s="951">
        <v>155</v>
      </c>
      <c r="B157" s="2153" t="s">
        <v>1058</v>
      </c>
      <c r="C157" s="2153"/>
      <c r="D157" s="952" t="s">
        <v>499</v>
      </c>
      <c r="E157" s="953" t="s">
        <v>450</v>
      </c>
      <c r="F157" s="954">
        <f t="shared" si="2"/>
        <v>312</v>
      </c>
      <c r="G157" s="955" t="s">
        <v>1059</v>
      </c>
      <c r="K157" s="957" t="s">
        <v>1060</v>
      </c>
      <c r="L157" s="906"/>
      <c r="M157" s="957" t="s">
        <v>957</v>
      </c>
      <c r="N157" s="906"/>
      <c r="O157" s="2162" t="s">
        <v>1061</v>
      </c>
      <c r="P157" s="2163"/>
      <c r="Q157" s="978" t="s">
        <v>1062</v>
      </c>
      <c r="R157" s="906"/>
      <c r="S157" s="906"/>
      <c r="T157" s="906"/>
    </row>
    <row r="158" spans="1:20">
      <c r="A158" s="958">
        <v>156</v>
      </c>
      <c r="B158" s="2154" t="s">
        <v>1063</v>
      </c>
      <c r="C158" s="2154"/>
      <c r="D158" s="959" t="s">
        <v>499</v>
      </c>
      <c r="E158" s="960" t="s">
        <v>444</v>
      </c>
      <c r="F158" s="959">
        <f>EDU*2+MAX(STR*2,DEX*2)</f>
        <v>316</v>
      </c>
      <c r="G158" s="961" t="s">
        <v>1064</v>
      </c>
      <c r="K158" s="957" t="s">
        <v>1065</v>
      </c>
      <c r="L158" s="906"/>
      <c r="M158" s="957" t="s">
        <v>957</v>
      </c>
      <c r="N158" s="906"/>
      <c r="O158" s="2158" t="s">
        <v>1066</v>
      </c>
      <c r="P158" s="2159"/>
      <c r="Q158" s="979" t="s">
        <v>1067</v>
      </c>
      <c r="R158" s="906"/>
      <c r="S158" s="906"/>
      <c r="T158" s="906"/>
    </row>
    <row r="159" spans="1:20">
      <c r="A159" s="962">
        <v>157</v>
      </c>
      <c r="B159" s="2164" t="s">
        <v>1068</v>
      </c>
      <c r="C159" s="2164"/>
      <c r="D159" s="963" t="s">
        <v>509</v>
      </c>
      <c r="E159" s="964" t="s">
        <v>444</v>
      </c>
      <c r="F159" s="965">
        <f>EDU*2+MAX(STR*2,DEX*2)</f>
        <v>316</v>
      </c>
      <c r="G159" s="966" t="s">
        <v>1069</v>
      </c>
      <c r="H159" s="2144" t="s">
        <v>1070</v>
      </c>
      <c r="I159" s="2144"/>
      <c r="J159" s="905"/>
      <c r="K159" s="972" t="s">
        <v>1071</v>
      </c>
      <c r="L159" s="973"/>
      <c r="M159" s="972" t="s">
        <v>1072</v>
      </c>
      <c r="N159" s="974"/>
      <c r="O159" s="2160" t="s">
        <v>1073</v>
      </c>
      <c r="P159" s="2161"/>
      <c r="Q159" s="980" t="s">
        <v>1074</v>
      </c>
      <c r="R159" s="906"/>
      <c r="S159" s="906"/>
      <c r="T159" s="906"/>
    </row>
    <row r="160" spans="1:20">
      <c r="A160" s="956">
        <v>158</v>
      </c>
      <c r="B160" s="2152" t="s">
        <v>1075</v>
      </c>
      <c r="C160" s="2152"/>
      <c r="D160" s="905" t="s">
        <v>903</v>
      </c>
      <c r="E160" s="902" t="s">
        <v>444</v>
      </c>
      <c r="F160" s="905">
        <f>EDU*2+MAX(STR*2,DEX*2)</f>
        <v>316</v>
      </c>
      <c r="G160" s="632" t="s">
        <v>1076</v>
      </c>
      <c r="H160" s="2144"/>
      <c r="I160" s="2144"/>
      <c r="J160" s="905"/>
      <c r="K160" s="972" t="s">
        <v>1077</v>
      </c>
      <c r="L160" s="973"/>
      <c r="M160" s="972" t="s">
        <v>1072</v>
      </c>
      <c r="N160" s="974"/>
      <c r="O160" s="2158" t="s">
        <v>1078</v>
      </c>
      <c r="P160" s="2159"/>
      <c r="Q160" s="979" t="s">
        <v>1067</v>
      </c>
      <c r="R160" s="906"/>
      <c r="S160" s="906"/>
      <c r="T160" s="906"/>
    </row>
    <row r="161" spans="1:20">
      <c r="A161" s="951">
        <v>159</v>
      </c>
      <c r="B161" s="2153" t="s">
        <v>1079</v>
      </c>
      <c r="C161" s="2153"/>
      <c r="D161" s="952" t="s">
        <v>1080</v>
      </c>
      <c r="E161" s="953" t="s">
        <v>450</v>
      </c>
      <c r="F161" s="954">
        <f>EDU*4</f>
        <v>312</v>
      </c>
      <c r="G161" s="955" t="s">
        <v>1081</v>
      </c>
      <c r="H161" s="2144"/>
      <c r="I161" s="2144"/>
      <c r="J161" s="905"/>
      <c r="K161" s="972" t="s">
        <v>1082</v>
      </c>
      <c r="L161" s="973"/>
      <c r="M161" s="972" t="s">
        <v>1072</v>
      </c>
      <c r="N161" s="974"/>
      <c r="O161" s="2160" t="s">
        <v>1083</v>
      </c>
      <c r="P161" s="2161"/>
      <c r="Q161" s="980" t="s">
        <v>1067</v>
      </c>
      <c r="R161" s="906"/>
      <c r="S161" s="906"/>
      <c r="T161" s="906"/>
    </row>
    <row r="162" spans="1:20">
      <c r="A162" s="956">
        <v>160</v>
      </c>
      <c r="B162" s="2152" t="s">
        <v>1084</v>
      </c>
      <c r="C162" s="2152"/>
      <c r="D162" s="905" t="s">
        <v>598</v>
      </c>
      <c r="E162" s="902" t="s">
        <v>450</v>
      </c>
      <c r="F162" s="905">
        <f>EDU*4</f>
        <v>312</v>
      </c>
      <c r="G162" s="632" t="s">
        <v>1085</v>
      </c>
      <c r="H162" s="2144"/>
      <c r="I162" s="2144"/>
      <c r="J162" s="905"/>
      <c r="K162" s="972" t="s">
        <v>535</v>
      </c>
      <c r="L162" s="973"/>
      <c r="M162" s="972" t="s">
        <v>1072</v>
      </c>
      <c r="N162" s="974"/>
      <c r="O162" s="2158" t="s">
        <v>1086</v>
      </c>
      <c r="P162" s="2159"/>
      <c r="Q162" s="979" t="s">
        <v>1087</v>
      </c>
      <c r="R162" s="906"/>
      <c r="S162" s="906"/>
      <c r="T162" s="906"/>
    </row>
    <row r="163" spans="1:20">
      <c r="A163" s="951">
        <v>161</v>
      </c>
      <c r="B163" s="2153" t="s">
        <v>1088</v>
      </c>
      <c r="C163" s="2153"/>
      <c r="D163" s="952" t="s">
        <v>509</v>
      </c>
      <c r="E163" s="953" t="s">
        <v>450</v>
      </c>
      <c r="F163" s="954">
        <f>EDU*4</f>
        <v>312</v>
      </c>
      <c r="G163" s="955" t="s">
        <v>1089</v>
      </c>
      <c r="H163" s="2144"/>
      <c r="I163" s="2144"/>
      <c r="J163" s="905"/>
      <c r="K163" s="972"/>
      <c r="L163" s="973"/>
      <c r="M163" s="972" t="s">
        <v>1072</v>
      </c>
      <c r="N163" s="974"/>
      <c r="O163" s="2160" t="s">
        <v>1090</v>
      </c>
      <c r="P163" s="2161"/>
      <c r="Q163" s="980" t="s">
        <v>1074</v>
      </c>
      <c r="R163" s="906"/>
      <c r="S163" s="906"/>
      <c r="T163" s="906"/>
    </row>
    <row r="164" spans="1:20">
      <c r="A164" s="956">
        <v>162</v>
      </c>
      <c r="B164" s="2152" t="s">
        <v>1091</v>
      </c>
      <c r="C164" s="2152"/>
      <c r="D164" s="905" t="s">
        <v>427</v>
      </c>
      <c r="E164" s="902" t="s">
        <v>444</v>
      </c>
      <c r="F164" s="905">
        <f>EDU*2+MAX(STR*2,DEX*2)</f>
        <v>316</v>
      </c>
      <c r="G164" s="632" t="s">
        <v>1092</v>
      </c>
      <c r="H164" s="2144"/>
      <c r="I164" s="2144"/>
      <c r="J164" s="905"/>
      <c r="K164" s="972"/>
      <c r="L164" s="973"/>
      <c r="M164" s="972" t="s">
        <v>1072</v>
      </c>
      <c r="N164" s="974"/>
      <c r="O164" s="2158" t="s">
        <v>1093</v>
      </c>
      <c r="P164" s="2159"/>
      <c r="Q164" s="979" t="s">
        <v>1094</v>
      </c>
      <c r="R164" s="906"/>
      <c r="S164" s="906"/>
      <c r="T164" s="906"/>
    </row>
    <row r="165" spans="1:20">
      <c r="A165" s="951">
        <v>163</v>
      </c>
      <c r="B165" s="2153" t="s">
        <v>1095</v>
      </c>
      <c r="C165" s="2153"/>
      <c r="D165" s="952" t="s">
        <v>903</v>
      </c>
      <c r="E165" s="953" t="s">
        <v>450</v>
      </c>
      <c r="F165" s="954">
        <f>EDU*4</f>
        <v>312</v>
      </c>
      <c r="G165" s="955" t="s">
        <v>1096</v>
      </c>
      <c r="H165" s="2145" t="s">
        <v>969</v>
      </c>
      <c r="I165" s="2145"/>
      <c r="J165" s="905"/>
      <c r="K165" s="972" t="s">
        <v>1097</v>
      </c>
      <c r="L165" s="973"/>
      <c r="M165" s="972" t="s">
        <v>1072</v>
      </c>
      <c r="N165" s="974"/>
      <c r="O165" s="2155" t="s">
        <v>1098</v>
      </c>
      <c r="P165" s="2156"/>
      <c r="Q165" s="981" t="s">
        <v>1067</v>
      </c>
      <c r="R165" s="906"/>
      <c r="S165" s="906"/>
      <c r="T165" s="906"/>
    </row>
    <row r="166" spans="1:20" ht="18" customHeight="1">
      <c r="A166" s="956">
        <v>164</v>
      </c>
      <c r="B166" s="2152" t="s">
        <v>1099</v>
      </c>
      <c r="C166" s="2152"/>
      <c r="D166" s="905" t="s">
        <v>567</v>
      </c>
      <c r="E166" s="902" t="s">
        <v>450</v>
      </c>
      <c r="F166" s="905">
        <f>EDU*4</f>
        <v>312</v>
      </c>
      <c r="G166" s="919" t="s">
        <v>1100</v>
      </c>
      <c r="J166" s="905"/>
      <c r="K166" s="972"/>
      <c r="L166" s="973"/>
      <c r="M166" s="972" t="s">
        <v>1072</v>
      </c>
      <c r="N166" s="973"/>
      <c r="O166" s="2142" t="s">
        <v>1101</v>
      </c>
      <c r="P166" s="2142"/>
      <c r="Q166" s="2142"/>
      <c r="R166" s="906"/>
      <c r="S166" s="906"/>
      <c r="T166" s="906"/>
    </row>
    <row r="167" spans="1:20">
      <c r="A167" s="951">
        <v>165</v>
      </c>
      <c r="B167" s="2153" t="s">
        <v>1102</v>
      </c>
      <c r="C167" s="2153"/>
      <c r="D167" s="952" t="s">
        <v>427</v>
      </c>
      <c r="E167" s="953" t="s">
        <v>450</v>
      </c>
      <c r="F167" s="954">
        <f>EDU*4</f>
        <v>312</v>
      </c>
      <c r="G167" s="955" t="s">
        <v>1103</v>
      </c>
      <c r="J167" s="905"/>
      <c r="K167" s="975"/>
      <c r="L167" s="976"/>
      <c r="M167" s="975" t="s">
        <v>1072</v>
      </c>
      <c r="N167" s="976"/>
      <c r="O167" s="2142"/>
      <c r="P167" s="2142"/>
      <c r="Q167" s="2142"/>
      <c r="R167" s="906"/>
      <c r="S167" s="906"/>
      <c r="T167" s="906"/>
    </row>
    <row r="168" spans="1:20">
      <c r="A168" s="956">
        <v>166</v>
      </c>
      <c r="B168" s="2152" t="s">
        <v>1104</v>
      </c>
      <c r="C168" s="2152"/>
      <c r="D168" s="905" t="s">
        <v>466</v>
      </c>
      <c r="E168" s="902" t="s">
        <v>450</v>
      </c>
      <c r="F168" s="905">
        <f>EDU*4</f>
        <v>312</v>
      </c>
      <c r="G168" s="632" t="s">
        <v>1105</v>
      </c>
      <c r="K168" s="957"/>
      <c r="L168" s="906"/>
      <c r="M168" s="957" t="s">
        <v>1072</v>
      </c>
      <c r="N168" s="906"/>
      <c r="O168" s="2142"/>
      <c r="P168" s="2142"/>
      <c r="Q168" s="2142"/>
      <c r="R168" s="906"/>
      <c r="S168" s="906"/>
      <c r="T168" s="906"/>
    </row>
    <row r="169" spans="1:20">
      <c r="A169" s="951">
        <v>167</v>
      </c>
      <c r="B169" s="2153" t="s">
        <v>1106</v>
      </c>
      <c r="C169" s="2153"/>
      <c r="D169" s="952" t="s">
        <v>556</v>
      </c>
      <c r="E169" s="953" t="s">
        <v>450</v>
      </c>
      <c r="F169" s="954">
        <f>EDU*4</f>
        <v>312</v>
      </c>
      <c r="G169" s="955" t="s">
        <v>1107</v>
      </c>
      <c r="K169" s="957" t="s">
        <v>1108</v>
      </c>
      <c r="L169" s="906"/>
      <c r="M169" s="957" t="s">
        <v>1072</v>
      </c>
      <c r="N169" s="906"/>
      <c r="O169" s="2143" t="s">
        <v>1109</v>
      </c>
      <c r="P169" s="2143"/>
      <c r="Q169" s="2143"/>
      <c r="R169" s="906"/>
      <c r="S169" s="906"/>
      <c r="T169" s="906"/>
    </row>
    <row r="170" spans="1:20">
      <c r="A170" s="956">
        <v>168</v>
      </c>
      <c r="B170" s="2152" t="s">
        <v>1110</v>
      </c>
      <c r="C170" s="2152"/>
      <c r="D170" s="905" t="s">
        <v>639</v>
      </c>
      <c r="E170" s="902" t="s">
        <v>444</v>
      </c>
      <c r="F170" s="905">
        <f>EDU*2+MAX(STR*2,DEX*2)</f>
        <v>316</v>
      </c>
      <c r="G170" s="632" t="s">
        <v>1111</v>
      </c>
      <c r="K170" s="957" t="s">
        <v>1112</v>
      </c>
      <c r="L170" s="906"/>
      <c r="M170" s="957" t="s">
        <v>1072</v>
      </c>
      <c r="N170" s="906"/>
      <c r="O170" s="2143"/>
      <c r="P170" s="2143"/>
      <c r="Q170" s="2143"/>
      <c r="R170" s="906"/>
      <c r="S170" s="906"/>
      <c r="T170" s="906"/>
    </row>
    <row r="171" spans="1:20">
      <c r="A171" s="967">
        <v>169</v>
      </c>
      <c r="B171" s="2157" t="s">
        <v>1113</v>
      </c>
      <c r="C171" s="2157"/>
      <c r="D171" s="968" t="s">
        <v>524</v>
      </c>
      <c r="E171" s="969" t="s">
        <v>525</v>
      </c>
      <c r="F171" s="970">
        <f>EDU*2+STR*2</f>
        <v>296</v>
      </c>
      <c r="G171" s="971" t="s">
        <v>1114</v>
      </c>
      <c r="K171" s="957"/>
      <c r="L171" s="906"/>
      <c r="M171" s="957" t="s">
        <v>1072</v>
      </c>
      <c r="N171" s="906"/>
      <c r="O171" s="2143" t="s">
        <v>1115</v>
      </c>
      <c r="P171" s="2143"/>
      <c r="Q171" s="2143"/>
      <c r="R171" s="906"/>
      <c r="S171" s="906"/>
      <c r="T171" s="906"/>
    </row>
    <row r="172" spans="1:20">
      <c r="A172" s="956">
        <v>170</v>
      </c>
      <c r="B172" s="2152" t="s">
        <v>1116</v>
      </c>
      <c r="C172" s="2152"/>
      <c r="D172" s="905" t="s">
        <v>499</v>
      </c>
      <c r="E172" s="902" t="s">
        <v>444</v>
      </c>
      <c r="F172" s="905">
        <f>EDU*2+MAX(STR*2,DEX*2)</f>
        <v>316</v>
      </c>
      <c r="G172" s="632" t="s">
        <v>1117</v>
      </c>
      <c r="H172" s="2144" t="s">
        <v>1118</v>
      </c>
      <c r="I172" s="2144"/>
      <c r="K172" s="957" t="s">
        <v>1119</v>
      </c>
      <c r="L172" s="906"/>
      <c r="M172" s="957" t="s">
        <v>1120</v>
      </c>
      <c r="N172" s="906"/>
      <c r="O172" s="2143"/>
      <c r="P172" s="2143"/>
      <c r="Q172" s="2143"/>
      <c r="R172" s="906"/>
      <c r="S172" s="906"/>
      <c r="T172" s="906"/>
    </row>
    <row r="173" spans="1:20">
      <c r="A173" s="951">
        <v>171</v>
      </c>
      <c r="B173" s="2153" t="s">
        <v>1121</v>
      </c>
      <c r="C173" s="2153"/>
      <c r="D173" s="952" t="s">
        <v>466</v>
      </c>
      <c r="E173" s="953" t="s">
        <v>450</v>
      </c>
      <c r="F173" s="954">
        <f>EDU*4</f>
        <v>312</v>
      </c>
      <c r="G173" s="955" t="s">
        <v>1122</v>
      </c>
      <c r="H173" s="2144"/>
      <c r="I173" s="2144"/>
      <c r="K173" s="957" t="s">
        <v>1123</v>
      </c>
      <c r="L173" s="906"/>
      <c r="M173" s="957" t="s">
        <v>1120</v>
      </c>
      <c r="N173" s="906"/>
      <c r="Q173" s="905"/>
      <c r="R173" s="906"/>
      <c r="S173" s="906"/>
      <c r="T173" s="906"/>
    </row>
    <row r="174" spans="1:20">
      <c r="A174" s="956">
        <v>172</v>
      </c>
      <c r="B174" s="2152" t="s">
        <v>1124</v>
      </c>
      <c r="C174" s="2152"/>
      <c r="D174" s="905" t="s">
        <v>903</v>
      </c>
      <c r="E174" s="902" t="s">
        <v>450</v>
      </c>
      <c r="F174" s="905">
        <f>EDU*4</f>
        <v>312</v>
      </c>
      <c r="G174" s="632" t="s">
        <v>1125</v>
      </c>
      <c r="H174" s="2144"/>
      <c r="I174" s="2144"/>
      <c r="K174" s="957"/>
      <c r="L174" s="906"/>
      <c r="M174" s="957" t="s">
        <v>1126</v>
      </c>
      <c r="N174" s="906"/>
      <c r="Q174" s="905"/>
      <c r="R174" s="906"/>
      <c r="S174" s="906"/>
      <c r="T174" s="906"/>
    </row>
    <row r="175" spans="1:20">
      <c r="A175" s="951">
        <v>173</v>
      </c>
      <c r="B175" s="2153" t="s">
        <v>1127</v>
      </c>
      <c r="C175" s="2153"/>
      <c r="D175" s="952" t="s">
        <v>903</v>
      </c>
      <c r="E175" s="953" t="s">
        <v>450</v>
      </c>
      <c r="F175" s="954">
        <f>EDU*4</f>
        <v>312</v>
      </c>
      <c r="G175" s="955" t="s">
        <v>1128</v>
      </c>
      <c r="H175" s="2144"/>
      <c r="I175" s="2144"/>
      <c r="K175" s="957" t="s">
        <v>1129</v>
      </c>
      <c r="L175" s="906"/>
      <c r="M175" s="957" t="s">
        <v>1126</v>
      </c>
      <c r="N175" s="906"/>
      <c r="O175" s="906"/>
      <c r="P175" s="906"/>
      <c r="R175" s="906"/>
      <c r="S175" s="906"/>
      <c r="T175" s="906"/>
    </row>
    <row r="176" spans="1:20">
      <c r="A176" s="956">
        <v>174</v>
      </c>
      <c r="B176" s="2152" t="s">
        <v>1130</v>
      </c>
      <c r="C176" s="2152"/>
      <c r="D176" s="905" t="s">
        <v>466</v>
      </c>
      <c r="E176" s="902" t="s">
        <v>456</v>
      </c>
      <c r="F176" s="905">
        <f>EDU*2+MAX(APP*2,POW*2)</f>
        <v>256</v>
      </c>
      <c r="G176" s="632" t="s">
        <v>1131</v>
      </c>
      <c r="H176" s="2144"/>
      <c r="I176" s="2144"/>
      <c r="K176" s="957"/>
      <c r="L176" s="906"/>
      <c r="M176" s="957" t="s">
        <v>1132</v>
      </c>
      <c r="N176" s="906"/>
      <c r="O176" s="2146" t="s">
        <v>1133</v>
      </c>
      <c r="P176" s="2146"/>
      <c r="Q176" s="2146"/>
      <c r="R176" s="906"/>
      <c r="S176" s="906"/>
      <c r="T176" s="906"/>
    </row>
    <row r="177" spans="1:20">
      <c r="A177" s="951">
        <v>175</v>
      </c>
      <c r="B177" s="2153" t="s">
        <v>1134</v>
      </c>
      <c r="C177" s="2153"/>
      <c r="D177" s="952" t="s">
        <v>908</v>
      </c>
      <c r="E177" s="953" t="s">
        <v>450</v>
      </c>
      <c r="F177" s="954">
        <f>EDU*4</f>
        <v>312</v>
      </c>
      <c r="G177" s="955" t="s">
        <v>1135</v>
      </c>
      <c r="H177" s="2144"/>
      <c r="I177" s="2144"/>
      <c r="K177" s="957"/>
      <c r="L177" s="906"/>
      <c r="M177" s="957" t="s">
        <v>1132</v>
      </c>
      <c r="N177" s="906"/>
      <c r="O177" s="2146"/>
      <c r="P177" s="2146"/>
      <c r="Q177" s="2146"/>
      <c r="R177" s="906"/>
      <c r="S177" s="906"/>
      <c r="T177" s="906"/>
    </row>
    <row r="178" spans="1:20">
      <c r="A178" s="956">
        <v>176</v>
      </c>
      <c r="B178" s="2152" t="s">
        <v>1136</v>
      </c>
      <c r="C178" s="2152"/>
      <c r="D178" s="905" t="s">
        <v>538</v>
      </c>
      <c r="E178" s="902" t="s">
        <v>450</v>
      </c>
      <c r="F178" s="905">
        <f>EDU*4</f>
        <v>312</v>
      </c>
      <c r="G178" s="632" t="s">
        <v>1137</v>
      </c>
      <c r="H178" s="2145" t="s">
        <v>969</v>
      </c>
      <c r="I178" s="2145"/>
      <c r="K178" s="957"/>
      <c r="L178" s="906"/>
      <c r="M178" s="957" t="s">
        <v>1132</v>
      </c>
      <c r="N178" s="906"/>
      <c r="O178" s="2146"/>
      <c r="P178" s="2146"/>
      <c r="Q178" s="2146"/>
      <c r="R178" s="906"/>
      <c r="S178" s="906"/>
      <c r="T178" s="906"/>
    </row>
    <row r="179" spans="1:20">
      <c r="A179" s="951">
        <v>177</v>
      </c>
      <c r="B179" s="2153" t="s">
        <v>1138</v>
      </c>
      <c r="C179" s="2153"/>
      <c r="D179" s="952" t="s">
        <v>466</v>
      </c>
      <c r="E179" s="954" t="s">
        <v>450</v>
      </c>
      <c r="F179" s="954">
        <f>EDU*4</f>
        <v>312</v>
      </c>
      <c r="G179" s="955" t="s">
        <v>1014</v>
      </c>
      <c r="H179" s="905"/>
      <c r="I179" s="905"/>
      <c r="K179" s="957" t="s">
        <v>1015</v>
      </c>
      <c r="L179" s="906"/>
      <c r="M179" s="957" t="s">
        <v>1132</v>
      </c>
      <c r="N179" s="906"/>
      <c r="O179" s="2146"/>
      <c r="P179" s="2146"/>
      <c r="Q179" s="2146"/>
      <c r="R179" s="906"/>
      <c r="S179" s="906"/>
      <c r="T179" s="906"/>
    </row>
    <row r="180" spans="1:20">
      <c r="A180" s="956">
        <v>178</v>
      </c>
      <c r="B180" s="2152" t="s">
        <v>1139</v>
      </c>
      <c r="C180" s="2152"/>
      <c r="D180" s="905" t="s">
        <v>908</v>
      </c>
      <c r="E180" s="902" t="s">
        <v>444</v>
      </c>
      <c r="F180" s="905">
        <f>EDU*2+MAX(STR*2,DEX*2)</f>
        <v>316</v>
      </c>
      <c r="G180" s="632" t="s">
        <v>1140</v>
      </c>
      <c r="H180" s="2145" t="s">
        <v>1141</v>
      </c>
      <c r="I180" s="2145"/>
      <c r="K180" s="957"/>
      <c r="L180" s="906"/>
      <c r="M180" s="957" t="s">
        <v>1132</v>
      </c>
      <c r="N180" s="906"/>
      <c r="O180" s="906"/>
      <c r="P180" s="906"/>
      <c r="R180" s="906"/>
      <c r="S180" s="906"/>
      <c r="T180" s="906"/>
    </row>
    <row r="181" spans="1:20">
      <c r="A181" s="951">
        <v>179</v>
      </c>
      <c r="B181" s="2153" t="s">
        <v>1142</v>
      </c>
      <c r="C181" s="2153"/>
      <c r="D181" s="952" t="s">
        <v>494</v>
      </c>
      <c r="E181" s="953" t="s">
        <v>434</v>
      </c>
      <c r="F181" s="954">
        <f>EDU*2+APP*2</f>
        <v>246</v>
      </c>
      <c r="G181" s="955" t="s">
        <v>671</v>
      </c>
      <c r="H181" s="2145"/>
      <c r="I181" s="2145"/>
      <c r="K181" s="957"/>
      <c r="L181" s="906"/>
      <c r="M181" s="957" t="s">
        <v>1132</v>
      </c>
      <c r="N181" s="906"/>
      <c r="O181" s="906"/>
      <c r="P181" s="906"/>
      <c r="R181" s="906"/>
      <c r="S181" s="906"/>
      <c r="T181" s="906"/>
    </row>
    <row r="182" spans="1:20" ht="15" customHeight="1">
      <c r="A182" s="956">
        <v>180</v>
      </c>
      <c r="B182" s="2152" t="s">
        <v>1143</v>
      </c>
      <c r="C182" s="2152"/>
      <c r="D182" s="905" t="s">
        <v>598</v>
      </c>
      <c r="E182" s="902" t="s">
        <v>450</v>
      </c>
      <c r="F182" s="905">
        <f>EDU*4</f>
        <v>312</v>
      </c>
      <c r="G182" s="919" t="s">
        <v>1144</v>
      </c>
      <c r="H182" s="2145"/>
      <c r="I182" s="2145"/>
      <c r="K182" s="957"/>
      <c r="L182" s="906"/>
      <c r="M182" s="957" t="s">
        <v>1132</v>
      </c>
      <c r="N182" s="906"/>
      <c r="O182" s="906"/>
      <c r="P182" s="906"/>
      <c r="R182" s="906"/>
      <c r="S182" s="906"/>
      <c r="T182" s="906"/>
    </row>
    <row r="183" spans="1:20">
      <c r="A183" s="951">
        <v>181</v>
      </c>
      <c r="B183" s="2153" t="s">
        <v>1145</v>
      </c>
      <c r="C183" s="2153"/>
      <c r="D183" s="952" t="s">
        <v>499</v>
      </c>
      <c r="E183" s="953" t="s">
        <v>450</v>
      </c>
      <c r="F183" s="954">
        <f>EDU*4</f>
        <v>312</v>
      </c>
      <c r="G183" s="955" t="s">
        <v>1146</v>
      </c>
      <c r="H183" s="2145"/>
      <c r="I183" s="2145"/>
      <c r="K183" s="957"/>
      <c r="L183" s="906"/>
      <c r="M183" s="957" t="s">
        <v>1132</v>
      </c>
      <c r="N183" s="906"/>
      <c r="O183" s="906"/>
      <c r="P183" s="906"/>
      <c r="R183" s="906"/>
      <c r="S183" s="906"/>
      <c r="T183" s="906"/>
    </row>
    <row r="184" spans="1:20">
      <c r="A184" s="956">
        <v>182</v>
      </c>
      <c r="B184" s="2152" t="s">
        <v>1147</v>
      </c>
      <c r="C184" s="2152"/>
      <c r="D184" s="905" t="s">
        <v>514</v>
      </c>
      <c r="E184" s="902" t="s">
        <v>450</v>
      </c>
      <c r="F184" s="905">
        <f>EDU*4</f>
        <v>312</v>
      </c>
      <c r="G184" s="632" t="s">
        <v>1148</v>
      </c>
      <c r="K184" s="957"/>
      <c r="L184" s="906"/>
      <c r="M184" s="957" t="s">
        <v>1132</v>
      </c>
      <c r="N184" s="906"/>
      <c r="O184" s="906"/>
      <c r="P184" s="906"/>
      <c r="R184" s="906"/>
      <c r="S184" s="906"/>
      <c r="T184" s="906"/>
    </row>
    <row r="185" spans="1:20">
      <c r="A185" s="951">
        <v>183</v>
      </c>
      <c r="B185" s="2153" t="s">
        <v>1149</v>
      </c>
      <c r="C185" s="2153"/>
      <c r="D185" s="952" t="s">
        <v>499</v>
      </c>
      <c r="E185" s="953" t="s">
        <v>444</v>
      </c>
      <c r="F185" s="954">
        <f>EDU*2+MAX(STR*2,DEX*2)</f>
        <v>316</v>
      </c>
      <c r="G185" s="955" t="s">
        <v>896</v>
      </c>
      <c r="K185" s="957"/>
      <c r="L185" s="906"/>
      <c r="M185" s="957" t="s">
        <v>1132</v>
      </c>
      <c r="N185" s="906"/>
      <c r="R185" s="906"/>
      <c r="S185" s="906"/>
      <c r="T185" s="906"/>
    </row>
    <row r="186" spans="1:20">
      <c r="A186" s="956">
        <v>184</v>
      </c>
      <c r="B186" s="2152" t="s">
        <v>1150</v>
      </c>
      <c r="C186" s="2152"/>
      <c r="D186" s="905" t="s">
        <v>499</v>
      </c>
      <c r="E186" s="902" t="s">
        <v>444</v>
      </c>
      <c r="F186" s="905">
        <f>EDU*2+MAX(STR*2,DEX*2)</f>
        <v>316</v>
      </c>
      <c r="G186" s="632" t="s">
        <v>896</v>
      </c>
      <c r="K186" s="957"/>
      <c r="L186" s="906"/>
      <c r="M186" s="957" t="s">
        <v>1132</v>
      </c>
      <c r="N186" s="906"/>
      <c r="R186" s="906"/>
      <c r="S186" s="906"/>
      <c r="T186" s="906"/>
    </row>
    <row r="187" spans="1:20" ht="13.15" customHeight="1">
      <c r="A187" s="951">
        <v>185</v>
      </c>
      <c r="B187" s="2153" t="s">
        <v>1151</v>
      </c>
      <c r="C187" s="2153"/>
      <c r="D187" s="952" t="s">
        <v>675</v>
      </c>
      <c r="E187" s="953" t="s">
        <v>640</v>
      </c>
      <c r="F187" s="954">
        <f>EDU*2+MAX(DEX*2,APP*2,STR*2)</f>
        <v>316</v>
      </c>
      <c r="G187" s="955" t="s">
        <v>1152</v>
      </c>
      <c r="K187" s="957"/>
      <c r="L187" s="906"/>
      <c r="M187" s="957" t="s">
        <v>1132</v>
      </c>
      <c r="N187" s="906"/>
      <c r="R187" s="906"/>
      <c r="S187" s="906"/>
      <c r="T187" s="906"/>
    </row>
    <row r="188" spans="1:20">
      <c r="A188" s="956">
        <v>186</v>
      </c>
      <c r="B188" s="2152" t="s">
        <v>1153</v>
      </c>
      <c r="C188" s="2152"/>
      <c r="D188" s="905" t="s">
        <v>421</v>
      </c>
      <c r="E188" s="902" t="s">
        <v>450</v>
      </c>
      <c r="F188" s="905">
        <f>EDU*4</f>
        <v>312</v>
      </c>
      <c r="G188" s="632" t="s">
        <v>979</v>
      </c>
      <c r="K188" s="957"/>
      <c r="L188" s="906"/>
      <c r="M188" s="957" t="s">
        <v>1132</v>
      </c>
      <c r="N188" s="906"/>
      <c r="O188" s="906"/>
      <c r="P188" s="906"/>
      <c r="R188" s="906"/>
      <c r="S188" s="906"/>
      <c r="T188" s="906"/>
    </row>
    <row r="189" spans="1:20">
      <c r="A189" s="951">
        <v>187</v>
      </c>
      <c r="B189" s="2153" t="s">
        <v>1154</v>
      </c>
      <c r="C189" s="2153"/>
      <c r="D189" s="952" t="s">
        <v>494</v>
      </c>
      <c r="E189" s="953" t="s">
        <v>434</v>
      </c>
      <c r="F189" s="954">
        <f>EDU*2+APP*2</f>
        <v>246</v>
      </c>
      <c r="G189" s="955" t="s">
        <v>1155</v>
      </c>
      <c r="K189" s="957"/>
      <c r="L189" s="906"/>
      <c r="M189" s="957" t="s">
        <v>1132</v>
      </c>
      <c r="N189" s="906"/>
      <c r="O189" s="906"/>
      <c r="P189" s="906"/>
      <c r="R189" s="906"/>
      <c r="S189" s="906"/>
      <c r="T189" s="906"/>
    </row>
    <row r="190" spans="1:20">
      <c r="A190" s="956">
        <v>188</v>
      </c>
      <c r="B190" s="2152" t="s">
        <v>1156</v>
      </c>
      <c r="C190" s="2152"/>
      <c r="D190" s="905" t="s">
        <v>494</v>
      </c>
      <c r="E190" s="902" t="s">
        <v>434</v>
      </c>
      <c r="F190" s="905">
        <f>EDU*2+APP*2</f>
        <v>246</v>
      </c>
      <c r="G190" s="632" t="s">
        <v>1157</v>
      </c>
      <c r="K190" s="957"/>
      <c r="L190" s="906"/>
      <c r="M190" s="957" t="s">
        <v>1132</v>
      </c>
      <c r="N190" s="906"/>
      <c r="O190" s="906"/>
      <c r="P190" s="906"/>
      <c r="R190" s="906"/>
      <c r="S190" s="906"/>
      <c r="T190" s="906"/>
    </row>
    <row r="191" spans="1:20">
      <c r="A191" s="951">
        <v>189</v>
      </c>
      <c r="B191" s="2153" t="s">
        <v>1158</v>
      </c>
      <c r="C191" s="2153"/>
      <c r="D191" s="952" t="s">
        <v>494</v>
      </c>
      <c r="E191" s="953" t="s">
        <v>434</v>
      </c>
      <c r="F191" s="954">
        <f>EDU*2+APP*2</f>
        <v>246</v>
      </c>
      <c r="G191" s="955" t="s">
        <v>1159</v>
      </c>
      <c r="K191" s="957"/>
      <c r="L191" s="906"/>
      <c r="M191" s="957" t="s">
        <v>1132</v>
      </c>
      <c r="N191" s="906"/>
      <c r="O191" s="906"/>
      <c r="P191" s="906"/>
      <c r="R191" s="906"/>
      <c r="S191" s="906"/>
      <c r="T191" s="906"/>
    </row>
    <row r="192" spans="1:20">
      <c r="A192" s="956">
        <v>190</v>
      </c>
      <c r="B192" s="2152" t="s">
        <v>1160</v>
      </c>
      <c r="C192" s="2152"/>
      <c r="D192" s="905" t="s">
        <v>427</v>
      </c>
      <c r="E192" s="902" t="s">
        <v>574</v>
      </c>
      <c r="F192" s="905">
        <f>EDU*2+DEX*2</f>
        <v>316</v>
      </c>
      <c r="G192" s="632" t="s">
        <v>1161</v>
      </c>
      <c r="K192" s="957"/>
      <c r="L192" s="906"/>
      <c r="M192" s="957" t="s">
        <v>1132</v>
      </c>
      <c r="N192" s="906"/>
      <c r="O192" s="906"/>
      <c r="P192" s="906"/>
      <c r="R192" s="906"/>
      <c r="S192" s="906"/>
      <c r="T192" s="906"/>
    </row>
    <row r="193" spans="1:20">
      <c r="A193" s="951">
        <v>191</v>
      </c>
      <c r="B193" s="2153" t="s">
        <v>1162</v>
      </c>
      <c r="C193" s="2153"/>
      <c r="D193" s="952" t="s">
        <v>739</v>
      </c>
      <c r="E193" s="953" t="s">
        <v>450</v>
      </c>
      <c r="F193" s="954">
        <f>EDU*4</f>
        <v>312</v>
      </c>
      <c r="G193" s="955" t="s">
        <v>1030</v>
      </c>
      <c r="K193" s="957"/>
      <c r="L193" s="906"/>
      <c r="M193" s="957" t="s">
        <v>1132</v>
      </c>
      <c r="N193" s="906"/>
      <c r="O193" s="906"/>
      <c r="P193" s="906"/>
      <c r="R193" s="906"/>
      <c r="S193" s="906"/>
      <c r="T193" s="906"/>
    </row>
    <row r="194" spans="1:20">
      <c r="A194" s="956">
        <v>192</v>
      </c>
      <c r="B194" s="2152" t="s">
        <v>1163</v>
      </c>
      <c r="C194" s="2152"/>
      <c r="D194" s="905" t="s">
        <v>739</v>
      </c>
      <c r="E194" s="902" t="s">
        <v>450</v>
      </c>
      <c r="F194" s="905">
        <f>EDU*4</f>
        <v>312</v>
      </c>
      <c r="G194" s="632" t="s">
        <v>1030</v>
      </c>
      <c r="K194" s="957"/>
      <c r="L194" s="906"/>
      <c r="M194" s="957" t="s">
        <v>1132</v>
      </c>
      <c r="N194" s="906"/>
      <c r="O194" s="906"/>
      <c r="P194" s="906"/>
      <c r="R194" s="906"/>
      <c r="S194" s="906"/>
      <c r="T194" s="906"/>
    </row>
    <row r="195" spans="1:20">
      <c r="A195" s="951">
        <v>193</v>
      </c>
      <c r="B195" s="2153" t="s">
        <v>1164</v>
      </c>
      <c r="C195" s="2153"/>
      <c r="D195" s="952" t="s">
        <v>739</v>
      </c>
      <c r="E195" s="953" t="s">
        <v>450</v>
      </c>
      <c r="F195" s="954">
        <f>EDU*4</f>
        <v>312</v>
      </c>
      <c r="G195" s="955" t="s">
        <v>1030</v>
      </c>
      <c r="K195" s="957"/>
      <c r="L195" s="906"/>
      <c r="M195" s="957" t="s">
        <v>1132</v>
      </c>
      <c r="N195" s="906"/>
      <c r="O195" s="906"/>
      <c r="P195" s="906"/>
      <c r="R195" s="906"/>
      <c r="S195" s="906"/>
      <c r="T195" s="906"/>
    </row>
    <row r="196" spans="1:20">
      <c r="A196" s="956">
        <v>194</v>
      </c>
      <c r="B196" s="2152" t="s">
        <v>1165</v>
      </c>
      <c r="C196" s="2152"/>
      <c r="D196" s="905" t="s">
        <v>494</v>
      </c>
      <c r="E196" s="902" t="s">
        <v>434</v>
      </c>
      <c r="F196" s="905">
        <f>EDU*2+APP*2</f>
        <v>246</v>
      </c>
      <c r="G196" s="632" t="s">
        <v>1166</v>
      </c>
      <c r="K196" s="957"/>
      <c r="L196" s="906"/>
      <c r="M196" s="957" t="s">
        <v>1132</v>
      </c>
      <c r="N196" s="906"/>
      <c r="O196" s="906"/>
      <c r="P196" s="906"/>
      <c r="R196" s="906"/>
      <c r="S196" s="906"/>
      <c r="T196" s="906"/>
    </row>
    <row r="197" spans="1:20">
      <c r="A197" s="951">
        <v>195</v>
      </c>
      <c r="B197" s="2153" t="s">
        <v>1167</v>
      </c>
      <c r="C197" s="2153"/>
      <c r="D197" s="952" t="s">
        <v>421</v>
      </c>
      <c r="E197" s="953" t="s">
        <v>450</v>
      </c>
      <c r="F197" s="954">
        <f>EDU*4</f>
        <v>312</v>
      </c>
      <c r="G197" s="955" t="s">
        <v>1168</v>
      </c>
      <c r="K197" s="957"/>
      <c r="L197" s="906"/>
      <c r="M197" s="957" t="s">
        <v>1132</v>
      </c>
      <c r="N197" s="906"/>
      <c r="O197" s="906"/>
      <c r="P197" s="906"/>
      <c r="R197" s="906"/>
      <c r="S197" s="906"/>
      <c r="T197" s="906"/>
    </row>
    <row r="198" spans="1:20">
      <c r="A198" s="956">
        <v>196</v>
      </c>
      <c r="B198" s="2152" t="s">
        <v>1169</v>
      </c>
      <c r="C198" s="2152"/>
      <c r="D198" s="905" t="s">
        <v>499</v>
      </c>
      <c r="E198" s="902" t="s">
        <v>574</v>
      </c>
      <c r="F198" s="905">
        <f>EDU*2+DEX*2</f>
        <v>316</v>
      </c>
      <c r="G198" s="632" t="s">
        <v>1170</v>
      </c>
      <c r="K198" s="957"/>
      <c r="L198" s="906"/>
      <c r="M198" s="957" t="s">
        <v>1132</v>
      </c>
      <c r="N198" s="906"/>
      <c r="O198" s="906"/>
      <c r="P198" s="906"/>
      <c r="R198" s="906"/>
      <c r="S198" s="906"/>
      <c r="T198" s="906"/>
    </row>
    <row r="199" spans="1:20">
      <c r="A199" s="951">
        <v>197</v>
      </c>
      <c r="B199" s="2153" t="s">
        <v>1171</v>
      </c>
      <c r="C199" s="2153"/>
      <c r="D199" s="952" t="s">
        <v>499</v>
      </c>
      <c r="E199" s="953" t="s">
        <v>1172</v>
      </c>
      <c r="F199" s="954">
        <f>EDU*2+MAX(EDU*2,APP*2)</f>
        <v>312</v>
      </c>
      <c r="G199" s="955" t="s">
        <v>1173</v>
      </c>
      <c r="K199" s="957"/>
      <c r="L199" s="906"/>
      <c r="M199" s="957" t="s">
        <v>1132</v>
      </c>
      <c r="N199" s="906"/>
      <c r="O199" s="906"/>
      <c r="P199" s="906"/>
      <c r="R199" s="906"/>
      <c r="S199" s="906"/>
      <c r="T199" s="906"/>
    </row>
    <row r="200" spans="1:20">
      <c r="A200" s="956">
        <v>198</v>
      </c>
      <c r="B200" s="2152" t="s">
        <v>1174</v>
      </c>
      <c r="C200" s="2152"/>
      <c r="D200" s="905" t="s">
        <v>433</v>
      </c>
      <c r="E200" s="902" t="s">
        <v>450</v>
      </c>
      <c r="F200" s="905">
        <f>EDU*4</f>
        <v>312</v>
      </c>
      <c r="G200" s="632" t="s">
        <v>767</v>
      </c>
      <c r="K200" s="957"/>
      <c r="L200" s="906"/>
      <c r="M200" s="957" t="s">
        <v>1132</v>
      </c>
      <c r="N200" s="906"/>
      <c r="O200" s="906"/>
      <c r="P200" s="906"/>
      <c r="R200" s="906"/>
      <c r="S200" s="906"/>
      <c r="T200" s="906"/>
    </row>
    <row r="201" spans="1:20">
      <c r="A201" s="951">
        <v>199</v>
      </c>
      <c r="B201" s="2153" t="s">
        <v>1175</v>
      </c>
      <c r="C201" s="2153"/>
      <c r="D201" s="952" t="s">
        <v>499</v>
      </c>
      <c r="E201" s="953" t="s">
        <v>551</v>
      </c>
      <c r="F201" s="954">
        <f>EDU*2+DEX*2</f>
        <v>316</v>
      </c>
      <c r="G201" s="955" t="s">
        <v>1176</v>
      </c>
      <c r="K201" s="957"/>
      <c r="L201" s="906"/>
      <c r="M201" s="957" t="s">
        <v>1132</v>
      </c>
      <c r="N201" s="906"/>
      <c r="O201" s="906"/>
      <c r="P201" s="906"/>
      <c r="R201" s="906"/>
      <c r="S201" s="906"/>
      <c r="T201" s="906"/>
    </row>
    <row r="202" spans="1:20">
      <c r="A202" s="956">
        <v>200</v>
      </c>
      <c r="B202" s="2152" t="s">
        <v>1177</v>
      </c>
      <c r="C202" s="2152"/>
      <c r="D202" s="905" t="s">
        <v>538</v>
      </c>
      <c r="E202" s="902" t="s">
        <v>450</v>
      </c>
      <c r="F202" s="905">
        <f>EDU*4</f>
        <v>312</v>
      </c>
      <c r="G202" s="632" t="s">
        <v>1178</v>
      </c>
      <c r="K202" s="957"/>
      <c r="L202" s="906"/>
      <c r="M202" s="957" t="s">
        <v>1132</v>
      </c>
      <c r="N202" s="906"/>
      <c r="O202" s="906"/>
      <c r="P202" s="906"/>
      <c r="R202" s="906"/>
      <c r="S202" s="906"/>
      <c r="T202" s="906"/>
    </row>
    <row r="203" spans="1:20">
      <c r="A203" s="951">
        <v>201</v>
      </c>
      <c r="B203" s="2153" t="s">
        <v>1179</v>
      </c>
      <c r="C203" s="2153"/>
      <c r="D203" s="952" t="s">
        <v>499</v>
      </c>
      <c r="E203" s="953" t="s">
        <v>444</v>
      </c>
      <c r="F203" s="954">
        <f>EDU*2+MAX(STR*2,DEX*2)</f>
        <v>316</v>
      </c>
      <c r="G203" s="955" t="s">
        <v>896</v>
      </c>
      <c r="K203" s="957"/>
      <c r="L203" s="906"/>
      <c r="M203" s="957" t="s">
        <v>1132</v>
      </c>
      <c r="N203" s="906"/>
      <c r="O203" s="906"/>
      <c r="P203" s="906"/>
      <c r="R203" s="906"/>
      <c r="S203" s="906"/>
      <c r="T203" s="906"/>
    </row>
    <row r="204" spans="1:20">
      <c r="A204" s="956">
        <v>202</v>
      </c>
      <c r="B204" s="2152" t="s">
        <v>1180</v>
      </c>
      <c r="C204" s="2152"/>
      <c r="D204" s="905" t="s">
        <v>1181</v>
      </c>
      <c r="E204" s="902" t="s">
        <v>450</v>
      </c>
      <c r="F204" s="905">
        <f>EDU*4</f>
        <v>312</v>
      </c>
      <c r="G204" s="632" t="s">
        <v>1182</v>
      </c>
      <c r="K204" s="957"/>
      <c r="L204" s="906"/>
      <c r="M204" s="957" t="s">
        <v>1132</v>
      </c>
      <c r="N204" s="906"/>
      <c r="O204" s="906"/>
      <c r="P204" s="906"/>
      <c r="R204" s="906"/>
      <c r="S204" s="906"/>
      <c r="T204" s="906"/>
    </row>
    <row r="205" spans="1:20">
      <c r="A205" s="951">
        <v>203</v>
      </c>
      <c r="B205" s="2153" t="s">
        <v>1183</v>
      </c>
      <c r="C205" s="2153"/>
      <c r="D205" s="952" t="s">
        <v>499</v>
      </c>
      <c r="E205" s="953" t="s">
        <v>444</v>
      </c>
      <c r="F205" s="954">
        <f>EDU*2+MAX(STR*2,DEX*2)</f>
        <v>316</v>
      </c>
      <c r="G205" s="955" t="s">
        <v>1184</v>
      </c>
      <c r="K205" s="957"/>
      <c r="L205" s="906"/>
      <c r="M205" s="957" t="s">
        <v>1132</v>
      </c>
      <c r="N205" s="906"/>
      <c r="O205" s="906"/>
      <c r="P205" s="906"/>
      <c r="R205" s="906"/>
      <c r="S205" s="906"/>
      <c r="T205" s="906"/>
    </row>
    <row r="206" spans="1:20">
      <c r="A206" s="958">
        <v>204</v>
      </c>
      <c r="B206" s="2154" t="s">
        <v>1185</v>
      </c>
      <c r="C206" s="2154"/>
      <c r="D206" s="959" t="s">
        <v>427</v>
      </c>
      <c r="E206" s="960" t="s">
        <v>450</v>
      </c>
      <c r="F206" s="959">
        <f>EDU*4</f>
        <v>312</v>
      </c>
      <c r="G206" s="961" t="s">
        <v>1186</v>
      </c>
      <c r="K206" s="957"/>
      <c r="L206" s="906"/>
      <c r="M206" s="957" t="s">
        <v>1132</v>
      </c>
      <c r="N206" s="906"/>
      <c r="O206" s="906"/>
      <c r="P206" s="906"/>
      <c r="R206" s="906"/>
      <c r="S206" s="906"/>
      <c r="T206" s="906"/>
    </row>
    <row r="207" spans="1:20" ht="33">
      <c r="A207" s="982">
        <v>205</v>
      </c>
      <c r="B207" s="2151" t="s">
        <v>1187</v>
      </c>
      <c r="C207" s="2151"/>
      <c r="D207" s="983" t="s">
        <v>499</v>
      </c>
      <c r="E207" s="984" t="s">
        <v>434</v>
      </c>
      <c r="F207" s="949">
        <f>EDU*2+APP*2</f>
        <v>246</v>
      </c>
      <c r="G207" s="985" t="s">
        <v>1188</v>
      </c>
      <c r="H207" s="2144" t="s">
        <v>1189</v>
      </c>
      <c r="I207" s="2144"/>
      <c r="K207" s="957"/>
      <c r="L207" s="906"/>
      <c r="M207" s="957" t="s">
        <v>1190</v>
      </c>
      <c r="N207" s="906"/>
      <c r="O207" s="906"/>
      <c r="P207" s="906"/>
      <c r="R207" s="906"/>
      <c r="S207" s="906"/>
      <c r="T207" s="906"/>
    </row>
    <row r="208" spans="1:20">
      <c r="A208" s="986">
        <v>206</v>
      </c>
      <c r="B208" s="2148" t="s">
        <v>1191</v>
      </c>
      <c r="C208" s="2148"/>
      <c r="D208" s="952" t="s">
        <v>556</v>
      </c>
      <c r="E208" s="987" t="s">
        <v>450</v>
      </c>
      <c r="F208" s="954">
        <f>EDU*4</f>
        <v>312</v>
      </c>
      <c r="G208" s="988" t="s">
        <v>1192</v>
      </c>
      <c r="H208" s="2144"/>
      <c r="I208" s="2144"/>
      <c r="K208" s="957"/>
      <c r="L208" s="906"/>
      <c r="M208" s="957" t="s">
        <v>1190</v>
      </c>
      <c r="N208" s="906"/>
      <c r="O208" s="906"/>
      <c r="P208" s="906"/>
      <c r="R208" s="906"/>
      <c r="S208" s="906"/>
      <c r="T208" s="906"/>
    </row>
    <row r="209" spans="1:20">
      <c r="A209" s="989">
        <v>207</v>
      </c>
      <c r="B209" s="2149" t="s">
        <v>1193</v>
      </c>
      <c r="C209" s="2149"/>
      <c r="D209" s="990" t="s">
        <v>1194</v>
      </c>
      <c r="E209" s="904" t="s">
        <v>1172</v>
      </c>
      <c r="F209" s="905">
        <f>EDU*2+MAX(EDU*2,APP*2)</f>
        <v>312</v>
      </c>
      <c r="G209" s="991" t="s">
        <v>1195</v>
      </c>
      <c r="H209" s="2144"/>
      <c r="I209" s="2144"/>
      <c r="K209" s="957"/>
      <c r="L209" s="906"/>
      <c r="M209" s="957" t="s">
        <v>1190</v>
      </c>
      <c r="N209" s="906"/>
      <c r="O209" s="906"/>
      <c r="P209" s="906"/>
      <c r="R209" s="906"/>
      <c r="S209" s="906"/>
      <c r="T209" s="906"/>
    </row>
    <row r="210" spans="1:20">
      <c r="A210" s="986">
        <v>208</v>
      </c>
      <c r="B210" s="2148" t="s">
        <v>482</v>
      </c>
      <c r="C210" s="2148"/>
      <c r="D210" s="952" t="s">
        <v>455</v>
      </c>
      <c r="E210" s="987" t="s">
        <v>484</v>
      </c>
      <c r="F210" s="954">
        <f>EDU*2+MAX(DEX*2,POW*2)</f>
        <v>316</v>
      </c>
      <c r="G210" s="988" t="s">
        <v>1196</v>
      </c>
      <c r="H210" s="2144"/>
      <c r="I210" s="2144"/>
      <c r="K210" s="957"/>
      <c r="L210" s="906"/>
      <c r="M210" s="957" t="s">
        <v>1190</v>
      </c>
      <c r="N210" s="906"/>
      <c r="O210" s="906"/>
      <c r="P210" s="906"/>
      <c r="R210" s="906"/>
      <c r="S210" s="906"/>
      <c r="T210" s="906"/>
    </row>
    <row r="211" spans="1:20">
      <c r="A211" s="989">
        <v>209</v>
      </c>
      <c r="B211" s="2149" t="s">
        <v>1197</v>
      </c>
      <c r="C211" s="2149"/>
      <c r="D211" s="990" t="s">
        <v>455</v>
      </c>
      <c r="E211" s="904" t="s">
        <v>450</v>
      </c>
      <c r="F211" s="905">
        <f>EDU*4</f>
        <v>312</v>
      </c>
      <c r="G211" s="991" t="s">
        <v>1198</v>
      </c>
      <c r="H211" s="2144"/>
      <c r="I211" s="2144"/>
      <c r="K211" s="957"/>
      <c r="L211" s="906"/>
      <c r="M211" s="957" t="s">
        <v>1190</v>
      </c>
      <c r="N211" s="906"/>
      <c r="O211" s="906"/>
      <c r="P211" s="906"/>
      <c r="R211" s="906"/>
      <c r="S211" s="906"/>
      <c r="T211" s="906"/>
    </row>
    <row r="212" spans="1:20">
      <c r="A212" s="986">
        <v>210</v>
      </c>
      <c r="B212" s="2148" t="s">
        <v>1199</v>
      </c>
      <c r="C212" s="2148"/>
      <c r="D212" s="952" t="s">
        <v>608</v>
      </c>
      <c r="E212" s="987" t="s">
        <v>551</v>
      </c>
      <c r="F212" s="954">
        <f>EDU*2+DEX*2</f>
        <v>316</v>
      </c>
      <c r="G212" s="988" t="s">
        <v>1200</v>
      </c>
      <c r="H212" s="2144"/>
      <c r="I212" s="2144"/>
      <c r="K212" s="957"/>
      <c r="L212" s="906"/>
      <c r="M212" s="957" t="s">
        <v>1190</v>
      </c>
      <c r="N212" s="906"/>
      <c r="O212" s="906"/>
      <c r="P212" s="906"/>
      <c r="R212" s="906"/>
      <c r="S212" s="906"/>
      <c r="T212" s="906"/>
    </row>
    <row r="213" spans="1:20">
      <c r="A213" s="989">
        <v>211</v>
      </c>
      <c r="B213" s="2149" t="s">
        <v>1201</v>
      </c>
      <c r="C213" s="2149"/>
      <c r="D213" s="990" t="s">
        <v>1202</v>
      </c>
      <c r="E213" s="904" t="s">
        <v>456</v>
      </c>
      <c r="F213" s="905">
        <f>EDU*2+MAX(APP*2,POW*2)</f>
        <v>256</v>
      </c>
      <c r="G213" s="991" t="s">
        <v>1203</v>
      </c>
      <c r="H213" s="2145" t="s">
        <v>969</v>
      </c>
      <c r="I213" s="2145"/>
      <c r="K213" s="957"/>
      <c r="L213" s="906"/>
      <c r="M213" s="957" t="s">
        <v>1190</v>
      </c>
      <c r="N213" s="906"/>
      <c r="O213" s="906"/>
      <c r="P213" s="906"/>
      <c r="R213" s="906"/>
      <c r="S213" s="906"/>
      <c r="T213" s="906"/>
    </row>
    <row r="214" spans="1:20">
      <c r="A214" s="986">
        <v>212</v>
      </c>
      <c r="B214" s="2148" t="s">
        <v>1204</v>
      </c>
      <c r="C214" s="2148"/>
      <c r="D214" s="952" t="s">
        <v>449</v>
      </c>
      <c r="E214" s="987" t="s">
        <v>450</v>
      </c>
      <c r="F214" s="954">
        <f>EDU*4</f>
        <v>312</v>
      </c>
      <c r="G214" s="988" t="s">
        <v>1205</v>
      </c>
      <c r="H214" s="2145" t="s">
        <v>1206</v>
      </c>
      <c r="I214" s="2145"/>
      <c r="K214" s="957"/>
      <c r="L214" s="906"/>
      <c r="M214" s="957" t="s">
        <v>1190</v>
      </c>
      <c r="N214" s="906"/>
      <c r="O214" s="906"/>
      <c r="P214" s="906"/>
      <c r="R214" s="906"/>
      <c r="S214" s="906"/>
      <c r="T214" s="906"/>
    </row>
    <row r="215" spans="1:20">
      <c r="A215" s="989">
        <v>213</v>
      </c>
      <c r="B215" s="2149" t="s">
        <v>550</v>
      </c>
      <c r="C215" s="2149"/>
      <c r="D215" s="990" t="s">
        <v>762</v>
      </c>
      <c r="E215" s="904" t="s">
        <v>444</v>
      </c>
      <c r="F215" s="905">
        <f>EDU*2+MAX(STR*2,DEX*2)</f>
        <v>316</v>
      </c>
      <c r="G215" s="991" t="s">
        <v>1207</v>
      </c>
      <c r="K215" s="957"/>
      <c r="L215" s="906"/>
      <c r="M215" s="957" t="s">
        <v>1190</v>
      </c>
      <c r="N215" s="906"/>
      <c r="O215" s="906"/>
      <c r="P215" s="906"/>
      <c r="R215" s="906"/>
      <c r="S215" s="906"/>
      <c r="T215" s="906"/>
    </row>
    <row r="216" spans="1:20">
      <c r="A216" s="986">
        <v>214</v>
      </c>
      <c r="B216" s="2148" t="s">
        <v>1208</v>
      </c>
      <c r="C216" s="2148"/>
      <c r="D216" s="952" t="s">
        <v>499</v>
      </c>
      <c r="E216" s="987" t="s">
        <v>640</v>
      </c>
      <c r="F216" s="954">
        <f>EDU*2+MAX(DEX*2,APP*2,STR*2)</f>
        <v>316</v>
      </c>
      <c r="G216" s="988" t="s">
        <v>1209</v>
      </c>
      <c r="K216" s="957"/>
      <c r="L216" s="906"/>
      <c r="M216" s="957" t="s">
        <v>1190</v>
      </c>
      <c r="N216" s="906"/>
      <c r="O216" s="906"/>
      <c r="P216" s="906"/>
      <c r="R216" s="906"/>
      <c r="S216" s="906"/>
      <c r="T216" s="906"/>
    </row>
    <row r="217" spans="1:20">
      <c r="A217" s="989">
        <v>215</v>
      </c>
      <c r="B217" s="2149" t="s">
        <v>1210</v>
      </c>
      <c r="C217" s="2149"/>
      <c r="D217" s="990" t="s">
        <v>538</v>
      </c>
      <c r="E217" s="904" t="s">
        <v>434</v>
      </c>
      <c r="F217" s="905">
        <f>EDU*2+APP*2</f>
        <v>246</v>
      </c>
      <c r="G217" s="991" t="s">
        <v>1211</v>
      </c>
      <c r="K217" s="957"/>
      <c r="L217" s="906"/>
      <c r="M217" s="957" t="s">
        <v>1190</v>
      </c>
      <c r="N217" s="906"/>
      <c r="O217" s="906"/>
      <c r="P217" s="906"/>
      <c r="R217" s="906"/>
      <c r="S217" s="906"/>
      <c r="T217" s="906"/>
    </row>
    <row r="218" spans="1:20">
      <c r="A218" s="986">
        <v>216</v>
      </c>
      <c r="B218" s="2148" t="s">
        <v>670</v>
      </c>
      <c r="C218" s="2148"/>
      <c r="D218" s="952" t="s">
        <v>455</v>
      </c>
      <c r="E218" s="987" t="s">
        <v>456</v>
      </c>
      <c r="F218" s="954">
        <f>EDU*2+MAX(APP*2,POW*2)</f>
        <v>256</v>
      </c>
      <c r="G218" s="988" t="s">
        <v>1212</v>
      </c>
      <c r="K218" s="957"/>
      <c r="L218" s="906"/>
      <c r="M218" s="957" t="s">
        <v>1190</v>
      </c>
      <c r="N218" s="906"/>
      <c r="O218" s="906"/>
      <c r="P218" s="906"/>
      <c r="R218" s="906"/>
      <c r="S218" s="906"/>
      <c r="T218" s="906"/>
    </row>
    <row r="219" spans="1:20">
      <c r="A219" s="989">
        <v>217</v>
      </c>
      <c r="B219" s="2149" t="s">
        <v>1213</v>
      </c>
      <c r="C219" s="2149"/>
      <c r="D219" s="990" t="s">
        <v>1214</v>
      </c>
      <c r="E219" s="904" t="s">
        <v>450</v>
      </c>
      <c r="F219" s="905">
        <f>EDU*4</f>
        <v>312</v>
      </c>
      <c r="G219" s="991" t="s">
        <v>1215</v>
      </c>
      <c r="K219" s="957"/>
      <c r="L219" s="906"/>
      <c r="M219" s="957" t="s">
        <v>1190</v>
      </c>
      <c r="N219" s="906"/>
      <c r="O219" s="906"/>
      <c r="P219" s="906"/>
      <c r="R219" s="906"/>
      <c r="S219" s="906"/>
      <c r="T219" s="906"/>
    </row>
    <row r="220" spans="1:20" ht="33">
      <c r="A220" s="986">
        <v>218</v>
      </c>
      <c r="B220" s="2148" t="s">
        <v>1216</v>
      </c>
      <c r="C220" s="2148"/>
      <c r="D220" s="952" t="s">
        <v>1217</v>
      </c>
      <c r="E220" s="987" t="s">
        <v>640</v>
      </c>
      <c r="F220" s="954">
        <f>EDU*2+MAX(DEX*2,APP*2,STR*2)</f>
        <v>316</v>
      </c>
      <c r="G220" s="988" t="s">
        <v>1218</v>
      </c>
      <c r="K220" s="957"/>
      <c r="L220" s="906"/>
      <c r="M220" s="957" t="s">
        <v>1190</v>
      </c>
      <c r="N220" s="906"/>
      <c r="O220" s="906"/>
      <c r="P220" s="906"/>
      <c r="R220" s="906"/>
      <c r="S220" s="906"/>
      <c r="T220" s="906"/>
    </row>
    <row r="221" spans="1:20">
      <c r="A221" s="989">
        <v>219</v>
      </c>
      <c r="B221" s="2149" t="s">
        <v>839</v>
      </c>
      <c r="C221" s="2149"/>
      <c r="D221" s="990" t="s">
        <v>433</v>
      </c>
      <c r="E221" s="904" t="s">
        <v>720</v>
      </c>
      <c r="F221" s="905">
        <f>EDU*2+MAX(DEX*2,APP*2)</f>
        <v>316</v>
      </c>
      <c r="G221" s="991" t="s">
        <v>1219</v>
      </c>
      <c r="K221" s="957"/>
      <c r="L221" s="906"/>
      <c r="M221" s="957" t="s">
        <v>1190</v>
      </c>
      <c r="N221" s="906"/>
      <c r="O221" s="906"/>
      <c r="P221" s="906"/>
      <c r="R221" s="906"/>
      <c r="S221" s="906"/>
      <c r="T221" s="906"/>
    </row>
    <row r="222" spans="1:20">
      <c r="A222" s="986">
        <v>220</v>
      </c>
      <c r="B222" s="2148" t="s">
        <v>1220</v>
      </c>
      <c r="C222" s="2148"/>
      <c r="D222" s="952" t="s">
        <v>499</v>
      </c>
      <c r="E222" s="987" t="s">
        <v>720</v>
      </c>
      <c r="F222" s="954">
        <f>EDU*2+MAX(DEX*2,APP*2)</f>
        <v>316</v>
      </c>
      <c r="G222" s="988" t="s">
        <v>1221</v>
      </c>
      <c r="K222" s="957"/>
      <c r="L222" s="906"/>
      <c r="M222" s="957" t="s">
        <v>1190</v>
      </c>
      <c r="N222" s="906"/>
      <c r="O222" s="906"/>
      <c r="P222" s="906"/>
      <c r="R222" s="906"/>
      <c r="S222" s="906"/>
      <c r="T222" s="906"/>
    </row>
    <row r="223" spans="1:20" ht="33">
      <c r="A223" s="989">
        <v>221</v>
      </c>
      <c r="B223" s="2149" t="s">
        <v>1222</v>
      </c>
      <c r="C223" s="2149"/>
      <c r="D223" s="990" t="s">
        <v>848</v>
      </c>
      <c r="E223" s="904" t="s">
        <v>525</v>
      </c>
      <c r="F223" s="905">
        <f>EDU*2+STR*2</f>
        <v>296</v>
      </c>
      <c r="G223" s="992" t="s">
        <v>1223</v>
      </c>
      <c r="K223" s="957"/>
      <c r="L223" s="906"/>
      <c r="M223" s="957" t="s">
        <v>1190</v>
      </c>
      <c r="N223" s="906"/>
      <c r="O223" s="2147"/>
      <c r="P223" s="2147"/>
      <c r="Q223" s="2147"/>
      <c r="R223" s="906"/>
      <c r="S223" s="906"/>
      <c r="T223" s="906"/>
    </row>
    <row r="224" spans="1:20">
      <c r="A224" s="986">
        <v>222</v>
      </c>
      <c r="B224" s="2148" t="s">
        <v>757</v>
      </c>
      <c r="C224" s="2148"/>
      <c r="D224" s="952" t="s">
        <v>934</v>
      </c>
      <c r="E224" s="987" t="s">
        <v>450</v>
      </c>
      <c r="F224" s="954">
        <f>EDU*4</f>
        <v>312</v>
      </c>
      <c r="G224" s="988" t="s">
        <v>1224</v>
      </c>
      <c r="K224" s="957"/>
      <c r="L224" s="906"/>
      <c r="M224" s="957" t="s">
        <v>1190</v>
      </c>
      <c r="N224" s="906"/>
      <c r="O224" s="2147"/>
      <c r="P224" s="2147"/>
      <c r="Q224" s="2147"/>
      <c r="R224" s="906"/>
      <c r="S224" s="906"/>
      <c r="T224" s="906"/>
    </row>
    <row r="225" spans="1:20">
      <c r="A225" s="989">
        <v>223</v>
      </c>
      <c r="B225" s="2149" t="s">
        <v>1225</v>
      </c>
      <c r="C225" s="2149"/>
      <c r="D225" s="990" t="s">
        <v>421</v>
      </c>
      <c r="E225" s="904" t="s">
        <v>450</v>
      </c>
      <c r="F225" s="905">
        <f>EDU*4</f>
        <v>312</v>
      </c>
      <c r="G225" s="991" t="s">
        <v>1226</v>
      </c>
      <c r="K225" s="957"/>
      <c r="L225" s="906"/>
      <c r="M225" s="957" t="s">
        <v>1190</v>
      </c>
      <c r="N225" s="906"/>
      <c r="O225" s="906"/>
      <c r="P225" s="906"/>
      <c r="R225" s="906"/>
      <c r="S225" s="906"/>
      <c r="T225" s="906"/>
    </row>
    <row r="226" spans="1:20">
      <c r="A226" s="986">
        <v>224</v>
      </c>
      <c r="B226" s="2148" t="s">
        <v>1227</v>
      </c>
      <c r="C226" s="2148"/>
      <c r="D226" s="952" t="s">
        <v>499</v>
      </c>
      <c r="E226" s="987" t="s">
        <v>444</v>
      </c>
      <c r="F226" s="954">
        <f>EDU*2+MAX(STR*2,DEX*2)</f>
        <v>316</v>
      </c>
      <c r="G226" s="988" t="s">
        <v>1228</v>
      </c>
      <c r="K226" s="957"/>
      <c r="L226" s="906"/>
      <c r="M226" s="957" t="s">
        <v>1190</v>
      </c>
      <c r="N226" s="906"/>
      <c r="O226" s="906"/>
      <c r="P226" s="906"/>
      <c r="R226" s="906"/>
      <c r="S226" s="906"/>
      <c r="T226" s="906"/>
    </row>
    <row r="227" spans="1:20">
      <c r="A227" s="989">
        <v>225</v>
      </c>
      <c r="B227" s="2149" t="s">
        <v>1229</v>
      </c>
      <c r="C227" s="2149"/>
      <c r="D227" s="990" t="s">
        <v>509</v>
      </c>
      <c r="E227" s="904" t="s">
        <v>450</v>
      </c>
      <c r="F227" s="905">
        <f>EDU*4</f>
        <v>312</v>
      </c>
      <c r="G227" s="991" t="s">
        <v>1230</v>
      </c>
      <c r="K227" s="957"/>
      <c r="L227" s="906"/>
      <c r="M227" s="957" t="s">
        <v>1190</v>
      </c>
      <c r="N227" s="906"/>
      <c r="O227" s="906"/>
      <c r="P227" s="906"/>
      <c r="R227" s="906"/>
      <c r="S227" s="906"/>
      <c r="T227" s="906"/>
    </row>
    <row r="228" spans="1:20">
      <c r="A228" s="986">
        <v>226</v>
      </c>
      <c r="B228" s="2148" t="s">
        <v>882</v>
      </c>
      <c r="C228" s="2148"/>
      <c r="D228" s="952" t="s">
        <v>449</v>
      </c>
      <c r="E228" s="987" t="s">
        <v>450</v>
      </c>
      <c r="F228" s="954">
        <f>EDU*4</f>
        <v>312</v>
      </c>
      <c r="G228" s="988" t="s">
        <v>1231</v>
      </c>
      <c r="K228" s="957"/>
      <c r="L228" s="906"/>
      <c r="M228" s="957" t="s">
        <v>1190</v>
      </c>
      <c r="N228" s="906"/>
      <c r="O228" s="906"/>
      <c r="P228" s="906"/>
      <c r="R228" s="906"/>
      <c r="S228" s="906"/>
      <c r="T228" s="906"/>
    </row>
    <row r="229" spans="1:20">
      <c r="A229" s="989">
        <v>227</v>
      </c>
      <c r="B229" s="2149" t="s">
        <v>1232</v>
      </c>
      <c r="C229" s="2149"/>
      <c r="D229" s="990" t="s">
        <v>848</v>
      </c>
      <c r="E229" s="904" t="s">
        <v>720</v>
      </c>
      <c r="F229" s="905">
        <f>EDU*2+MAX(APP*2,DEX*2)</f>
        <v>316</v>
      </c>
      <c r="G229" s="991" t="s">
        <v>1233</v>
      </c>
      <c r="K229" s="957"/>
      <c r="L229" s="906"/>
      <c r="M229" s="957" t="s">
        <v>1190</v>
      </c>
      <c r="N229" s="906"/>
      <c r="O229" s="906"/>
      <c r="P229" s="906"/>
      <c r="R229" s="906"/>
      <c r="S229" s="906"/>
      <c r="T229" s="906"/>
    </row>
    <row r="230" spans="1:20">
      <c r="A230" s="986">
        <v>228</v>
      </c>
      <c r="B230" s="2148" t="s">
        <v>1234</v>
      </c>
      <c r="C230" s="2148"/>
      <c r="D230" s="952" t="s">
        <v>499</v>
      </c>
      <c r="E230" s="987" t="s">
        <v>720</v>
      </c>
      <c r="F230" s="954">
        <f>EDU*2+MAX(APP*2,DEX*2)</f>
        <v>316</v>
      </c>
      <c r="G230" s="988" t="s">
        <v>1235</v>
      </c>
      <c r="K230" s="957"/>
      <c r="L230" s="906"/>
      <c r="M230" s="957" t="s">
        <v>1190</v>
      </c>
      <c r="N230" s="906"/>
      <c r="O230" s="906"/>
      <c r="P230" s="906"/>
      <c r="R230" s="906"/>
      <c r="S230" s="906"/>
      <c r="T230" s="906"/>
    </row>
    <row r="231" spans="1:20">
      <c r="A231" s="989">
        <v>229</v>
      </c>
      <c r="B231" s="2149" t="s">
        <v>1236</v>
      </c>
      <c r="C231" s="2149"/>
      <c r="D231" s="990" t="s">
        <v>499</v>
      </c>
      <c r="E231" s="904" t="s">
        <v>444</v>
      </c>
      <c r="F231" s="905">
        <f>EDU*2+MAX(STR*2,DEX*2)</f>
        <v>316</v>
      </c>
      <c r="G231" s="991" t="s">
        <v>1237</v>
      </c>
      <c r="K231" s="957"/>
      <c r="L231" s="906"/>
      <c r="M231" s="957" t="s">
        <v>1190</v>
      </c>
      <c r="N231" s="906"/>
      <c r="O231" s="906"/>
      <c r="P231" s="906"/>
      <c r="R231" s="906"/>
      <c r="S231" s="906"/>
      <c r="T231" s="906"/>
    </row>
    <row r="232" spans="1:20">
      <c r="A232" s="993">
        <v>230</v>
      </c>
      <c r="B232" s="2150" t="s">
        <v>1238</v>
      </c>
      <c r="C232" s="2150"/>
      <c r="D232" s="968" t="s">
        <v>421</v>
      </c>
      <c r="E232" s="945" t="s">
        <v>603</v>
      </c>
      <c r="F232" s="946">
        <f>EDU*2+MAX(APP*2,DEX*2)</f>
        <v>316</v>
      </c>
      <c r="G232" s="994" t="s">
        <v>1239</v>
      </c>
      <c r="K232" s="957"/>
      <c r="L232" s="906"/>
      <c r="M232" s="957" t="s">
        <v>1190</v>
      </c>
      <c r="N232" s="906"/>
      <c r="O232" s="906"/>
      <c r="P232" s="906"/>
      <c r="R232" s="906"/>
      <c r="S232" s="906"/>
      <c r="T232" s="906"/>
    </row>
    <row r="233" spans="1:20">
      <c r="A233" s="995"/>
      <c r="B233" s="2139"/>
      <c r="C233" s="2139"/>
      <c r="D233" s="995"/>
      <c r="E233" s="997"/>
      <c r="F233" s="995"/>
      <c r="G233" s="996"/>
      <c r="H233" s="977"/>
      <c r="I233" s="998"/>
      <c r="J233" s="998"/>
      <c r="K233" s="999"/>
      <c r="L233" s="906"/>
      <c r="M233" s="957"/>
      <c r="N233" s="906"/>
      <c r="O233" s="906"/>
      <c r="P233" s="906"/>
      <c r="R233" s="906"/>
      <c r="S233" s="906"/>
      <c r="T233" s="906"/>
    </row>
    <row r="234" spans="1:20">
      <c r="A234" s="906"/>
      <c r="B234" s="2140"/>
      <c r="C234" s="2140"/>
      <c r="D234" s="995"/>
      <c r="E234" s="998"/>
      <c r="F234" s="906"/>
      <c r="G234" s="977"/>
      <c r="H234" s="977"/>
      <c r="I234" s="998"/>
      <c r="J234" s="998"/>
      <c r="K234" s="999"/>
      <c r="L234" s="906"/>
      <c r="M234" s="957"/>
      <c r="N234" s="906"/>
      <c r="O234" s="906"/>
      <c r="P234" s="906"/>
      <c r="R234" s="906"/>
      <c r="S234" s="906"/>
      <c r="T234" s="906"/>
    </row>
    <row r="235" spans="1:20">
      <c r="A235" s="906"/>
      <c r="B235" s="2140"/>
      <c r="C235" s="2140"/>
      <c r="D235" s="906"/>
      <c r="E235" s="998"/>
      <c r="F235" s="906"/>
      <c r="G235" s="607"/>
      <c r="H235" s="977"/>
      <c r="I235" s="998"/>
      <c r="J235" s="998"/>
      <c r="K235" s="999"/>
      <c r="L235" s="906"/>
      <c r="M235" s="957"/>
      <c r="N235" s="906"/>
      <c r="O235" s="906"/>
      <c r="P235" s="906"/>
      <c r="R235" s="906"/>
      <c r="S235" s="906"/>
      <c r="T235" s="906"/>
    </row>
    <row r="236" spans="1:20">
      <c r="A236" s="906"/>
      <c r="B236" s="2140"/>
      <c r="C236" s="2140"/>
      <c r="D236" s="995"/>
      <c r="E236" s="998"/>
      <c r="F236" s="906"/>
      <c r="G236" s="977"/>
      <c r="H236" s="977"/>
      <c r="I236" s="998"/>
      <c r="J236" s="998"/>
      <c r="K236" s="999"/>
      <c r="L236" s="906"/>
      <c r="M236" s="957"/>
      <c r="N236" s="906"/>
      <c r="O236" s="906"/>
      <c r="P236" s="906"/>
      <c r="R236" s="906"/>
      <c r="S236" s="906"/>
      <c r="T236" s="906"/>
    </row>
    <row r="237" spans="1:20">
      <c r="A237" s="906"/>
      <c r="B237" s="2140"/>
      <c r="C237" s="2140"/>
      <c r="D237" s="906"/>
      <c r="E237" s="998"/>
      <c r="F237" s="906"/>
      <c r="G237" s="607"/>
      <c r="H237" s="977"/>
      <c r="I237" s="998"/>
      <c r="J237" s="998"/>
      <c r="K237" s="999"/>
      <c r="L237" s="906"/>
      <c r="M237" s="957"/>
      <c r="N237" s="906"/>
      <c r="O237" s="906"/>
      <c r="P237" s="906"/>
      <c r="R237" s="906"/>
      <c r="S237" s="906"/>
      <c r="T237" s="906"/>
    </row>
    <row r="238" spans="1:20">
      <c r="A238" s="998"/>
      <c r="B238" s="977"/>
      <c r="C238" s="977"/>
      <c r="D238" s="997"/>
      <c r="E238" s="998"/>
      <c r="F238" s="998"/>
      <c r="G238" s="998"/>
      <c r="H238" s="977"/>
      <c r="I238" s="998"/>
      <c r="J238" s="998"/>
      <c r="K238" s="998"/>
      <c r="L238" s="906"/>
      <c r="M238" s="906"/>
      <c r="N238" s="906"/>
      <c r="O238" s="906"/>
      <c r="P238" s="906"/>
      <c r="R238" s="906"/>
      <c r="S238" s="906"/>
      <c r="T238" s="906"/>
    </row>
    <row r="239" spans="1:20">
      <c r="A239" s="998"/>
      <c r="B239" s="977"/>
      <c r="C239" s="977"/>
      <c r="D239" s="997"/>
      <c r="E239" s="998"/>
      <c r="F239" s="998"/>
      <c r="G239" s="998"/>
      <c r="H239" s="977"/>
      <c r="I239" s="998"/>
      <c r="J239" s="998"/>
      <c r="K239" s="998"/>
      <c r="L239" s="906"/>
      <c r="M239" s="906"/>
      <c r="N239" s="906"/>
      <c r="O239" s="906"/>
      <c r="P239" s="906"/>
      <c r="R239" s="906"/>
      <c r="S239" s="906"/>
      <c r="T239" s="906"/>
    </row>
    <row r="240" spans="1:20">
      <c r="A240" s="998"/>
      <c r="B240" s="977"/>
      <c r="C240" s="977"/>
      <c r="D240" s="997"/>
      <c r="E240" s="998"/>
      <c r="F240" s="998"/>
      <c r="G240" s="998"/>
      <c r="H240" s="977"/>
      <c r="I240" s="998"/>
      <c r="J240" s="998"/>
      <c r="K240" s="998"/>
      <c r="L240" s="906"/>
      <c r="M240" s="906"/>
      <c r="N240" s="906"/>
      <c r="O240" s="906"/>
      <c r="P240" s="906"/>
      <c r="R240" s="906"/>
      <c r="S240" s="906"/>
      <c r="T240" s="906"/>
    </row>
    <row r="241" spans="1:20">
      <c r="A241" s="998"/>
      <c r="B241" s="977"/>
      <c r="C241" s="977"/>
      <c r="D241" s="997"/>
      <c r="E241" s="998"/>
      <c r="F241" s="998"/>
      <c r="G241" s="998"/>
      <c r="H241" s="977"/>
      <c r="I241" s="998"/>
      <c r="J241" s="998"/>
      <c r="K241" s="998"/>
      <c r="L241" s="906"/>
      <c r="M241" s="906"/>
      <c r="N241" s="906"/>
      <c r="O241" s="906"/>
      <c r="P241" s="906"/>
      <c r="R241" s="906"/>
      <c r="S241" s="906"/>
      <c r="T241" s="906"/>
    </row>
    <row r="242" spans="1:20">
      <c r="K242" s="998"/>
      <c r="L242" s="906"/>
      <c r="M242" s="906"/>
      <c r="N242" s="906"/>
      <c r="O242" s="906"/>
      <c r="P242" s="906"/>
      <c r="R242" s="906"/>
      <c r="S242" s="906"/>
      <c r="T242" s="906"/>
    </row>
    <row r="243" spans="1:20">
      <c r="K243" s="998"/>
      <c r="L243" s="906"/>
      <c r="M243" s="906"/>
      <c r="N243" s="906"/>
      <c r="O243" s="906"/>
      <c r="P243" s="906"/>
      <c r="R243" s="906"/>
      <c r="S243" s="906"/>
      <c r="T243" s="906"/>
    </row>
    <row r="244" spans="1:20">
      <c r="K244" s="998"/>
      <c r="L244" s="906"/>
      <c r="M244" s="906"/>
      <c r="N244" s="906"/>
      <c r="O244" s="906"/>
      <c r="P244" s="906"/>
      <c r="R244" s="906"/>
      <c r="S244" s="906"/>
      <c r="T244" s="906"/>
    </row>
    <row r="245" spans="1:20">
      <c r="K245" s="998"/>
      <c r="L245" s="906"/>
      <c r="M245" s="906"/>
      <c r="N245" s="906"/>
      <c r="O245" s="906"/>
      <c r="P245" s="906"/>
      <c r="R245" s="906"/>
      <c r="S245" s="906"/>
      <c r="T245" s="906"/>
    </row>
    <row r="246" spans="1:20">
      <c r="K246" s="998"/>
      <c r="L246" s="906"/>
      <c r="M246" s="906"/>
      <c r="N246" s="906"/>
      <c r="O246" s="906"/>
      <c r="P246" s="906"/>
      <c r="R246" s="906"/>
      <c r="S246" s="906"/>
      <c r="T246" s="906"/>
    </row>
    <row r="247" spans="1:20">
      <c r="K247" s="998"/>
      <c r="L247" s="906"/>
      <c r="M247" s="906"/>
      <c r="N247" s="906"/>
      <c r="O247" s="906"/>
      <c r="P247" s="906"/>
      <c r="R247" s="906"/>
      <c r="S247" s="906"/>
      <c r="T247" s="906"/>
    </row>
    <row r="248" spans="1:20">
      <c r="K248" s="998"/>
      <c r="L248" s="906"/>
      <c r="M248" s="906"/>
      <c r="N248" s="906"/>
      <c r="O248" s="906"/>
      <c r="P248" s="906"/>
      <c r="R248" s="906"/>
      <c r="S248" s="906"/>
      <c r="T248" s="906"/>
    </row>
    <row r="249" spans="1:20">
      <c r="K249" s="998"/>
      <c r="L249" s="906"/>
      <c r="M249" s="906"/>
      <c r="N249" s="906"/>
      <c r="O249" s="906"/>
      <c r="P249" s="906"/>
      <c r="R249" s="906"/>
      <c r="S249" s="906"/>
      <c r="T249" s="906"/>
    </row>
    <row r="250" spans="1:20">
      <c r="K250" s="998"/>
      <c r="L250" s="906"/>
      <c r="M250" s="906"/>
      <c r="N250" s="906"/>
      <c r="O250" s="906"/>
      <c r="P250" s="906"/>
      <c r="R250" s="906"/>
      <c r="S250" s="906"/>
      <c r="T250" s="906"/>
    </row>
    <row r="251" spans="1:20">
      <c r="K251" s="998"/>
      <c r="L251" s="906"/>
      <c r="M251" s="906"/>
      <c r="N251" s="906"/>
      <c r="O251" s="906"/>
      <c r="P251" s="906"/>
      <c r="R251" s="906"/>
      <c r="S251" s="906"/>
      <c r="T251" s="906"/>
    </row>
    <row r="252" spans="1:20">
      <c r="K252" s="998"/>
      <c r="L252" s="906"/>
      <c r="M252" s="906"/>
      <c r="N252" s="906"/>
      <c r="O252" s="906"/>
      <c r="P252" s="906"/>
      <c r="R252" s="906"/>
      <c r="S252" s="906"/>
      <c r="T252" s="906"/>
    </row>
    <row r="253" spans="1:20">
      <c r="K253" s="998"/>
      <c r="L253" s="906"/>
      <c r="M253" s="906"/>
      <c r="N253" s="906"/>
      <c r="O253" s="906"/>
      <c r="P253" s="906"/>
      <c r="R253" s="906"/>
      <c r="S253" s="906"/>
      <c r="T253" s="906"/>
    </row>
    <row r="254" spans="1:20">
      <c r="K254" s="998"/>
      <c r="L254" s="906"/>
      <c r="M254" s="906"/>
      <c r="N254" s="906"/>
      <c r="O254" s="906"/>
      <c r="P254" s="906"/>
      <c r="R254" s="906"/>
      <c r="S254" s="906"/>
      <c r="T254" s="906"/>
    </row>
    <row r="255" spans="1:20">
      <c r="K255" s="998"/>
      <c r="L255" s="906"/>
      <c r="M255" s="906"/>
      <c r="N255" s="906"/>
      <c r="O255" s="906"/>
      <c r="P255" s="906"/>
      <c r="R255" s="906"/>
      <c r="S255" s="906"/>
      <c r="T255" s="906"/>
    </row>
    <row r="256" spans="1:20">
      <c r="K256" s="998"/>
      <c r="L256" s="906"/>
      <c r="M256" s="906"/>
      <c r="N256" s="906"/>
      <c r="O256" s="906"/>
      <c r="P256" s="906"/>
      <c r="R256" s="906"/>
      <c r="S256" s="906"/>
      <c r="T256" s="906"/>
    </row>
    <row r="257" spans="11:20">
      <c r="K257" s="998"/>
      <c r="L257" s="906"/>
      <c r="M257" s="906"/>
      <c r="N257" s="906"/>
      <c r="O257" s="906"/>
      <c r="P257" s="906"/>
      <c r="R257" s="906"/>
      <c r="S257" s="906"/>
      <c r="T257" s="906"/>
    </row>
    <row r="258" spans="11:20">
      <c r="K258" s="998"/>
      <c r="L258" s="906"/>
      <c r="M258" s="906"/>
      <c r="N258" s="906"/>
      <c r="O258" s="906"/>
      <c r="P258" s="906"/>
      <c r="R258" s="906"/>
      <c r="S258" s="906"/>
      <c r="T258" s="906"/>
    </row>
    <row r="259" spans="11:20">
      <c r="K259" s="998"/>
      <c r="L259" s="906"/>
      <c r="M259" s="906"/>
      <c r="N259" s="906"/>
      <c r="O259" s="906"/>
      <c r="P259" s="906"/>
      <c r="R259" s="906"/>
      <c r="S259" s="906"/>
      <c r="T259" s="906"/>
    </row>
    <row r="260" spans="11:20">
      <c r="K260" s="998"/>
      <c r="L260" s="906"/>
      <c r="M260" s="906"/>
      <c r="N260" s="906"/>
      <c r="O260" s="906"/>
      <c r="P260" s="906"/>
      <c r="R260" s="906"/>
      <c r="S260" s="906"/>
      <c r="T260" s="906"/>
    </row>
    <row r="261" spans="11:20">
      <c r="K261" s="998"/>
      <c r="L261" s="906"/>
      <c r="M261" s="906"/>
      <c r="N261" s="906"/>
      <c r="O261" s="906"/>
      <c r="P261" s="906"/>
      <c r="R261" s="906"/>
      <c r="S261" s="906"/>
      <c r="T261" s="906"/>
    </row>
    <row r="262" spans="11:20">
      <c r="K262" s="998"/>
      <c r="L262" s="906"/>
      <c r="M262" s="906"/>
      <c r="N262" s="906"/>
      <c r="O262" s="906"/>
      <c r="P262" s="906"/>
      <c r="R262" s="906"/>
      <c r="S262" s="906"/>
      <c r="T262" s="906"/>
    </row>
    <row r="263" spans="11:20">
      <c r="K263" s="998"/>
      <c r="L263" s="906"/>
      <c r="M263" s="906"/>
      <c r="N263" s="906"/>
      <c r="O263" s="906"/>
      <c r="P263" s="906"/>
      <c r="R263" s="906"/>
      <c r="S263" s="906"/>
      <c r="T263" s="906"/>
    </row>
    <row r="264" spans="11:20">
      <c r="K264" s="998"/>
      <c r="L264" s="906"/>
      <c r="M264" s="906"/>
      <c r="N264" s="906"/>
      <c r="O264" s="906"/>
      <c r="P264" s="906"/>
      <c r="R264" s="906"/>
      <c r="S264" s="906"/>
      <c r="T264" s="906"/>
    </row>
    <row r="265" spans="11:20">
      <c r="K265" s="998"/>
      <c r="L265" s="906"/>
      <c r="M265" s="906"/>
      <c r="N265" s="906"/>
      <c r="O265" s="906"/>
      <c r="P265" s="906"/>
      <c r="R265" s="906"/>
      <c r="S265" s="906"/>
      <c r="T265" s="906"/>
    </row>
    <row r="266" spans="11:20">
      <c r="K266" s="998"/>
      <c r="L266" s="906"/>
      <c r="M266" s="906"/>
      <c r="N266" s="906"/>
      <c r="O266" s="906"/>
      <c r="P266" s="906"/>
      <c r="R266" s="906"/>
      <c r="S266" s="906"/>
      <c r="T266" s="906"/>
    </row>
    <row r="267" spans="11:20">
      <c r="K267" s="998"/>
      <c r="L267" s="906"/>
      <c r="M267" s="906"/>
      <c r="N267" s="906"/>
      <c r="O267" s="906"/>
      <c r="P267" s="906"/>
      <c r="R267" s="906"/>
      <c r="S267" s="906"/>
      <c r="T267" s="906"/>
    </row>
    <row r="268" spans="11:20">
      <c r="K268" s="998"/>
      <c r="L268" s="906"/>
      <c r="M268" s="906"/>
      <c r="N268" s="906"/>
      <c r="O268" s="906"/>
      <c r="P268" s="906"/>
      <c r="R268" s="906"/>
      <c r="S268" s="906"/>
      <c r="T268" s="906"/>
    </row>
    <row r="269" spans="11:20">
      <c r="K269" s="998"/>
      <c r="L269" s="906"/>
      <c r="M269" s="906"/>
      <c r="N269" s="906"/>
      <c r="O269" s="906"/>
      <c r="P269" s="906"/>
      <c r="R269" s="906"/>
      <c r="S269" s="906"/>
      <c r="T269" s="906"/>
    </row>
    <row r="270" spans="11:20">
      <c r="K270" s="998"/>
      <c r="L270" s="906"/>
      <c r="M270" s="906"/>
      <c r="N270" s="906"/>
      <c r="O270" s="906"/>
      <c r="P270" s="906"/>
      <c r="R270" s="906"/>
      <c r="S270" s="906"/>
      <c r="T270" s="906"/>
    </row>
    <row r="271" spans="11:20">
      <c r="K271" s="998"/>
      <c r="L271" s="906"/>
      <c r="M271" s="906"/>
      <c r="N271" s="906"/>
      <c r="O271" s="906"/>
      <c r="P271" s="906"/>
      <c r="R271" s="906"/>
      <c r="S271" s="906"/>
      <c r="T271" s="906"/>
    </row>
    <row r="272" spans="11:20">
      <c r="K272" s="998"/>
      <c r="L272" s="906"/>
      <c r="M272" s="906"/>
      <c r="N272" s="906"/>
      <c r="O272" s="906"/>
      <c r="P272" s="906"/>
      <c r="R272" s="906"/>
      <c r="S272" s="906"/>
      <c r="T272" s="906"/>
    </row>
    <row r="273" spans="11:20">
      <c r="K273" s="998"/>
      <c r="L273" s="906"/>
      <c r="M273" s="906"/>
      <c r="N273" s="906"/>
      <c r="O273" s="906"/>
      <c r="P273" s="906"/>
      <c r="R273" s="906"/>
      <c r="S273" s="906"/>
      <c r="T273" s="906"/>
    </row>
    <row r="274" spans="11:20">
      <c r="K274" s="998"/>
      <c r="L274" s="906"/>
      <c r="M274" s="906"/>
      <c r="N274" s="906"/>
      <c r="O274" s="906"/>
      <c r="P274" s="906"/>
      <c r="R274" s="906"/>
      <c r="S274" s="906"/>
      <c r="T274" s="906"/>
    </row>
    <row r="275" spans="11:20">
      <c r="K275" s="998"/>
      <c r="L275" s="906"/>
      <c r="M275" s="906"/>
      <c r="N275" s="906"/>
      <c r="O275" s="906"/>
      <c r="P275" s="906"/>
      <c r="R275" s="906"/>
      <c r="S275" s="906"/>
      <c r="T275" s="906"/>
    </row>
    <row r="276" spans="11:20">
      <c r="K276" s="998"/>
      <c r="L276" s="906"/>
      <c r="M276" s="906"/>
      <c r="N276" s="906"/>
      <c r="O276" s="906"/>
      <c r="P276" s="906"/>
      <c r="R276" s="906"/>
      <c r="S276" s="906"/>
      <c r="T276" s="906"/>
    </row>
    <row r="277" spans="11:20">
      <c r="K277" s="998"/>
      <c r="L277" s="906"/>
      <c r="M277" s="906"/>
      <c r="N277" s="906"/>
      <c r="O277" s="906"/>
      <c r="P277" s="906"/>
      <c r="R277" s="906"/>
      <c r="S277" s="906"/>
      <c r="T277" s="906"/>
    </row>
    <row r="278" spans="11:20">
      <c r="K278" s="998"/>
      <c r="L278" s="906"/>
      <c r="M278" s="906"/>
      <c r="N278" s="906"/>
      <c r="O278" s="906"/>
      <c r="P278" s="906"/>
      <c r="R278" s="906"/>
      <c r="S278" s="906"/>
      <c r="T278" s="906"/>
    </row>
    <row r="279" spans="11:20">
      <c r="K279" s="998"/>
      <c r="L279" s="906"/>
      <c r="M279" s="906"/>
      <c r="N279" s="906"/>
      <c r="O279" s="906"/>
      <c r="P279" s="906"/>
      <c r="R279" s="906"/>
      <c r="S279" s="906"/>
      <c r="T279" s="906"/>
    </row>
    <row r="280" spans="11:20">
      <c r="K280" s="998"/>
      <c r="L280" s="906"/>
      <c r="M280" s="906"/>
      <c r="N280" s="906"/>
      <c r="O280" s="906"/>
      <c r="P280" s="906"/>
      <c r="R280" s="906"/>
      <c r="S280" s="906"/>
      <c r="T280" s="906"/>
    </row>
    <row r="281" spans="11:20">
      <c r="K281" s="998"/>
      <c r="L281" s="906"/>
      <c r="M281" s="906"/>
      <c r="N281" s="906"/>
      <c r="O281" s="906"/>
      <c r="P281" s="906"/>
      <c r="R281" s="906"/>
      <c r="S281" s="906"/>
      <c r="T281" s="906"/>
    </row>
    <row r="282" spans="11:20">
      <c r="K282" s="998"/>
      <c r="L282" s="906"/>
      <c r="M282" s="906"/>
      <c r="N282" s="906"/>
      <c r="O282" s="906"/>
      <c r="P282" s="906"/>
      <c r="R282" s="906"/>
      <c r="S282" s="906"/>
      <c r="T282" s="906"/>
    </row>
    <row r="283" spans="11:20">
      <c r="K283" s="998"/>
      <c r="L283" s="906"/>
      <c r="M283" s="906"/>
      <c r="N283" s="906"/>
      <c r="O283" s="906"/>
      <c r="P283" s="906"/>
      <c r="R283" s="906"/>
      <c r="S283" s="906"/>
      <c r="T283" s="906"/>
    </row>
    <row r="284" spans="11:20">
      <c r="K284" s="998"/>
      <c r="L284" s="906"/>
      <c r="M284" s="906"/>
      <c r="N284" s="906"/>
      <c r="O284" s="906"/>
      <c r="P284" s="906"/>
      <c r="R284" s="906"/>
      <c r="S284" s="906"/>
      <c r="T284" s="906"/>
    </row>
  </sheetData>
  <sheetProtection sheet="1" objects="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32:C232"/>
    <mergeCell ref="B215:C215"/>
    <mergeCell ref="B216:C216"/>
    <mergeCell ref="B217:C217"/>
    <mergeCell ref="B218:C218"/>
    <mergeCell ref="B219:C219"/>
    <mergeCell ref="B220:C220"/>
    <mergeCell ref="B221:C221"/>
    <mergeCell ref="B222:C222"/>
    <mergeCell ref="B223:C223"/>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s>
  <phoneticPr fontId="203" type="noConversion"/>
  <conditionalFormatting sqref="H13">
    <cfRule type="expression" dxfId="6" priority="15">
      <formula>"人物卡!$F$5=1"</formula>
    </cfRule>
  </conditionalFormatting>
  <conditionalFormatting sqref="H15:J23">
    <cfRule type="expression" dxfId="5" priority="1">
      <formula>"人物卡!$F$5=1"</formula>
    </cfRule>
  </conditionalFormatting>
  <conditionalFormatting sqref="I2:J11">
    <cfRule type="expression" dxfId="4" priority="14">
      <formula>"人物卡!$F$5=1"</formula>
    </cfRule>
  </conditionalFormatting>
  <dataValidations count="143">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0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200-000001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200-000002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3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200-000004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5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200-000006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7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8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09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0A000000}"/>
    <dataValidation allowBlank="1" showInputMessage="1" showErrorMessage="1" sqref="I9:J9 I10:J10 I11:J11 H21 H22 H23 R23 R27 H15:H20" xr:uid="{00000000-0002-0000-0200-00000B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200-00000C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_x000a_译注：原文这八项技能没有动物驯养，KP可以依自己喜好用动物驯养取代其中一项。这里在人物卡中和本职技能一样给予了星标标注" sqref="B10:C10" xr:uid="{00000000-0002-0000-0200-00000D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200-00000E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0F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200-000010000000}"/>
    <dataValidation allowBlank="1" showInputMessage="1" promptTitle="介绍" prompt="古董商通常自己开店，从自己所在的地方转卖物品，或继续扩展业务范围，通过倒卖物品到城市商店赚取利润。" sqref="B12:C12" xr:uid="{00000000-0002-0000-0200-000011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200-000012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13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14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200-000015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16000000}"/>
    <dataValidation type="list" allowBlank="1" showInputMessage="1" showErrorMessage="1" sqref="I15 I23 I16:I22" xr:uid="{00000000-0002-0000-0200-000017000000}">
      <formula1>"×,√"</formula1>
    </dataValidation>
    <dataValidation allowBlank="1" showErrorMessage="1" errorTitle="提示" error="请输入大于等于1的整数_x000a_且不需要输入乘号或其他符号" sqref="J15 J16 J17 J18 J19 J20 J21 J22 J23" xr:uid="{00000000-0002-0000-0200-000018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200-000019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1A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200-00001B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1C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200-00001D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1E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200-00001F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20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21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22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23000000}"/>
    <dataValidation type="list" allowBlank="1" showInputMessage="1" showErrorMessage="1" sqref="R21 R22" xr:uid="{00000000-0002-0000-0200-000024000000}">
      <formula1>"鞭子,电锯,斧,剑,绞具,链枷,矛"</formula1>
    </dataValidation>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25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26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7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28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2A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2B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2C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200-00002D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2E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200-00002F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30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200-000031000000}"/>
    <dataValidation allowBlank="1" showInputMessage="1" promptTitle="介绍" prompt="有些则组成分工明确，会详细调查并制定计划的犯罪组织。" sqref="B31:C31" xr:uid="{00000000-0002-0000-0200-000032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200-000033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34000000}"/>
    <dataValidation allowBlank="1" showInputMessage="1" promptTitle="介绍" prompt="罪犯的体格和相貌形形色色，有些是纯粹碰运气伺机行事，比如扒手." sqref="B33:C33" xr:uid="{00000000-0002-0000-0200-000035000000}"/>
    <dataValidation allowBlank="1" showErrorMessage="1" sqref="N33 R35" xr:uid="{00000000-0002-0000-0200-000036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7000000}"/>
    <dataValidation allowBlank="1" showInputMessage="1" promptTitle="介绍" prompt="也可能单打独斗，如果成功的报酬值得去费力冒险，才会和别人搭伙。" sqref="B35:C35" xr:uid="{00000000-0002-0000-0200-000038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39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3A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3B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3C000000}"/>
    <dataValidation allowBlank="1" showInputMessage="1" promptTitle="介绍" prompt="街头混混一般都是些小年轻，弄不好还在寻觅加入真正黑帮的契机。不过他们的本事也就限于偷车，盗窃商店货物，抢钱或者夜盗。" sqref="B40:C40" xr:uid="{00000000-0002-0000-0200-00003D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E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3F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40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41000000}"/>
    <dataValidation allowBlank="1" showInputMessage="1" promptTitle="介绍" prompt="潜水员可能在军队执法机构或海绵采集海上救援环境保护甚至水下寻宝的民间机构工作。" sqref="B45:C45" xr:uid="{00000000-0002-0000-0200-000042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43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44000000}"/>
    <dataValidation allowBlank="1" showInputMessage="1" promptTitle="介绍" prompt="人司机则是直接受雇于个人或企业，或者是专门提供连人带车的私人司机业务的中介机构。" sqref="B48:C48" xr:uid="{00000000-0002-0000-0200-000045000000}"/>
    <dataValidation allowBlank="1" showInputMessage="1" promptTitle="介绍" prompt="专职司机可能为企业个人工作，也可能拥有自己的出租车或货车。" sqref="B49:C49" xr:uid="{00000000-0002-0000-0200-000046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47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48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49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4A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B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4C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4D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4E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4F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0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51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2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3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54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55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56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57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58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59000000}"/>
    <dataValidation allowBlank="1" showInputMessage="1" promptTitle="介绍" prompt="勤杂护工在医院的工作包括倒垃圾、打扫房间、运送病人，还有一些其他乱七八糟的工作。总之对他们的要求不比对看门人多多少。" sqref="B66:C66" xr:uid="{00000000-0002-0000-0200-00005A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5B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5C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5D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5E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5F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0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1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2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63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4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65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66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67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68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69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6A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6B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6C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6D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6E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6F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0000000}"/>
    <dataValidation allowBlank="1" showInputMessage="1" promptTitle="介绍" prompt="巡警则属于市、城镇、县治安部门或州、地区的警察机关。他们工作时可能步行、驾驶巡逻车，或者干脆坐办公室。" sqref="B92:C92" xr:uid="{00000000-0002-0000-0200-000071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2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73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4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5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6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77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78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79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7A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B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7C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7D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7E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F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0000000}"/>
    <dataValidation allowBlank="1" showInputMessage="1" promptTitle="介绍" prompt="学生可能在大学或学院学习，实习生则是正在接受宝贵的入职培训，获得最低报酬的公司员工。" sqref="B108:C108" xr:uid="{00000000-0002-0000-0200-000081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82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83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4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5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6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7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88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89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8A000000}"/>
    <dataValidation type="list" allowBlank="1" showInputMessage="1" showErrorMessage="1" sqref="N6:N7 N21:N22 N24:N25 N49:N50" xr:uid="{00000000-0002-0000-0200-00008B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C000000}"/>
    <dataValidation type="list" allowBlank="1" showInputMessage="1" showErrorMessage="1" sqref="R25:R26" xr:uid="{00000000-0002-0000-0200-00008E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200-00008F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9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29000000}">
          <x14:formula1>
            <xm:f>附表!$AB$10:$AB$12</xm:f>
          </x14:formula1>
          <xm:sqref>H25:I25</xm:sqref>
        </x14:dataValidation>
        <x14:dataValidation type="list" allowBlank="1" showInputMessage="1" showErrorMessage="1" xr:uid="{00000000-0002-0000-0200-00008D000000}">
          <x14:formula1>
            <xm:f>附表!$AP$53:$AP$79</xm:f>
          </x14:formula1>
          <xm:sqref>R6:R7</xm:sqref>
        </x14:dataValidation>
        <x14:dataValidation type="list" allowBlank="1" showInputMessage="1" showErrorMessage="1" xr:uid="{00000000-0002-0000-0200-000091000000}">
          <x14:formula1>
            <xm:f>附表!$X$25:$X$92</xm:f>
          </x14:formula1>
          <xm:sqref>I3:J8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Z100"/>
  <sheetViews>
    <sheetView workbookViewId="0">
      <pane xSplit="1" topLeftCell="B1" activePane="topRight" state="frozen"/>
      <selection pane="topRight" activeCell="B1" sqref="B1"/>
    </sheetView>
  </sheetViews>
  <sheetFormatPr defaultColWidth="10" defaultRowHeight="13.5"/>
  <cols>
    <col min="1" max="1" width="12.75" customWidth="1"/>
    <col min="2" max="2" width="12.75" style="876" customWidth="1"/>
    <col min="3" max="3" width="10.75" customWidth="1"/>
    <col min="4" max="4" width="8.75" customWidth="1"/>
    <col min="5" max="104" width="40.75" customWidth="1"/>
  </cols>
  <sheetData>
    <row r="1" spans="1:104" ht="25.5">
      <c r="A1" s="877"/>
      <c r="B1" s="878"/>
      <c r="C1" s="2191" t="s">
        <v>1240</v>
      </c>
      <c r="D1" s="2191"/>
      <c r="E1" s="2191"/>
      <c r="F1" s="2192" t="s">
        <v>1241</v>
      </c>
      <c r="G1" s="2192"/>
      <c r="H1" s="2192"/>
      <c r="I1" s="888"/>
      <c r="J1" s="888"/>
      <c r="K1" s="888"/>
      <c r="L1" s="888"/>
      <c r="M1" s="888"/>
      <c r="N1" s="888"/>
      <c r="O1" s="888"/>
      <c r="P1" s="888"/>
      <c r="Q1" s="888"/>
      <c r="R1" s="888"/>
      <c r="S1" s="888"/>
      <c r="T1" s="888"/>
      <c r="U1" s="888"/>
      <c r="V1" s="888"/>
      <c r="W1" s="888"/>
      <c r="X1" s="888"/>
      <c r="Y1" s="888"/>
      <c r="Z1" s="888"/>
      <c r="AA1" s="888"/>
      <c r="AB1" s="888"/>
      <c r="AC1" s="888"/>
      <c r="AD1" s="888"/>
      <c r="AE1" s="888"/>
      <c r="AF1" s="888"/>
      <c r="AG1" s="888"/>
      <c r="AH1" s="888"/>
      <c r="AI1" s="888"/>
      <c r="AJ1" s="888"/>
      <c r="AK1" s="888"/>
      <c r="AL1" s="888"/>
      <c r="AM1" s="888"/>
      <c r="AN1" s="888"/>
      <c r="AO1" s="888"/>
      <c r="AP1" s="888"/>
      <c r="AQ1" s="888"/>
      <c r="AR1" s="888"/>
      <c r="AS1" s="888"/>
      <c r="AT1" s="888"/>
      <c r="AU1" s="888"/>
      <c r="AV1" s="888"/>
      <c r="AW1" s="888"/>
      <c r="AX1" s="888"/>
      <c r="AY1" s="888"/>
      <c r="AZ1" s="888"/>
      <c r="BA1" s="888"/>
      <c r="BB1" s="888"/>
      <c r="BC1" s="888"/>
      <c r="BD1" s="888"/>
      <c r="BE1" s="888"/>
      <c r="BF1" s="888"/>
      <c r="BG1" s="888"/>
      <c r="BH1" s="888"/>
      <c r="BI1" s="888"/>
      <c r="BJ1" s="888"/>
      <c r="BK1" s="888"/>
      <c r="BL1" s="888"/>
      <c r="BM1" s="888"/>
      <c r="BN1" s="888"/>
      <c r="BO1" s="888"/>
      <c r="BP1" s="888"/>
      <c r="BQ1" s="888"/>
      <c r="BR1" s="888"/>
      <c r="BS1" s="888"/>
      <c r="BT1" s="888"/>
      <c r="BU1" s="888"/>
      <c r="BV1" s="888"/>
      <c r="BW1" s="888"/>
      <c r="BX1" s="888"/>
      <c r="BY1" s="888"/>
      <c r="BZ1" s="888"/>
      <c r="CA1" s="888"/>
      <c r="CB1" s="888"/>
      <c r="CC1" s="888"/>
      <c r="CD1" s="888"/>
      <c r="CE1" s="888"/>
      <c r="CF1" s="888"/>
      <c r="CG1" s="888"/>
      <c r="CH1" s="888"/>
      <c r="CI1" s="888"/>
      <c r="CJ1" s="888"/>
      <c r="CK1" s="888"/>
      <c r="CL1" s="888"/>
      <c r="CM1" s="888"/>
      <c r="CN1" s="888"/>
      <c r="CO1" s="888"/>
      <c r="CP1" s="888"/>
      <c r="CQ1" s="888"/>
      <c r="CR1" s="888"/>
      <c r="CS1" s="888"/>
      <c r="CT1" s="888"/>
      <c r="CU1" s="888"/>
      <c r="CV1" s="888"/>
      <c r="CW1" s="888"/>
      <c r="CX1" s="888"/>
      <c r="CY1" s="888"/>
      <c r="CZ1" s="888"/>
    </row>
    <row r="2" spans="1:104" s="875" customFormat="1" ht="16.5">
      <c r="A2" s="879" t="s">
        <v>312</v>
      </c>
      <c r="B2" s="880" t="s">
        <v>1242</v>
      </c>
      <c r="C2" s="881" t="s">
        <v>1243</v>
      </c>
      <c r="D2" s="881" t="s">
        <v>55</v>
      </c>
      <c r="E2" s="881" t="s">
        <v>1244</v>
      </c>
      <c r="F2" s="881" t="s">
        <v>1245</v>
      </c>
      <c r="G2" s="881" t="s">
        <v>1246</v>
      </c>
      <c r="H2" s="881" t="s">
        <v>1247</v>
      </c>
      <c r="I2" s="881" t="s">
        <v>1248</v>
      </c>
      <c r="J2" s="881" t="s">
        <v>1249</v>
      </c>
      <c r="K2" s="881" t="s">
        <v>1250</v>
      </c>
      <c r="L2" s="881" t="s">
        <v>1251</v>
      </c>
      <c r="M2" s="881" t="s">
        <v>1252</v>
      </c>
      <c r="N2" s="881" t="s">
        <v>1253</v>
      </c>
      <c r="O2" s="881" t="s">
        <v>1254</v>
      </c>
      <c r="P2" s="881" t="s">
        <v>1255</v>
      </c>
      <c r="Q2" s="881" t="s">
        <v>1256</v>
      </c>
      <c r="R2" s="881" t="s">
        <v>1257</v>
      </c>
      <c r="S2" s="881" t="s">
        <v>1258</v>
      </c>
      <c r="T2" s="881" t="s">
        <v>1259</v>
      </c>
      <c r="U2" s="881" t="s">
        <v>1260</v>
      </c>
      <c r="V2" s="881" t="s">
        <v>1261</v>
      </c>
      <c r="W2" s="881" t="s">
        <v>1262</v>
      </c>
      <c r="X2" s="881" t="s">
        <v>1263</v>
      </c>
      <c r="Y2" s="881" t="s">
        <v>1264</v>
      </c>
      <c r="Z2" s="881" t="s">
        <v>1265</v>
      </c>
      <c r="AA2" s="881" t="s">
        <v>1266</v>
      </c>
      <c r="AB2" s="881" t="s">
        <v>1267</v>
      </c>
      <c r="AC2" s="881" t="s">
        <v>1268</v>
      </c>
      <c r="AD2" s="881" t="s">
        <v>1269</v>
      </c>
      <c r="AE2" s="881" t="s">
        <v>1270</v>
      </c>
      <c r="AF2" s="881" t="s">
        <v>1271</v>
      </c>
      <c r="AG2" s="881" t="s">
        <v>1272</v>
      </c>
      <c r="AH2" s="881" t="s">
        <v>1273</v>
      </c>
      <c r="AI2" s="881" t="s">
        <v>1274</v>
      </c>
      <c r="AJ2" s="881" t="s">
        <v>1275</v>
      </c>
      <c r="AK2" s="881" t="s">
        <v>1276</v>
      </c>
      <c r="AL2" s="881" t="s">
        <v>1277</v>
      </c>
      <c r="AM2" s="881" t="s">
        <v>1278</v>
      </c>
      <c r="AN2" s="881" t="s">
        <v>1279</v>
      </c>
      <c r="AO2" s="881" t="s">
        <v>1280</v>
      </c>
      <c r="AP2" s="881" t="s">
        <v>1281</v>
      </c>
      <c r="AQ2" s="881" t="s">
        <v>1282</v>
      </c>
      <c r="AR2" s="881" t="s">
        <v>1283</v>
      </c>
      <c r="AS2" s="881" t="s">
        <v>1284</v>
      </c>
      <c r="AT2" s="881" t="s">
        <v>1285</v>
      </c>
      <c r="AU2" s="881" t="s">
        <v>1286</v>
      </c>
      <c r="AV2" s="881" t="s">
        <v>1287</v>
      </c>
      <c r="AW2" s="881" t="s">
        <v>1288</v>
      </c>
      <c r="AX2" s="881" t="s">
        <v>1289</v>
      </c>
      <c r="AY2" s="881" t="s">
        <v>1290</v>
      </c>
      <c r="AZ2" s="881" t="s">
        <v>1291</v>
      </c>
      <c r="BA2" s="881" t="s">
        <v>1292</v>
      </c>
      <c r="BB2" s="881" t="s">
        <v>1293</v>
      </c>
      <c r="BC2" s="881" t="s">
        <v>1294</v>
      </c>
      <c r="BD2" s="881" t="s">
        <v>1295</v>
      </c>
      <c r="BE2" s="881" t="s">
        <v>1296</v>
      </c>
      <c r="BF2" s="881" t="s">
        <v>1297</v>
      </c>
      <c r="BG2" s="881" t="s">
        <v>1298</v>
      </c>
      <c r="BH2" s="881" t="s">
        <v>1299</v>
      </c>
      <c r="BI2" s="881" t="s">
        <v>1300</v>
      </c>
      <c r="BJ2" s="881" t="s">
        <v>1301</v>
      </c>
      <c r="BK2" s="881" t="s">
        <v>1302</v>
      </c>
      <c r="BL2" s="881" t="s">
        <v>1303</v>
      </c>
      <c r="BM2" s="881" t="s">
        <v>1304</v>
      </c>
      <c r="BN2" s="881" t="s">
        <v>1305</v>
      </c>
      <c r="BO2" s="881" t="s">
        <v>1306</v>
      </c>
      <c r="BP2" s="881" t="s">
        <v>1307</v>
      </c>
      <c r="BQ2" s="881" t="s">
        <v>1308</v>
      </c>
      <c r="BR2" s="881" t="s">
        <v>1309</v>
      </c>
      <c r="BS2" s="881" t="s">
        <v>1310</v>
      </c>
      <c r="BT2" s="881" t="s">
        <v>1311</v>
      </c>
      <c r="BU2" s="881" t="s">
        <v>1312</v>
      </c>
      <c r="BV2" s="881" t="s">
        <v>1313</v>
      </c>
      <c r="BW2" s="881" t="s">
        <v>1314</v>
      </c>
      <c r="BX2" s="881" t="s">
        <v>1315</v>
      </c>
      <c r="BY2" s="881" t="s">
        <v>1316</v>
      </c>
      <c r="BZ2" s="881" t="s">
        <v>1317</v>
      </c>
      <c r="CA2" s="881" t="s">
        <v>1318</v>
      </c>
      <c r="CB2" s="881" t="s">
        <v>1319</v>
      </c>
      <c r="CC2" s="881" t="s">
        <v>1320</v>
      </c>
      <c r="CD2" s="881" t="s">
        <v>1321</v>
      </c>
      <c r="CE2" s="881" t="s">
        <v>1322</v>
      </c>
      <c r="CF2" s="881" t="s">
        <v>1323</v>
      </c>
      <c r="CG2" s="881" t="s">
        <v>1324</v>
      </c>
      <c r="CH2" s="881" t="s">
        <v>1325</v>
      </c>
      <c r="CI2" s="881" t="s">
        <v>1326</v>
      </c>
      <c r="CJ2" s="881" t="s">
        <v>1327</v>
      </c>
      <c r="CK2" s="881" t="s">
        <v>1328</v>
      </c>
      <c r="CL2" s="881" t="s">
        <v>1329</v>
      </c>
      <c r="CM2" s="881" t="s">
        <v>1330</v>
      </c>
      <c r="CN2" s="881" t="s">
        <v>1331</v>
      </c>
      <c r="CO2" s="881" t="s">
        <v>1332</v>
      </c>
      <c r="CP2" s="881" t="s">
        <v>1333</v>
      </c>
      <c r="CQ2" s="881" t="s">
        <v>1334</v>
      </c>
      <c r="CR2" s="881" t="s">
        <v>1335</v>
      </c>
      <c r="CS2" s="881" t="s">
        <v>1336</v>
      </c>
      <c r="CT2" s="881" t="s">
        <v>1337</v>
      </c>
      <c r="CU2" s="881" t="s">
        <v>1338</v>
      </c>
      <c r="CV2" s="881" t="s">
        <v>1339</v>
      </c>
      <c r="CW2" s="881" t="s">
        <v>1340</v>
      </c>
      <c r="CX2" s="881" t="s">
        <v>1341</v>
      </c>
      <c r="CY2" s="881" t="s">
        <v>1342</v>
      </c>
      <c r="CZ2" s="881" t="s">
        <v>1343</v>
      </c>
    </row>
    <row r="3" spans="1:104" ht="16.5">
      <c r="A3" s="882" t="s">
        <v>60</v>
      </c>
      <c r="B3" s="883">
        <f>C3+D3</f>
        <v>5</v>
      </c>
      <c r="C3" s="884">
        <f>SUM(E3:CZ3)</f>
        <v>0</v>
      </c>
      <c r="D3" s="885">
        <v>5</v>
      </c>
      <c r="E3" s="886" t="s">
        <v>1344</v>
      </c>
      <c r="F3" s="887"/>
      <c r="G3" s="887"/>
      <c r="H3" s="887"/>
      <c r="I3" s="887"/>
      <c r="J3" s="887"/>
      <c r="K3" s="887"/>
      <c r="L3" s="887"/>
      <c r="M3" s="887"/>
      <c r="N3" s="887"/>
      <c r="O3" s="887"/>
      <c r="P3" s="887"/>
      <c r="Q3" s="887"/>
      <c r="R3" s="887"/>
      <c r="S3" s="887"/>
      <c r="T3" s="887"/>
      <c r="U3" s="887"/>
      <c r="V3" s="887"/>
      <c r="W3" s="887"/>
      <c r="X3" s="887"/>
      <c r="Y3" s="887"/>
      <c r="Z3" s="887"/>
      <c r="AA3" s="887"/>
      <c r="AB3" s="887"/>
      <c r="AC3" s="887"/>
      <c r="AD3" s="887"/>
      <c r="AE3" s="887"/>
      <c r="AF3" s="887"/>
      <c r="AG3" s="887"/>
      <c r="AH3" s="887"/>
      <c r="AI3" s="887"/>
      <c r="AJ3" s="887"/>
      <c r="AK3" s="887"/>
      <c r="AL3" s="887"/>
      <c r="AM3" s="887"/>
      <c r="AN3" s="887"/>
      <c r="AO3" s="887"/>
      <c r="AP3" s="887"/>
      <c r="AQ3" s="887"/>
      <c r="AR3" s="887"/>
      <c r="AS3" s="887"/>
      <c r="AT3" s="887"/>
      <c r="AU3" s="887"/>
      <c r="AV3" s="887"/>
      <c r="AW3" s="887"/>
      <c r="AX3" s="887"/>
      <c r="AY3" s="887"/>
      <c r="AZ3" s="887"/>
      <c r="BA3" s="887"/>
      <c r="BB3" s="887"/>
      <c r="BC3" s="887"/>
      <c r="BD3" s="887"/>
      <c r="BE3" s="887"/>
      <c r="BF3" s="887"/>
      <c r="BG3" s="887"/>
      <c r="BH3" s="887"/>
      <c r="BI3" s="887"/>
      <c r="BJ3" s="887"/>
      <c r="BK3" s="887"/>
      <c r="BL3" s="887"/>
      <c r="BM3" s="887"/>
      <c r="BN3" s="887"/>
      <c r="BO3" s="887"/>
      <c r="BP3" s="887"/>
      <c r="BQ3" s="887"/>
      <c r="BR3" s="887"/>
      <c r="BS3" s="887"/>
      <c r="BT3" s="887"/>
      <c r="BU3" s="887"/>
      <c r="BV3" s="887"/>
      <c r="BW3" s="887"/>
      <c r="BX3" s="887"/>
      <c r="BY3" s="887"/>
      <c r="BZ3" s="887"/>
      <c r="CA3" s="887"/>
      <c r="CB3" s="887"/>
      <c r="CC3" s="887"/>
      <c r="CD3" s="887"/>
      <c r="CE3" s="887"/>
      <c r="CF3" s="887"/>
      <c r="CG3" s="887"/>
      <c r="CH3" s="887"/>
      <c r="CI3" s="887"/>
      <c r="CJ3" s="887"/>
      <c r="CK3" s="887"/>
      <c r="CL3" s="887"/>
      <c r="CM3" s="887"/>
      <c r="CN3" s="887"/>
      <c r="CO3" s="887"/>
      <c r="CP3" s="887"/>
      <c r="CQ3" s="887"/>
      <c r="CR3" s="887"/>
      <c r="CS3" s="887"/>
      <c r="CT3" s="887"/>
      <c r="CU3" s="887"/>
      <c r="CV3" s="887"/>
      <c r="CW3" s="887"/>
      <c r="CX3" s="887"/>
      <c r="CY3" s="887"/>
      <c r="CZ3" s="887"/>
    </row>
    <row r="4" spans="1:104" ht="16.5">
      <c r="A4" s="882" t="s">
        <v>62</v>
      </c>
      <c r="B4" s="883">
        <f t="shared" ref="B4:B67" si="0">C4+D4</f>
        <v>1</v>
      </c>
      <c r="C4" s="884">
        <f t="shared" ref="C4:C67" si="1">SUM(E4:CZ4)</f>
        <v>0</v>
      </c>
      <c r="D4" s="885">
        <v>1</v>
      </c>
      <c r="E4" s="886" t="s">
        <v>1345</v>
      </c>
      <c r="F4" s="887"/>
      <c r="G4" s="887"/>
      <c r="H4" s="887"/>
      <c r="I4" s="887"/>
      <c r="J4" s="887"/>
      <c r="K4" s="887"/>
      <c r="L4" s="887"/>
      <c r="M4" s="887"/>
      <c r="N4" s="887"/>
      <c r="O4" s="887"/>
      <c r="P4" s="887"/>
      <c r="Q4" s="887"/>
      <c r="R4" s="887"/>
      <c r="S4" s="887"/>
      <c r="T4" s="887"/>
      <c r="U4" s="887"/>
      <c r="V4" s="887"/>
      <c r="W4" s="887"/>
      <c r="X4" s="887"/>
      <c r="Y4" s="887"/>
      <c r="Z4" s="887"/>
      <c r="AA4" s="887"/>
      <c r="AB4" s="887"/>
      <c r="AC4" s="887"/>
      <c r="AD4" s="887"/>
      <c r="AE4" s="887"/>
      <c r="AF4" s="887"/>
      <c r="AG4" s="887"/>
      <c r="AH4" s="887"/>
      <c r="AI4" s="887"/>
      <c r="AJ4" s="887"/>
      <c r="AK4" s="887"/>
      <c r="AL4" s="887"/>
      <c r="AM4" s="887"/>
      <c r="AN4" s="887"/>
      <c r="AO4" s="887"/>
      <c r="AP4" s="887"/>
      <c r="AQ4" s="887"/>
      <c r="AR4" s="887"/>
      <c r="AS4" s="887"/>
      <c r="AT4" s="887"/>
      <c r="AU4" s="887"/>
      <c r="AV4" s="887"/>
      <c r="AW4" s="887"/>
      <c r="AX4" s="887"/>
      <c r="AY4" s="887"/>
      <c r="AZ4" s="887"/>
      <c r="BA4" s="887"/>
      <c r="BB4" s="887"/>
      <c r="BC4" s="887"/>
      <c r="BD4" s="887"/>
      <c r="BE4" s="887"/>
      <c r="BF4" s="887"/>
      <c r="BG4" s="887"/>
      <c r="BH4" s="887"/>
      <c r="BI4" s="887"/>
      <c r="BJ4" s="887"/>
      <c r="BK4" s="887"/>
      <c r="BL4" s="887"/>
      <c r="BM4" s="887"/>
      <c r="BN4" s="887"/>
      <c r="BO4" s="887"/>
      <c r="BP4" s="887"/>
      <c r="BQ4" s="887"/>
      <c r="BR4" s="887"/>
      <c r="BS4" s="887"/>
      <c r="BT4" s="887"/>
      <c r="BU4" s="887"/>
      <c r="BV4" s="887"/>
      <c r="BW4" s="887"/>
      <c r="BX4" s="887"/>
      <c r="BY4" s="887"/>
      <c r="BZ4" s="887"/>
      <c r="CA4" s="887"/>
      <c r="CB4" s="887"/>
      <c r="CC4" s="887"/>
      <c r="CD4" s="887"/>
      <c r="CE4" s="887"/>
      <c r="CF4" s="887"/>
      <c r="CG4" s="887"/>
      <c r="CH4" s="887"/>
      <c r="CI4" s="887"/>
      <c r="CJ4" s="887"/>
      <c r="CK4" s="887"/>
      <c r="CL4" s="887"/>
      <c r="CM4" s="887"/>
      <c r="CN4" s="887"/>
      <c r="CO4" s="887"/>
      <c r="CP4" s="887"/>
      <c r="CQ4" s="887"/>
      <c r="CR4" s="887"/>
      <c r="CS4" s="887"/>
      <c r="CT4" s="887"/>
      <c r="CU4" s="887"/>
      <c r="CV4" s="887"/>
      <c r="CW4" s="887"/>
      <c r="CX4" s="887"/>
      <c r="CY4" s="887"/>
      <c r="CZ4" s="887"/>
    </row>
    <row r="5" spans="1:104" ht="16.5">
      <c r="A5" s="882" t="s">
        <v>66</v>
      </c>
      <c r="B5" s="883">
        <f t="shared" si="0"/>
        <v>5</v>
      </c>
      <c r="C5" s="884">
        <f t="shared" si="1"/>
        <v>0</v>
      </c>
      <c r="D5" s="885">
        <v>5</v>
      </c>
      <c r="E5" s="886">
        <v>0</v>
      </c>
      <c r="F5" s="887"/>
      <c r="G5" s="887"/>
      <c r="H5" s="887"/>
      <c r="I5" s="887"/>
      <c r="J5" s="887"/>
      <c r="K5" s="887"/>
      <c r="L5" s="887"/>
      <c r="M5" s="887"/>
      <c r="N5" s="887"/>
      <c r="O5" s="887"/>
      <c r="P5" s="887"/>
      <c r="Q5" s="887"/>
      <c r="R5" s="887"/>
      <c r="S5" s="887"/>
      <c r="T5" s="887"/>
      <c r="U5" s="887"/>
      <c r="V5" s="887"/>
      <c r="W5" s="887"/>
      <c r="X5" s="887"/>
      <c r="Y5" s="887"/>
      <c r="Z5" s="887"/>
      <c r="AA5" s="887"/>
      <c r="AB5" s="887"/>
      <c r="AC5" s="887"/>
      <c r="AD5" s="887"/>
      <c r="AE5" s="887"/>
      <c r="AF5" s="887"/>
      <c r="AG5" s="887"/>
      <c r="AH5" s="887"/>
      <c r="AI5" s="887"/>
      <c r="AJ5" s="887"/>
      <c r="AK5" s="887"/>
      <c r="AL5" s="887"/>
      <c r="AM5" s="887"/>
      <c r="AN5" s="887"/>
      <c r="AO5" s="887"/>
      <c r="AP5" s="887"/>
      <c r="AQ5" s="887"/>
      <c r="AR5" s="887"/>
      <c r="AS5" s="887"/>
      <c r="AT5" s="887"/>
      <c r="AU5" s="887"/>
      <c r="AV5" s="887"/>
      <c r="AW5" s="887"/>
      <c r="AX5" s="887"/>
      <c r="AY5" s="887"/>
      <c r="AZ5" s="887"/>
      <c r="BA5" s="887"/>
      <c r="BB5" s="887"/>
      <c r="BC5" s="887"/>
      <c r="BD5" s="887"/>
      <c r="BE5" s="887"/>
      <c r="BF5" s="887"/>
      <c r="BG5" s="887"/>
      <c r="BH5" s="887"/>
      <c r="BI5" s="887"/>
      <c r="BJ5" s="887"/>
      <c r="BK5" s="887"/>
      <c r="BL5" s="887"/>
      <c r="BM5" s="887"/>
      <c r="BN5" s="887"/>
      <c r="BO5" s="887"/>
      <c r="BP5" s="887"/>
      <c r="BQ5" s="887"/>
      <c r="BR5" s="887"/>
      <c r="BS5" s="887"/>
      <c r="BT5" s="887"/>
      <c r="BU5" s="887"/>
      <c r="BV5" s="887"/>
      <c r="BW5" s="887"/>
      <c r="BX5" s="887"/>
      <c r="BY5" s="887"/>
      <c r="BZ5" s="887"/>
      <c r="CA5" s="887"/>
      <c r="CB5" s="887"/>
      <c r="CC5" s="887"/>
      <c r="CD5" s="887"/>
      <c r="CE5" s="887"/>
      <c r="CF5" s="887"/>
      <c r="CG5" s="887"/>
      <c r="CH5" s="887"/>
      <c r="CI5" s="887"/>
      <c r="CJ5" s="887"/>
      <c r="CK5" s="887"/>
      <c r="CL5" s="887"/>
      <c r="CM5" s="887"/>
      <c r="CN5" s="887"/>
      <c r="CO5" s="887"/>
      <c r="CP5" s="887"/>
      <c r="CQ5" s="887"/>
      <c r="CR5" s="887"/>
      <c r="CS5" s="887"/>
      <c r="CT5" s="887"/>
      <c r="CU5" s="887"/>
      <c r="CV5" s="887"/>
      <c r="CW5" s="887"/>
      <c r="CX5" s="887"/>
      <c r="CY5" s="887"/>
      <c r="CZ5" s="887"/>
    </row>
    <row r="6" spans="1:104" ht="16.5">
      <c r="A6" s="882" t="s">
        <v>69</v>
      </c>
      <c r="B6" s="883">
        <f t="shared" si="0"/>
        <v>1</v>
      </c>
      <c r="C6" s="884">
        <f t="shared" si="1"/>
        <v>0</v>
      </c>
      <c r="D6" s="885">
        <v>1</v>
      </c>
      <c r="E6" s="886">
        <v>0</v>
      </c>
      <c r="F6" s="887"/>
      <c r="G6" s="887"/>
      <c r="H6" s="887"/>
      <c r="I6" s="887"/>
      <c r="J6" s="887"/>
      <c r="K6" s="887"/>
      <c r="L6" s="887"/>
      <c r="M6" s="887"/>
      <c r="N6" s="887"/>
      <c r="O6" s="887"/>
      <c r="P6" s="887"/>
      <c r="Q6" s="887"/>
      <c r="R6" s="887"/>
      <c r="S6" s="887"/>
      <c r="T6" s="887"/>
      <c r="U6" s="887"/>
      <c r="V6" s="887"/>
      <c r="W6" s="887"/>
      <c r="X6" s="887"/>
      <c r="Y6" s="887"/>
      <c r="Z6" s="887"/>
      <c r="AA6" s="887"/>
      <c r="AB6" s="887"/>
      <c r="AC6" s="887"/>
      <c r="AD6" s="887"/>
      <c r="AE6" s="887"/>
      <c r="AF6" s="887"/>
      <c r="AG6" s="887"/>
      <c r="AH6" s="887"/>
      <c r="AI6" s="887"/>
      <c r="AJ6" s="887"/>
      <c r="AK6" s="887"/>
      <c r="AL6" s="887"/>
      <c r="AM6" s="887"/>
      <c r="AN6" s="887"/>
      <c r="AO6" s="887"/>
      <c r="AP6" s="887"/>
      <c r="AQ6" s="887"/>
      <c r="AR6" s="887"/>
      <c r="AS6" s="887"/>
      <c r="AT6" s="887"/>
      <c r="AU6" s="887"/>
      <c r="AV6" s="887"/>
      <c r="AW6" s="887"/>
      <c r="AX6" s="887"/>
      <c r="AY6" s="887"/>
      <c r="AZ6" s="887"/>
      <c r="BA6" s="887"/>
      <c r="BB6" s="887"/>
      <c r="BC6" s="887"/>
      <c r="BD6" s="887"/>
      <c r="BE6" s="887"/>
      <c r="BF6" s="887"/>
      <c r="BG6" s="887"/>
      <c r="BH6" s="887"/>
      <c r="BI6" s="887"/>
      <c r="BJ6" s="887"/>
      <c r="BK6" s="887"/>
      <c r="BL6" s="887"/>
      <c r="BM6" s="887"/>
      <c r="BN6" s="887"/>
      <c r="BO6" s="887"/>
      <c r="BP6" s="887"/>
      <c r="BQ6" s="887"/>
      <c r="BR6" s="887"/>
      <c r="BS6" s="887"/>
      <c r="BT6" s="887"/>
      <c r="BU6" s="887"/>
      <c r="BV6" s="887"/>
      <c r="BW6" s="887"/>
      <c r="BX6" s="887"/>
      <c r="BY6" s="887"/>
      <c r="BZ6" s="887"/>
      <c r="CA6" s="887"/>
      <c r="CB6" s="887"/>
      <c r="CC6" s="887"/>
      <c r="CD6" s="887"/>
      <c r="CE6" s="887"/>
      <c r="CF6" s="887"/>
      <c r="CG6" s="887"/>
      <c r="CH6" s="887"/>
      <c r="CI6" s="887"/>
      <c r="CJ6" s="887"/>
      <c r="CK6" s="887"/>
      <c r="CL6" s="887"/>
      <c r="CM6" s="887"/>
      <c r="CN6" s="887"/>
      <c r="CO6" s="887"/>
      <c r="CP6" s="887"/>
      <c r="CQ6" s="887"/>
      <c r="CR6" s="887"/>
      <c r="CS6" s="887"/>
      <c r="CT6" s="887"/>
      <c r="CU6" s="887"/>
      <c r="CV6" s="887"/>
      <c r="CW6" s="887"/>
      <c r="CX6" s="887"/>
      <c r="CY6" s="887"/>
      <c r="CZ6" s="887"/>
    </row>
    <row r="7" spans="1:104" ht="16.5">
      <c r="A7" s="882" t="s">
        <v>71</v>
      </c>
      <c r="B7" s="883">
        <f t="shared" si="0"/>
        <v>5</v>
      </c>
      <c r="C7" s="884">
        <f t="shared" si="1"/>
        <v>0</v>
      </c>
      <c r="D7" s="885">
        <v>5</v>
      </c>
      <c r="E7" s="886">
        <v>0</v>
      </c>
      <c r="F7" s="887"/>
      <c r="G7" s="887"/>
      <c r="H7" s="887"/>
      <c r="I7" s="887"/>
      <c r="J7" s="887"/>
      <c r="K7" s="887"/>
      <c r="L7" s="887"/>
      <c r="M7" s="887"/>
      <c r="N7" s="887"/>
      <c r="O7" s="887"/>
      <c r="P7" s="887"/>
      <c r="Q7" s="887"/>
      <c r="R7" s="887"/>
      <c r="S7" s="887"/>
      <c r="T7" s="887"/>
      <c r="U7" s="887"/>
      <c r="V7" s="887"/>
      <c r="W7" s="887"/>
      <c r="X7" s="887"/>
      <c r="Y7" s="887"/>
      <c r="Z7" s="887"/>
      <c r="AA7" s="887"/>
      <c r="AB7" s="887"/>
      <c r="AC7" s="887"/>
      <c r="AD7" s="887"/>
      <c r="AE7" s="887"/>
      <c r="AF7" s="887"/>
      <c r="AG7" s="887"/>
      <c r="AH7" s="887"/>
      <c r="AI7" s="887"/>
      <c r="AJ7" s="887"/>
      <c r="AK7" s="887"/>
      <c r="AL7" s="887"/>
      <c r="AM7" s="887"/>
      <c r="AN7" s="887"/>
      <c r="AO7" s="887"/>
      <c r="AP7" s="887"/>
      <c r="AQ7" s="887"/>
      <c r="AR7" s="887"/>
      <c r="AS7" s="887"/>
      <c r="AT7" s="887"/>
      <c r="AU7" s="887"/>
      <c r="AV7" s="887"/>
      <c r="AW7" s="887"/>
      <c r="AX7" s="887"/>
      <c r="AY7" s="887"/>
      <c r="AZ7" s="887"/>
      <c r="BA7" s="887"/>
      <c r="BB7" s="887"/>
      <c r="BC7" s="887"/>
      <c r="BD7" s="887"/>
      <c r="BE7" s="887"/>
      <c r="BF7" s="887"/>
      <c r="BG7" s="887"/>
      <c r="BH7" s="887"/>
      <c r="BI7" s="887"/>
      <c r="BJ7" s="887"/>
      <c r="BK7" s="887"/>
      <c r="BL7" s="887"/>
      <c r="BM7" s="887"/>
      <c r="BN7" s="887"/>
      <c r="BO7" s="887"/>
      <c r="BP7" s="887"/>
      <c r="BQ7" s="887"/>
      <c r="BR7" s="887"/>
      <c r="BS7" s="887"/>
      <c r="BT7" s="887"/>
      <c r="BU7" s="887"/>
      <c r="BV7" s="887"/>
      <c r="BW7" s="887"/>
      <c r="BX7" s="887"/>
      <c r="BY7" s="887"/>
      <c r="BZ7" s="887"/>
      <c r="CA7" s="887"/>
      <c r="CB7" s="887"/>
      <c r="CC7" s="887"/>
      <c r="CD7" s="887"/>
      <c r="CE7" s="887"/>
      <c r="CF7" s="887"/>
      <c r="CG7" s="887"/>
      <c r="CH7" s="887"/>
      <c r="CI7" s="887"/>
      <c r="CJ7" s="887"/>
      <c r="CK7" s="887"/>
      <c r="CL7" s="887"/>
      <c r="CM7" s="887"/>
      <c r="CN7" s="887"/>
      <c r="CO7" s="887"/>
      <c r="CP7" s="887"/>
      <c r="CQ7" s="887"/>
      <c r="CR7" s="887"/>
      <c r="CS7" s="887"/>
      <c r="CT7" s="887"/>
      <c r="CU7" s="887"/>
      <c r="CV7" s="887"/>
      <c r="CW7" s="887"/>
      <c r="CX7" s="887"/>
      <c r="CY7" s="887"/>
      <c r="CZ7" s="887"/>
    </row>
    <row r="8" spans="1:104" ht="16.5">
      <c r="A8" s="882" t="s">
        <v>73</v>
      </c>
      <c r="B8" s="883">
        <f t="shared" si="0"/>
        <v>5</v>
      </c>
      <c r="C8" s="884">
        <f t="shared" si="1"/>
        <v>0</v>
      </c>
      <c r="D8" s="885">
        <v>5</v>
      </c>
      <c r="E8" s="886" t="s">
        <v>1346</v>
      </c>
      <c r="F8" s="887"/>
      <c r="G8" s="887"/>
      <c r="H8" s="887"/>
      <c r="I8" s="887"/>
      <c r="J8" s="887"/>
      <c r="K8" s="887"/>
      <c r="L8" s="887"/>
      <c r="M8" s="887"/>
      <c r="N8" s="887"/>
      <c r="O8" s="887"/>
      <c r="P8" s="887"/>
      <c r="Q8" s="887"/>
      <c r="R8" s="887"/>
      <c r="S8" s="887"/>
      <c r="T8" s="887"/>
      <c r="U8" s="887"/>
      <c r="V8" s="887"/>
      <c r="W8" s="887"/>
      <c r="X8" s="887"/>
      <c r="Y8" s="887"/>
      <c r="Z8" s="887"/>
      <c r="AA8" s="887"/>
      <c r="AB8" s="887"/>
      <c r="AC8" s="887"/>
      <c r="AD8" s="887"/>
      <c r="AE8" s="887"/>
      <c r="AF8" s="887"/>
      <c r="AG8" s="887"/>
      <c r="AH8" s="887"/>
      <c r="AI8" s="887"/>
      <c r="AJ8" s="887"/>
      <c r="AK8" s="887"/>
      <c r="AL8" s="887"/>
      <c r="AM8" s="887"/>
      <c r="AN8" s="887"/>
      <c r="AO8" s="887"/>
      <c r="AP8" s="887"/>
      <c r="AQ8" s="887"/>
      <c r="AR8" s="887"/>
      <c r="AS8" s="887"/>
      <c r="AT8" s="887"/>
      <c r="AU8" s="887"/>
      <c r="AV8" s="887"/>
      <c r="AW8" s="887"/>
      <c r="AX8" s="887"/>
      <c r="AY8" s="887"/>
      <c r="AZ8" s="887"/>
      <c r="BA8" s="887"/>
      <c r="BB8" s="887"/>
      <c r="BC8" s="887"/>
      <c r="BD8" s="887"/>
      <c r="BE8" s="887"/>
      <c r="BF8" s="887"/>
      <c r="BG8" s="887"/>
      <c r="BH8" s="887"/>
      <c r="BI8" s="887"/>
      <c r="BJ8" s="887"/>
      <c r="BK8" s="887"/>
      <c r="BL8" s="887"/>
      <c r="BM8" s="887"/>
      <c r="BN8" s="887"/>
      <c r="BO8" s="887"/>
      <c r="BP8" s="887"/>
      <c r="BQ8" s="887"/>
      <c r="BR8" s="887"/>
      <c r="BS8" s="887"/>
      <c r="BT8" s="887"/>
      <c r="BU8" s="887"/>
      <c r="BV8" s="887"/>
      <c r="BW8" s="887"/>
      <c r="BX8" s="887"/>
      <c r="BY8" s="887"/>
      <c r="BZ8" s="887"/>
      <c r="CA8" s="887"/>
      <c r="CB8" s="887"/>
      <c r="CC8" s="887"/>
      <c r="CD8" s="887"/>
      <c r="CE8" s="887"/>
      <c r="CF8" s="887"/>
      <c r="CG8" s="887"/>
      <c r="CH8" s="887"/>
      <c r="CI8" s="887"/>
      <c r="CJ8" s="887"/>
      <c r="CK8" s="887"/>
      <c r="CL8" s="887"/>
      <c r="CM8" s="887"/>
      <c r="CN8" s="887"/>
      <c r="CO8" s="887"/>
      <c r="CP8" s="887"/>
      <c r="CQ8" s="887"/>
      <c r="CR8" s="887"/>
      <c r="CS8" s="887"/>
      <c r="CT8" s="887"/>
      <c r="CU8" s="887"/>
      <c r="CV8" s="887"/>
      <c r="CW8" s="887"/>
      <c r="CX8" s="887"/>
      <c r="CY8" s="887"/>
      <c r="CZ8" s="887"/>
    </row>
    <row r="9" spans="1:104" ht="16.5">
      <c r="A9" s="882" t="s">
        <v>75</v>
      </c>
      <c r="B9" s="883">
        <f t="shared" si="0"/>
        <v>5</v>
      </c>
      <c r="C9" s="884">
        <f t="shared" si="1"/>
        <v>0</v>
      </c>
      <c r="D9" s="885">
        <v>5</v>
      </c>
      <c r="E9" s="886"/>
      <c r="F9" s="887"/>
      <c r="G9" s="887"/>
      <c r="H9" s="887"/>
      <c r="I9" s="887"/>
      <c r="J9" s="887"/>
      <c r="K9" s="887"/>
      <c r="L9" s="887"/>
      <c r="M9" s="887"/>
      <c r="N9" s="887"/>
      <c r="O9" s="887"/>
      <c r="P9" s="887"/>
      <c r="Q9" s="887"/>
      <c r="R9" s="887"/>
      <c r="S9" s="887"/>
      <c r="T9" s="887"/>
      <c r="U9" s="887"/>
      <c r="V9" s="887"/>
      <c r="W9" s="887"/>
      <c r="X9" s="887"/>
      <c r="Y9" s="887"/>
      <c r="Z9" s="887"/>
      <c r="AA9" s="887"/>
      <c r="AB9" s="887"/>
      <c r="AC9" s="887"/>
      <c r="AD9" s="887"/>
      <c r="AE9" s="887"/>
      <c r="AF9" s="887"/>
      <c r="AG9" s="887"/>
      <c r="AH9" s="887"/>
      <c r="AI9" s="887"/>
      <c r="AJ9" s="887"/>
      <c r="AK9" s="887"/>
      <c r="AL9" s="887"/>
      <c r="AM9" s="887"/>
      <c r="AN9" s="887"/>
      <c r="AO9" s="887"/>
      <c r="AP9" s="887"/>
      <c r="AQ9" s="887"/>
      <c r="AR9" s="887"/>
      <c r="AS9" s="887"/>
      <c r="AT9" s="887"/>
      <c r="AU9" s="887"/>
      <c r="AV9" s="887"/>
      <c r="AW9" s="887"/>
      <c r="AX9" s="887"/>
      <c r="AY9" s="887"/>
      <c r="AZ9" s="887"/>
      <c r="BA9" s="887"/>
      <c r="BB9" s="887"/>
      <c r="BC9" s="887"/>
      <c r="BD9" s="887"/>
      <c r="BE9" s="887"/>
      <c r="BF9" s="887"/>
      <c r="BG9" s="887"/>
      <c r="BH9" s="887"/>
      <c r="BI9" s="887"/>
      <c r="BJ9" s="887"/>
      <c r="BK9" s="887"/>
      <c r="BL9" s="887"/>
      <c r="BM9" s="887"/>
      <c r="BN9" s="887"/>
      <c r="BO9" s="887"/>
      <c r="BP9" s="887"/>
      <c r="BQ9" s="887"/>
      <c r="BR9" s="887"/>
      <c r="BS9" s="887"/>
      <c r="BT9" s="887"/>
      <c r="BU9" s="887"/>
      <c r="BV9" s="887"/>
      <c r="BW9" s="887"/>
      <c r="BX9" s="887"/>
      <c r="BY9" s="887"/>
      <c r="BZ9" s="887"/>
      <c r="CA9" s="887"/>
      <c r="CB9" s="887"/>
      <c r="CC9" s="887"/>
      <c r="CD9" s="887"/>
      <c r="CE9" s="887"/>
      <c r="CF9" s="887"/>
      <c r="CG9" s="887"/>
      <c r="CH9" s="887"/>
      <c r="CI9" s="887"/>
      <c r="CJ9" s="887"/>
      <c r="CK9" s="887"/>
      <c r="CL9" s="887"/>
      <c r="CM9" s="887"/>
      <c r="CN9" s="887"/>
      <c r="CO9" s="887"/>
      <c r="CP9" s="887"/>
      <c r="CQ9" s="887"/>
      <c r="CR9" s="887"/>
      <c r="CS9" s="887"/>
      <c r="CT9" s="887"/>
      <c r="CU9" s="887"/>
      <c r="CV9" s="887"/>
      <c r="CW9" s="887"/>
      <c r="CX9" s="887"/>
      <c r="CY9" s="887"/>
      <c r="CZ9" s="887"/>
    </row>
    <row r="10" spans="1:104" ht="16.5">
      <c r="A10" s="882" t="s">
        <v>78</v>
      </c>
      <c r="B10" s="883">
        <f t="shared" si="0"/>
        <v>15</v>
      </c>
      <c r="C10" s="884">
        <f t="shared" si="1"/>
        <v>0</v>
      </c>
      <c r="D10" s="885">
        <v>15</v>
      </c>
      <c r="E10" s="886"/>
      <c r="F10" s="887"/>
      <c r="G10" s="887"/>
      <c r="H10" s="887"/>
      <c r="I10" s="887"/>
      <c r="J10" s="887"/>
      <c r="K10" s="887"/>
      <c r="L10" s="887"/>
      <c r="M10" s="887"/>
      <c r="N10" s="887"/>
      <c r="O10" s="887"/>
      <c r="P10" s="887"/>
      <c r="Q10" s="887"/>
      <c r="R10" s="887"/>
      <c r="S10" s="887"/>
      <c r="T10" s="887"/>
      <c r="U10" s="887"/>
      <c r="V10" s="887"/>
      <c r="W10" s="887"/>
      <c r="X10" s="887"/>
      <c r="Y10" s="887"/>
      <c r="Z10" s="887"/>
      <c r="AA10" s="887"/>
      <c r="AB10" s="887"/>
      <c r="AC10" s="887"/>
      <c r="AD10" s="887"/>
      <c r="AE10" s="887"/>
      <c r="AF10" s="887"/>
      <c r="AG10" s="887"/>
      <c r="AH10" s="887"/>
      <c r="AI10" s="887"/>
      <c r="AJ10" s="887"/>
      <c r="AK10" s="887"/>
      <c r="AL10" s="887"/>
      <c r="AM10" s="887"/>
      <c r="AN10" s="887"/>
      <c r="AO10" s="887"/>
      <c r="AP10" s="887"/>
      <c r="AQ10" s="887"/>
      <c r="AR10" s="887"/>
      <c r="AS10" s="887"/>
      <c r="AT10" s="887"/>
      <c r="AU10" s="887"/>
      <c r="AV10" s="887"/>
      <c r="AW10" s="887"/>
      <c r="AX10" s="887"/>
      <c r="AY10" s="887"/>
      <c r="AZ10" s="887"/>
      <c r="BA10" s="887"/>
      <c r="BB10" s="887"/>
      <c r="BC10" s="887"/>
      <c r="BD10" s="887"/>
      <c r="BE10" s="887"/>
      <c r="BF10" s="887"/>
      <c r="BG10" s="887"/>
      <c r="BH10" s="887"/>
      <c r="BI10" s="887"/>
      <c r="BJ10" s="887"/>
      <c r="BK10" s="887"/>
      <c r="BL10" s="887"/>
      <c r="BM10" s="887"/>
      <c r="BN10" s="887"/>
      <c r="BO10" s="887"/>
      <c r="BP10" s="887"/>
      <c r="BQ10" s="887"/>
      <c r="BR10" s="887"/>
      <c r="BS10" s="887"/>
      <c r="BT10" s="887"/>
      <c r="BU10" s="887"/>
      <c r="BV10" s="887"/>
      <c r="BW10" s="887"/>
      <c r="BX10" s="887"/>
      <c r="BY10" s="887"/>
      <c r="BZ10" s="887"/>
      <c r="CA10" s="887"/>
      <c r="CB10" s="887"/>
      <c r="CC10" s="887"/>
      <c r="CD10" s="887"/>
      <c r="CE10" s="887"/>
      <c r="CF10" s="887"/>
      <c r="CG10" s="887"/>
      <c r="CH10" s="887"/>
      <c r="CI10" s="887"/>
      <c r="CJ10" s="887"/>
      <c r="CK10" s="887"/>
      <c r="CL10" s="887"/>
      <c r="CM10" s="887"/>
      <c r="CN10" s="887"/>
      <c r="CO10" s="887"/>
      <c r="CP10" s="887"/>
      <c r="CQ10" s="887"/>
      <c r="CR10" s="887"/>
      <c r="CS10" s="887"/>
      <c r="CT10" s="887"/>
      <c r="CU10" s="887"/>
      <c r="CV10" s="887"/>
      <c r="CW10" s="887"/>
      <c r="CX10" s="887"/>
      <c r="CY10" s="887"/>
      <c r="CZ10" s="887"/>
    </row>
    <row r="11" spans="1:104" ht="16.5">
      <c r="A11" s="882" t="s">
        <v>81</v>
      </c>
      <c r="B11" s="883">
        <f t="shared" si="0"/>
        <v>20</v>
      </c>
      <c r="C11" s="884">
        <f t="shared" si="1"/>
        <v>0</v>
      </c>
      <c r="D11" s="885">
        <v>20</v>
      </c>
      <c r="E11" s="886" t="s">
        <v>1347</v>
      </c>
      <c r="F11" s="887"/>
      <c r="G11" s="887"/>
      <c r="H11" s="887"/>
      <c r="I11" s="887"/>
      <c r="J11" s="887"/>
      <c r="K11" s="887"/>
      <c r="L11" s="887"/>
      <c r="M11" s="887"/>
      <c r="N11" s="887"/>
      <c r="O11" s="887"/>
      <c r="P11" s="887"/>
      <c r="Q11" s="887"/>
      <c r="R11" s="887"/>
      <c r="S11" s="887"/>
      <c r="T11" s="887"/>
      <c r="U11" s="887"/>
      <c r="V11" s="887"/>
      <c r="W11" s="887"/>
      <c r="X11" s="887"/>
      <c r="Y11" s="887"/>
      <c r="Z11" s="887"/>
      <c r="AA11" s="887"/>
      <c r="AB11" s="887"/>
      <c r="AC11" s="887"/>
      <c r="AD11" s="887"/>
      <c r="AE11" s="887"/>
      <c r="AF11" s="887"/>
      <c r="AG11" s="887"/>
      <c r="AH11" s="887"/>
      <c r="AI11" s="887"/>
      <c r="AJ11" s="887"/>
      <c r="AK11" s="887"/>
      <c r="AL11" s="887"/>
      <c r="AM11" s="887"/>
      <c r="AN11" s="887"/>
      <c r="AO11" s="887"/>
      <c r="AP11" s="887"/>
      <c r="AQ11" s="887"/>
      <c r="AR11" s="887"/>
      <c r="AS11" s="887"/>
      <c r="AT11" s="887"/>
      <c r="AU11" s="887"/>
      <c r="AV11" s="887"/>
      <c r="AW11" s="887"/>
      <c r="AX11" s="887"/>
      <c r="AY11" s="887"/>
      <c r="AZ11" s="887"/>
      <c r="BA11" s="887"/>
      <c r="BB11" s="887"/>
      <c r="BC11" s="887"/>
      <c r="BD11" s="887"/>
      <c r="BE11" s="887"/>
      <c r="BF11" s="887"/>
      <c r="BG11" s="887"/>
      <c r="BH11" s="887"/>
      <c r="BI11" s="887"/>
      <c r="BJ11" s="887"/>
      <c r="BK11" s="887"/>
      <c r="BL11" s="887"/>
      <c r="BM11" s="887"/>
      <c r="BN11" s="887"/>
      <c r="BO11" s="887"/>
      <c r="BP11" s="887"/>
      <c r="BQ11" s="887"/>
      <c r="BR11" s="887"/>
      <c r="BS11" s="887"/>
      <c r="BT11" s="887"/>
      <c r="BU11" s="887"/>
      <c r="BV11" s="887"/>
      <c r="BW11" s="887"/>
      <c r="BX11" s="887"/>
      <c r="BY11" s="887"/>
      <c r="BZ11" s="887"/>
      <c r="CA11" s="887"/>
      <c r="CB11" s="887"/>
      <c r="CC11" s="887"/>
      <c r="CD11" s="887"/>
      <c r="CE11" s="887"/>
      <c r="CF11" s="887"/>
      <c r="CG11" s="887"/>
      <c r="CH11" s="887"/>
      <c r="CI11" s="887"/>
      <c r="CJ11" s="887"/>
      <c r="CK11" s="887"/>
      <c r="CL11" s="887"/>
      <c r="CM11" s="887"/>
      <c r="CN11" s="887"/>
      <c r="CO11" s="887"/>
      <c r="CP11" s="887"/>
      <c r="CQ11" s="887"/>
      <c r="CR11" s="887"/>
      <c r="CS11" s="887"/>
      <c r="CT11" s="887"/>
      <c r="CU11" s="887"/>
      <c r="CV11" s="887"/>
      <c r="CW11" s="887"/>
      <c r="CX11" s="887"/>
      <c r="CY11" s="887"/>
      <c r="CZ11" s="887"/>
    </row>
    <row r="12" spans="1:104" ht="16.5">
      <c r="A12" s="882" t="s">
        <v>86</v>
      </c>
      <c r="B12" s="883">
        <f t="shared" si="0"/>
        <v>5</v>
      </c>
      <c r="C12" s="884">
        <f t="shared" si="1"/>
        <v>0</v>
      </c>
      <c r="D12" s="885">
        <v>5</v>
      </c>
      <c r="E12" s="886" t="s">
        <v>1348</v>
      </c>
      <c r="F12" s="887"/>
      <c r="G12" s="887"/>
      <c r="H12" s="887"/>
      <c r="I12" s="887"/>
      <c r="J12" s="887"/>
      <c r="K12" s="887"/>
      <c r="L12" s="887"/>
      <c r="M12" s="887"/>
      <c r="N12" s="887"/>
      <c r="O12" s="887"/>
      <c r="P12" s="887"/>
      <c r="Q12" s="887"/>
      <c r="R12" s="887"/>
      <c r="S12" s="887"/>
      <c r="T12" s="887"/>
      <c r="U12" s="887"/>
      <c r="V12" s="887"/>
      <c r="W12" s="887"/>
      <c r="X12" s="887"/>
      <c r="Y12" s="887"/>
      <c r="Z12" s="887"/>
      <c r="AA12" s="887"/>
      <c r="AB12" s="887"/>
      <c r="AC12" s="887"/>
      <c r="AD12" s="887"/>
      <c r="AE12" s="887"/>
      <c r="AF12" s="887"/>
      <c r="AG12" s="887"/>
      <c r="AH12" s="887"/>
      <c r="AI12" s="887"/>
      <c r="AJ12" s="887"/>
      <c r="AK12" s="887"/>
      <c r="AL12" s="887"/>
      <c r="AM12" s="887"/>
      <c r="AN12" s="887"/>
      <c r="AO12" s="887"/>
      <c r="AP12" s="887"/>
      <c r="AQ12" s="887"/>
      <c r="AR12" s="887"/>
      <c r="AS12" s="887"/>
      <c r="AT12" s="887"/>
      <c r="AU12" s="887"/>
      <c r="AV12" s="887"/>
      <c r="AW12" s="887"/>
      <c r="AX12" s="887"/>
      <c r="AY12" s="887"/>
      <c r="AZ12" s="887"/>
      <c r="BA12" s="887"/>
      <c r="BB12" s="887"/>
      <c r="BC12" s="887"/>
      <c r="BD12" s="887"/>
      <c r="BE12" s="887"/>
      <c r="BF12" s="887"/>
      <c r="BG12" s="887"/>
      <c r="BH12" s="887"/>
      <c r="BI12" s="887"/>
      <c r="BJ12" s="887"/>
      <c r="BK12" s="887"/>
      <c r="BL12" s="887"/>
      <c r="BM12" s="887"/>
      <c r="BN12" s="887"/>
      <c r="BO12" s="887"/>
      <c r="BP12" s="887"/>
      <c r="BQ12" s="887"/>
      <c r="BR12" s="887"/>
      <c r="BS12" s="887"/>
      <c r="BT12" s="887"/>
      <c r="BU12" s="887"/>
      <c r="BV12" s="887"/>
      <c r="BW12" s="887"/>
      <c r="BX12" s="887"/>
      <c r="BY12" s="887"/>
      <c r="BZ12" s="887"/>
      <c r="CA12" s="887"/>
      <c r="CB12" s="887"/>
      <c r="CC12" s="887"/>
      <c r="CD12" s="887"/>
      <c r="CE12" s="887"/>
      <c r="CF12" s="887"/>
      <c r="CG12" s="887"/>
      <c r="CH12" s="887"/>
      <c r="CI12" s="887"/>
      <c r="CJ12" s="887"/>
      <c r="CK12" s="887"/>
      <c r="CL12" s="887"/>
      <c r="CM12" s="887"/>
      <c r="CN12" s="887"/>
      <c r="CO12" s="887"/>
      <c r="CP12" s="887"/>
      <c r="CQ12" s="887"/>
      <c r="CR12" s="887"/>
      <c r="CS12" s="887"/>
      <c r="CT12" s="887"/>
      <c r="CU12" s="887"/>
      <c r="CV12" s="887"/>
      <c r="CW12" s="887"/>
      <c r="CX12" s="887"/>
      <c r="CY12" s="887"/>
      <c r="CZ12" s="887"/>
    </row>
    <row r="13" spans="1:104" ht="16.5">
      <c r="A13" s="882" t="s">
        <v>94</v>
      </c>
      <c r="B13" s="883">
        <f t="shared" si="0"/>
        <v>0</v>
      </c>
      <c r="C13" s="884">
        <f t="shared" si="1"/>
        <v>0</v>
      </c>
      <c r="D13" s="885">
        <v>0</v>
      </c>
      <c r="E13" s="886" t="s">
        <v>1349</v>
      </c>
      <c r="F13" s="887"/>
      <c r="G13" s="887"/>
      <c r="H13" s="887"/>
      <c r="I13" s="887"/>
      <c r="J13" s="887"/>
      <c r="K13" s="887"/>
      <c r="L13" s="887"/>
      <c r="M13" s="887"/>
      <c r="N13" s="887"/>
      <c r="O13" s="887"/>
      <c r="P13" s="887"/>
      <c r="Q13" s="887"/>
      <c r="R13" s="887"/>
      <c r="S13" s="887"/>
      <c r="T13" s="887"/>
      <c r="U13" s="887"/>
      <c r="V13" s="887"/>
      <c r="W13" s="887"/>
      <c r="X13" s="887"/>
      <c r="Y13" s="887"/>
      <c r="Z13" s="887"/>
      <c r="AA13" s="887"/>
      <c r="AB13" s="887"/>
      <c r="AC13" s="887"/>
      <c r="AD13" s="887"/>
      <c r="AE13" s="887"/>
      <c r="AF13" s="887"/>
      <c r="AG13" s="887"/>
      <c r="AH13" s="887"/>
      <c r="AI13" s="887"/>
      <c r="AJ13" s="887"/>
      <c r="AK13" s="887"/>
      <c r="AL13" s="887"/>
      <c r="AM13" s="887"/>
      <c r="AN13" s="887"/>
      <c r="AO13" s="887"/>
      <c r="AP13" s="887"/>
      <c r="AQ13" s="887"/>
      <c r="AR13" s="887"/>
      <c r="AS13" s="887"/>
      <c r="AT13" s="887"/>
      <c r="AU13" s="887"/>
      <c r="AV13" s="887"/>
      <c r="AW13" s="887"/>
      <c r="AX13" s="887"/>
      <c r="AY13" s="887"/>
      <c r="AZ13" s="887"/>
      <c r="BA13" s="887"/>
      <c r="BB13" s="887"/>
      <c r="BC13" s="887"/>
      <c r="BD13" s="887"/>
      <c r="BE13" s="887"/>
      <c r="BF13" s="887"/>
      <c r="BG13" s="887"/>
      <c r="BH13" s="887"/>
      <c r="BI13" s="887"/>
      <c r="BJ13" s="887"/>
      <c r="BK13" s="887"/>
      <c r="BL13" s="887"/>
      <c r="BM13" s="887"/>
      <c r="BN13" s="887"/>
      <c r="BO13" s="887"/>
      <c r="BP13" s="887"/>
      <c r="BQ13" s="887"/>
      <c r="BR13" s="887"/>
      <c r="BS13" s="887"/>
      <c r="BT13" s="887"/>
      <c r="BU13" s="887"/>
      <c r="BV13" s="887"/>
      <c r="BW13" s="887"/>
      <c r="BX13" s="887"/>
      <c r="BY13" s="887"/>
      <c r="BZ13" s="887"/>
      <c r="CA13" s="887"/>
      <c r="CB13" s="887"/>
      <c r="CC13" s="887"/>
      <c r="CD13" s="887"/>
      <c r="CE13" s="887"/>
      <c r="CF13" s="887"/>
      <c r="CG13" s="887"/>
      <c r="CH13" s="887"/>
      <c r="CI13" s="887"/>
      <c r="CJ13" s="887"/>
      <c r="CK13" s="887"/>
      <c r="CL13" s="887"/>
      <c r="CM13" s="887"/>
      <c r="CN13" s="887"/>
      <c r="CO13" s="887"/>
      <c r="CP13" s="887"/>
      <c r="CQ13" s="887"/>
      <c r="CR13" s="887"/>
      <c r="CS13" s="887"/>
      <c r="CT13" s="887"/>
      <c r="CU13" s="887"/>
      <c r="CV13" s="887"/>
      <c r="CW13" s="887"/>
      <c r="CX13" s="887"/>
      <c r="CY13" s="887"/>
      <c r="CZ13" s="887"/>
    </row>
    <row r="14" spans="1:104" ht="16.5">
      <c r="A14" s="882" t="s">
        <v>96</v>
      </c>
      <c r="B14" s="883">
        <f t="shared" si="0"/>
        <v>0</v>
      </c>
      <c r="C14" s="884">
        <f t="shared" si="1"/>
        <v>0</v>
      </c>
      <c r="D14" s="885">
        <v>0</v>
      </c>
      <c r="E14" s="886"/>
      <c r="F14" s="887"/>
      <c r="G14" s="887"/>
      <c r="H14" s="887"/>
      <c r="I14" s="887"/>
      <c r="J14" s="887"/>
      <c r="K14" s="887"/>
      <c r="L14" s="887"/>
      <c r="M14" s="887"/>
      <c r="N14" s="887"/>
      <c r="O14" s="887"/>
      <c r="P14" s="887"/>
      <c r="Q14" s="887"/>
      <c r="R14" s="887"/>
      <c r="S14" s="887"/>
      <c r="T14" s="887"/>
      <c r="U14" s="887"/>
      <c r="V14" s="887"/>
      <c r="W14" s="887"/>
      <c r="X14" s="887"/>
      <c r="Y14" s="887"/>
      <c r="Z14" s="887"/>
      <c r="AA14" s="887"/>
      <c r="AB14" s="887"/>
      <c r="AC14" s="887"/>
      <c r="AD14" s="887"/>
      <c r="AE14" s="887"/>
      <c r="AF14" s="887"/>
      <c r="AG14" s="887"/>
      <c r="AH14" s="887"/>
      <c r="AI14" s="887"/>
      <c r="AJ14" s="887"/>
      <c r="AK14" s="887"/>
      <c r="AL14" s="887"/>
      <c r="AM14" s="887"/>
      <c r="AN14" s="887"/>
      <c r="AO14" s="887"/>
      <c r="AP14" s="887"/>
      <c r="AQ14" s="887"/>
      <c r="AR14" s="887"/>
      <c r="AS14" s="887"/>
      <c r="AT14" s="887"/>
      <c r="AU14" s="887"/>
      <c r="AV14" s="887"/>
      <c r="AW14" s="887"/>
      <c r="AX14" s="887"/>
      <c r="AY14" s="887"/>
      <c r="AZ14" s="887"/>
      <c r="BA14" s="887"/>
      <c r="BB14" s="887"/>
      <c r="BC14" s="887"/>
      <c r="BD14" s="887"/>
      <c r="BE14" s="887"/>
      <c r="BF14" s="887"/>
      <c r="BG14" s="887"/>
      <c r="BH14" s="887"/>
      <c r="BI14" s="887"/>
      <c r="BJ14" s="887"/>
      <c r="BK14" s="887"/>
      <c r="BL14" s="887"/>
      <c r="BM14" s="887"/>
      <c r="BN14" s="887"/>
      <c r="BO14" s="887"/>
      <c r="BP14" s="887"/>
      <c r="BQ14" s="887"/>
      <c r="BR14" s="887"/>
      <c r="BS14" s="887"/>
      <c r="BT14" s="887"/>
      <c r="BU14" s="887"/>
      <c r="BV14" s="887"/>
      <c r="BW14" s="887"/>
      <c r="BX14" s="887"/>
      <c r="BY14" s="887"/>
      <c r="BZ14" s="887"/>
      <c r="CA14" s="887"/>
      <c r="CB14" s="887"/>
      <c r="CC14" s="887"/>
      <c r="CD14" s="887"/>
      <c r="CE14" s="887"/>
      <c r="CF14" s="887"/>
      <c r="CG14" s="887"/>
      <c r="CH14" s="887"/>
      <c r="CI14" s="887"/>
      <c r="CJ14" s="887"/>
      <c r="CK14" s="887"/>
      <c r="CL14" s="887"/>
      <c r="CM14" s="887"/>
      <c r="CN14" s="887"/>
      <c r="CO14" s="887"/>
      <c r="CP14" s="887"/>
      <c r="CQ14" s="887"/>
      <c r="CR14" s="887"/>
      <c r="CS14" s="887"/>
      <c r="CT14" s="887"/>
      <c r="CU14" s="887"/>
      <c r="CV14" s="887"/>
      <c r="CW14" s="887"/>
      <c r="CX14" s="887"/>
      <c r="CY14" s="887"/>
      <c r="CZ14" s="887"/>
    </row>
    <row r="15" spans="1:104" ht="16.5">
      <c r="A15" s="882" t="s">
        <v>103</v>
      </c>
      <c r="B15" s="883">
        <f t="shared" si="0"/>
        <v>5</v>
      </c>
      <c r="C15" s="884">
        <f t="shared" si="1"/>
        <v>0</v>
      </c>
      <c r="D15" s="885">
        <v>5</v>
      </c>
      <c r="E15" s="886" t="s">
        <v>1350</v>
      </c>
      <c r="F15" s="887"/>
      <c r="G15" s="887"/>
      <c r="H15" s="887"/>
      <c r="I15" s="887"/>
      <c r="J15" s="887"/>
      <c r="K15" s="887"/>
      <c r="L15" s="887"/>
      <c r="M15" s="887"/>
      <c r="N15" s="887"/>
      <c r="O15" s="887"/>
      <c r="P15" s="887"/>
      <c r="Q15" s="887"/>
      <c r="R15" s="887"/>
      <c r="S15" s="887"/>
      <c r="T15" s="887"/>
      <c r="U15" s="887"/>
      <c r="V15" s="887"/>
      <c r="W15" s="887"/>
      <c r="X15" s="887"/>
      <c r="Y15" s="887"/>
      <c r="Z15" s="887"/>
      <c r="AA15" s="887"/>
      <c r="AB15" s="887"/>
      <c r="AC15" s="887"/>
      <c r="AD15" s="887"/>
      <c r="AE15" s="887"/>
      <c r="AF15" s="887"/>
      <c r="AG15" s="887"/>
      <c r="AH15" s="887"/>
      <c r="AI15" s="887"/>
      <c r="AJ15" s="887"/>
      <c r="AK15" s="887"/>
      <c r="AL15" s="887"/>
      <c r="AM15" s="887"/>
      <c r="AN15" s="887"/>
      <c r="AO15" s="887"/>
      <c r="AP15" s="887"/>
      <c r="AQ15" s="887"/>
      <c r="AR15" s="887"/>
      <c r="AS15" s="887"/>
      <c r="AT15" s="887"/>
      <c r="AU15" s="887"/>
      <c r="AV15" s="887"/>
      <c r="AW15" s="887"/>
      <c r="AX15" s="887"/>
      <c r="AY15" s="887"/>
      <c r="AZ15" s="887"/>
      <c r="BA15" s="887"/>
      <c r="BB15" s="887"/>
      <c r="BC15" s="887"/>
      <c r="BD15" s="887"/>
      <c r="BE15" s="887"/>
      <c r="BF15" s="887"/>
      <c r="BG15" s="887"/>
      <c r="BH15" s="887"/>
      <c r="BI15" s="887"/>
      <c r="BJ15" s="887"/>
      <c r="BK15" s="887"/>
      <c r="BL15" s="887"/>
      <c r="BM15" s="887"/>
      <c r="BN15" s="887"/>
      <c r="BO15" s="887"/>
      <c r="BP15" s="887"/>
      <c r="BQ15" s="887"/>
      <c r="BR15" s="887"/>
      <c r="BS15" s="887"/>
      <c r="BT15" s="887"/>
      <c r="BU15" s="887"/>
      <c r="BV15" s="887"/>
      <c r="BW15" s="887"/>
      <c r="BX15" s="887"/>
      <c r="BY15" s="887"/>
      <c r="BZ15" s="887"/>
      <c r="CA15" s="887"/>
      <c r="CB15" s="887"/>
      <c r="CC15" s="887"/>
      <c r="CD15" s="887"/>
      <c r="CE15" s="887"/>
      <c r="CF15" s="887"/>
      <c r="CG15" s="887"/>
      <c r="CH15" s="887"/>
      <c r="CI15" s="887"/>
      <c r="CJ15" s="887"/>
      <c r="CK15" s="887"/>
      <c r="CL15" s="887"/>
      <c r="CM15" s="887"/>
      <c r="CN15" s="887"/>
      <c r="CO15" s="887"/>
      <c r="CP15" s="887"/>
      <c r="CQ15" s="887"/>
      <c r="CR15" s="887"/>
      <c r="CS15" s="887"/>
      <c r="CT15" s="887"/>
      <c r="CU15" s="887"/>
      <c r="CV15" s="887"/>
      <c r="CW15" s="887"/>
      <c r="CX15" s="887"/>
      <c r="CY15" s="887"/>
      <c r="CZ15" s="887"/>
    </row>
    <row r="16" spans="1:104" ht="16.5">
      <c r="A16" s="882" t="s">
        <v>105</v>
      </c>
      <c r="B16" s="883">
        <f t="shared" si="0"/>
        <v>0</v>
      </c>
      <c r="C16" s="884">
        <f t="shared" si="1"/>
        <v>0</v>
      </c>
      <c r="D16" s="885">
        <v>0</v>
      </c>
      <c r="E16" s="886" t="s">
        <v>1351</v>
      </c>
      <c r="F16" s="887"/>
      <c r="G16" s="887"/>
      <c r="H16" s="887"/>
      <c r="I16" s="887"/>
      <c r="J16" s="887"/>
      <c r="K16" s="887"/>
      <c r="L16" s="887"/>
      <c r="M16" s="887"/>
      <c r="N16" s="887"/>
      <c r="O16" s="887"/>
      <c r="P16" s="887"/>
      <c r="Q16" s="887"/>
      <c r="R16" s="887"/>
      <c r="S16" s="887"/>
      <c r="T16" s="887"/>
      <c r="U16" s="887"/>
      <c r="V16" s="887"/>
      <c r="W16" s="887"/>
      <c r="X16" s="887"/>
      <c r="Y16" s="887"/>
      <c r="Z16" s="887"/>
      <c r="AA16" s="887"/>
      <c r="AB16" s="887"/>
      <c r="AC16" s="887"/>
      <c r="AD16" s="887"/>
      <c r="AE16" s="887"/>
      <c r="AF16" s="887"/>
      <c r="AG16" s="887"/>
      <c r="AH16" s="887"/>
      <c r="AI16" s="887"/>
      <c r="AJ16" s="887"/>
      <c r="AK16" s="887"/>
      <c r="AL16" s="887"/>
      <c r="AM16" s="887"/>
      <c r="AN16" s="887"/>
      <c r="AO16" s="887"/>
      <c r="AP16" s="887"/>
      <c r="AQ16" s="887"/>
      <c r="AR16" s="887"/>
      <c r="AS16" s="887"/>
      <c r="AT16" s="887"/>
      <c r="AU16" s="887"/>
      <c r="AV16" s="887"/>
      <c r="AW16" s="887"/>
      <c r="AX16" s="887"/>
      <c r="AY16" s="887"/>
      <c r="AZ16" s="887"/>
      <c r="BA16" s="887"/>
      <c r="BB16" s="887"/>
      <c r="BC16" s="887"/>
      <c r="BD16" s="887"/>
      <c r="BE16" s="887"/>
      <c r="BF16" s="887"/>
      <c r="BG16" s="887"/>
      <c r="BH16" s="887"/>
      <c r="BI16" s="887"/>
      <c r="BJ16" s="887"/>
      <c r="BK16" s="887"/>
      <c r="BL16" s="887"/>
      <c r="BM16" s="887"/>
      <c r="BN16" s="887"/>
      <c r="BO16" s="887"/>
      <c r="BP16" s="887"/>
      <c r="BQ16" s="887"/>
      <c r="BR16" s="887"/>
      <c r="BS16" s="887"/>
      <c r="BT16" s="887"/>
      <c r="BU16" s="887"/>
      <c r="BV16" s="887"/>
      <c r="BW16" s="887"/>
      <c r="BX16" s="887"/>
      <c r="BY16" s="887"/>
      <c r="BZ16" s="887"/>
      <c r="CA16" s="887"/>
      <c r="CB16" s="887"/>
      <c r="CC16" s="887"/>
      <c r="CD16" s="887"/>
      <c r="CE16" s="887"/>
      <c r="CF16" s="887"/>
      <c r="CG16" s="887"/>
      <c r="CH16" s="887"/>
      <c r="CI16" s="887"/>
      <c r="CJ16" s="887"/>
      <c r="CK16" s="887"/>
      <c r="CL16" s="887"/>
      <c r="CM16" s="887"/>
      <c r="CN16" s="887"/>
      <c r="CO16" s="887"/>
      <c r="CP16" s="887"/>
      <c r="CQ16" s="887"/>
      <c r="CR16" s="887"/>
      <c r="CS16" s="887"/>
      <c r="CT16" s="887"/>
      <c r="CU16" s="887"/>
      <c r="CV16" s="887"/>
      <c r="CW16" s="887"/>
      <c r="CX16" s="887"/>
      <c r="CY16" s="887"/>
      <c r="CZ16" s="887"/>
    </row>
    <row r="17" spans="1:104" ht="16.5">
      <c r="A17" s="882" t="s">
        <v>109</v>
      </c>
      <c r="B17" s="883">
        <f t="shared" si="0"/>
        <v>20</v>
      </c>
      <c r="C17" s="884">
        <f t="shared" si="1"/>
        <v>0</v>
      </c>
      <c r="D17" s="885">
        <v>20</v>
      </c>
      <c r="E17" s="886"/>
      <c r="F17" s="887"/>
      <c r="G17" s="887"/>
      <c r="H17" s="887"/>
      <c r="I17" s="887"/>
      <c r="J17" s="887"/>
      <c r="K17" s="887"/>
      <c r="L17" s="887"/>
      <c r="M17" s="887"/>
      <c r="N17" s="887"/>
      <c r="O17" s="887"/>
      <c r="P17" s="887"/>
      <c r="Q17" s="887"/>
      <c r="R17" s="887"/>
      <c r="S17" s="887"/>
      <c r="T17" s="887"/>
      <c r="U17" s="887"/>
      <c r="V17" s="887"/>
      <c r="W17" s="887"/>
      <c r="X17" s="887"/>
      <c r="Y17" s="887"/>
      <c r="Z17" s="887"/>
      <c r="AA17" s="887"/>
      <c r="AB17" s="887"/>
      <c r="AC17" s="887"/>
      <c r="AD17" s="887"/>
      <c r="AE17" s="887"/>
      <c r="AF17" s="887"/>
      <c r="AG17" s="887"/>
      <c r="AH17" s="887"/>
      <c r="AI17" s="887"/>
      <c r="AJ17" s="887"/>
      <c r="AK17" s="887"/>
      <c r="AL17" s="887"/>
      <c r="AM17" s="887"/>
      <c r="AN17" s="887"/>
      <c r="AO17" s="887"/>
      <c r="AP17" s="887"/>
      <c r="AQ17" s="887"/>
      <c r="AR17" s="887"/>
      <c r="AS17" s="887"/>
      <c r="AT17" s="887"/>
      <c r="AU17" s="887"/>
      <c r="AV17" s="887"/>
      <c r="AW17" s="887"/>
      <c r="AX17" s="887"/>
      <c r="AY17" s="887"/>
      <c r="AZ17" s="887"/>
      <c r="BA17" s="887"/>
      <c r="BB17" s="887"/>
      <c r="BC17" s="887"/>
      <c r="BD17" s="887"/>
      <c r="BE17" s="887"/>
      <c r="BF17" s="887"/>
      <c r="BG17" s="887"/>
      <c r="BH17" s="887"/>
      <c r="BI17" s="887"/>
      <c r="BJ17" s="887"/>
      <c r="BK17" s="887"/>
      <c r="BL17" s="887"/>
      <c r="BM17" s="887"/>
      <c r="BN17" s="887"/>
      <c r="BO17" s="887"/>
      <c r="BP17" s="887"/>
      <c r="BQ17" s="887"/>
      <c r="BR17" s="887"/>
      <c r="BS17" s="887"/>
      <c r="BT17" s="887"/>
      <c r="BU17" s="887"/>
      <c r="BV17" s="887"/>
      <c r="BW17" s="887"/>
      <c r="BX17" s="887"/>
      <c r="BY17" s="887"/>
      <c r="BZ17" s="887"/>
      <c r="CA17" s="887"/>
      <c r="CB17" s="887"/>
      <c r="CC17" s="887"/>
      <c r="CD17" s="887"/>
      <c r="CE17" s="887"/>
      <c r="CF17" s="887"/>
      <c r="CG17" s="887"/>
      <c r="CH17" s="887"/>
      <c r="CI17" s="887"/>
      <c r="CJ17" s="887"/>
      <c r="CK17" s="887"/>
      <c r="CL17" s="887"/>
      <c r="CM17" s="887"/>
      <c r="CN17" s="887"/>
      <c r="CO17" s="887"/>
      <c r="CP17" s="887"/>
      <c r="CQ17" s="887"/>
      <c r="CR17" s="887"/>
      <c r="CS17" s="887"/>
      <c r="CT17" s="887"/>
      <c r="CU17" s="887"/>
      <c r="CV17" s="887"/>
      <c r="CW17" s="887"/>
      <c r="CX17" s="887"/>
      <c r="CY17" s="887"/>
      <c r="CZ17" s="887"/>
    </row>
    <row r="18" spans="1:104" ht="16.5">
      <c r="A18" s="882" t="s">
        <v>111</v>
      </c>
      <c r="B18" s="883">
        <f t="shared" si="0"/>
        <v>10</v>
      </c>
      <c r="C18" s="884">
        <f t="shared" si="1"/>
        <v>0</v>
      </c>
      <c r="D18" s="885">
        <v>10</v>
      </c>
      <c r="E18" s="886"/>
      <c r="F18" s="887"/>
      <c r="G18" s="887"/>
      <c r="H18" s="887"/>
      <c r="I18" s="887"/>
      <c r="J18" s="887"/>
      <c r="K18" s="887"/>
      <c r="L18" s="887"/>
      <c r="M18" s="887"/>
      <c r="N18" s="887"/>
      <c r="O18" s="887"/>
      <c r="P18" s="887"/>
      <c r="Q18" s="887"/>
      <c r="R18" s="887"/>
      <c r="S18" s="887"/>
      <c r="T18" s="887"/>
      <c r="U18" s="887"/>
      <c r="V18" s="887"/>
      <c r="W18" s="887"/>
      <c r="X18" s="887"/>
      <c r="Y18" s="887"/>
      <c r="Z18" s="887"/>
      <c r="AA18" s="887"/>
      <c r="AB18" s="887"/>
      <c r="AC18" s="887"/>
      <c r="AD18" s="887"/>
      <c r="AE18" s="887"/>
      <c r="AF18" s="887"/>
      <c r="AG18" s="887"/>
      <c r="AH18" s="887"/>
      <c r="AI18" s="887"/>
      <c r="AJ18" s="887"/>
      <c r="AK18" s="887"/>
      <c r="AL18" s="887"/>
      <c r="AM18" s="887"/>
      <c r="AN18" s="887"/>
      <c r="AO18" s="887"/>
      <c r="AP18" s="887"/>
      <c r="AQ18" s="887"/>
      <c r="AR18" s="887"/>
      <c r="AS18" s="887"/>
      <c r="AT18" s="887"/>
      <c r="AU18" s="887"/>
      <c r="AV18" s="887"/>
      <c r="AW18" s="887"/>
      <c r="AX18" s="887"/>
      <c r="AY18" s="887"/>
      <c r="AZ18" s="887"/>
      <c r="BA18" s="887"/>
      <c r="BB18" s="887"/>
      <c r="BC18" s="887"/>
      <c r="BD18" s="887"/>
      <c r="BE18" s="887"/>
      <c r="BF18" s="887"/>
      <c r="BG18" s="887"/>
      <c r="BH18" s="887"/>
      <c r="BI18" s="887"/>
      <c r="BJ18" s="887"/>
      <c r="BK18" s="887"/>
      <c r="BL18" s="887"/>
      <c r="BM18" s="887"/>
      <c r="BN18" s="887"/>
      <c r="BO18" s="887"/>
      <c r="BP18" s="887"/>
      <c r="BQ18" s="887"/>
      <c r="BR18" s="887"/>
      <c r="BS18" s="887"/>
      <c r="BT18" s="887"/>
      <c r="BU18" s="887"/>
      <c r="BV18" s="887"/>
      <c r="BW18" s="887"/>
      <c r="BX18" s="887"/>
      <c r="BY18" s="887"/>
      <c r="BZ18" s="887"/>
      <c r="CA18" s="887"/>
      <c r="CB18" s="887"/>
      <c r="CC18" s="887"/>
      <c r="CD18" s="887"/>
      <c r="CE18" s="887"/>
      <c r="CF18" s="887"/>
      <c r="CG18" s="887"/>
      <c r="CH18" s="887"/>
      <c r="CI18" s="887"/>
      <c r="CJ18" s="887"/>
      <c r="CK18" s="887"/>
      <c r="CL18" s="887"/>
      <c r="CM18" s="887"/>
      <c r="CN18" s="887"/>
      <c r="CO18" s="887"/>
      <c r="CP18" s="887"/>
      <c r="CQ18" s="887"/>
      <c r="CR18" s="887"/>
      <c r="CS18" s="887"/>
      <c r="CT18" s="887"/>
      <c r="CU18" s="887"/>
      <c r="CV18" s="887"/>
      <c r="CW18" s="887"/>
      <c r="CX18" s="887"/>
      <c r="CY18" s="887"/>
      <c r="CZ18" s="887"/>
    </row>
    <row r="19" spans="1:104" ht="16.5">
      <c r="A19" s="882" t="s">
        <v>114</v>
      </c>
      <c r="B19" s="883">
        <f t="shared" si="0"/>
        <v>1</v>
      </c>
      <c r="C19" s="884">
        <f t="shared" si="1"/>
        <v>0</v>
      </c>
      <c r="D19" s="885">
        <v>1</v>
      </c>
      <c r="E19" s="886" t="s">
        <v>1352</v>
      </c>
      <c r="F19" s="887"/>
      <c r="G19" s="887"/>
      <c r="H19" s="887"/>
      <c r="I19" s="887"/>
      <c r="J19" s="887"/>
      <c r="K19" s="887"/>
      <c r="L19" s="887"/>
      <c r="M19" s="887"/>
      <c r="N19" s="887"/>
      <c r="O19" s="887"/>
      <c r="P19" s="887"/>
      <c r="Q19" s="887"/>
      <c r="R19" s="887"/>
      <c r="S19" s="887"/>
      <c r="T19" s="887"/>
      <c r="U19" s="887"/>
      <c r="V19" s="887"/>
      <c r="W19" s="887"/>
      <c r="X19" s="887"/>
      <c r="Y19" s="887"/>
      <c r="Z19" s="887"/>
      <c r="AA19" s="887"/>
      <c r="AB19" s="887"/>
      <c r="AC19" s="887"/>
      <c r="AD19" s="887"/>
      <c r="AE19" s="887"/>
      <c r="AF19" s="887"/>
      <c r="AG19" s="887"/>
      <c r="AH19" s="887"/>
      <c r="AI19" s="887"/>
      <c r="AJ19" s="887"/>
      <c r="AK19" s="887"/>
      <c r="AL19" s="887"/>
      <c r="AM19" s="887"/>
      <c r="AN19" s="887"/>
      <c r="AO19" s="887"/>
      <c r="AP19" s="887"/>
      <c r="AQ19" s="887"/>
      <c r="AR19" s="887"/>
      <c r="AS19" s="887"/>
      <c r="AT19" s="887"/>
      <c r="AU19" s="887"/>
      <c r="AV19" s="887"/>
      <c r="AW19" s="887"/>
      <c r="AX19" s="887"/>
      <c r="AY19" s="887"/>
      <c r="AZ19" s="887"/>
      <c r="BA19" s="887"/>
      <c r="BB19" s="887"/>
      <c r="BC19" s="887"/>
      <c r="BD19" s="887"/>
      <c r="BE19" s="887"/>
      <c r="BF19" s="887"/>
      <c r="BG19" s="887"/>
      <c r="BH19" s="887"/>
      <c r="BI19" s="887"/>
      <c r="BJ19" s="887"/>
      <c r="BK19" s="887"/>
      <c r="BL19" s="887"/>
      <c r="BM19" s="887"/>
      <c r="BN19" s="887"/>
      <c r="BO19" s="887"/>
      <c r="BP19" s="887"/>
      <c r="BQ19" s="887"/>
      <c r="BR19" s="887"/>
      <c r="BS19" s="887"/>
      <c r="BT19" s="887"/>
      <c r="BU19" s="887"/>
      <c r="BV19" s="887"/>
      <c r="BW19" s="887"/>
      <c r="BX19" s="887"/>
      <c r="BY19" s="887"/>
      <c r="BZ19" s="887"/>
      <c r="CA19" s="887"/>
      <c r="CB19" s="887"/>
      <c r="CC19" s="887"/>
      <c r="CD19" s="887"/>
      <c r="CE19" s="887"/>
      <c r="CF19" s="887"/>
      <c r="CG19" s="887"/>
      <c r="CH19" s="887"/>
      <c r="CI19" s="887"/>
      <c r="CJ19" s="887"/>
      <c r="CK19" s="887"/>
      <c r="CL19" s="887"/>
      <c r="CM19" s="887"/>
      <c r="CN19" s="887"/>
      <c r="CO19" s="887"/>
      <c r="CP19" s="887"/>
      <c r="CQ19" s="887"/>
      <c r="CR19" s="887"/>
      <c r="CS19" s="887"/>
      <c r="CT19" s="887"/>
      <c r="CU19" s="887"/>
      <c r="CV19" s="887"/>
      <c r="CW19" s="887"/>
      <c r="CX19" s="887"/>
      <c r="CY19" s="887"/>
      <c r="CZ19" s="887"/>
    </row>
    <row r="20" spans="1:104" ht="16.5">
      <c r="A20" s="882" t="s">
        <v>116</v>
      </c>
      <c r="B20" s="883">
        <f t="shared" si="0"/>
        <v>5</v>
      </c>
      <c r="C20" s="884">
        <f t="shared" si="1"/>
        <v>0</v>
      </c>
      <c r="D20" s="885">
        <v>5</v>
      </c>
      <c r="E20" s="886"/>
      <c r="F20" s="887"/>
      <c r="G20" s="887"/>
      <c r="H20" s="887"/>
      <c r="I20" s="887"/>
      <c r="J20" s="887"/>
      <c r="K20" s="887"/>
      <c r="L20" s="887"/>
      <c r="M20" s="887"/>
      <c r="N20" s="887"/>
      <c r="O20" s="887"/>
      <c r="P20" s="887"/>
      <c r="Q20" s="887"/>
      <c r="R20" s="887"/>
      <c r="S20" s="887"/>
      <c r="T20" s="887"/>
      <c r="U20" s="887"/>
      <c r="V20" s="887"/>
      <c r="W20" s="887"/>
      <c r="X20" s="887"/>
      <c r="Y20" s="887"/>
      <c r="Z20" s="887"/>
      <c r="AA20" s="887"/>
      <c r="AB20" s="887"/>
      <c r="AC20" s="887"/>
      <c r="AD20" s="887"/>
      <c r="AE20" s="887"/>
      <c r="AF20" s="887"/>
      <c r="AG20" s="887"/>
      <c r="AH20" s="887"/>
      <c r="AI20" s="887"/>
      <c r="AJ20" s="887"/>
      <c r="AK20" s="887"/>
      <c r="AL20" s="887"/>
      <c r="AM20" s="887"/>
      <c r="AN20" s="887"/>
      <c r="AO20" s="887"/>
      <c r="AP20" s="887"/>
      <c r="AQ20" s="887"/>
      <c r="AR20" s="887"/>
      <c r="AS20" s="887"/>
      <c r="AT20" s="887"/>
      <c r="AU20" s="887"/>
      <c r="AV20" s="887"/>
      <c r="AW20" s="887"/>
      <c r="AX20" s="887"/>
      <c r="AY20" s="887"/>
      <c r="AZ20" s="887"/>
      <c r="BA20" s="887"/>
      <c r="BB20" s="887"/>
      <c r="BC20" s="887"/>
      <c r="BD20" s="887"/>
      <c r="BE20" s="887"/>
      <c r="BF20" s="887"/>
      <c r="BG20" s="887"/>
      <c r="BH20" s="887"/>
      <c r="BI20" s="887"/>
      <c r="BJ20" s="887"/>
      <c r="BK20" s="887"/>
      <c r="BL20" s="887"/>
      <c r="BM20" s="887"/>
      <c r="BN20" s="887"/>
      <c r="BO20" s="887"/>
      <c r="BP20" s="887"/>
      <c r="BQ20" s="887"/>
      <c r="BR20" s="887"/>
      <c r="BS20" s="887"/>
      <c r="BT20" s="887"/>
      <c r="BU20" s="887"/>
      <c r="BV20" s="887"/>
      <c r="BW20" s="887"/>
      <c r="BX20" s="887"/>
      <c r="BY20" s="887"/>
      <c r="BZ20" s="887"/>
      <c r="CA20" s="887"/>
      <c r="CB20" s="887"/>
      <c r="CC20" s="887"/>
      <c r="CD20" s="887"/>
      <c r="CE20" s="887"/>
      <c r="CF20" s="887"/>
      <c r="CG20" s="887"/>
      <c r="CH20" s="887"/>
      <c r="CI20" s="887"/>
      <c r="CJ20" s="887"/>
      <c r="CK20" s="887"/>
      <c r="CL20" s="887"/>
      <c r="CM20" s="887"/>
      <c r="CN20" s="887"/>
      <c r="CO20" s="887"/>
      <c r="CP20" s="887"/>
      <c r="CQ20" s="887"/>
      <c r="CR20" s="887"/>
      <c r="CS20" s="887"/>
      <c r="CT20" s="887"/>
      <c r="CU20" s="887"/>
      <c r="CV20" s="887"/>
      <c r="CW20" s="887"/>
      <c r="CX20" s="887"/>
      <c r="CY20" s="887"/>
      <c r="CZ20" s="887"/>
    </row>
    <row r="21" spans="1:104" ht="16.5">
      <c r="A21" s="882" t="s">
        <v>1353</v>
      </c>
      <c r="B21" s="883">
        <f t="shared" si="0"/>
        <v>25</v>
      </c>
      <c r="C21" s="884">
        <f t="shared" si="1"/>
        <v>0</v>
      </c>
      <c r="D21" s="885">
        <v>25</v>
      </c>
      <c r="E21" s="886"/>
      <c r="F21" s="887"/>
      <c r="G21" s="887"/>
      <c r="H21" s="887"/>
      <c r="I21" s="887"/>
      <c r="J21" s="887"/>
      <c r="K21" s="887"/>
      <c r="L21" s="887"/>
      <c r="M21" s="887"/>
      <c r="N21" s="887"/>
      <c r="O21" s="887"/>
      <c r="P21" s="887"/>
      <c r="Q21" s="887"/>
      <c r="R21" s="887"/>
      <c r="S21" s="887"/>
      <c r="T21" s="887"/>
      <c r="U21" s="887"/>
      <c r="V21" s="887"/>
      <c r="W21" s="887"/>
      <c r="X21" s="887"/>
      <c r="Y21" s="887"/>
      <c r="Z21" s="887"/>
      <c r="AA21" s="887"/>
      <c r="AB21" s="887"/>
      <c r="AC21" s="887"/>
      <c r="AD21" s="887"/>
      <c r="AE21" s="887"/>
      <c r="AF21" s="887"/>
      <c r="AG21" s="887"/>
      <c r="AH21" s="887"/>
      <c r="AI21" s="887"/>
      <c r="AJ21" s="887"/>
      <c r="AK21" s="887"/>
      <c r="AL21" s="887"/>
      <c r="AM21" s="887"/>
      <c r="AN21" s="887"/>
      <c r="AO21" s="887"/>
      <c r="AP21" s="887"/>
      <c r="AQ21" s="887"/>
      <c r="AR21" s="887"/>
      <c r="AS21" s="887"/>
      <c r="AT21" s="887"/>
      <c r="AU21" s="887"/>
      <c r="AV21" s="887"/>
      <c r="AW21" s="887"/>
      <c r="AX21" s="887"/>
      <c r="AY21" s="887"/>
      <c r="AZ21" s="887"/>
      <c r="BA21" s="887"/>
      <c r="BB21" s="887"/>
      <c r="BC21" s="887"/>
      <c r="BD21" s="887"/>
      <c r="BE21" s="887"/>
      <c r="BF21" s="887"/>
      <c r="BG21" s="887"/>
      <c r="BH21" s="887"/>
      <c r="BI21" s="887"/>
      <c r="BJ21" s="887"/>
      <c r="BK21" s="887"/>
      <c r="BL21" s="887"/>
      <c r="BM21" s="887"/>
      <c r="BN21" s="887"/>
      <c r="BO21" s="887"/>
      <c r="BP21" s="887"/>
      <c r="BQ21" s="887"/>
      <c r="BR21" s="887"/>
      <c r="BS21" s="887"/>
      <c r="BT21" s="887"/>
      <c r="BU21" s="887"/>
      <c r="BV21" s="887"/>
      <c r="BW21" s="887"/>
      <c r="BX21" s="887"/>
      <c r="BY21" s="887"/>
      <c r="BZ21" s="887"/>
      <c r="CA21" s="887"/>
      <c r="CB21" s="887"/>
      <c r="CC21" s="887"/>
      <c r="CD21" s="887"/>
      <c r="CE21" s="887"/>
      <c r="CF21" s="887"/>
      <c r="CG21" s="887"/>
      <c r="CH21" s="887"/>
      <c r="CI21" s="887"/>
      <c r="CJ21" s="887"/>
      <c r="CK21" s="887"/>
      <c r="CL21" s="887"/>
      <c r="CM21" s="887"/>
      <c r="CN21" s="887"/>
      <c r="CO21" s="887"/>
      <c r="CP21" s="887"/>
      <c r="CQ21" s="887"/>
      <c r="CR21" s="887"/>
      <c r="CS21" s="887"/>
      <c r="CT21" s="887"/>
      <c r="CU21" s="887"/>
      <c r="CV21" s="887"/>
      <c r="CW21" s="887"/>
      <c r="CX21" s="887"/>
      <c r="CY21" s="887"/>
      <c r="CZ21" s="887"/>
    </row>
    <row r="22" spans="1:104" ht="16.5">
      <c r="A22" s="882" t="s">
        <v>122</v>
      </c>
      <c r="B22" s="883">
        <f t="shared" si="0"/>
        <v>0</v>
      </c>
      <c r="C22" s="884">
        <f t="shared" si="1"/>
        <v>0</v>
      </c>
      <c r="D22" s="885">
        <v>0</v>
      </c>
      <c r="E22" s="886"/>
      <c r="F22" s="887"/>
      <c r="G22" s="887"/>
      <c r="H22" s="887"/>
      <c r="I22" s="887"/>
      <c r="J22" s="887"/>
      <c r="K22" s="887"/>
      <c r="L22" s="887"/>
      <c r="M22" s="887"/>
      <c r="N22" s="887"/>
      <c r="O22" s="887"/>
      <c r="P22" s="887"/>
      <c r="Q22" s="887"/>
      <c r="R22" s="887"/>
      <c r="S22" s="887"/>
      <c r="T22" s="887"/>
      <c r="U22" s="887"/>
      <c r="V22" s="887"/>
      <c r="W22" s="887"/>
      <c r="X22" s="887"/>
      <c r="Y22" s="887"/>
      <c r="Z22" s="887"/>
      <c r="AA22" s="887"/>
      <c r="AB22" s="887"/>
      <c r="AC22" s="887"/>
      <c r="AD22" s="887"/>
      <c r="AE22" s="887"/>
      <c r="AF22" s="887"/>
      <c r="AG22" s="887"/>
      <c r="AH22" s="887"/>
      <c r="AI22" s="887"/>
      <c r="AJ22" s="887"/>
      <c r="AK22" s="887"/>
      <c r="AL22" s="887"/>
      <c r="AM22" s="887"/>
      <c r="AN22" s="887"/>
      <c r="AO22" s="887"/>
      <c r="AP22" s="887"/>
      <c r="AQ22" s="887"/>
      <c r="AR22" s="887"/>
      <c r="AS22" s="887"/>
      <c r="AT22" s="887"/>
      <c r="AU22" s="887"/>
      <c r="AV22" s="887"/>
      <c r="AW22" s="887"/>
      <c r="AX22" s="887"/>
      <c r="AY22" s="887"/>
      <c r="AZ22" s="887"/>
      <c r="BA22" s="887"/>
      <c r="BB22" s="887"/>
      <c r="BC22" s="887"/>
      <c r="BD22" s="887"/>
      <c r="BE22" s="887"/>
      <c r="BF22" s="887"/>
      <c r="BG22" s="887"/>
      <c r="BH22" s="887"/>
      <c r="BI22" s="887"/>
      <c r="BJ22" s="887"/>
      <c r="BK22" s="887"/>
      <c r="BL22" s="887"/>
      <c r="BM22" s="887"/>
      <c r="BN22" s="887"/>
      <c r="BO22" s="887"/>
      <c r="BP22" s="887"/>
      <c r="BQ22" s="887"/>
      <c r="BR22" s="887"/>
      <c r="BS22" s="887"/>
      <c r="BT22" s="887"/>
      <c r="BU22" s="887"/>
      <c r="BV22" s="887"/>
      <c r="BW22" s="887"/>
      <c r="BX22" s="887"/>
      <c r="BY22" s="887"/>
      <c r="BZ22" s="887"/>
      <c r="CA22" s="887"/>
      <c r="CB22" s="887"/>
      <c r="CC22" s="887"/>
      <c r="CD22" s="887"/>
      <c r="CE22" s="887"/>
      <c r="CF22" s="887"/>
      <c r="CG22" s="887"/>
      <c r="CH22" s="887"/>
      <c r="CI22" s="887"/>
      <c r="CJ22" s="887"/>
      <c r="CK22" s="887"/>
      <c r="CL22" s="887"/>
      <c r="CM22" s="887"/>
      <c r="CN22" s="887"/>
      <c r="CO22" s="887"/>
      <c r="CP22" s="887"/>
      <c r="CQ22" s="887"/>
      <c r="CR22" s="887"/>
      <c r="CS22" s="887"/>
      <c r="CT22" s="887"/>
      <c r="CU22" s="887"/>
      <c r="CV22" s="887"/>
      <c r="CW22" s="887"/>
      <c r="CX22" s="887"/>
      <c r="CY22" s="887"/>
      <c r="CZ22" s="887"/>
    </row>
    <row r="23" spans="1:104" ht="16.5">
      <c r="A23" s="882" t="s">
        <v>126</v>
      </c>
      <c r="B23" s="883">
        <f t="shared" si="0"/>
        <v>0</v>
      </c>
      <c r="C23" s="884">
        <f t="shared" si="1"/>
        <v>0</v>
      </c>
      <c r="D23" s="885">
        <v>0</v>
      </c>
      <c r="E23" s="886"/>
      <c r="F23" s="887"/>
      <c r="G23" s="887"/>
      <c r="H23" s="887"/>
      <c r="I23" s="887"/>
      <c r="J23" s="887"/>
      <c r="K23" s="887"/>
      <c r="L23" s="887"/>
      <c r="M23" s="887"/>
      <c r="N23" s="887"/>
      <c r="O23" s="887"/>
      <c r="P23" s="887"/>
      <c r="Q23" s="887"/>
      <c r="R23" s="887"/>
      <c r="S23" s="887"/>
      <c r="T23" s="887"/>
      <c r="U23" s="887"/>
      <c r="V23" s="887"/>
      <c r="W23" s="887"/>
      <c r="X23" s="887"/>
      <c r="Y23" s="887"/>
      <c r="Z23" s="887"/>
      <c r="AA23" s="887"/>
      <c r="AB23" s="887"/>
      <c r="AC23" s="887"/>
      <c r="AD23" s="887"/>
      <c r="AE23" s="887"/>
      <c r="AF23" s="887"/>
      <c r="AG23" s="887"/>
      <c r="AH23" s="887"/>
      <c r="AI23" s="887"/>
      <c r="AJ23" s="887"/>
      <c r="AK23" s="887"/>
      <c r="AL23" s="887"/>
      <c r="AM23" s="887"/>
      <c r="AN23" s="887"/>
      <c r="AO23" s="887"/>
      <c r="AP23" s="887"/>
      <c r="AQ23" s="887"/>
      <c r="AR23" s="887"/>
      <c r="AS23" s="887"/>
      <c r="AT23" s="887"/>
      <c r="AU23" s="887"/>
      <c r="AV23" s="887"/>
      <c r="AW23" s="887"/>
      <c r="AX23" s="887"/>
      <c r="AY23" s="887"/>
      <c r="AZ23" s="887"/>
      <c r="BA23" s="887"/>
      <c r="BB23" s="887"/>
      <c r="BC23" s="887"/>
      <c r="BD23" s="887"/>
      <c r="BE23" s="887"/>
      <c r="BF23" s="887"/>
      <c r="BG23" s="887"/>
      <c r="BH23" s="887"/>
      <c r="BI23" s="887"/>
      <c r="BJ23" s="887"/>
      <c r="BK23" s="887"/>
      <c r="BL23" s="887"/>
      <c r="BM23" s="887"/>
      <c r="BN23" s="887"/>
      <c r="BO23" s="887"/>
      <c r="BP23" s="887"/>
      <c r="BQ23" s="887"/>
      <c r="BR23" s="887"/>
      <c r="BS23" s="887"/>
      <c r="BT23" s="887"/>
      <c r="BU23" s="887"/>
      <c r="BV23" s="887"/>
      <c r="BW23" s="887"/>
      <c r="BX23" s="887"/>
      <c r="BY23" s="887"/>
      <c r="BZ23" s="887"/>
      <c r="CA23" s="887"/>
      <c r="CB23" s="887"/>
      <c r="CC23" s="887"/>
      <c r="CD23" s="887"/>
      <c r="CE23" s="887"/>
      <c r="CF23" s="887"/>
      <c r="CG23" s="887"/>
      <c r="CH23" s="887"/>
      <c r="CI23" s="887"/>
      <c r="CJ23" s="887"/>
      <c r="CK23" s="887"/>
      <c r="CL23" s="887"/>
      <c r="CM23" s="887"/>
      <c r="CN23" s="887"/>
      <c r="CO23" s="887"/>
      <c r="CP23" s="887"/>
      <c r="CQ23" s="887"/>
      <c r="CR23" s="887"/>
      <c r="CS23" s="887"/>
      <c r="CT23" s="887"/>
      <c r="CU23" s="887"/>
      <c r="CV23" s="887"/>
      <c r="CW23" s="887"/>
      <c r="CX23" s="887"/>
      <c r="CY23" s="887"/>
      <c r="CZ23" s="887"/>
    </row>
    <row r="24" spans="1:104" ht="16.5">
      <c r="A24" s="882" t="s">
        <v>131</v>
      </c>
      <c r="B24" s="883">
        <f t="shared" si="0"/>
        <v>0</v>
      </c>
      <c r="C24" s="884">
        <f t="shared" si="1"/>
        <v>0</v>
      </c>
      <c r="D24" s="885">
        <v>0</v>
      </c>
      <c r="E24" s="886"/>
      <c r="F24" s="887"/>
      <c r="G24" s="887"/>
      <c r="H24" s="887"/>
      <c r="I24" s="887"/>
      <c r="J24" s="887"/>
      <c r="K24" s="887"/>
      <c r="L24" s="887"/>
      <c r="M24" s="887"/>
      <c r="N24" s="887"/>
      <c r="O24" s="887"/>
      <c r="P24" s="887"/>
      <c r="Q24" s="887"/>
      <c r="R24" s="887"/>
      <c r="S24" s="887"/>
      <c r="T24" s="887"/>
      <c r="U24" s="887"/>
      <c r="V24" s="887"/>
      <c r="W24" s="887"/>
      <c r="X24" s="887"/>
      <c r="Y24" s="887"/>
      <c r="Z24" s="887"/>
      <c r="AA24" s="887"/>
      <c r="AB24" s="887"/>
      <c r="AC24" s="887"/>
      <c r="AD24" s="887"/>
      <c r="AE24" s="887"/>
      <c r="AF24" s="887"/>
      <c r="AG24" s="887"/>
      <c r="AH24" s="887"/>
      <c r="AI24" s="887"/>
      <c r="AJ24" s="887"/>
      <c r="AK24" s="887"/>
      <c r="AL24" s="887"/>
      <c r="AM24" s="887"/>
      <c r="AN24" s="887"/>
      <c r="AO24" s="887"/>
      <c r="AP24" s="887"/>
      <c r="AQ24" s="887"/>
      <c r="AR24" s="887"/>
      <c r="AS24" s="887"/>
      <c r="AT24" s="887"/>
      <c r="AU24" s="887"/>
      <c r="AV24" s="887"/>
      <c r="AW24" s="887"/>
      <c r="AX24" s="887"/>
      <c r="AY24" s="887"/>
      <c r="AZ24" s="887"/>
      <c r="BA24" s="887"/>
      <c r="BB24" s="887"/>
      <c r="BC24" s="887"/>
      <c r="BD24" s="887"/>
      <c r="BE24" s="887"/>
      <c r="BF24" s="887"/>
      <c r="BG24" s="887"/>
      <c r="BH24" s="887"/>
      <c r="BI24" s="887"/>
      <c r="BJ24" s="887"/>
      <c r="BK24" s="887"/>
      <c r="BL24" s="887"/>
      <c r="BM24" s="887"/>
      <c r="BN24" s="887"/>
      <c r="BO24" s="887"/>
      <c r="BP24" s="887"/>
      <c r="BQ24" s="887"/>
      <c r="BR24" s="887"/>
      <c r="BS24" s="887"/>
      <c r="BT24" s="887"/>
      <c r="BU24" s="887"/>
      <c r="BV24" s="887"/>
      <c r="BW24" s="887"/>
      <c r="BX24" s="887"/>
      <c r="BY24" s="887"/>
      <c r="BZ24" s="887"/>
      <c r="CA24" s="887"/>
      <c r="CB24" s="887"/>
      <c r="CC24" s="887"/>
      <c r="CD24" s="887"/>
      <c r="CE24" s="887"/>
      <c r="CF24" s="887"/>
      <c r="CG24" s="887"/>
      <c r="CH24" s="887"/>
      <c r="CI24" s="887"/>
      <c r="CJ24" s="887"/>
      <c r="CK24" s="887"/>
      <c r="CL24" s="887"/>
      <c r="CM24" s="887"/>
      <c r="CN24" s="887"/>
      <c r="CO24" s="887"/>
      <c r="CP24" s="887"/>
      <c r="CQ24" s="887"/>
      <c r="CR24" s="887"/>
      <c r="CS24" s="887"/>
      <c r="CT24" s="887"/>
      <c r="CU24" s="887"/>
      <c r="CV24" s="887"/>
      <c r="CW24" s="887"/>
      <c r="CX24" s="887"/>
      <c r="CY24" s="887"/>
      <c r="CZ24" s="887"/>
    </row>
    <row r="25" spans="1:104" ht="16.5">
      <c r="A25" s="882" t="s">
        <v>1354</v>
      </c>
      <c r="B25" s="883">
        <f t="shared" si="0"/>
        <v>20</v>
      </c>
      <c r="C25" s="884">
        <f t="shared" si="1"/>
        <v>0</v>
      </c>
      <c r="D25" s="885">
        <v>20</v>
      </c>
      <c r="E25" s="886"/>
      <c r="F25" s="887"/>
      <c r="G25" s="887"/>
      <c r="H25" s="887"/>
      <c r="I25" s="887"/>
      <c r="J25" s="887"/>
      <c r="K25" s="887"/>
      <c r="L25" s="887"/>
      <c r="M25" s="887"/>
      <c r="N25" s="887"/>
      <c r="O25" s="887"/>
      <c r="P25" s="887"/>
      <c r="Q25" s="887"/>
      <c r="R25" s="887"/>
      <c r="S25" s="887"/>
      <c r="T25" s="887"/>
      <c r="U25" s="887"/>
      <c r="V25" s="887"/>
      <c r="W25" s="887"/>
      <c r="X25" s="887"/>
      <c r="Y25" s="887"/>
      <c r="Z25" s="887"/>
      <c r="AA25" s="887"/>
      <c r="AB25" s="887"/>
      <c r="AC25" s="887"/>
      <c r="AD25" s="887"/>
      <c r="AE25" s="887"/>
      <c r="AF25" s="887"/>
      <c r="AG25" s="887"/>
      <c r="AH25" s="887"/>
      <c r="AI25" s="887"/>
      <c r="AJ25" s="887"/>
      <c r="AK25" s="887"/>
      <c r="AL25" s="887"/>
      <c r="AM25" s="887"/>
      <c r="AN25" s="887"/>
      <c r="AO25" s="887"/>
      <c r="AP25" s="887"/>
      <c r="AQ25" s="887"/>
      <c r="AR25" s="887"/>
      <c r="AS25" s="887"/>
      <c r="AT25" s="887"/>
      <c r="AU25" s="887"/>
      <c r="AV25" s="887"/>
      <c r="AW25" s="887"/>
      <c r="AX25" s="887"/>
      <c r="AY25" s="887"/>
      <c r="AZ25" s="887"/>
      <c r="BA25" s="887"/>
      <c r="BB25" s="887"/>
      <c r="BC25" s="887"/>
      <c r="BD25" s="887"/>
      <c r="BE25" s="887"/>
      <c r="BF25" s="887"/>
      <c r="BG25" s="887"/>
      <c r="BH25" s="887"/>
      <c r="BI25" s="887"/>
      <c r="BJ25" s="887"/>
      <c r="BK25" s="887"/>
      <c r="BL25" s="887"/>
      <c r="BM25" s="887"/>
      <c r="BN25" s="887"/>
      <c r="BO25" s="887"/>
      <c r="BP25" s="887"/>
      <c r="BQ25" s="887"/>
      <c r="BR25" s="887"/>
      <c r="BS25" s="887"/>
      <c r="BT25" s="887"/>
      <c r="BU25" s="887"/>
      <c r="BV25" s="887"/>
      <c r="BW25" s="887"/>
      <c r="BX25" s="887"/>
      <c r="BY25" s="887"/>
      <c r="BZ25" s="887"/>
      <c r="CA25" s="887"/>
      <c r="CB25" s="887"/>
      <c r="CC25" s="887"/>
      <c r="CD25" s="887"/>
      <c r="CE25" s="887"/>
      <c r="CF25" s="887"/>
      <c r="CG25" s="887"/>
      <c r="CH25" s="887"/>
      <c r="CI25" s="887"/>
      <c r="CJ25" s="887"/>
      <c r="CK25" s="887"/>
      <c r="CL25" s="887"/>
      <c r="CM25" s="887"/>
      <c r="CN25" s="887"/>
      <c r="CO25" s="887"/>
      <c r="CP25" s="887"/>
      <c r="CQ25" s="887"/>
      <c r="CR25" s="887"/>
      <c r="CS25" s="887"/>
      <c r="CT25" s="887"/>
      <c r="CU25" s="887"/>
      <c r="CV25" s="887"/>
      <c r="CW25" s="887"/>
      <c r="CX25" s="887"/>
      <c r="CY25" s="887"/>
      <c r="CZ25" s="887"/>
    </row>
    <row r="26" spans="1:104" ht="16.5">
      <c r="A26" s="882" t="s">
        <v>137</v>
      </c>
      <c r="B26" s="883">
        <f t="shared" si="0"/>
        <v>25</v>
      </c>
      <c r="C26" s="884">
        <f t="shared" si="1"/>
        <v>0</v>
      </c>
      <c r="D26" s="885">
        <v>25</v>
      </c>
      <c r="E26" s="886"/>
      <c r="F26" s="887"/>
      <c r="G26" s="887"/>
      <c r="H26" s="887"/>
      <c r="I26" s="887"/>
      <c r="J26" s="887"/>
      <c r="K26" s="887"/>
      <c r="L26" s="887"/>
      <c r="M26" s="887"/>
      <c r="N26" s="887"/>
      <c r="O26" s="887"/>
      <c r="P26" s="887"/>
      <c r="Q26" s="887"/>
      <c r="R26" s="887"/>
      <c r="S26" s="887"/>
      <c r="T26" s="887"/>
      <c r="U26" s="887"/>
      <c r="V26" s="887"/>
      <c r="W26" s="887"/>
      <c r="X26" s="887"/>
      <c r="Y26" s="887"/>
      <c r="Z26" s="887"/>
      <c r="AA26" s="887"/>
      <c r="AB26" s="887"/>
      <c r="AC26" s="887"/>
      <c r="AD26" s="887"/>
      <c r="AE26" s="887"/>
      <c r="AF26" s="887"/>
      <c r="AG26" s="887"/>
      <c r="AH26" s="887"/>
      <c r="AI26" s="887"/>
      <c r="AJ26" s="887"/>
      <c r="AK26" s="887"/>
      <c r="AL26" s="887"/>
      <c r="AM26" s="887"/>
      <c r="AN26" s="887"/>
      <c r="AO26" s="887"/>
      <c r="AP26" s="887"/>
      <c r="AQ26" s="887"/>
      <c r="AR26" s="887"/>
      <c r="AS26" s="887"/>
      <c r="AT26" s="887"/>
      <c r="AU26" s="887"/>
      <c r="AV26" s="887"/>
      <c r="AW26" s="887"/>
      <c r="AX26" s="887"/>
      <c r="AY26" s="887"/>
      <c r="AZ26" s="887"/>
      <c r="BA26" s="887"/>
      <c r="BB26" s="887"/>
      <c r="BC26" s="887"/>
      <c r="BD26" s="887"/>
      <c r="BE26" s="887"/>
      <c r="BF26" s="887"/>
      <c r="BG26" s="887"/>
      <c r="BH26" s="887"/>
      <c r="BI26" s="887"/>
      <c r="BJ26" s="887"/>
      <c r="BK26" s="887"/>
      <c r="BL26" s="887"/>
      <c r="BM26" s="887"/>
      <c r="BN26" s="887"/>
      <c r="BO26" s="887"/>
      <c r="BP26" s="887"/>
      <c r="BQ26" s="887"/>
      <c r="BR26" s="887"/>
      <c r="BS26" s="887"/>
      <c r="BT26" s="887"/>
      <c r="BU26" s="887"/>
      <c r="BV26" s="887"/>
      <c r="BW26" s="887"/>
      <c r="BX26" s="887"/>
      <c r="BY26" s="887"/>
      <c r="BZ26" s="887"/>
      <c r="CA26" s="887"/>
      <c r="CB26" s="887"/>
      <c r="CC26" s="887"/>
      <c r="CD26" s="887"/>
      <c r="CE26" s="887"/>
      <c r="CF26" s="887"/>
      <c r="CG26" s="887"/>
      <c r="CH26" s="887"/>
      <c r="CI26" s="887"/>
      <c r="CJ26" s="887"/>
      <c r="CK26" s="887"/>
      <c r="CL26" s="887"/>
      <c r="CM26" s="887"/>
      <c r="CN26" s="887"/>
      <c r="CO26" s="887"/>
      <c r="CP26" s="887"/>
      <c r="CQ26" s="887"/>
      <c r="CR26" s="887"/>
      <c r="CS26" s="887"/>
      <c r="CT26" s="887"/>
      <c r="CU26" s="887"/>
      <c r="CV26" s="887"/>
      <c r="CW26" s="887"/>
      <c r="CX26" s="887"/>
      <c r="CY26" s="887"/>
      <c r="CZ26" s="887"/>
    </row>
    <row r="27" spans="1:104" ht="16.5">
      <c r="A27" s="882" t="s">
        <v>139</v>
      </c>
      <c r="B27" s="883">
        <f t="shared" si="0"/>
        <v>0</v>
      </c>
      <c r="C27" s="884">
        <f t="shared" si="1"/>
        <v>0</v>
      </c>
      <c r="D27" s="885">
        <v>0</v>
      </c>
      <c r="E27" s="886"/>
      <c r="F27" s="887"/>
      <c r="G27" s="887"/>
      <c r="H27" s="887"/>
      <c r="I27" s="887"/>
      <c r="J27" s="887"/>
      <c r="K27" s="887"/>
      <c r="L27" s="887"/>
      <c r="M27" s="887"/>
      <c r="N27" s="887"/>
      <c r="O27" s="887"/>
      <c r="P27" s="887"/>
      <c r="Q27" s="887"/>
      <c r="R27" s="887"/>
      <c r="S27" s="887"/>
      <c r="T27" s="887"/>
      <c r="U27" s="887"/>
      <c r="V27" s="887"/>
      <c r="W27" s="887"/>
      <c r="X27" s="887"/>
      <c r="Y27" s="887"/>
      <c r="Z27" s="887"/>
      <c r="AA27" s="887"/>
      <c r="AB27" s="887"/>
      <c r="AC27" s="887"/>
      <c r="AD27" s="887"/>
      <c r="AE27" s="887"/>
      <c r="AF27" s="887"/>
      <c r="AG27" s="887"/>
      <c r="AH27" s="887"/>
      <c r="AI27" s="887"/>
      <c r="AJ27" s="887"/>
      <c r="AK27" s="887"/>
      <c r="AL27" s="887"/>
      <c r="AM27" s="887"/>
      <c r="AN27" s="887"/>
      <c r="AO27" s="887"/>
      <c r="AP27" s="887"/>
      <c r="AQ27" s="887"/>
      <c r="AR27" s="887"/>
      <c r="AS27" s="887"/>
      <c r="AT27" s="887"/>
      <c r="AU27" s="887"/>
      <c r="AV27" s="887"/>
      <c r="AW27" s="887"/>
      <c r="AX27" s="887"/>
      <c r="AY27" s="887"/>
      <c r="AZ27" s="887"/>
      <c r="BA27" s="887"/>
      <c r="BB27" s="887"/>
      <c r="BC27" s="887"/>
      <c r="BD27" s="887"/>
      <c r="BE27" s="887"/>
      <c r="BF27" s="887"/>
      <c r="BG27" s="887"/>
      <c r="BH27" s="887"/>
      <c r="BI27" s="887"/>
      <c r="BJ27" s="887"/>
      <c r="BK27" s="887"/>
      <c r="BL27" s="887"/>
      <c r="BM27" s="887"/>
      <c r="BN27" s="887"/>
      <c r="BO27" s="887"/>
      <c r="BP27" s="887"/>
      <c r="BQ27" s="887"/>
      <c r="BR27" s="887"/>
      <c r="BS27" s="887"/>
      <c r="BT27" s="887"/>
      <c r="BU27" s="887"/>
      <c r="BV27" s="887"/>
      <c r="BW27" s="887"/>
      <c r="BX27" s="887"/>
      <c r="BY27" s="887"/>
      <c r="BZ27" s="887"/>
      <c r="CA27" s="887"/>
      <c r="CB27" s="887"/>
      <c r="CC27" s="887"/>
      <c r="CD27" s="887"/>
      <c r="CE27" s="887"/>
      <c r="CF27" s="887"/>
      <c r="CG27" s="887"/>
      <c r="CH27" s="887"/>
      <c r="CI27" s="887"/>
      <c r="CJ27" s="887"/>
      <c r="CK27" s="887"/>
      <c r="CL27" s="887"/>
      <c r="CM27" s="887"/>
      <c r="CN27" s="887"/>
      <c r="CO27" s="887"/>
      <c r="CP27" s="887"/>
      <c r="CQ27" s="887"/>
      <c r="CR27" s="887"/>
      <c r="CS27" s="887"/>
      <c r="CT27" s="887"/>
      <c r="CU27" s="887"/>
      <c r="CV27" s="887"/>
      <c r="CW27" s="887"/>
      <c r="CX27" s="887"/>
      <c r="CY27" s="887"/>
      <c r="CZ27" s="887"/>
    </row>
    <row r="28" spans="1:104" ht="16.5">
      <c r="A28" s="882" t="s">
        <v>141</v>
      </c>
      <c r="B28" s="883">
        <f t="shared" si="0"/>
        <v>0</v>
      </c>
      <c r="C28" s="884">
        <f t="shared" si="1"/>
        <v>0</v>
      </c>
      <c r="D28" s="885">
        <v>0</v>
      </c>
      <c r="E28" s="886"/>
      <c r="F28" s="887"/>
      <c r="G28" s="887"/>
      <c r="H28" s="887"/>
      <c r="I28" s="887"/>
      <c r="J28" s="887"/>
      <c r="K28" s="887"/>
      <c r="L28" s="887"/>
      <c r="M28" s="887"/>
      <c r="N28" s="887"/>
      <c r="O28" s="887"/>
      <c r="P28" s="887"/>
      <c r="Q28" s="887"/>
      <c r="R28" s="887"/>
      <c r="S28" s="887"/>
      <c r="T28" s="887"/>
      <c r="U28" s="887"/>
      <c r="V28" s="887"/>
      <c r="W28" s="887"/>
      <c r="X28" s="887"/>
      <c r="Y28" s="887"/>
      <c r="Z28" s="887"/>
      <c r="AA28" s="887"/>
      <c r="AB28" s="887"/>
      <c r="AC28" s="887"/>
      <c r="AD28" s="887"/>
      <c r="AE28" s="887"/>
      <c r="AF28" s="887"/>
      <c r="AG28" s="887"/>
      <c r="AH28" s="887"/>
      <c r="AI28" s="887"/>
      <c r="AJ28" s="887"/>
      <c r="AK28" s="887"/>
      <c r="AL28" s="887"/>
      <c r="AM28" s="887"/>
      <c r="AN28" s="887"/>
      <c r="AO28" s="887"/>
      <c r="AP28" s="887"/>
      <c r="AQ28" s="887"/>
      <c r="AR28" s="887"/>
      <c r="AS28" s="887"/>
      <c r="AT28" s="887"/>
      <c r="AU28" s="887"/>
      <c r="AV28" s="887"/>
      <c r="AW28" s="887"/>
      <c r="AX28" s="887"/>
      <c r="AY28" s="887"/>
      <c r="AZ28" s="887"/>
      <c r="BA28" s="887"/>
      <c r="BB28" s="887"/>
      <c r="BC28" s="887"/>
      <c r="BD28" s="887"/>
      <c r="BE28" s="887"/>
      <c r="BF28" s="887"/>
      <c r="BG28" s="887"/>
      <c r="BH28" s="887"/>
      <c r="BI28" s="887"/>
      <c r="BJ28" s="887"/>
      <c r="BK28" s="887"/>
      <c r="BL28" s="887"/>
      <c r="BM28" s="887"/>
      <c r="BN28" s="887"/>
      <c r="BO28" s="887"/>
      <c r="BP28" s="887"/>
      <c r="BQ28" s="887"/>
      <c r="BR28" s="887"/>
      <c r="BS28" s="887"/>
      <c r="BT28" s="887"/>
      <c r="BU28" s="887"/>
      <c r="BV28" s="887"/>
      <c r="BW28" s="887"/>
      <c r="BX28" s="887"/>
      <c r="BY28" s="887"/>
      <c r="BZ28" s="887"/>
      <c r="CA28" s="887"/>
      <c r="CB28" s="887"/>
      <c r="CC28" s="887"/>
      <c r="CD28" s="887"/>
      <c r="CE28" s="887"/>
      <c r="CF28" s="887"/>
      <c r="CG28" s="887"/>
      <c r="CH28" s="887"/>
      <c r="CI28" s="887"/>
      <c r="CJ28" s="887"/>
      <c r="CK28" s="887"/>
      <c r="CL28" s="887"/>
      <c r="CM28" s="887"/>
      <c r="CN28" s="887"/>
      <c r="CO28" s="887"/>
      <c r="CP28" s="887"/>
      <c r="CQ28" s="887"/>
      <c r="CR28" s="887"/>
      <c r="CS28" s="887"/>
      <c r="CT28" s="887"/>
      <c r="CU28" s="887"/>
      <c r="CV28" s="887"/>
      <c r="CW28" s="887"/>
      <c r="CX28" s="887"/>
      <c r="CY28" s="887"/>
      <c r="CZ28" s="887"/>
    </row>
    <row r="29" spans="1:104" ht="16.5">
      <c r="A29" s="882" t="s">
        <v>143</v>
      </c>
      <c r="B29" s="883">
        <f t="shared" si="0"/>
        <v>30</v>
      </c>
      <c r="C29" s="884">
        <f t="shared" si="1"/>
        <v>0</v>
      </c>
      <c r="D29" s="885">
        <v>30</v>
      </c>
      <c r="E29" s="886"/>
      <c r="F29" s="887"/>
      <c r="G29" s="887"/>
      <c r="H29" s="887"/>
      <c r="I29" s="887"/>
      <c r="J29" s="887"/>
      <c r="K29" s="887"/>
      <c r="L29" s="887"/>
      <c r="M29" s="887"/>
      <c r="N29" s="887"/>
      <c r="O29" s="887"/>
      <c r="P29" s="887"/>
      <c r="Q29" s="887"/>
      <c r="R29" s="887"/>
      <c r="S29" s="887"/>
      <c r="T29" s="887"/>
      <c r="U29" s="887"/>
      <c r="V29" s="887"/>
      <c r="W29" s="887"/>
      <c r="X29" s="887"/>
      <c r="Y29" s="887"/>
      <c r="Z29" s="887"/>
      <c r="AA29" s="887"/>
      <c r="AB29" s="887"/>
      <c r="AC29" s="887"/>
      <c r="AD29" s="887"/>
      <c r="AE29" s="887"/>
      <c r="AF29" s="887"/>
      <c r="AG29" s="887"/>
      <c r="AH29" s="887"/>
      <c r="AI29" s="887"/>
      <c r="AJ29" s="887"/>
      <c r="AK29" s="887"/>
      <c r="AL29" s="887"/>
      <c r="AM29" s="887"/>
      <c r="AN29" s="887"/>
      <c r="AO29" s="887"/>
      <c r="AP29" s="887"/>
      <c r="AQ29" s="887"/>
      <c r="AR29" s="887"/>
      <c r="AS29" s="887"/>
      <c r="AT29" s="887"/>
      <c r="AU29" s="887"/>
      <c r="AV29" s="887"/>
      <c r="AW29" s="887"/>
      <c r="AX29" s="887"/>
      <c r="AY29" s="887"/>
      <c r="AZ29" s="887"/>
      <c r="BA29" s="887"/>
      <c r="BB29" s="887"/>
      <c r="BC29" s="887"/>
      <c r="BD29" s="887"/>
      <c r="BE29" s="887"/>
      <c r="BF29" s="887"/>
      <c r="BG29" s="887"/>
      <c r="BH29" s="887"/>
      <c r="BI29" s="887"/>
      <c r="BJ29" s="887"/>
      <c r="BK29" s="887"/>
      <c r="BL29" s="887"/>
      <c r="BM29" s="887"/>
      <c r="BN29" s="887"/>
      <c r="BO29" s="887"/>
      <c r="BP29" s="887"/>
      <c r="BQ29" s="887"/>
      <c r="BR29" s="887"/>
      <c r="BS29" s="887"/>
      <c r="BT29" s="887"/>
      <c r="BU29" s="887"/>
      <c r="BV29" s="887"/>
      <c r="BW29" s="887"/>
      <c r="BX29" s="887"/>
      <c r="BY29" s="887"/>
      <c r="BZ29" s="887"/>
      <c r="CA29" s="887"/>
      <c r="CB29" s="887"/>
      <c r="CC29" s="887"/>
      <c r="CD29" s="887"/>
      <c r="CE29" s="887"/>
      <c r="CF29" s="887"/>
      <c r="CG29" s="887"/>
      <c r="CH29" s="887"/>
      <c r="CI29" s="887"/>
      <c r="CJ29" s="887"/>
      <c r="CK29" s="887"/>
      <c r="CL29" s="887"/>
      <c r="CM29" s="887"/>
      <c r="CN29" s="887"/>
      <c r="CO29" s="887"/>
      <c r="CP29" s="887"/>
      <c r="CQ29" s="887"/>
      <c r="CR29" s="887"/>
      <c r="CS29" s="887"/>
      <c r="CT29" s="887"/>
      <c r="CU29" s="887"/>
      <c r="CV29" s="887"/>
      <c r="CW29" s="887"/>
      <c r="CX29" s="887"/>
      <c r="CY29" s="887"/>
      <c r="CZ29" s="887"/>
    </row>
    <row r="30" spans="1:104" ht="16.5">
      <c r="A30" s="882" t="s">
        <v>145</v>
      </c>
      <c r="B30" s="883">
        <f t="shared" si="0"/>
        <v>5</v>
      </c>
      <c r="C30" s="884">
        <f t="shared" si="1"/>
        <v>0</v>
      </c>
      <c r="D30" s="885">
        <v>5</v>
      </c>
      <c r="E30" s="886"/>
      <c r="F30" s="887"/>
      <c r="G30" s="887"/>
      <c r="H30" s="887"/>
      <c r="I30" s="887"/>
      <c r="J30" s="887"/>
      <c r="K30" s="887"/>
      <c r="L30" s="887"/>
      <c r="M30" s="887"/>
      <c r="N30" s="887"/>
      <c r="O30" s="887"/>
      <c r="P30" s="887"/>
      <c r="Q30" s="887"/>
      <c r="R30" s="887"/>
      <c r="S30" s="887"/>
      <c r="T30" s="887"/>
      <c r="U30" s="887"/>
      <c r="V30" s="887"/>
      <c r="W30" s="887"/>
      <c r="X30" s="887"/>
      <c r="Y30" s="887"/>
      <c r="Z30" s="887"/>
      <c r="AA30" s="887"/>
      <c r="AB30" s="887"/>
      <c r="AC30" s="887"/>
      <c r="AD30" s="887"/>
      <c r="AE30" s="887"/>
      <c r="AF30" s="887"/>
      <c r="AG30" s="887"/>
      <c r="AH30" s="887"/>
      <c r="AI30" s="887"/>
      <c r="AJ30" s="887"/>
      <c r="AK30" s="887"/>
      <c r="AL30" s="887"/>
      <c r="AM30" s="887"/>
      <c r="AN30" s="887"/>
      <c r="AO30" s="887"/>
      <c r="AP30" s="887"/>
      <c r="AQ30" s="887"/>
      <c r="AR30" s="887"/>
      <c r="AS30" s="887"/>
      <c r="AT30" s="887"/>
      <c r="AU30" s="887"/>
      <c r="AV30" s="887"/>
      <c r="AW30" s="887"/>
      <c r="AX30" s="887"/>
      <c r="AY30" s="887"/>
      <c r="AZ30" s="887"/>
      <c r="BA30" s="887"/>
      <c r="BB30" s="887"/>
      <c r="BC30" s="887"/>
      <c r="BD30" s="887"/>
      <c r="BE30" s="887"/>
      <c r="BF30" s="887"/>
      <c r="BG30" s="887"/>
      <c r="BH30" s="887"/>
      <c r="BI30" s="887"/>
      <c r="BJ30" s="887"/>
      <c r="BK30" s="887"/>
      <c r="BL30" s="887"/>
      <c r="BM30" s="887"/>
      <c r="BN30" s="887"/>
      <c r="BO30" s="887"/>
      <c r="BP30" s="887"/>
      <c r="BQ30" s="887"/>
      <c r="BR30" s="887"/>
      <c r="BS30" s="887"/>
      <c r="BT30" s="887"/>
      <c r="BU30" s="887"/>
      <c r="BV30" s="887"/>
      <c r="BW30" s="887"/>
      <c r="BX30" s="887"/>
      <c r="BY30" s="887"/>
      <c r="BZ30" s="887"/>
      <c r="CA30" s="887"/>
      <c r="CB30" s="887"/>
      <c r="CC30" s="887"/>
      <c r="CD30" s="887"/>
      <c r="CE30" s="887"/>
      <c r="CF30" s="887"/>
      <c r="CG30" s="887"/>
      <c r="CH30" s="887"/>
      <c r="CI30" s="887"/>
      <c r="CJ30" s="887"/>
      <c r="CK30" s="887"/>
      <c r="CL30" s="887"/>
      <c r="CM30" s="887"/>
      <c r="CN30" s="887"/>
      <c r="CO30" s="887"/>
      <c r="CP30" s="887"/>
      <c r="CQ30" s="887"/>
      <c r="CR30" s="887"/>
      <c r="CS30" s="887"/>
      <c r="CT30" s="887"/>
      <c r="CU30" s="887"/>
      <c r="CV30" s="887"/>
      <c r="CW30" s="887"/>
      <c r="CX30" s="887"/>
      <c r="CY30" s="887"/>
      <c r="CZ30" s="887"/>
    </row>
    <row r="31" spans="1:104" ht="16.5">
      <c r="A31" s="882" t="s">
        <v>148</v>
      </c>
      <c r="B31" s="883">
        <f t="shared" si="0"/>
        <v>15</v>
      </c>
      <c r="C31" s="884">
        <f t="shared" si="1"/>
        <v>0</v>
      </c>
      <c r="D31" s="885">
        <v>15</v>
      </c>
      <c r="E31" s="886"/>
      <c r="F31" s="887"/>
      <c r="G31" s="887"/>
      <c r="H31" s="887"/>
      <c r="I31" s="887"/>
      <c r="J31" s="887"/>
      <c r="K31" s="887"/>
      <c r="L31" s="887"/>
      <c r="M31" s="887"/>
      <c r="N31" s="887"/>
      <c r="O31" s="887"/>
      <c r="P31" s="887"/>
      <c r="Q31" s="887"/>
      <c r="R31" s="887"/>
      <c r="S31" s="887"/>
      <c r="T31" s="887"/>
      <c r="U31" s="887"/>
      <c r="V31" s="887"/>
      <c r="W31" s="887"/>
      <c r="X31" s="887"/>
      <c r="Y31" s="887"/>
      <c r="Z31" s="887"/>
      <c r="AA31" s="887"/>
      <c r="AB31" s="887"/>
      <c r="AC31" s="887"/>
      <c r="AD31" s="887"/>
      <c r="AE31" s="887"/>
      <c r="AF31" s="887"/>
      <c r="AG31" s="887"/>
      <c r="AH31" s="887"/>
      <c r="AI31" s="887"/>
      <c r="AJ31" s="887"/>
      <c r="AK31" s="887"/>
      <c r="AL31" s="887"/>
      <c r="AM31" s="887"/>
      <c r="AN31" s="887"/>
      <c r="AO31" s="887"/>
      <c r="AP31" s="887"/>
      <c r="AQ31" s="887"/>
      <c r="AR31" s="887"/>
      <c r="AS31" s="887"/>
      <c r="AT31" s="887"/>
      <c r="AU31" s="887"/>
      <c r="AV31" s="887"/>
      <c r="AW31" s="887"/>
      <c r="AX31" s="887"/>
      <c r="AY31" s="887"/>
      <c r="AZ31" s="887"/>
      <c r="BA31" s="887"/>
      <c r="BB31" s="887"/>
      <c r="BC31" s="887"/>
      <c r="BD31" s="887"/>
      <c r="BE31" s="887"/>
      <c r="BF31" s="887"/>
      <c r="BG31" s="887"/>
      <c r="BH31" s="887"/>
      <c r="BI31" s="887"/>
      <c r="BJ31" s="887"/>
      <c r="BK31" s="887"/>
      <c r="BL31" s="887"/>
      <c r="BM31" s="887"/>
      <c r="BN31" s="887"/>
      <c r="BO31" s="887"/>
      <c r="BP31" s="887"/>
      <c r="BQ31" s="887"/>
      <c r="BR31" s="887"/>
      <c r="BS31" s="887"/>
      <c r="BT31" s="887"/>
      <c r="BU31" s="887"/>
      <c r="BV31" s="887"/>
      <c r="BW31" s="887"/>
      <c r="BX31" s="887"/>
      <c r="BY31" s="887"/>
      <c r="BZ31" s="887"/>
      <c r="CA31" s="887"/>
      <c r="CB31" s="887"/>
      <c r="CC31" s="887"/>
      <c r="CD31" s="887"/>
      <c r="CE31" s="887"/>
      <c r="CF31" s="887"/>
      <c r="CG31" s="887"/>
      <c r="CH31" s="887"/>
      <c r="CI31" s="887"/>
      <c r="CJ31" s="887"/>
      <c r="CK31" s="887"/>
      <c r="CL31" s="887"/>
      <c r="CM31" s="887"/>
      <c r="CN31" s="887"/>
      <c r="CO31" s="887"/>
      <c r="CP31" s="887"/>
      <c r="CQ31" s="887"/>
      <c r="CR31" s="887"/>
      <c r="CS31" s="887"/>
      <c r="CT31" s="887"/>
      <c r="CU31" s="887"/>
      <c r="CV31" s="887"/>
      <c r="CW31" s="887"/>
      <c r="CX31" s="887"/>
      <c r="CY31" s="887"/>
      <c r="CZ31" s="887"/>
    </row>
    <row r="32" spans="1:104" ht="16.5">
      <c r="A32" s="882" t="s">
        <v>150</v>
      </c>
      <c r="B32" s="883">
        <f t="shared" si="0"/>
        <v>20</v>
      </c>
      <c r="C32" s="884">
        <f t="shared" si="1"/>
        <v>0</v>
      </c>
      <c r="D32" s="885">
        <v>20</v>
      </c>
      <c r="E32" s="886"/>
      <c r="F32" s="887"/>
      <c r="G32" s="887"/>
      <c r="H32" s="887"/>
      <c r="I32" s="887"/>
      <c r="J32" s="887"/>
      <c r="K32" s="887"/>
      <c r="L32" s="887"/>
      <c r="M32" s="887"/>
      <c r="N32" s="887"/>
      <c r="O32" s="887"/>
      <c r="P32" s="887"/>
      <c r="Q32" s="887"/>
      <c r="R32" s="887"/>
      <c r="S32" s="887"/>
      <c r="T32" s="887"/>
      <c r="U32" s="887"/>
      <c r="V32" s="887"/>
      <c r="W32" s="887"/>
      <c r="X32" s="887"/>
      <c r="Y32" s="887"/>
      <c r="Z32" s="887"/>
      <c r="AA32" s="887"/>
      <c r="AB32" s="887"/>
      <c r="AC32" s="887"/>
      <c r="AD32" s="887"/>
      <c r="AE32" s="887"/>
      <c r="AF32" s="887"/>
      <c r="AG32" s="887"/>
      <c r="AH32" s="887"/>
      <c r="AI32" s="887"/>
      <c r="AJ32" s="887"/>
      <c r="AK32" s="887"/>
      <c r="AL32" s="887"/>
      <c r="AM32" s="887"/>
      <c r="AN32" s="887"/>
      <c r="AO32" s="887"/>
      <c r="AP32" s="887"/>
      <c r="AQ32" s="887"/>
      <c r="AR32" s="887"/>
      <c r="AS32" s="887"/>
      <c r="AT32" s="887"/>
      <c r="AU32" s="887"/>
      <c r="AV32" s="887"/>
      <c r="AW32" s="887"/>
      <c r="AX32" s="887"/>
      <c r="AY32" s="887"/>
      <c r="AZ32" s="887"/>
      <c r="BA32" s="887"/>
      <c r="BB32" s="887"/>
      <c r="BC32" s="887"/>
      <c r="BD32" s="887"/>
      <c r="BE32" s="887"/>
      <c r="BF32" s="887"/>
      <c r="BG32" s="887"/>
      <c r="BH32" s="887"/>
      <c r="BI32" s="887"/>
      <c r="BJ32" s="887"/>
      <c r="BK32" s="887"/>
      <c r="BL32" s="887"/>
      <c r="BM32" s="887"/>
      <c r="BN32" s="887"/>
      <c r="BO32" s="887"/>
      <c r="BP32" s="887"/>
      <c r="BQ32" s="887"/>
      <c r="BR32" s="887"/>
      <c r="BS32" s="887"/>
      <c r="BT32" s="887"/>
      <c r="BU32" s="887"/>
      <c r="BV32" s="887"/>
      <c r="BW32" s="887"/>
      <c r="BX32" s="887"/>
      <c r="BY32" s="887"/>
      <c r="BZ32" s="887"/>
      <c r="CA32" s="887"/>
      <c r="CB32" s="887"/>
      <c r="CC32" s="887"/>
      <c r="CD32" s="887"/>
      <c r="CE32" s="887"/>
      <c r="CF32" s="887"/>
      <c r="CG32" s="887"/>
      <c r="CH32" s="887"/>
      <c r="CI32" s="887"/>
      <c r="CJ32" s="887"/>
      <c r="CK32" s="887"/>
      <c r="CL32" s="887"/>
      <c r="CM32" s="887"/>
      <c r="CN32" s="887"/>
      <c r="CO32" s="887"/>
      <c r="CP32" s="887"/>
      <c r="CQ32" s="887"/>
      <c r="CR32" s="887"/>
      <c r="CS32" s="887"/>
      <c r="CT32" s="887"/>
      <c r="CU32" s="887"/>
      <c r="CV32" s="887"/>
      <c r="CW32" s="887"/>
      <c r="CX32" s="887"/>
      <c r="CY32" s="887"/>
      <c r="CZ32" s="887"/>
    </row>
    <row r="33" spans="1:104" ht="16.5">
      <c r="A33" s="882" t="s">
        <v>152</v>
      </c>
      <c r="B33" s="883">
        <f t="shared" si="0"/>
        <v>1</v>
      </c>
      <c r="C33" s="884">
        <f t="shared" si="1"/>
        <v>0</v>
      </c>
      <c r="D33" s="885">
        <v>1</v>
      </c>
      <c r="E33" s="886"/>
      <c r="F33" s="887"/>
      <c r="G33" s="887"/>
      <c r="H33" s="887"/>
      <c r="I33" s="887"/>
      <c r="J33" s="887"/>
      <c r="K33" s="887"/>
      <c r="L33" s="887"/>
      <c r="M33" s="887"/>
      <c r="N33" s="887"/>
      <c r="O33" s="887"/>
      <c r="P33" s="887"/>
      <c r="Q33" s="887"/>
      <c r="R33" s="887"/>
      <c r="S33" s="887"/>
      <c r="T33" s="887"/>
      <c r="U33" s="887"/>
      <c r="V33" s="887"/>
      <c r="W33" s="887"/>
      <c r="X33" s="887"/>
      <c r="Y33" s="887"/>
      <c r="Z33" s="887"/>
      <c r="AA33" s="887"/>
      <c r="AB33" s="887"/>
      <c r="AC33" s="887"/>
      <c r="AD33" s="887"/>
      <c r="AE33" s="887"/>
      <c r="AF33" s="887"/>
      <c r="AG33" s="887"/>
      <c r="AH33" s="887"/>
      <c r="AI33" s="887"/>
      <c r="AJ33" s="887"/>
      <c r="AK33" s="887"/>
      <c r="AL33" s="887"/>
      <c r="AM33" s="887"/>
      <c r="AN33" s="887"/>
      <c r="AO33" s="887"/>
      <c r="AP33" s="887"/>
      <c r="AQ33" s="887"/>
      <c r="AR33" s="887"/>
      <c r="AS33" s="887"/>
      <c r="AT33" s="887"/>
      <c r="AU33" s="887"/>
      <c r="AV33" s="887"/>
      <c r="AW33" s="887"/>
      <c r="AX33" s="887"/>
      <c r="AY33" s="887"/>
      <c r="AZ33" s="887"/>
      <c r="BA33" s="887"/>
      <c r="BB33" s="887"/>
      <c r="BC33" s="887"/>
      <c r="BD33" s="887"/>
      <c r="BE33" s="887"/>
      <c r="BF33" s="887"/>
      <c r="BG33" s="887"/>
      <c r="BH33" s="887"/>
      <c r="BI33" s="887"/>
      <c r="BJ33" s="887"/>
      <c r="BK33" s="887"/>
      <c r="BL33" s="887"/>
      <c r="BM33" s="887"/>
      <c r="BN33" s="887"/>
      <c r="BO33" s="887"/>
      <c r="BP33" s="887"/>
      <c r="BQ33" s="887"/>
      <c r="BR33" s="887"/>
      <c r="BS33" s="887"/>
      <c r="BT33" s="887"/>
      <c r="BU33" s="887"/>
      <c r="BV33" s="887"/>
      <c r="BW33" s="887"/>
      <c r="BX33" s="887"/>
      <c r="BY33" s="887"/>
      <c r="BZ33" s="887"/>
      <c r="CA33" s="887"/>
      <c r="CB33" s="887"/>
      <c r="CC33" s="887"/>
      <c r="CD33" s="887"/>
      <c r="CE33" s="887"/>
      <c r="CF33" s="887"/>
      <c r="CG33" s="887"/>
      <c r="CH33" s="887"/>
      <c r="CI33" s="887"/>
      <c r="CJ33" s="887"/>
      <c r="CK33" s="887"/>
      <c r="CL33" s="887"/>
      <c r="CM33" s="887"/>
      <c r="CN33" s="887"/>
      <c r="CO33" s="887"/>
      <c r="CP33" s="887"/>
      <c r="CQ33" s="887"/>
      <c r="CR33" s="887"/>
      <c r="CS33" s="887"/>
      <c r="CT33" s="887"/>
      <c r="CU33" s="887"/>
      <c r="CV33" s="887"/>
      <c r="CW33" s="887"/>
      <c r="CX33" s="887"/>
      <c r="CY33" s="887"/>
      <c r="CZ33" s="887"/>
    </row>
    <row r="34" spans="1:104" ht="16.5">
      <c r="A34" s="882" t="s">
        <v>154</v>
      </c>
      <c r="B34" s="883">
        <f t="shared" si="0"/>
        <v>1</v>
      </c>
      <c r="C34" s="884">
        <f t="shared" si="1"/>
        <v>0</v>
      </c>
      <c r="D34" s="885">
        <v>1</v>
      </c>
      <c r="E34" s="886"/>
      <c r="F34" s="887"/>
      <c r="G34" s="887"/>
      <c r="H34" s="887"/>
      <c r="I34" s="887"/>
      <c r="J34" s="887"/>
      <c r="K34" s="887"/>
      <c r="L34" s="887"/>
      <c r="M34" s="887"/>
      <c r="N34" s="887"/>
      <c r="O34" s="887"/>
      <c r="P34" s="887"/>
      <c r="Q34" s="887"/>
      <c r="R34" s="887"/>
      <c r="S34" s="887"/>
      <c r="T34" s="887"/>
      <c r="U34" s="887"/>
      <c r="V34" s="887"/>
      <c r="W34" s="887"/>
      <c r="X34" s="887"/>
      <c r="Y34" s="887"/>
      <c r="Z34" s="887"/>
      <c r="AA34" s="887"/>
      <c r="AB34" s="887"/>
      <c r="AC34" s="887"/>
      <c r="AD34" s="887"/>
      <c r="AE34" s="887"/>
      <c r="AF34" s="887"/>
      <c r="AG34" s="887"/>
      <c r="AH34" s="887"/>
      <c r="AI34" s="887"/>
      <c r="AJ34" s="887"/>
      <c r="AK34" s="887"/>
      <c r="AL34" s="887"/>
      <c r="AM34" s="887"/>
      <c r="AN34" s="887"/>
      <c r="AO34" s="887"/>
      <c r="AP34" s="887"/>
      <c r="AQ34" s="887"/>
      <c r="AR34" s="887"/>
      <c r="AS34" s="887"/>
      <c r="AT34" s="887"/>
      <c r="AU34" s="887"/>
      <c r="AV34" s="887"/>
      <c r="AW34" s="887"/>
      <c r="AX34" s="887"/>
      <c r="AY34" s="887"/>
      <c r="AZ34" s="887"/>
      <c r="BA34" s="887"/>
      <c r="BB34" s="887"/>
      <c r="BC34" s="887"/>
      <c r="BD34" s="887"/>
      <c r="BE34" s="887"/>
      <c r="BF34" s="887"/>
      <c r="BG34" s="887"/>
      <c r="BH34" s="887"/>
      <c r="BI34" s="887"/>
      <c r="BJ34" s="887"/>
      <c r="BK34" s="887"/>
      <c r="BL34" s="887"/>
      <c r="BM34" s="887"/>
      <c r="BN34" s="887"/>
      <c r="BO34" s="887"/>
      <c r="BP34" s="887"/>
      <c r="BQ34" s="887"/>
      <c r="BR34" s="887"/>
      <c r="BS34" s="887"/>
      <c r="BT34" s="887"/>
      <c r="BU34" s="887"/>
      <c r="BV34" s="887"/>
      <c r="BW34" s="887"/>
      <c r="BX34" s="887"/>
      <c r="BY34" s="887"/>
      <c r="BZ34" s="887"/>
      <c r="CA34" s="887"/>
      <c r="CB34" s="887"/>
      <c r="CC34" s="887"/>
      <c r="CD34" s="887"/>
      <c r="CE34" s="887"/>
      <c r="CF34" s="887"/>
      <c r="CG34" s="887"/>
      <c r="CH34" s="887"/>
      <c r="CI34" s="887"/>
      <c r="CJ34" s="887"/>
      <c r="CK34" s="887"/>
      <c r="CL34" s="887"/>
      <c r="CM34" s="887"/>
      <c r="CN34" s="887"/>
      <c r="CO34" s="887"/>
      <c r="CP34" s="887"/>
      <c r="CQ34" s="887"/>
      <c r="CR34" s="887"/>
      <c r="CS34" s="887"/>
      <c r="CT34" s="887"/>
      <c r="CU34" s="887"/>
      <c r="CV34" s="887"/>
      <c r="CW34" s="887"/>
      <c r="CX34" s="887"/>
      <c r="CY34" s="887"/>
      <c r="CZ34" s="887"/>
    </row>
    <row r="35" spans="1:104" ht="16.5">
      <c r="A35" s="882" t="s">
        <v>156</v>
      </c>
      <c r="B35" s="883">
        <f t="shared" si="0"/>
        <v>1</v>
      </c>
      <c r="C35" s="884">
        <f t="shared" si="1"/>
        <v>0</v>
      </c>
      <c r="D35" s="885">
        <v>1</v>
      </c>
      <c r="E35" s="886"/>
      <c r="F35" s="887"/>
      <c r="G35" s="887"/>
      <c r="H35" s="887"/>
      <c r="I35" s="887"/>
      <c r="J35" s="887"/>
      <c r="K35" s="887"/>
      <c r="L35" s="887"/>
      <c r="M35" s="887"/>
      <c r="N35" s="887"/>
      <c r="O35" s="887"/>
      <c r="P35" s="887"/>
      <c r="Q35" s="887"/>
      <c r="R35" s="887"/>
      <c r="S35" s="887"/>
      <c r="T35" s="887"/>
      <c r="U35" s="887"/>
      <c r="V35" s="887"/>
      <c r="W35" s="887"/>
      <c r="X35" s="887"/>
      <c r="Y35" s="887"/>
      <c r="Z35" s="887"/>
      <c r="AA35" s="887"/>
      <c r="AB35" s="887"/>
      <c r="AC35" s="887"/>
      <c r="AD35" s="887"/>
      <c r="AE35" s="887"/>
      <c r="AF35" s="887"/>
      <c r="AG35" s="887"/>
      <c r="AH35" s="887"/>
      <c r="AI35" s="887"/>
      <c r="AJ35" s="887"/>
      <c r="AK35" s="887"/>
      <c r="AL35" s="887"/>
      <c r="AM35" s="887"/>
      <c r="AN35" s="887"/>
      <c r="AO35" s="887"/>
      <c r="AP35" s="887"/>
      <c r="AQ35" s="887"/>
      <c r="AR35" s="887"/>
      <c r="AS35" s="887"/>
      <c r="AT35" s="887"/>
      <c r="AU35" s="887"/>
      <c r="AV35" s="887"/>
      <c r="AW35" s="887"/>
      <c r="AX35" s="887"/>
      <c r="AY35" s="887"/>
      <c r="AZ35" s="887"/>
      <c r="BA35" s="887"/>
      <c r="BB35" s="887"/>
      <c r="BC35" s="887"/>
      <c r="BD35" s="887"/>
      <c r="BE35" s="887"/>
      <c r="BF35" s="887"/>
      <c r="BG35" s="887"/>
      <c r="BH35" s="887"/>
      <c r="BI35" s="887"/>
      <c r="BJ35" s="887"/>
      <c r="BK35" s="887"/>
      <c r="BL35" s="887"/>
      <c r="BM35" s="887"/>
      <c r="BN35" s="887"/>
      <c r="BO35" s="887"/>
      <c r="BP35" s="887"/>
      <c r="BQ35" s="887"/>
      <c r="BR35" s="887"/>
      <c r="BS35" s="887"/>
      <c r="BT35" s="887"/>
      <c r="BU35" s="887"/>
      <c r="BV35" s="887"/>
      <c r="BW35" s="887"/>
      <c r="BX35" s="887"/>
      <c r="BY35" s="887"/>
      <c r="BZ35" s="887"/>
      <c r="CA35" s="887"/>
      <c r="CB35" s="887"/>
      <c r="CC35" s="887"/>
      <c r="CD35" s="887"/>
      <c r="CE35" s="887"/>
      <c r="CF35" s="887"/>
      <c r="CG35" s="887"/>
      <c r="CH35" s="887"/>
      <c r="CI35" s="887"/>
      <c r="CJ35" s="887"/>
      <c r="CK35" s="887"/>
      <c r="CL35" s="887"/>
      <c r="CM35" s="887"/>
      <c r="CN35" s="887"/>
      <c r="CO35" s="887"/>
      <c r="CP35" s="887"/>
      <c r="CQ35" s="887"/>
      <c r="CR35" s="887"/>
      <c r="CS35" s="887"/>
      <c r="CT35" s="887"/>
      <c r="CU35" s="887"/>
      <c r="CV35" s="887"/>
      <c r="CW35" s="887"/>
      <c r="CX35" s="887"/>
      <c r="CY35" s="887"/>
      <c r="CZ35" s="887"/>
    </row>
    <row r="36" spans="1:104" ht="16.5">
      <c r="A36" s="882" t="s">
        <v>158</v>
      </c>
      <c r="B36" s="883">
        <f t="shared" si="0"/>
        <v>0</v>
      </c>
      <c r="C36" s="884">
        <f t="shared" si="1"/>
        <v>0</v>
      </c>
      <c r="D36" s="885">
        <v>0</v>
      </c>
      <c r="E36" s="886"/>
      <c r="F36" s="887"/>
      <c r="G36" s="887"/>
      <c r="H36" s="887"/>
      <c r="I36" s="887"/>
      <c r="J36" s="887"/>
      <c r="K36" s="887"/>
      <c r="L36" s="887"/>
      <c r="M36" s="887"/>
      <c r="N36" s="887"/>
      <c r="O36" s="887"/>
      <c r="P36" s="887"/>
      <c r="Q36" s="887"/>
      <c r="R36" s="887"/>
      <c r="S36" s="887"/>
      <c r="T36" s="887"/>
      <c r="U36" s="887"/>
      <c r="V36" s="887"/>
      <c r="W36" s="887"/>
      <c r="X36" s="887"/>
      <c r="Y36" s="887"/>
      <c r="Z36" s="887"/>
      <c r="AA36" s="887"/>
      <c r="AB36" s="887"/>
      <c r="AC36" s="887"/>
      <c r="AD36" s="887"/>
      <c r="AE36" s="887"/>
      <c r="AF36" s="887"/>
      <c r="AG36" s="887"/>
      <c r="AH36" s="887"/>
      <c r="AI36" s="887"/>
      <c r="AJ36" s="887"/>
      <c r="AK36" s="887"/>
      <c r="AL36" s="887"/>
      <c r="AM36" s="887"/>
      <c r="AN36" s="887"/>
      <c r="AO36" s="887"/>
      <c r="AP36" s="887"/>
      <c r="AQ36" s="887"/>
      <c r="AR36" s="887"/>
      <c r="AS36" s="887"/>
      <c r="AT36" s="887"/>
      <c r="AU36" s="887"/>
      <c r="AV36" s="887"/>
      <c r="AW36" s="887"/>
      <c r="AX36" s="887"/>
      <c r="AY36" s="887"/>
      <c r="AZ36" s="887"/>
      <c r="BA36" s="887"/>
      <c r="BB36" s="887"/>
      <c r="BC36" s="887"/>
      <c r="BD36" s="887"/>
      <c r="BE36" s="887"/>
      <c r="BF36" s="887"/>
      <c r="BG36" s="887"/>
      <c r="BH36" s="887"/>
      <c r="BI36" s="887"/>
      <c r="BJ36" s="887"/>
      <c r="BK36" s="887"/>
      <c r="BL36" s="887"/>
      <c r="BM36" s="887"/>
      <c r="BN36" s="887"/>
      <c r="BO36" s="887"/>
      <c r="BP36" s="887"/>
      <c r="BQ36" s="887"/>
      <c r="BR36" s="887"/>
      <c r="BS36" s="887"/>
      <c r="BT36" s="887"/>
      <c r="BU36" s="887"/>
      <c r="BV36" s="887"/>
      <c r="BW36" s="887"/>
      <c r="BX36" s="887"/>
      <c r="BY36" s="887"/>
      <c r="BZ36" s="887"/>
      <c r="CA36" s="887"/>
      <c r="CB36" s="887"/>
      <c r="CC36" s="887"/>
      <c r="CD36" s="887"/>
      <c r="CE36" s="887"/>
      <c r="CF36" s="887"/>
      <c r="CG36" s="887"/>
      <c r="CH36" s="887"/>
      <c r="CI36" s="887"/>
      <c r="CJ36" s="887"/>
      <c r="CK36" s="887"/>
      <c r="CL36" s="887"/>
      <c r="CM36" s="887"/>
      <c r="CN36" s="887"/>
      <c r="CO36" s="887"/>
      <c r="CP36" s="887"/>
      <c r="CQ36" s="887"/>
      <c r="CR36" s="887"/>
      <c r="CS36" s="887"/>
      <c r="CT36" s="887"/>
      <c r="CU36" s="887"/>
      <c r="CV36" s="887"/>
      <c r="CW36" s="887"/>
      <c r="CX36" s="887"/>
      <c r="CY36" s="887"/>
      <c r="CZ36" s="887"/>
    </row>
    <row r="37" spans="1:104" ht="16.5">
      <c r="A37" s="882" t="s">
        <v>61</v>
      </c>
      <c r="B37" s="883">
        <f t="shared" si="0"/>
        <v>5</v>
      </c>
      <c r="C37" s="884">
        <f t="shared" si="1"/>
        <v>0</v>
      </c>
      <c r="D37" s="885">
        <v>5</v>
      </c>
      <c r="E37" s="886"/>
      <c r="F37" s="887"/>
      <c r="G37" s="887"/>
      <c r="H37" s="887"/>
      <c r="I37" s="887"/>
      <c r="J37" s="887"/>
      <c r="K37" s="887"/>
      <c r="L37" s="887"/>
      <c r="M37" s="887"/>
      <c r="N37" s="887"/>
      <c r="O37" s="887"/>
      <c r="P37" s="887"/>
      <c r="Q37" s="887"/>
      <c r="R37" s="887"/>
      <c r="S37" s="887"/>
      <c r="T37" s="887"/>
      <c r="U37" s="887"/>
      <c r="V37" s="887"/>
      <c r="W37" s="887"/>
      <c r="X37" s="887"/>
      <c r="Y37" s="887"/>
      <c r="Z37" s="887"/>
      <c r="AA37" s="887"/>
      <c r="AB37" s="887"/>
      <c r="AC37" s="887"/>
      <c r="AD37" s="887"/>
      <c r="AE37" s="887"/>
      <c r="AF37" s="887"/>
      <c r="AG37" s="887"/>
      <c r="AH37" s="887"/>
      <c r="AI37" s="887"/>
      <c r="AJ37" s="887"/>
      <c r="AK37" s="887"/>
      <c r="AL37" s="887"/>
      <c r="AM37" s="887"/>
      <c r="AN37" s="887"/>
      <c r="AO37" s="887"/>
      <c r="AP37" s="887"/>
      <c r="AQ37" s="887"/>
      <c r="AR37" s="887"/>
      <c r="AS37" s="887"/>
      <c r="AT37" s="887"/>
      <c r="AU37" s="887"/>
      <c r="AV37" s="887"/>
      <c r="AW37" s="887"/>
      <c r="AX37" s="887"/>
      <c r="AY37" s="887"/>
      <c r="AZ37" s="887"/>
      <c r="BA37" s="887"/>
      <c r="BB37" s="887"/>
      <c r="BC37" s="887"/>
      <c r="BD37" s="887"/>
      <c r="BE37" s="887"/>
      <c r="BF37" s="887"/>
      <c r="BG37" s="887"/>
      <c r="BH37" s="887"/>
      <c r="BI37" s="887"/>
      <c r="BJ37" s="887"/>
      <c r="BK37" s="887"/>
      <c r="BL37" s="887"/>
      <c r="BM37" s="887"/>
      <c r="BN37" s="887"/>
      <c r="BO37" s="887"/>
      <c r="BP37" s="887"/>
      <c r="BQ37" s="887"/>
      <c r="BR37" s="887"/>
      <c r="BS37" s="887"/>
      <c r="BT37" s="887"/>
      <c r="BU37" s="887"/>
      <c r="BV37" s="887"/>
      <c r="BW37" s="887"/>
      <c r="BX37" s="887"/>
      <c r="BY37" s="887"/>
      <c r="BZ37" s="887"/>
      <c r="CA37" s="887"/>
      <c r="CB37" s="887"/>
      <c r="CC37" s="887"/>
      <c r="CD37" s="887"/>
      <c r="CE37" s="887"/>
      <c r="CF37" s="887"/>
      <c r="CG37" s="887"/>
      <c r="CH37" s="887"/>
      <c r="CI37" s="887"/>
      <c r="CJ37" s="887"/>
      <c r="CK37" s="887"/>
      <c r="CL37" s="887"/>
      <c r="CM37" s="887"/>
      <c r="CN37" s="887"/>
      <c r="CO37" s="887"/>
      <c r="CP37" s="887"/>
      <c r="CQ37" s="887"/>
      <c r="CR37" s="887"/>
      <c r="CS37" s="887"/>
      <c r="CT37" s="887"/>
      <c r="CU37" s="887"/>
      <c r="CV37" s="887"/>
      <c r="CW37" s="887"/>
      <c r="CX37" s="887"/>
      <c r="CY37" s="887"/>
      <c r="CZ37" s="887"/>
    </row>
    <row r="38" spans="1:104" ht="16.5">
      <c r="A38" s="882" t="s">
        <v>63</v>
      </c>
      <c r="B38" s="883">
        <f t="shared" si="0"/>
        <v>20</v>
      </c>
      <c r="C38" s="884">
        <f t="shared" si="1"/>
        <v>0</v>
      </c>
      <c r="D38" s="885">
        <v>20</v>
      </c>
      <c r="E38" s="886"/>
      <c r="F38" s="887"/>
      <c r="G38" s="887"/>
      <c r="H38" s="887"/>
      <c r="I38" s="887"/>
      <c r="J38" s="887"/>
      <c r="K38" s="887"/>
      <c r="L38" s="887"/>
      <c r="M38" s="887"/>
      <c r="N38" s="887"/>
      <c r="O38" s="887"/>
      <c r="P38" s="887"/>
      <c r="Q38" s="887"/>
      <c r="R38" s="887"/>
      <c r="S38" s="887"/>
      <c r="T38" s="887"/>
      <c r="U38" s="887"/>
      <c r="V38" s="887"/>
      <c r="W38" s="887"/>
      <c r="X38" s="887"/>
      <c r="Y38" s="887"/>
      <c r="Z38" s="887"/>
      <c r="AA38" s="887"/>
      <c r="AB38" s="887"/>
      <c r="AC38" s="887"/>
      <c r="AD38" s="887"/>
      <c r="AE38" s="887"/>
      <c r="AF38" s="887"/>
      <c r="AG38" s="887"/>
      <c r="AH38" s="887"/>
      <c r="AI38" s="887"/>
      <c r="AJ38" s="887"/>
      <c r="AK38" s="887"/>
      <c r="AL38" s="887"/>
      <c r="AM38" s="887"/>
      <c r="AN38" s="887"/>
      <c r="AO38" s="887"/>
      <c r="AP38" s="887"/>
      <c r="AQ38" s="887"/>
      <c r="AR38" s="887"/>
      <c r="AS38" s="887"/>
      <c r="AT38" s="887"/>
      <c r="AU38" s="887"/>
      <c r="AV38" s="887"/>
      <c r="AW38" s="887"/>
      <c r="AX38" s="887"/>
      <c r="AY38" s="887"/>
      <c r="AZ38" s="887"/>
      <c r="BA38" s="887"/>
      <c r="BB38" s="887"/>
      <c r="BC38" s="887"/>
      <c r="BD38" s="887"/>
      <c r="BE38" s="887"/>
      <c r="BF38" s="887"/>
      <c r="BG38" s="887"/>
      <c r="BH38" s="887"/>
      <c r="BI38" s="887"/>
      <c r="BJ38" s="887"/>
      <c r="BK38" s="887"/>
      <c r="BL38" s="887"/>
      <c r="BM38" s="887"/>
      <c r="BN38" s="887"/>
      <c r="BO38" s="887"/>
      <c r="BP38" s="887"/>
      <c r="BQ38" s="887"/>
      <c r="BR38" s="887"/>
      <c r="BS38" s="887"/>
      <c r="BT38" s="887"/>
      <c r="BU38" s="887"/>
      <c r="BV38" s="887"/>
      <c r="BW38" s="887"/>
      <c r="BX38" s="887"/>
      <c r="BY38" s="887"/>
      <c r="BZ38" s="887"/>
      <c r="CA38" s="887"/>
      <c r="CB38" s="887"/>
      <c r="CC38" s="887"/>
      <c r="CD38" s="887"/>
      <c r="CE38" s="887"/>
      <c r="CF38" s="887"/>
      <c r="CG38" s="887"/>
      <c r="CH38" s="887"/>
      <c r="CI38" s="887"/>
      <c r="CJ38" s="887"/>
      <c r="CK38" s="887"/>
      <c r="CL38" s="887"/>
      <c r="CM38" s="887"/>
      <c r="CN38" s="887"/>
      <c r="CO38" s="887"/>
      <c r="CP38" s="887"/>
      <c r="CQ38" s="887"/>
      <c r="CR38" s="887"/>
      <c r="CS38" s="887"/>
      <c r="CT38" s="887"/>
      <c r="CU38" s="887"/>
      <c r="CV38" s="887"/>
      <c r="CW38" s="887"/>
      <c r="CX38" s="887"/>
      <c r="CY38" s="887"/>
      <c r="CZ38" s="887"/>
    </row>
    <row r="39" spans="1:104" ht="16.5">
      <c r="A39" s="882" t="s">
        <v>67</v>
      </c>
      <c r="B39" s="883">
        <f t="shared" si="0"/>
        <v>20</v>
      </c>
      <c r="C39" s="884">
        <f t="shared" si="1"/>
        <v>0</v>
      </c>
      <c r="D39" s="885">
        <v>20</v>
      </c>
      <c r="E39" s="886"/>
      <c r="F39" s="887"/>
      <c r="G39" s="887"/>
      <c r="H39" s="887"/>
      <c r="I39" s="887"/>
      <c r="J39" s="887"/>
      <c r="K39" s="887"/>
      <c r="L39" s="887"/>
      <c r="M39" s="887"/>
      <c r="N39" s="887"/>
      <c r="O39" s="887"/>
      <c r="P39" s="887"/>
      <c r="Q39" s="887"/>
      <c r="R39" s="887"/>
      <c r="S39" s="887"/>
      <c r="T39" s="887"/>
      <c r="U39" s="887"/>
      <c r="V39" s="887"/>
      <c r="W39" s="887"/>
      <c r="X39" s="887"/>
      <c r="Y39" s="887"/>
      <c r="Z39" s="887"/>
      <c r="AA39" s="887"/>
      <c r="AB39" s="887"/>
      <c r="AC39" s="887"/>
      <c r="AD39" s="887"/>
      <c r="AE39" s="887"/>
      <c r="AF39" s="887"/>
      <c r="AG39" s="887"/>
      <c r="AH39" s="887"/>
      <c r="AI39" s="887"/>
      <c r="AJ39" s="887"/>
      <c r="AK39" s="887"/>
      <c r="AL39" s="887"/>
      <c r="AM39" s="887"/>
      <c r="AN39" s="887"/>
      <c r="AO39" s="887"/>
      <c r="AP39" s="887"/>
      <c r="AQ39" s="887"/>
      <c r="AR39" s="887"/>
      <c r="AS39" s="887"/>
      <c r="AT39" s="887"/>
      <c r="AU39" s="887"/>
      <c r="AV39" s="887"/>
      <c r="AW39" s="887"/>
      <c r="AX39" s="887"/>
      <c r="AY39" s="887"/>
      <c r="AZ39" s="887"/>
      <c r="BA39" s="887"/>
      <c r="BB39" s="887"/>
      <c r="BC39" s="887"/>
      <c r="BD39" s="887"/>
      <c r="BE39" s="887"/>
      <c r="BF39" s="887"/>
      <c r="BG39" s="887"/>
      <c r="BH39" s="887"/>
      <c r="BI39" s="887"/>
      <c r="BJ39" s="887"/>
      <c r="BK39" s="887"/>
      <c r="BL39" s="887"/>
      <c r="BM39" s="887"/>
      <c r="BN39" s="887"/>
      <c r="BO39" s="887"/>
      <c r="BP39" s="887"/>
      <c r="BQ39" s="887"/>
      <c r="BR39" s="887"/>
      <c r="BS39" s="887"/>
      <c r="BT39" s="887"/>
      <c r="BU39" s="887"/>
      <c r="BV39" s="887"/>
      <c r="BW39" s="887"/>
      <c r="BX39" s="887"/>
      <c r="BY39" s="887"/>
      <c r="BZ39" s="887"/>
      <c r="CA39" s="887"/>
      <c r="CB39" s="887"/>
      <c r="CC39" s="887"/>
      <c r="CD39" s="887"/>
      <c r="CE39" s="887"/>
      <c r="CF39" s="887"/>
      <c r="CG39" s="887"/>
      <c r="CH39" s="887"/>
      <c r="CI39" s="887"/>
      <c r="CJ39" s="887"/>
      <c r="CK39" s="887"/>
      <c r="CL39" s="887"/>
      <c r="CM39" s="887"/>
      <c r="CN39" s="887"/>
      <c r="CO39" s="887"/>
      <c r="CP39" s="887"/>
      <c r="CQ39" s="887"/>
      <c r="CR39" s="887"/>
      <c r="CS39" s="887"/>
      <c r="CT39" s="887"/>
      <c r="CU39" s="887"/>
      <c r="CV39" s="887"/>
      <c r="CW39" s="887"/>
      <c r="CX39" s="887"/>
      <c r="CY39" s="887"/>
      <c r="CZ39" s="887"/>
    </row>
    <row r="40" spans="1:104" ht="16.5">
      <c r="A40" s="882" t="s">
        <v>70</v>
      </c>
      <c r="B40" s="883">
        <f t="shared" si="0"/>
        <v>1</v>
      </c>
      <c r="C40" s="884">
        <f t="shared" si="1"/>
        <v>0</v>
      </c>
      <c r="D40" s="885">
        <v>1</v>
      </c>
      <c r="E40" s="886"/>
      <c r="F40" s="887"/>
      <c r="G40" s="887"/>
      <c r="H40" s="887"/>
      <c r="I40" s="887"/>
      <c r="J40" s="887"/>
      <c r="K40" s="887"/>
      <c r="L40" s="887"/>
      <c r="M40" s="887"/>
      <c r="N40" s="887"/>
      <c r="O40" s="887"/>
      <c r="P40" s="887"/>
      <c r="Q40" s="887"/>
      <c r="R40" s="887"/>
      <c r="S40" s="887"/>
      <c r="T40" s="887"/>
      <c r="U40" s="887"/>
      <c r="V40" s="887"/>
      <c r="W40" s="887"/>
      <c r="X40" s="887"/>
      <c r="Y40" s="887"/>
      <c r="Z40" s="887"/>
      <c r="AA40" s="887"/>
      <c r="AB40" s="887"/>
      <c r="AC40" s="887"/>
      <c r="AD40" s="887"/>
      <c r="AE40" s="887"/>
      <c r="AF40" s="887"/>
      <c r="AG40" s="887"/>
      <c r="AH40" s="887"/>
      <c r="AI40" s="887"/>
      <c r="AJ40" s="887"/>
      <c r="AK40" s="887"/>
      <c r="AL40" s="887"/>
      <c r="AM40" s="887"/>
      <c r="AN40" s="887"/>
      <c r="AO40" s="887"/>
      <c r="AP40" s="887"/>
      <c r="AQ40" s="887"/>
      <c r="AR40" s="887"/>
      <c r="AS40" s="887"/>
      <c r="AT40" s="887"/>
      <c r="AU40" s="887"/>
      <c r="AV40" s="887"/>
      <c r="AW40" s="887"/>
      <c r="AX40" s="887"/>
      <c r="AY40" s="887"/>
      <c r="AZ40" s="887"/>
      <c r="BA40" s="887"/>
      <c r="BB40" s="887"/>
      <c r="BC40" s="887"/>
      <c r="BD40" s="887"/>
      <c r="BE40" s="887"/>
      <c r="BF40" s="887"/>
      <c r="BG40" s="887"/>
      <c r="BH40" s="887"/>
      <c r="BI40" s="887"/>
      <c r="BJ40" s="887"/>
      <c r="BK40" s="887"/>
      <c r="BL40" s="887"/>
      <c r="BM40" s="887"/>
      <c r="BN40" s="887"/>
      <c r="BO40" s="887"/>
      <c r="BP40" s="887"/>
      <c r="BQ40" s="887"/>
      <c r="BR40" s="887"/>
      <c r="BS40" s="887"/>
      <c r="BT40" s="887"/>
      <c r="BU40" s="887"/>
      <c r="BV40" s="887"/>
      <c r="BW40" s="887"/>
      <c r="BX40" s="887"/>
      <c r="BY40" s="887"/>
      <c r="BZ40" s="887"/>
      <c r="CA40" s="887"/>
      <c r="CB40" s="887"/>
      <c r="CC40" s="887"/>
      <c r="CD40" s="887"/>
      <c r="CE40" s="887"/>
      <c r="CF40" s="887"/>
      <c r="CG40" s="887"/>
      <c r="CH40" s="887"/>
      <c r="CI40" s="887"/>
      <c r="CJ40" s="887"/>
      <c r="CK40" s="887"/>
      <c r="CL40" s="887"/>
      <c r="CM40" s="887"/>
      <c r="CN40" s="887"/>
      <c r="CO40" s="887"/>
      <c r="CP40" s="887"/>
      <c r="CQ40" s="887"/>
      <c r="CR40" s="887"/>
      <c r="CS40" s="887"/>
      <c r="CT40" s="887"/>
      <c r="CU40" s="887"/>
      <c r="CV40" s="887"/>
      <c r="CW40" s="887"/>
      <c r="CX40" s="887"/>
      <c r="CY40" s="887"/>
      <c r="CZ40" s="887"/>
    </row>
    <row r="41" spans="1:104" ht="16.5">
      <c r="A41" s="882" t="s">
        <v>72</v>
      </c>
      <c r="B41" s="883">
        <f t="shared" si="0"/>
        <v>10</v>
      </c>
      <c r="C41" s="884">
        <f t="shared" si="1"/>
        <v>0</v>
      </c>
      <c r="D41" s="885">
        <v>10</v>
      </c>
      <c r="E41" s="886"/>
      <c r="F41" s="887"/>
      <c r="G41" s="887"/>
      <c r="H41" s="887"/>
      <c r="I41" s="887"/>
      <c r="J41" s="887"/>
      <c r="K41" s="887"/>
      <c r="L41" s="887"/>
      <c r="M41" s="887"/>
      <c r="N41" s="887"/>
      <c r="O41" s="887"/>
      <c r="P41" s="887"/>
      <c r="Q41" s="887"/>
      <c r="R41" s="887"/>
      <c r="S41" s="887"/>
      <c r="T41" s="887"/>
      <c r="U41" s="887"/>
      <c r="V41" s="887"/>
      <c r="W41" s="887"/>
      <c r="X41" s="887"/>
      <c r="Y41" s="887"/>
      <c r="Z41" s="887"/>
      <c r="AA41" s="887"/>
      <c r="AB41" s="887"/>
      <c r="AC41" s="887"/>
      <c r="AD41" s="887"/>
      <c r="AE41" s="887"/>
      <c r="AF41" s="887"/>
      <c r="AG41" s="887"/>
      <c r="AH41" s="887"/>
      <c r="AI41" s="887"/>
      <c r="AJ41" s="887"/>
      <c r="AK41" s="887"/>
      <c r="AL41" s="887"/>
      <c r="AM41" s="887"/>
      <c r="AN41" s="887"/>
      <c r="AO41" s="887"/>
      <c r="AP41" s="887"/>
      <c r="AQ41" s="887"/>
      <c r="AR41" s="887"/>
      <c r="AS41" s="887"/>
      <c r="AT41" s="887"/>
      <c r="AU41" s="887"/>
      <c r="AV41" s="887"/>
      <c r="AW41" s="887"/>
      <c r="AX41" s="887"/>
      <c r="AY41" s="887"/>
      <c r="AZ41" s="887"/>
      <c r="BA41" s="887"/>
      <c r="BB41" s="887"/>
      <c r="BC41" s="887"/>
      <c r="BD41" s="887"/>
      <c r="BE41" s="887"/>
      <c r="BF41" s="887"/>
      <c r="BG41" s="887"/>
      <c r="BH41" s="887"/>
      <c r="BI41" s="887"/>
      <c r="BJ41" s="887"/>
      <c r="BK41" s="887"/>
      <c r="BL41" s="887"/>
      <c r="BM41" s="887"/>
      <c r="BN41" s="887"/>
      <c r="BO41" s="887"/>
      <c r="BP41" s="887"/>
      <c r="BQ41" s="887"/>
      <c r="BR41" s="887"/>
      <c r="BS41" s="887"/>
      <c r="BT41" s="887"/>
      <c r="BU41" s="887"/>
      <c r="BV41" s="887"/>
      <c r="BW41" s="887"/>
      <c r="BX41" s="887"/>
      <c r="BY41" s="887"/>
      <c r="BZ41" s="887"/>
      <c r="CA41" s="887"/>
      <c r="CB41" s="887"/>
      <c r="CC41" s="887"/>
      <c r="CD41" s="887"/>
      <c r="CE41" s="887"/>
      <c r="CF41" s="887"/>
      <c r="CG41" s="887"/>
      <c r="CH41" s="887"/>
      <c r="CI41" s="887"/>
      <c r="CJ41" s="887"/>
      <c r="CK41" s="887"/>
      <c r="CL41" s="887"/>
      <c r="CM41" s="887"/>
      <c r="CN41" s="887"/>
      <c r="CO41" s="887"/>
      <c r="CP41" s="887"/>
      <c r="CQ41" s="887"/>
      <c r="CR41" s="887"/>
      <c r="CS41" s="887"/>
      <c r="CT41" s="887"/>
      <c r="CU41" s="887"/>
      <c r="CV41" s="887"/>
      <c r="CW41" s="887"/>
      <c r="CX41" s="887"/>
      <c r="CY41" s="887"/>
      <c r="CZ41" s="887"/>
    </row>
    <row r="42" spans="1:104" ht="16.5">
      <c r="A42" s="882" t="s">
        <v>74</v>
      </c>
      <c r="B42" s="883">
        <f t="shared" si="0"/>
        <v>1</v>
      </c>
      <c r="C42" s="884">
        <f t="shared" si="1"/>
        <v>0</v>
      </c>
      <c r="D42" s="885">
        <v>1</v>
      </c>
      <c r="E42" s="886"/>
      <c r="F42" s="887"/>
      <c r="G42" s="887"/>
      <c r="H42" s="887"/>
      <c r="I42" s="887"/>
      <c r="J42" s="887"/>
      <c r="K42" s="887"/>
      <c r="L42" s="887"/>
      <c r="M42" s="887"/>
      <c r="N42" s="887"/>
      <c r="O42" s="887"/>
      <c r="P42" s="887"/>
      <c r="Q42" s="887"/>
      <c r="R42" s="887"/>
      <c r="S42" s="887"/>
      <c r="T42" s="887"/>
      <c r="U42" s="887"/>
      <c r="V42" s="887"/>
      <c r="W42" s="887"/>
      <c r="X42" s="887"/>
      <c r="Y42" s="887"/>
      <c r="Z42" s="887"/>
      <c r="AA42" s="887"/>
      <c r="AB42" s="887"/>
      <c r="AC42" s="887"/>
      <c r="AD42" s="887"/>
      <c r="AE42" s="887"/>
      <c r="AF42" s="887"/>
      <c r="AG42" s="887"/>
      <c r="AH42" s="887"/>
      <c r="AI42" s="887"/>
      <c r="AJ42" s="887"/>
      <c r="AK42" s="887"/>
      <c r="AL42" s="887"/>
      <c r="AM42" s="887"/>
      <c r="AN42" s="887"/>
      <c r="AO42" s="887"/>
      <c r="AP42" s="887"/>
      <c r="AQ42" s="887"/>
      <c r="AR42" s="887"/>
      <c r="AS42" s="887"/>
      <c r="AT42" s="887"/>
      <c r="AU42" s="887"/>
      <c r="AV42" s="887"/>
      <c r="AW42" s="887"/>
      <c r="AX42" s="887"/>
      <c r="AY42" s="887"/>
      <c r="AZ42" s="887"/>
      <c r="BA42" s="887"/>
      <c r="BB42" s="887"/>
      <c r="BC42" s="887"/>
      <c r="BD42" s="887"/>
      <c r="BE42" s="887"/>
      <c r="BF42" s="887"/>
      <c r="BG42" s="887"/>
      <c r="BH42" s="887"/>
      <c r="BI42" s="887"/>
      <c r="BJ42" s="887"/>
      <c r="BK42" s="887"/>
      <c r="BL42" s="887"/>
      <c r="BM42" s="887"/>
      <c r="BN42" s="887"/>
      <c r="BO42" s="887"/>
      <c r="BP42" s="887"/>
      <c r="BQ42" s="887"/>
      <c r="BR42" s="887"/>
      <c r="BS42" s="887"/>
      <c r="BT42" s="887"/>
      <c r="BU42" s="887"/>
      <c r="BV42" s="887"/>
      <c r="BW42" s="887"/>
      <c r="BX42" s="887"/>
      <c r="BY42" s="887"/>
      <c r="BZ42" s="887"/>
      <c r="CA42" s="887"/>
      <c r="CB42" s="887"/>
      <c r="CC42" s="887"/>
      <c r="CD42" s="887"/>
      <c r="CE42" s="887"/>
      <c r="CF42" s="887"/>
      <c r="CG42" s="887"/>
      <c r="CH42" s="887"/>
      <c r="CI42" s="887"/>
      <c r="CJ42" s="887"/>
      <c r="CK42" s="887"/>
      <c r="CL42" s="887"/>
      <c r="CM42" s="887"/>
      <c r="CN42" s="887"/>
      <c r="CO42" s="887"/>
      <c r="CP42" s="887"/>
      <c r="CQ42" s="887"/>
      <c r="CR42" s="887"/>
      <c r="CS42" s="887"/>
      <c r="CT42" s="887"/>
      <c r="CU42" s="887"/>
      <c r="CV42" s="887"/>
      <c r="CW42" s="887"/>
      <c r="CX42" s="887"/>
      <c r="CY42" s="887"/>
      <c r="CZ42" s="887"/>
    </row>
    <row r="43" spans="1:104" ht="16.5">
      <c r="A43" s="882" t="s">
        <v>76</v>
      </c>
      <c r="B43" s="883">
        <f t="shared" si="0"/>
        <v>10</v>
      </c>
      <c r="C43" s="884">
        <f t="shared" si="1"/>
        <v>0</v>
      </c>
      <c r="D43" s="885">
        <v>10</v>
      </c>
      <c r="E43" s="886"/>
      <c r="F43" s="887"/>
      <c r="G43" s="887"/>
      <c r="H43" s="887"/>
      <c r="I43" s="887"/>
      <c r="J43" s="887"/>
      <c r="K43" s="887"/>
      <c r="L43" s="887"/>
      <c r="M43" s="887"/>
      <c r="N43" s="887"/>
      <c r="O43" s="887"/>
      <c r="P43" s="887"/>
      <c r="Q43" s="887"/>
      <c r="R43" s="887"/>
      <c r="S43" s="887"/>
      <c r="T43" s="887"/>
      <c r="U43" s="887"/>
      <c r="V43" s="887"/>
      <c r="W43" s="887"/>
      <c r="X43" s="887"/>
      <c r="Y43" s="887"/>
      <c r="Z43" s="887"/>
      <c r="AA43" s="887"/>
      <c r="AB43" s="887"/>
      <c r="AC43" s="887"/>
      <c r="AD43" s="887"/>
      <c r="AE43" s="887"/>
      <c r="AF43" s="887"/>
      <c r="AG43" s="887"/>
      <c r="AH43" s="887"/>
      <c r="AI43" s="887"/>
      <c r="AJ43" s="887"/>
      <c r="AK43" s="887"/>
      <c r="AL43" s="887"/>
      <c r="AM43" s="887"/>
      <c r="AN43" s="887"/>
      <c r="AO43" s="887"/>
      <c r="AP43" s="887"/>
      <c r="AQ43" s="887"/>
      <c r="AR43" s="887"/>
      <c r="AS43" s="887"/>
      <c r="AT43" s="887"/>
      <c r="AU43" s="887"/>
      <c r="AV43" s="887"/>
      <c r="AW43" s="887"/>
      <c r="AX43" s="887"/>
      <c r="AY43" s="887"/>
      <c r="AZ43" s="887"/>
      <c r="BA43" s="887"/>
      <c r="BB43" s="887"/>
      <c r="BC43" s="887"/>
      <c r="BD43" s="887"/>
      <c r="BE43" s="887"/>
      <c r="BF43" s="887"/>
      <c r="BG43" s="887"/>
      <c r="BH43" s="887"/>
      <c r="BI43" s="887"/>
      <c r="BJ43" s="887"/>
      <c r="BK43" s="887"/>
      <c r="BL43" s="887"/>
      <c r="BM43" s="887"/>
      <c r="BN43" s="887"/>
      <c r="BO43" s="887"/>
      <c r="BP43" s="887"/>
      <c r="BQ43" s="887"/>
      <c r="BR43" s="887"/>
      <c r="BS43" s="887"/>
      <c r="BT43" s="887"/>
      <c r="BU43" s="887"/>
      <c r="BV43" s="887"/>
      <c r="BW43" s="887"/>
      <c r="BX43" s="887"/>
      <c r="BY43" s="887"/>
      <c r="BZ43" s="887"/>
      <c r="CA43" s="887"/>
      <c r="CB43" s="887"/>
      <c r="CC43" s="887"/>
      <c r="CD43" s="887"/>
      <c r="CE43" s="887"/>
      <c r="CF43" s="887"/>
      <c r="CG43" s="887"/>
      <c r="CH43" s="887"/>
      <c r="CI43" s="887"/>
      <c r="CJ43" s="887"/>
      <c r="CK43" s="887"/>
      <c r="CL43" s="887"/>
      <c r="CM43" s="887"/>
      <c r="CN43" s="887"/>
      <c r="CO43" s="887"/>
      <c r="CP43" s="887"/>
      <c r="CQ43" s="887"/>
      <c r="CR43" s="887"/>
      <c r="CS43" s="887"/>
      <c r="CT43" s="887"/>
      <c r="CU43" s="887"/>
      <c r="CV43" s="887"/>
      <c r="CW43" s="887"/>
      <c r="CX43" s="887"/>
      <c r="CY43" s="887"/>
      <c r="CZ43" s="887"/>
    </row>
    <row r="44" spans="1:104" ht="16.5">
      <c r="A44" s="882" t="s">
        <v>79</v>
      </c>
      <c r="B44" s="883">
        <f t="shared" si="0"/>
        <v>10</v>
      </c>
      <c r="C44" s="884">
        <f t="shared" si="1"/>
        <v>0</v>
      </c>
      <c r="D44" s="885">
        <v>10</v>
      </c>
      <c r="E44" s="886"/>
      <c r="F44" s="887"/>
      <c r="G44" s="887"/>
      <c r="H44" s="887"/>
      <c r="I44" s="887"/>
      <c r="J44" s="887"/>
      <c r="K44" s="887"/>
      <c r="L44" s="887"/>
      <c r="M44" s="887"/>
      <c r="N44" s="887"/>
      <c r="O44" s="887"/>
      <c r="P44" s="887"/>
      <c r="Q44" s="887"/>
      <c r="R44" s="887"/>
      <c r="S44" s="887"/>
      <c r="T44" s="887"/>
      <c r="U44" s="887"/>
      <c r="V44" s="887"/>
      <c r="W44" s="887"/>
      <c r="X44" s="887"/>
      <c r="Y44" s="887"/>
      <c r="Z44" s="887"/>
      <c r="AA44" s="887"/>
      <c r="AB44" s="887"/>
      <c r="AC44" s="887"/>
      <c r="AD44" s="887"/>
      <c r="AE44" s="887"/>
      <c r="AF44" s="887"/>
      <c r="AG44" s="887"/>
      <c r="AH44" s="887"/>
      <c r="AI44" s="887"/>
      <c r="AJ44" s="887"/>
      <c r="AK44" s="887"/>
      <c r="AL44" s="887"/>
      <c r="AM44" s="887"/>
      <c r="AN44" s="887"/>
      <c r="AO44" s="887"/>
      <c r="AP44" s="887"/>
      <c r="AQ44" s="887"/>
      <c r="AR44" s="887"/>
      <c r="AS44" s="887"/>
      <c r="AT44" s="887"/>
      <c r="AU44" s="887"/>
      <c r="AV44" s="887"/>
      <c r="AW44" s="887"/>
      <c r="AX44" s="887"/>
      <c r="AY44" s="887"/>
      <c r="AZ44" s="887"/>
      <c r="BA44" s="887"/>
      <c r="BB44" s="887"/>
      <c r="BC44" s="887"/>
      <c r="BD44" s="887"/>
      <c r="BE44" s="887"/>
      <c r="BF44" s="887"/>
      <c r="BG44" s="887"/>
      <c r="BH44" s="887"/>
      <c r="BI44" s="887"/>
      <c r="BJ44" s="887"/>
      <c r="BK44" s="887"/>
      <c r="BL44" s="887"/>
      <c r="BM44" s="887"/>
      <c r="BN44" s="887"/>
      <c r="BO44" s="887"/>
      <c r="BP44" s="887"/>
      <c r="BQ44" s="887"/>
      <c r="BR44" s="887"/>
      <c r="BS44" s="887"/>
      <c r="BT44" s="887"/>
      <c r="BU44" s="887"/>
      <c r="BV44" s="887"/>
      <c r="BW44" s="887"/>
      <c r="BX44" s="887"/>
      <c r="BY44" s="887"/>
      <c r="BZ44" s="887"/>
      <c r="CA44" s="887"/>
      <c r="CB44" s="887"/>
      <c r="CC44" s="887"/>
      <c r="CD44" s="887"/>
      <c r="CE44" s="887"/>
      <c r="CF44" s="887"/>
      <c r="CG44" s="887"/>
      <c r="CH44" s="887"/>
      <c r="CI44" s="887"/>
      <c r="CJ44" s="887"/>
      <c r="CK44" s="887"/>
      <c r="CL44" s="887"/>
      <c r="CM44" s="887"/>
      <c r="CN44" s="887"/>
      <c r="CO44" s="887"/>
      <c r="CP44" s="887"/>
      <c r="CQ44" s="887"/>
      <c r="CR44" s="887"/>
      <c r="CS44" s="887"/>
      <c r="CT44" s="887"/>
      <c r="CU44" s="887"/>
      <c r="CV44" s="887"/>
      <c r="CW44" s="887"/>
      <c r="CX44" s="887"/>
      <c r="CY44" s="887"/>
      <c r="CZ44" s="887"/>
    </row>
    <row r="45" spans="1:104" ht="16.5">
      <c r="A45" s="882" t="s">
        <v>82</v>
      </c>
      <c r="B45" s="883">
        <f t="shared" si="0"/>
        <v>5</v>
      </c>
      <c r="C45" s="884">
        <f t="shared" si="1"/>
        <v>0</v>
      </c>
      <c r="D45" s="885">
        <v>5</v>
      </c>
      <c r="E45" s="886"/>
      <c r="F45" s="887"/>
      <c r="G45" s="887"/>
      <c r="H45" s="887"/>
      <c r="I45" s="887"/>
      <c r="J45" s="887"/>
      <c r="K45" s="887"/>
      <c r="L45" s="887"/>
      <c r="M45" s="887"/>
      <c r="N45" s="887"/>
      <c r="O45" s="887"/>
      <c r="P45" s="887"/>
      <c r="Q45" s="887"/>
      <c r="R45" s="887"/>
      <c r="S45" s="887"/>
      <c r="T45" s="887"/>
      <c r="U45" s="887"/>
      <c r="V45" s="887"/>
      <c r="W45" s="887"/>
      <c r="X45" s="887"/>
      <c r="Y45" s="887"/>
      <c r="Z45" s="887"/>
      <c r="AA45" s="887"/>
      <c r="AB45" s="887"/>
      <c r="AC45" s="887"/>
      <c r="AD45" s="887"/>
      <c r="AE45" s="887"/>
      <c r="AF45" s="887"/>
      <c r="AG45" s="887"/>
      <c r="AH45" s="887"/>
      <c r="AI45" s="887"/>
      <c r="AJ45" s="887"/>
      <c r="AK45" s="887"/>
      <c r="AL45" s="887"/>
      <c r="AM45" s="887"/>
      <c r="AN45" s="887"/>
      <c r="AO45" s="887"/>
      <c r="AP45" s="887"/>
      <c r="AQ45" s="887"/>
      <c r="AR45" s="887"/>
      <c r="AS45" s="887"/>
      <c r="AT45" s="887"/>
      <c r="AU45" s="887"/>
      <c r="AV45" s="887"/>
      <c r="AW45" s="887"/>
      <c r="AX45" s="887"/>
      <c r="AY45" s="887"/>
      <c r="AZ45" s="887"/>
      <c r="BA45" s="887"/>
      <c r="BB45" s="887"/>
      <c r="BC45" s="887"/>
      <c r="BD45" s="887"/>
      <c r="BE45" s="887"/>
      <c r="BF45" s="887"/>
      <c r="BG45" s="887"/>
      <c r="BH45" s="887"/>
      <c r="BI45" s="887"/>
      <c r="BJ45" s="887"/>
      <c r="BK45" s="887"/>
      <c r="BL45" s="887"/>
      <c r="BM45" s="887"/>
      <c r="BN45" s="887"/>
      <c r="BO45" s="887"/>
      <c r="BP45" s="887"/>
      <c r="BQ45" s="887"/>
      <c r="BR45" s="887"/>
      <c r="BS45" s="887"/>
      <c r="BT45" s="887"/>
      <c r="BU45" s="887"/>
      <c r="BV45" s="887"/>
      <c r="BW45" s="887"/>
      <c r="BX45" s="887"/>
      <c r="BY45" s="887"/>
      <c r="BZ45" s="887"/>
      <c r="CA45" s="887"/>
      <c r="CB45" s="887"/>
      <c r="CC45" s="887"/>
      <c r="CD45" s="887"/>
      <c r="CE45" s="887"/>
      <c r="CF45" s="887"/>
      <c r="CG45" s="887"/>
      <c r="CH45" s="887"/>
      <c r="CI45" s="887"/>
      <c r="CJ45" s="887"/>
      <c r="CK45" s="887"/>
      <c r="CL45" s="887"/>
      <c r="CM45" s="887"/>
      <c r="CN45" s="887"/>
      <c r="CO45" s="887"/>
      <c r="CP45" s="887"/>
      <c r="CQ45" s="887"/>
      <c r="CR45" s="887"/>
      <c r="CS45" s="887"/>
      <c r="CT45" s="887"/>
      <c r="CU45" s="887"/>
      <c r="CV45" s="887"/>
      <c r="CW45" s="887"/>
      <c r="CX45" s="887"/>
      <c r="CY45" s="887"/>
      <c r="CZ45" s="887"/>
    </row>
    <row r="46" spans="1:104" ht="16.5">
      <c r="A46" s="882" t="s">
        <v>87</v>
      </c>
      <c r="B46" s="883">
        <f t="shared" si="0"/>
        <v>1</v>
      </c>
      <c r="C46" s="884">
        <f t="shared" si="1"/>
        <v>0</v>
      </c>
      <c r="D46" s="885">
        <v>1</v>
      </c>
      <c r="E46" s="886"/>
      <c r="F46" s="887"/>
      <c r="G46" s="887"/>
      <c r="H46" s="887"/>
      <c r="I46" s="887"/>
      <c r="J46" s="887"/>
      <c r="K46" s="887"/>
      <c r="L46" s="887"/>
      <c r="M46" s="887"/>
      <c r="N46" s="887"/>
      <c r="O46" s="887"/>
      <c r="P46" s="887"/>
      <c r="Q46" s="887"/>
      <c r="R46" s="887"/>
      <c r="S46" s="887"/>
      <c r="T46" s="887"/>
      <c r="U46" s="887"/>
      <c r="V46" s="887"/>
      <c r="W46" s="887"/>
      <c r="X46" s="887"/>
      <c r="Y46" s="887"/>
      <c r="Z46" s="887"/>
      <c r="AA46" s="887"/>
      <c r="AB46" s="887"/>
      <c r="AC46" s="887"/>
      <c r="AD46" s="887"/>
      <c r="AE46" s="887"/>
      <c r="AF46" s="887"/>
      <c r="AG46" s="887"/>
      <c r="AH46" s="887"/>
      <c r="AI46" s="887"/>
      <c r="AJ46" s="887"/>
      <c r="AK46" s="887"/>
      <c r="AL46" s="887"/>
      <c r="AM46" s="887"/>
      <c r="AN46" s="887"/>
      <c r="AO46" s="887"/>
      <c r="AP46" s="887"/>
      <c r="AQ46" s="887"/>
      <c r="AR46" s="887"/>
      <c r="AS46" s="887"/>
      <c r="AT46" s="887"/>
      <c r="AU46" s="887"/>
      <c r="AV46" s="887"/>
      <c r="AW46" s="887"/>
      <c r="AX46" s="887"/>
      <c r="AY46" s="887"/>
      <c r="AZ46" s="887"/>
      <c r="BA46" s="887"/>
      <c r="BB46" s="887"/>
      <c r="BC46" s="887"/>
      <c r="BD46" s="887"/>
      <c r="BE46" s="887"/>
      <c r="BF46" s="887"/>
      <c r="BG46" s="887"/>
      <c r="BH46" s="887"/>
      <c r="BI46" s="887"/>
      <c r="BJ46" s="887"/>
      <c r="BK46" s="887"/>
      <c r="BL46" s="887"/>
      <c r="BM46" s="887"/>
      <c r="BN46" s="887"/>
      <c r="BO46" s="887"/>
      <c r="BP46" s="887"/>
      <c r="BQ46" s="887"/>
      <c r="BR46" s="887"/>
      <c r="BS46" s="887"/>
      <c r="BT46" s="887"/>
      <c r="BU46" s="887"/>
      <c r="BV46" s="887"/>
      <c r="BW46" s="887"/>
      <c r="BX46" s="887"/>
      <c r="BY46" s="887"/>
      <c r="BZ46" s="887"/>
      <c r="CA46" s="887"/>
      <c r="CB46" s="887"/>
      <c r="CC46" s="887"/>
      <c r="CD46" s="887"/>
      <c r="CE46" s="887"/>
      <c r="CF46" s="887"/>
      <c r="CG46" s="887"/>
      <c r="CH46" s="887"/>
      <c r="CI46" s="887"/>
      <c r="CJ46" s="887"/>
      <c r="CK46" s="887"/>
      <c r="CL46" s="887"/>
      <c r="CM46" s="887"/>
      <c r="CN46" s="887"/>
      <c r="CO46" s="887"/>
      <c r="CP46" s="887"/>
      <c r="CQ46" s="887"/>
      <c r="CR46" s="887"/>
      <c r="CS46" s="887"/>
      <c r="CT46" s="887"/>
      <c r="CU46" s="887"/>
      <c r="CV46" s="887"/>
      <c r="CW46" s="887"/>
      <c r="CX46" s="887"/>
      <c r="CY46" s="887"/>
      <c r="CZ46" s="887"/>
    </row>
    <row r="47" spans="1:104" ht="16.5">
      <c r="A47" s="882" t="s">
        <v>95</v>
      </c>
      <c r="B47" s="883">
        <f t="shared" si="0"/>
        <v>10</v>
      </c>
      <c r="C47" s="884">
        <f t="shared" si="1"/>
        <v>0</v>
      </c>
      <c r="D47" s="885">
        <v>10</v>
      </c>
      <c r="E47" s="886"/>
      <c r="F47" s="887"/>
      <c r="G47" s="887"/>
      <c r="H47" s="887"/>
      <c r="I47" s="887"/>
      <c r="J47" s="887"/>
      <c r="K47" s="887"/>
      <c r="L47" s="887"/>
      <c r="M47" s="887"/>
      <c r="N47" s="887"/>
      <c r="O47" s="887"/>
      <c r="P47" s="887"/>
      <c r="Q47" s="887"/>
      <c r="R47" s="887"/>
      <c r="S47" s="887"/>
      <c r="T47" s="887"/>
      <c r="U47" s="887"/>
      <c r="V47" s="887"/>
      <c r="W47" s="887"/>
      <c r="X47" s="887"/>
      <c r="Y47" s="887"/>
      <c r="Z47" s="887"/>
      <c r="AA47" s="887"/>
      <c r="AB47" s="887"/>
      <c r="AC47" s="887"/>
      <c r="AD47" s="887"/>
      <c r="AE47" s="887"/>
      <c r="AF47" s="887"/>
      <c r="AG47" s="887"/>
      <c r="AH47" s="887"/>
      <c r="AI47" s="887"/>
      <c r="AJ47" s="887"/>
      <c r="AK47" s="887"/>
      <c r="AL47" s="887"/>
      <c r="AM47" s="887"/>
      <c r="AN47" s="887"/>
      <c r="AO47" s="887"/>
      <c r="AP47" s="887"/>
      <c r="AQ47" s="887"/>
      <c r="AR47" s="887"/>
      <c r="AS47" s="887"/>
      <c r="AT47" s="887"/>
      <c r="AU47" s="887"/>
      <c r="AV47" s="887"/>
      <c r="AW47" s="887"/>
      <c r="AX47" s="887"/>
      <c r="AY47" s="887"/>
      <c r="AZ47" s="887"/>
      <c r="BA47" s="887"/>
      <c r="BB47" s="887"/>
      <c r="BC47" s="887"/>
      <c r="BD47" s="887"/>
      <c r="BE47" s="887"/>
      <c r="BF47" s="887"/>
      <c r="BG47" s="887"/>
      <c r="BH47" s="887"/>
      <c r="BI47" s="887"/>
      <c r="BJ47" s="887"/>
      <c r="BK47" s="887"/>
      <c r="BL47" s="887"/>
      <c r="BM47" s="887"/>
      <c r="BN47" s="887"/>
      <c r="BO47" s="887"/>
      <c r="BP47" s="887"/>
      <c r="BQ47" s="887"/>
      <c r="BR47" s="887"/>
      <c r="BS47" s="887"/>
      <c r="BT47" s="887"/>
      <c r="BU47" s="887"/>
      <c r="BV47" s="887"/>
      <c r="BW47" s="887"/>
      <c r="BX47" s="887"/>
      <c r="BY47" s="887"/>
      <c r="BZ47" s="887"/>
      <c r="CA47" s="887"/>
      <c r="CB47" s="887"/>
      <c r="CC47" s="887"/>
      <c r="CD47" s="887"/>
      <c r="CE47" s="887"/>
      <c r="CF47" s="887"/>
      <c r="CG47" s="887"/>
      <c r="CH47" s="887"/>
      <c r="CI47" s="887"/>
      <c r="CJ47" s="887"/>
      <c r="CK47" s="887"/>
      <c r="CL47" s="887"/>
      <c r="CM47" s="887"/>
      <c r="CN47" s="887"/>
      <c r="CO47" s="887"/>
      <c r="CP47" s="887"/>
      <c r="CQ47" s="887"/>
      <c r="CR47" s="887"/>
      <c r="CS47" s="887"/>
      <c r="CT47" s="887"/>
      <c r="CU47" s="887"/>
      <c r="CV47" s="887"/>
      <c r="CW47" s="887"/>
      <c r="CX47" s="887"/>
      <c r="CY47" s="887"/>
      <c r="CZ47" s="887"/>
    </row>
    <row r="48" spans="1:104" ht="16.5">
      <c r="A48" s="882" t="s">
        <v>97</v>
      </c>
      <c r="B48" s="883">
        <f t="shared" si="0"/>
        <v>1</v>
      </c>
      <c r="C48" s="884">
        <f t="shared" si="1"/>
        <v>0</v>
      </c>
      <c r="D48" s="885">
        <v>1</v>
      </c>
      <c r="E48" s="886"/>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7"/>
      <c r="AN48" s="887"/>
      <c r="AO48" s="887"/>
      <c r="AP48" s="887"/>
      <c r="AQ48" s="887"/>
      <c r="AR48" s="887"/>
      <c r="AS48" s="887"/>
      <c r="AT48" s="887"/>
      <c r="AU48" s="887"/>
      <c r="AV48" s="887"/>
      <c r="AW48" s="887"/>
      <c r="AX48" s="887"/>
      <c r="AY48" s="887"/>
      <c r="AZ48" s="887"/>
      <c r="BA48" s="887"/>
      <c r="BB48" s="887"/>
      <c r="BC48" s="887"/>
      <c r="BD48" s="887"/>
      <c r="BE48" s="887"/>
      <c r="BF48" s="887"/>
      <c r="BG48" s="887"/>
      <c r="BH48" s="887"/>
      <c r="BI48" s="887"/>
      <c r="BJ48" s="887"/>
      <c r="BK48" s="887"/>
      <c r="BL48" s="887"/>
      <c r="BM48" s="887"/>
      <c r="BN48" s="887"/>
      <c r="BO48" s="887"/>
      <c r="BP48" s="887"/>
      <c r="BQ48" s="887"/>
      <c r="BR48" s="887"/>
      <c r="BS48" s="887"/>
      <c r="BT48" s="887"/>
      <c r="BU48" s="887"/>
      <c r="BV48" s="887"/>
      <c r="BW48" s="887"/>
      <c r="BX48" s="887"/>
      <c r="BY48" s="887"/>
      <c r="BZ48" s="887"/>
      <c r="CA48" s="887"/>
      <c r="CB48" s="887"/>
      <c r="CC48" s="887"/>
      <c r="CD48" s="887"/>
      <c r="CE48" s="887"/>
      <c r="CF48" s="887"/>
      <c r="CG48" s="887"/>
      <c r="CH48" s="887"/>
      <c r="CI48" s="887"/>
      <c r="CJ48" s="887"/>
      <c r="CK48" s="887"/>
      <c r="CL48" s="887"/>
      <c r="CM48" s="887"/>
      <c r="CN48" s="887"/>
      <c r="CO48" s="887"/>
      <c r="CP48" s="887"/>
      <c r="CQ48" s="887"/>
      <c r="CR48" s="887"/>
      <c r="CS48" s="887"/>
      <c r="CT48" s="887"/>
      <c r="CU48" s="887"/>
      <c r="CV48" s="887"/>
      <c r="CW48" s="887"/>
      <c r="CX48" s="887"/>
      <c r="CY48" s="887"/>
      <c r="CZ48" s="887"/>
    </row>
    <row r="49" spans="1:104" ht="16.5">
      <c r="A49" s="882" t="s">
        <v>104</v>
      </c>
      <c r="B49" s="883">
        <f t="shared" si="0"/>
        <v>1</v>
      </c>
      <c r="C49" s="884">
        <f t="shared" si="1"/>
        <v>0</v>
      </c>
      <c r="D49" s="885">
        <v>1</v>
      </c>
      <c r="E49" s="886"/>
      <c r="F49" s="887"/>
      <c r="G49" s="887"/>
      <c r="H49" s="887"/>
      <c r="I49" s="887"/>
      <c r="J49" s="887"/>
      <c r="K49" s="887"/>
      <c r="L49" s="887"/>
      <c r="M49" s="887"/>
      <c r="N49" s="887"/>
      <c r="O49" s="887"/>
      <c r="P49" s="887"/>
      <c r="Q49" s="887"/>
      <c r="R49" s="887"/>
      <c r="S49" s="887"/>
      <c r="T49" s="887"/>
      <c r="U49" s="887"/>
      <c r="V49" s="887"/>
      <c r="W49" s="887"/>
      <c r="X49" s="887"/>
      <c r="Y49" s="887"/>
      <c r="Z49" s="887"/>
      <c r="AA49" s="887"/>
      <c r="AB49" s="887"/>
      <c r="AC49" s="887"/>
      <c r="AD49" s="887"/>
      <c r="AE49" s="887"/>
      <c r="AF49" s="887"/>
      <c r="AG49" s="887"/>
      <c r="AH49" s="887"/>
      <c r="AI49" s="887"/>
      <c r="AJ49" s="887"/>
      <c r="AK49" s="887"/>
      <c r="AL49" s="887"/>
      <c r="AM49" s="887"/>
      <c r="AN49" s="887"/>
      <c r="AO49" s="887"/>
      <c r="AP49" s="887"/>
      <c r="AQ49" s="887"/>
      <c r="AR49" s="887"/>
      <c r="AS49" s="887"/>
      <c r="AT49" s="887"/>
      <c r="AU49" s="887"/>
      <c r="AV49" s="887"/>
      <c r="AW49" s="887"/>
      <c r="AX49" s="887"/>
      <c r="AY49" s="887"/>
      <c r="AZ49" s="887"/>
      <c r="BA49" s="887"/>
      <c r="BB49" s="887"/>
      <c r="BC49" s="887"/>
      <c r="BD49" s="887"/>
      <c r="BE49" s="887"/>
      <c r="BF49" s="887"/>
      <c r="BG49" s="887"/>
      <c r="BH49" s="887"/>
      <c r="BI49" s="887"/>
      <c r="BJ49" s="887"/>
      <c r="BK49" s="887"/>
      <c r="BL49" s="887"/>
      <c r="BM49" s="887"/>
      <c r="BN49" s="887"/>
      <c r="BO49" s="887"/>
      <c r="BP49" s="887"/>
      <c r="BQ49" s="887"/>
      <c r="BR49" s="887"/>
      <c r="BS49" s="887"/>
      <c r="BT49" s="887"/>
      <c r="BU49" s="887"/>
      <c r="BV49" s="887"/>
      <c r="BW49" s="887"/>
      <c r="BX49" s="887"/>
      <c r="BY49" s="887"/>
      <c r="BZ49" s="887"/>
      <c r="CA49" s="887"/>
      <c r="CB49" s="887"/>
      <c r="CC49" s="887"/>
      <c r="CD49" s="887"/>
      <c r="CE49" s="887"/>
      <c r="CF49" s="887"/>
      <c r="CG49" s="887"/>
      <c r="CH49" s="887"/>
      <c r="CI49" s="887"/>
      <c r="CJ49" s="887"/>
      <c r="CK49" s="887"/>
      <c r="CL49" s="887"/>
      <c r="CM49" s="887"/>
      <c r="CN49" s="887"/>
      <c r="CO49" s="887"/>
      <c r="CP49" s="887"/>
      <c r="CQ49" s="887"/>
      <c r="CR49" s="887"/>
      <c r="CS49" s="887"/>
      <c r="CT49" s="887"/>
      <c r="CU49" s="887"/>
      <c r="CV49" s="887"/>
      <c r="CW49" s="887"/>
      <c r="CX49" s="887"/>
      <c r="CY49" s="887"/>
      <c r="CZ49" s="887"/>
    </row>
    <row r="50" spans="1:104" ht="16.5">
      <c r="A50" s="882" t="s">
        <v>106</v>
      </c>
      <c r="B50" s="883">
        <f t="shared" si="0"/>
        <v>10</v>
      </c>
      <c r="C50" s="884">
        <f t="shared" si="1"/>
        <v>0</v>
      </c>
      <c r="D50" s="885">
        <v>10</v>
      </c>
      <c r="E50" s="886"/>
      <c r="F50" s="887"/>
      <c r="G50" s="887"/>
      <c r="H50" s="887"/>
      <c r="I50" s="887"/>
      <c r="J50" s="887"/>
      <c r="K50" s="887"/>
      <c r="L50" s="887"/>
      <c r="M50" s="887"/>
      <c r="N50" s="887"/>
      <c r="O50" s="887"/>
      <c r="P50" s="887"/>
      <c r="Q50" s="887"/>
      <c r="R50" s="887"/>
      <c r="S50" s="887"/>
      <c r="T50" s="887"/>
      <c r="U50" s="887"/>
      <c r="V50" s="887"/>
      <c r="W50" s="887"/>
      <c r="X50" s="887"/>
      <c r="Y50" s="887"/>
      <c r="Z50" s="887"/>
      <c r="AA50" s="887"/>
      <c r="AB50" s="887"/>
      <c r="AC50" s="887"/>
      <c r="AD50" s="887"/>
      <c r="AE50" s="887"/>
      <c r="AF50" s="887"/>
      <c r="AG50" s="887"/>
      <c r="AH50" s="887"/>
      <c r="AI50" s="887"/>
      <c r="AJ50" s="887"/>
      <c r="AK50" s="887"/>
      <c r="AL50" s="887"/>
      <c r="AM50" s="887"/>
      <c r="AN50" s="887"/>
      <c r="AO50" s="887"/>
      <c r="AP50" s="887"/>
      <c r="AQ50" s="887"/>
      <c r="AR50" s="887"/>
      <c r="AS50" s="887"/>
      <c r="AT50" s="887"/>
      <c r="AU50" s="887"/>
      <c r="AV50" s="887"/>
      <c r="AW50" s="887"/>
      <c r="AX50" s="887"/>
      <c r="AY50" s="887"/>
      <c r="AZ50" s="887"/>
      <c r="BA50" s="887"/>
      <c r="BB50" s="887"/>
      <c r="BC50" s="887"/>
      <c r="BD50" s="887"/>
      <c r="BE50" s="887"/>
      <c r="BF50" s="887"/>
      <c r="BG50" s="887"/>
      <c r="BH50" s="887"/>
      <c r="BI50" s="887"/>
      <c r="BJ50" s="887"/>
      <c r="BK50" s="887"/>
      <c r="BL50" s="887"/>
      <c r="BM50" s="887"/>
      <c r="BN50" s="887"/>
      <c r="BO50" s="887"/>
      <c r="BP50" s="887"/>
      <c r="BQ50" s="887"/>
      <c r="BR50" s="887"/>
      <c r="BS50" s="887"/>
      <c r="BT50" s="887"/>
      <c r="BU50" s="887"/>
      <c r="BV50" s="887"/>
      <c r="BW50" s="887"/>
      <c r="BX50" s="887"/>
      <c r="BY50" s="887"/>
      <c r="BZ50" s="887"/>
      <c r="CA50" s="887"/>
      <c r="CB50" s="887"/>
      <c r="CC50" s="887"/>
      <c r="CD50" s="887"/>
      <c r="CE50" s="887"/>
      <c r="CF50" s="887"/>
      <c r="CG50" s="887"/>
      <c r="CH50" s="887"/>
      <c r="CI50" s="887"/>
      <c r="CJ50" s="887"/>
      <c r="CK50" s="887"/>
      <c r="CL50" s="887"/>
      <c r="CM50" s="887"/>
      <c r="CN50" s="887"/>
      <c r="CO50" s="887"/>
      <c r="CP50" s="887"/>
      <c r="CQ50" s="887"/>
      <c r="CR50" s="887"/>
      <c r="CS50" s="887"/>
      <c r="CT50" s="887"/>
      <c r="CU50" s="887"/>
      <c r="CV50" s="887"/>
      <c r="CW50" s="887"/>
      <c r="CX50" s="887"/>
      <c r="CY50" s="887"/>
      <c r="CZ50" s="887"/>
    </row>
    <row r="51" spans="1:104" ht="16.5">
      <c r="A51" s="882" t="s">
        <v>110</v>
      </c>
      <c r="B51" s="883">
        <f t="shared" si="0"/>
        <v>5</v>
      </c>
      <c r="C51" s="884">
        <f t="shared" si="1"/>
        <v>0</v>
      </c>
      <c r="D51" s="885">
        <v>5</v>
      </c>
      <c r="E51" s="886"/>
      <c r="F51" s="887"/>
      <c r="G51" s="887"/>
      <c r="H51" s="887"/>
      <c r="I51" s="887"/>
      <c r="J51" s="887"/>
      <c r="K51" s="887"/>
      <c r="L51" s="887"/>
      <c r="M51" s="887"/>
      <c r="N51" s="887"/>
      <c r="O51" s="887"/>
      <c r="P51" s="887"/>
      <c r="Q51" s="887"/>
      <c r="R51" s="887"/>
      <c r="S51" s="887"/>
      <c r="T51" s="887"/>
      <c r="U51" s="887"/>
      <c r="V51" s="887"/>
      <c r="W51" s="887"/>
      <c r="X51" s="887"/>
      <c r="Y51" s="887"/>
      <c r="Z51" s="887"/>
      <c r="AA51" s="887"/>
      <c r="AB51" s="887"/>
      <c r="AC51" s="887"/>
      <c r="AD51" s="887"/>
      <c r="AE51" s="887"/>
      <c r="AF51" s="887"/>
      <c r="AG51" s="887"/>
      <c r="AH51" s="887"/>
      <c r="AI51" s="887"/>
      <c r="AJ51" s="887"/>
      <c r="AK51" s="887"/>
      <c r="AL51" s="887"/>
      <c r="AM51" s="887"/>
      <c r="AN51" s="887"/>
      <c r="AO51" s="887"/>
      <c r="AP51" s="887"/>
      <c r="AQ51" s="887"/>
      <c r="AR51" s="887"/>
      <c r="AS51" s="887"/>
      <c r="AT51" s="887"/>
      <c r="AU51" s="887"/>
      <c r="AV51" s="887"/>
      <c r="AW51" s="887"/>
      <c r="AX51" s="887"/>
      <c r="AY51" s="887"/>
      <c r="AZ51" s="887"/>
      <c r="BA51" s="887"/>
      <c r="BB51" s="887"/>
      <c r="BC51" s="887"/>
      <c r="BD51" s="887"/>
      <c r="BE51" s="887"/>
      <c r="BF51" s="887"/>
      <c r="BG51" s="887"/>
      <c r="BH51" s="887"/>
      <c r="BI51" s="887"/>
      <c r="BJ51" s="887"/>
      <c r="BK51" s="887"/>
      <c r="BL51" s="887"/>
      <c r="BM51" s="887"/>
      <c r="BN51" s="887"/>
      <c r="BO51" s="887"/>
      <c r="BP51" s="887"/>
      <c r="BQ51" s="887"/>
      <c r="BR51" s="887"/>
      <c r="BS51" s="887"/>
      <c r="BT51" s="887"/>
      <c r="BU51" s="887"/>
      <c r="BV51" s="887"/>
      <c r="BW51" s="887"/>
      <c r="BX51" s="887"/>
      <c r="BY51" s="887"/>
      <c r="BZ51" s="887"/>
      <c r="CA51" s="887"/>
      <c r="CB51" s="887"/>
      <c r="CC51" s="887"/>
      <c r="CD51" s="887"/>
      <c r="CE51" s="887"/>
      <c r="CF51" s="887"/>
      <c r="CG51" s="887"/>
      <c r="CH51" s="887"/>
      <c r="CI51" s="887"/>
      <c r="CJ51" s="887"/>
      <c r="CK51" s="887"/>
      <c r="CL51" s="887"/>
      <c r="CM51" s="887"/>
      <c r="CN51" s="887"/>
      <c r="CO51" s="887"/>
      <c r="CP51" s="887"/>
      <c r="CQ51" s="887"/>
      <c r="CR51" s="887"/>
      <c r="CS51" s="887"/>
      <c r="CT51" s="887"/>
      <c r="CU51" s="887"/>
      <c r="CV51" s="887"/>
      <c r="CW51" s="887"/>
      <c r="CX51" s="887"/>
      <c r="CY51" s="887"/>
      <c r="CZ51" s="887"/>
    </row>
    <row r="52" spans="1:104" ht="16.5">
      <c r="A52" s="882" t="s">
        <v>112</v>
      </c>
      <c r="B52" s="883">
        <f t="shared" si="0"/>
        <v>1</v>
      </c>
      <c r="C52" s="884">
        <f t="shared" si="1"/>
        <v>0</v>
      </c>
      <c r="D52" s="885">
        <v>1</v>
      </c>
      <c r="E52" s="886"/>
      <c r="F52" s="887"/>
      <c r="G52" s="887"/>
      <c r="H52" s="887"/>
      <c r="I52" s="887"/>
      <c r="J52" s="887"/>
      <c r="K52" s="887"/>
      <c r="L52" s="887"/>
      <c r="M52" s="887"/>
      <c r="N52" s="887"/>
      <c r="O52" s="887"/>
      <c r="P52" s="887"/>
      <c r="Q52" s="887"/>
      <c r="R52" s="887"/>
      <c r="S52" s="887"/>
      <c r="T52" s="887"/>
      <c r="U52" s="887"/>
      <c r="V52" s="887"/>
      <c r="W52" s="887"/>
      <c r="X52" s="887"/>
      <c r="Y52" s="887"/>
      <c r="Z52" s="887"/>
      <c r="AA52" s="887"/>
      <c r="AB52" s="887"/>
      <c r="AC52" s="887"/>
      <c r="AD52" s="887"/>
      <c r="AE52" s="887"/>
      <c r="AF52" s="887"/>
      <c r="AG52" s="887"/>
      <c r="AH52" s="887"/>
      <c r="AI52" s="887"/>
      <c r="AJ52" s="887"/>
      <c r="AK52" s="887"/>
      <c r="AL52" s="887"/>
      <c r="AM52" s="887"/>
      <c r="AN52" s="887"/>
      <c r="AO52" s="887"/>
      <c r="AP52" s="887"/>
      <c r="AQ52" s="887"/>
      <c r="AR52" s="887"/>
      <c r="AS52" s="887"/>
      <c r="AT52" s="887"/>
      <c r="AU52" s="887"/>
      <c r="AV52" s="887"/>
      <c r="AW52" s="887"/>
      <c r="AX52" s="887"/>
      <c r="AY52" s="887"/>
      <c r="AZ52" s="887"/>
      <c r="BA52" s="887"/>
      <c r="BB52" s="887"/>
      <c r="BC52" s="887"/>
      <c r="BD52" s="887"/>
      <c r="BE52" s="887"/>
      <c r="BF52" s="887"/>
      <c r="BG52" s="887"/>
      <c r="BH52" s="887"/>
      <c r="BI52" s="887"/>
      <c r="BJ52" s="887"/>
      <c r="BK52" s="887"/>
      <c r="BL52" s="887"/>
      <c r="BM52" s="887"/>
      <c r="BN52" s="887"/>
      <c r="BO52" s="887"/>
      <c r="BP52" s="887"/>
      <c r="BQ52" s="887"/>
      <c r="BR52" s="887"/>
      <c r="BS52" s="887"/>
      <c r="BT52" s="887"/>
      <c r="BU52" s="887"/>
      <c r="BV52" s="887"/>
      <c r="BW52" s="887"/>
      <c r="BX52" s="887"/>
      <c r="BY52" s="887"/>
      <c r="BZ52" s="887"/>
      <c r="CA52" s="887"/>
      <c r="CB52" s="887"/>
      <c r="CC52" s="887"/>
      <c r="CD52" s="887"/>
      <c r="CE52" s="887"/>
      <c r="CF52" s="887"/>
      <c r="CG52" s="887"/>
      <c r="CH52" s="887"/>
      <c r="CI52" s="887"/>
      <c r="CJ52" s="887"/>
      <c r="CK52" s="887"/>
      <c r="CL52" s="887"/>
      <c r="CM52" s="887"/>
      <c r="CN52" s="887"/>
      <c r="CO52" s="887"/>
      <c r="CP52" s="887"/>
      <c r="CQ52" s="887"/>
      <c r="CR52" s="887"/>
      <c r="CS52" s="887"/>
      <c r="CT52" s="887"/>
      <c r="CU52" s="887"/>
      <c r="CV52" s="887"/>
      <c r="CW52" s="887"/>
      <c r="CX52" s="887"/>
      <c r="CY52" s="887"/>
      <c r="CZ52" s="887"/>
    </row>
    <row r="53" spans="1:104" ht="16.5">
      <c r="A53" s="882" t="s">
        <v>115</v>
      </c>
      <c r="B53" s="883">
        <f t="shared" si="0"/>
        <v>1</v>
      </c>
      <c r="C53" s="884">
        <f t="shared" si="1"/>
        <v>0</v>
      </c>
      <c r="D53" s="885">
        <v>1</v>
      </c>
      <c r="E53" s="886"/>
      <c r="F53" s="887"/>
      <c r="G53" s="887"/>
      <c r="H53" s="887"/>
      <c r="I53" s="887"/>
      <c r="J53" s="887"/>
      <c r="K53" s="887"/>
      <c r="L53" s="887"/>
      <c r="M53" s="887"/>
      <c r="N53" s="887"/>
      <c r="O53" s="887"/>
      <c r="P53" s="887"/>
      <c r="Q53" s="887"/>
      <c r="R53" s="887"/>
      <c r="S53" s="887"/>
      <c r="T53" s="887"/>
      <c r="U53" s="887"/>
      <c r="V53" s="887"/>
      <c r="W53" s="887"/>
      <c r="X53" s="887"/>
      <c r="Y53" s="887"/>
      <c r="Z53" s="887"/>
      <c r="AA53" s="887"/>
      <c r="AB53" s="887"/>
      <c r="AC53" s="887"/>
      <c r="AD53" s="887"/>
      <c r="AE53" s="887"/>
      <c r="AF53" s="887"/>
      <c r="AG53" s="887"/>
      <c r="AH53" s="887"/>
      <c r="AI53" s="887"/>
      <c r="AJ53" s="887"/>
      <c r="AK53" s="887"/>
      <c r="AL53" s="887"/>
      <c r="AM53" s="887"/>
      <c r="AN53" s="887"/>
      <c r="AO53" s="887"/>
      <c r="AP53" s="887"/>
      <c r="AQ53" s="887"/>
      <c r="AR53" s="887"/>
      <c r="AS53" s="887"/>
      <c r="AT53" s="887"/>
      <c r="AU53" s="887"/>
      <c r="AV53" s="887"/>
      <c r="AW53" s="887"/>
      <c r="AX53" s="887"/>
      <c r="AY53" s="887"/>
      <c r="AZ53" s="887"/>
      <c r="BA53" s="887"/>
      <c r="BB53" s="887"/>
      <c r="BC53" s="887"/>
      <c r="BD53" s="887"/>
      <c r="BE53" s="887"/>
      <c r="BF53" s="887"/>
      <c r="BG53" s="887"/>
      <c r="BH53" s="887"/>
      <c r="BI53" s="887"/>
      <c r="BJ53" s="887"/>
      <c r="BK53" s="887"/>
      <c r="BL53" s="887"/>
      <c r="BM53" s="887"/>
      <c r="BN53" s="887"/>
      <c r="BO53" s="887"/>
      <c r="BP53" s="887"/>
      <c r="BQ53" s="887"/>
      <c r="BR53" s="887"/>
      <c r="BS53" s="887"/>
      <c r="BT53" s="887"/>
      <c r="BU53" s="887"/>
      <c r="BV53" s="887"/>
      <c r="BW53" s="887"/>
      <c r="BX53" s="887"/>
      <c r="BY53" s="887"/>
      <c r="BZ53" s="887"/>
      <c r="CA53" s="887"/>
      <c r="CB53" s="887"/>
      <c r="CC53" s="887"/>
      <c r="CD53" s="887"/>
      <c r="CE53" s="887"/>
      <c r="CF53" s="887"/>
      <c r="CG53" s="887"/>
      <c r="CH53" s="887"/>
      <c r="CI53" s="887"/>
      <c r="CJ53" s="887"/>
      <c r="CK53" s="887"/>
      <c r="CL53" s="887"/>
      <c r="CM53" s="887"/>
      <c r="CN53" s="887"/>
      <c r="CO53" s="887"/>
      <c r="CP53" s="887"/>
      <c r="CQ53" s="887"/>
      <c r="CR53" s="887"/>
      <c r="CS53" s="887"/>
      <c r="CT53" s="887"/>
      <c r="CU53" s="887"/>
      <c r="CV53" s="887"/>
      <c r="CW53" s="887"/>
      <c r="CX53" s="887"/>
      <c r="CY53" s="887"/>
      <c r="CZ53" s="887"/>
    </row>
    <row r="54" spans="1:104" ht="16.5">
      <c r="A54" s="882" t="s">
        <v>117</v>
      </c>
      <c r="B54" s="883">
        <f t="shared" si="0"/>
        <v>1</v>
      </c>
      <c r="C54" s="884">
        <f t="shared" si="1"/>
        <v>0</v>
      </c>
      <c r="D54" s="885">
        <v>1</v>
      </c>
      <c r="E54" s="886"/>
      <c r="F54" s="887"/>
      <c r="G54" s="887"/>
      <c r="H54" s="887"/>
      <c r="I54" s="887"/>
      <c r="J54" s="887"/>
      <c r="K54" s="887"/>
      <c r="L54" s="887"/>
      <c r="M54" s="887"/>
      <c r="N54" s="887"/>
      <c r="O54" s="887"/>
      <c r="P54" s="887"/>
      <c r="Q54" s="887"/>
      <c r="R54" s="887"/>
      <c r="S54" s="887"/>
      <c r="T54" s="887"/>
      <c r="U54" s="887"/>
      <c r="V54" s="887"/>
      <c r="W54" s="887"/>
      <c r="X54" s="887"/>
      <c r="Y54" s="887"/>
      <c r="Z54" s="887"/>
      <c r="AA54" s="887"/>
      <c r="AB54" s="887"/>
      <c r="AC54" s="887"/>
      <c r="AD54" s="887"/>
      <c r="AE54" s="887"/>
      <c r="AF54" s="887"/>
      <c r="AG54" s="887"/>
      <c r="AH54" s="887"/>
      <c r="AI54" s="887"/>
      <c r="AJ54" s="887"/>
      <c r="AK54" s="887"/>
      <c r="AL54" s="887"/>
      <c r="AM54" s="887"/>
      <c r="AN54" s="887"/>
      <c r="AO54" s="887"/>
      <c r="AP54" s="887"/>
      <c r="AQ54" s="887"/>
      <c r="AR54" s="887"/>
      <c r="AS54" s="887"/>
      <c r="AT54" s="887"/>
      <c r="AU54" s="887"/>
      <c r="AV54" s="887"/>
      <c r="AW54" s="887"/>
      <c r="AX54" s="887"/>
      <c r="AY54" s="887"/>
      <c r="AZ54" s="887"/>
      <c r="BA54" s="887"/>
      <c r="BB54" s="887"/>
      <c r="BC54" s="887"/>
      <c r="BD54" s="887"/>
      <c r="BE54" s="887"/>
      <c r="BF54" s="887"/>
      <c r="BG54" s="887"/>
      <c r="BH54" s="887"/>
      <c r="BI54" s="887"/>
      <c r="BJ54" s="887"/>
      <c r="BK54" s="887"/>
      <c r="BL54" s="887"/>
      <c r="BM54" s="887"/>
      <c r="BN54" s="887"/>
      <c r="BO54" s="887"/>
      <c r="BP54" s="887"/>
      <c r="BQ54" s="887"/>
      <c r="BR54" s="887"/>
      <c r="BS54" s="887"/>
      <c r="BT54" s="887"/>
      <c r="BU54" s="887"/>
      <c r="BV54" s="887"/>
      <c r="BW54" s="887"/>
      <c r="BX54" s="887"/>
      <c r="BY54" s="887"/>
      <c r="BZ54" s="887"/>
      <c r="CA54" s="887"/>
      <c r="CB54" s="887"/>
      <c r="CC54" s="887"/>
      <c r="CD54" s="887"/>
      <c r="CE54" s="887"/>
      <c r="CF54" s="887"/>
      <c r="CG54" s="887"/>
      <c r="CH54" s="887"/>
      <c r="CI54" s="887"/>
      <c r="CJ54" s="887"/>
      <c r="CK54" s="887"/>
      <c r="CL54" s="887"/>
      <c r="CM54" s="887"/>
      <c r="CN54" s="887"/>
      <c r="CO54" s="887"/>
      <c r="CP54" s="887"/>
      <c r="CQ54" s="887"/>
      <c r="CR54" s="887"/>
      <c r="CS54" s="887"/>
      <c r="CT54" s="887"/>
      <c r="CU54" s="887"/>
      <c r="CV54" s="887"/>
      <c r="CW54" s="887"/>
      <c r="CX54" s="887"/>
      <c r="CY54" s="887"/>
      <c r="CZ54" s="887"/>
    </row>
    <row r="55" spans="1:104" ht="16.5">
      <c r="A55" s="882" t="s">
        <v>121</v>
      </c>
      <c r="B55" s="883">
        <f t="shared" si="0"/>
        <v>10</v>
      </c>
      <c r="C55" s="884">
        <f t="shared" si="1"/>
        <v>0</v>
      </c>
      <c r="D55" s="885">
        <v>10</v>
      </c>
      <c r="E55" s="886"/>
      <c r="F55" s="887"/>
      <c r="G55" s="887"/>
      <c r="H55" s="887"/>
      <c r="I55" s="887"/>
      <c r="J55" s="887"/>
      <c r="K55" s="887"/>
      <c r="L55" s="887"/>
      <c r="M55" s="887"/>
      <c r="N55" s="887"/>
      <c r="O55" s="887"/>
      <c r="P55" s="887"/>
      <c r="Q55" s="887"/>
      <c r="R55" s="887"/>
      <c r="S55" s="887"/>
      <c r="T55" s="887"/>
      <c r="U55" s="887"/>
      <c r="V55" s="887"/>
      <c r="W55" s="887"/>
      <c r="X55" s="887"/>
      <c r="Y55" s="887"/>
      <c r="Z55" s="887"/>
      <c r="AA55" s="887"/>
      <c r="AB55" s="887"/>
      <c r="AC55" s="887"/>
      <c r="AD55" s="887"/>
      <c r="AE55" s="887"/>
      <c r="AF55" s="887"/>
      <c r="AG55" s="887"/>
      <c r="AH55" s="887"/>
      <c r="AI55" s="887"/>
      <c r="AJ55" s="887"/>
      <c r="AK55" s="887"/>
      <c r="AL55" s="887"/>
      <c r="AM55" s="887"/>
      <c r="AN55" s="887"/>
      <c r="AO55" s="887"/>
      <c r="AP55" s="887"/>
      <c r="AQ55" s="887"/>
      <c r="AR55" s="887"/>
      <c r="AS55" s="887"/>
      <c r="AT55" s="887"/>
      <c r="AU55" s="887"/>
      <c r="AV55" s="887"/>
      <c r="AW55" s="887"/>
      <c r="AX55" s="887"/>
      <c r="AY55" s="887"/>
      <c r="AZ55" s="887"/>
      <c r="BA55" s="887"/>
      <c r="BB55" s="887"/>
      <c r="BC55" s="887"/>
      <c r="BD55" s="887"/>
      <c r="BE55" s="887"/>
      <c r="BF55" s="887"/>
      <c r="BG55" s="887"/>
      <c r="BH55" s="887"/>
      <c r="BI55" s="887"/>
      <c r="BJ55" s="887"/>
      <c r="BK55" s="887"/>
      <c r="BL55" s="887"/>
      <c r="BM55" s="887"/>
      <c r="BN55" s="887"/>
      <c r="BO55" s="887"/>
      <c r="BP55" s="887"/>
      <c r="BQ55" s="887"/>
      <c r="BR55" s="887"/>
      <c r="BS55" s="887"/>
      <c r="BT55" s="887"/>
      <c r="BU55" s="887"/>
      <c r="BV55" s="887"/>
      <c r="BW55" s="887"/>
      <c r="BX55" s="887"/>
      <c r="BY55" s="887"/>
      <c r="BZ55" s="887"/>
      <c r="CA55" s="887"/>
      <c r="CB55" s="887"/>
      <c r="CC55" s="887"/>
      <c r="CD55" s="887"/>
      <c r="CE55" s="887"/>
      <c r="CF55" s="887"/>
      <c r="CG55" s="887"/>
      <c r="CH55" s="887"/>
      <c r="CI55" s="887"/>
      <c r="CJ55" s="887"/>
      <c r="CK55" s="887"/>
      <c r="CL55" s="887"/>
      <c r="CM55" s="887"/>
      <c r="CN55" s="887"/>
      <c r="CO55" s="887"/>
      <c r="CP55" s="887"/>
      <c r="CQ55" s="887"/>
      <c r="CR55" s="887"/>
      <c r="CS55" s="887"/>
      <c r="CT55" s="887"/>
      <c r="CU55" s="887"/>
      <c r="CV55" s="887"/>
      <c r="CW55" s="887"/>
      <c r="CX55" s="887"/>
      <c r="CY55" s="887"/>
      <c r="CZ55" s="887"/>
    </row>
    <row r="56" spans="1:104" ht="16.5">
      <c r="A56" s="882" t="s">
        <v>123</v>
      </c>
      <c r="B56" s="883">
        <f t="shared" si="0"/>
        <v>25</v>
      </c>
      <c r="C56" s="884">
        <f t="shared" si="1"/>
        <v>0</v>
      </c>
      <c r="D56" s="885">
        <v>25</v>
      </c>
      <c r="E56" s="886"/>
      <c r="F56" s="887"/>
      <c r="G56" s="887"/>
      <c r="H56" s="887"/>
      <c r="I56" s="887"/>
      <c r="J56" s="887"/>
      <c r="K56" s="887"/>
      <c r="L56" s="887"/>
      <c r="M56" s="887"/>
      <c r="N56" s="887"/>
      <c r="O56" s="887"/>
      <c r="P56" s="887"/>
      <c r="Q56" s="887"/>
      <c r="R56" s="887"/>
      <c r="S56" s="887"/>
      <c r="T56" s="887"/>
      <c r="U56" s="887"/>
      <c r="V56" s="887"/>
      <c r="W56" s="887"/>
      <c r="X56" s="887"/>
      <c r="Y56" s="887"/>
      <c r="Z56" s="887"/>
      <c r="AA56" s="887"/>
      <c r="AB56" s="887"/>
      <c r="AC56" s="887"/>
      <c r="AD56" s="887"/>
      <c r="AE56" s="887"/>
      <c r="AF56" s="887"/>
      <c r="AG56" s="887"/>
      <c r="AH56" s="887"/>
      <c r="AI56" s="887"/>
      <c r="AJ56" s="887"/>
      <c r="AK56" s="887"/>
      <c r="AL56" s="887"/>
      <c r="AM56" s="887"/>
      <c r="AN56" s="887"/>
      <c r="AO56" s="887"/>
      <c r="AP56" s="887"/>
      <c r="AQ56" s="887"/>
      <c r="AR56" s="887"/>
      <c r="AS56" s="887"/>
      <c r="AT56" s="887"/>
      <c r="AU56" s="887"/>
      <c r="AV56" s="887"/>
      <c r="AW56" s="887"/>
      <c r="AX56" s="887"/>
      <c r="AY56" s="887"/>
      <c r="AZ56" s="887"/>
      <c r="BA56" s="887"/>
      <c r="BB56" s="887"/>
      <c r="BC56" s="887"/>
      <c r="BD56" s="887"/>
      <c r="BE56" s="887"/>
      <c r="BF56" s="887"/>
      <c r="BG56" s="887"/>
      <c r="BH56" s="887"/>
      <c r="BI56" s="887"/>
      <c r="BJ56" s="887"/>
      <c r="BK56" s="887"/>
      <c r="BL56" s="887"/>
      <c r="BM56" s="887"/>
      <c r="BN56" s="887"/>
      <c r="BO56" s="887"/>
      <c r="BP56" s="887"/>
      <c r="BQ56" s="887"/>
      <c r="BR56" s="887"/>
      <c r="BS56" s="887"/>
      <c r="BT56" s="887"/>
      <c r="BU56" s="887"/>
      <c r="BV56" s="887"/>
      <c r="BW56" s="887"/>
      <c r="BX56" s="887"/>
      <c r="BY56" s="887"/>
      <c r="BZ56" s="887"/>
      <c r="CA56" s="887"/>
      <c r="CB56" s="887"/>
      <c r="CC56" s="887"/>
      <c r="CD56" s="887"/>
      <c r="CE56" s="887"/>
      <c r="CF56" s="887"/>
      <c r="CG56" s="887"/>
      <c r="CH56" s="887"/>
      <c r="CI56" s="887"/>
      <c r="CJ56" s="887"/>
      <c r="CK56" s="887"/>
      <c r="CL56" s="887"/>
      <c r="CM56" s="887"/>
      <c r="CN56" s="887"/>
      <c r="CO56" s="887"/>
      <c r="CP56" s="887"/>
      <c r="CQ56" s="887"/>
      <c r="CR56" s="887"/>
      <c r="CS56" s="887"/>
      <c r="CT56" s="887"/>
      <c r="CU56" s="887"/>
      <c r="CV56" s="887"/>
      <c r="CW56" s="887"/>
      <c r="CX56" s="887"/>
      <c r="CY56" s="887"/>
      <c r="CZ56" s="887"/>
    </row>
    <row r="57" spans="1:104" ht="16.5">
      <c r="A57" s="882" t="s">
        <v>127</v>
      </c>
      <c r="B57" s="883">
        <f t="shared" si="0"/>
        <v>20</v>
      </c>
      <c r="C57" s="884">
        <f t="shared" si="1"/>
        <v>0</v>
      </c>
      <c r="D57" s="885">
        <v>20</v>
      </c>
      <c r="E57" s="886"/>
      <c r="F57" s="887"/>
      <c r="G57" s="887"/>
      <c r="H57" s="887"/>
      <c r="I57" s="887"/>
      <c r="J57" s="887"/>
      <c r="K57" s="887"/>
      <c r="L57" s="887"/>
      <c r="M57" s="887"/>
      <c r="N57" s="887"/>
      <c r="O57" s="887"/>
      <c r="P57" s="887"/>
      <c r="Q57" s="887"/>
      <c r="R57" s="887"/>
      <c r="S57" s="887"/>
      <c r="T57" s="887"/>
      <c r="U57" s="887"/>
      <c r="V57" s="887"/>
      <c r="W57" s="887"/>
      <c r="X57" s="887"/>
      <c r="Y57" s="887"/>
      <c r="Z57" s="887"/>
      <c r="AA57" s="887"/>
      <c r="AB57" s="887"/>
      <c r="AC57" s="887"/>
      <c r="AD57" s="887"/>
      <c r="AE57" s="887"/>
      <c r="AF57" s="887"/>
      <c r="AG57" s="887"/>
      <c r="AH57" s="887"/>
      <c r="AI57" s="887"/>
      <c r="AJ57" s="887"/>
      <c r="AK57" s="887"/>
      <c r="AL57" s="887"/>
      <c r="AM57" s="887"/>
      <c r="AN57" s="887"/>
      <c r="AO57" s="887"/>
      <c r="AP57" s="887"/>
      <c r="AQ57" s="887"/>
      <c r="AR57" s="887"/>
      <c r="AS57" s="887"/>
      <c r="AT57" s="887"/>
      <c r="AU57" s="887"/>
      <c r="AV57" s="887"/>
      <c r="AW57" s="887"/>
      <c r="AX57" s="887"/>
      <c r="AY57" s="887"/>
      <c r="AZ57" s="887"/>
      <c r="BA57" s="887"/>
      <c r="BB57" s="887"/>
      <c r="BC57" s="887"/>
      <c r="BD57" s="887"/>
      <c r="BE57" s="887"/>
      <c r="BF57" s="887"/>
      <c r="BG57" s="887"/>
      <c r="BH57" s="887"/>
      <c r="BI57" s="887"/>
      <c r="BJ57" s="887"/>
      <c r="BK57" s="887"/>
      <c r="BL57" s="887"/>
      <c r="BM57" s="887"/>
      <c r="BN57" s="887"/>
      <c r="BO57" s="887"/>
      <c r="BP57" s="887"/>
      <c r="BQ57" s="887"/>
      <c r="BR57" s="887"/>
      <c r="BS57" s="887"/>
      <c r="BT57" s="887"/>
      <c r="BU57" s="887"/>
      <c r="BV57" s="887"/>
      <c r="BW57" s="887"/>
      <c r="BX57" s="887"/>
      <c r="BY57" s="887"/>
      <c r="BZ57" s="887"/>
      <c r="CA57" s="887"/>
      <c r="CB57" s="887"/>
      <c r="CC57" s="887"/>
      <c r="CD57" s="887"/>
      <c r="CE57" s="887"/>
      <c r="CF57" s="887"/>
      <c r="CG57" s="887"/>
      <c r="CH57" s="887"/>
      <c r="CI57" s="887"/>
      <c r="CJ57" s="887"/>
      <c r="CK57" s="887"/>
      <c r="CL57" s="887"/>
      <c r="CM57" s="887"/>
      <c r="CN57" s="887"/>
      <c r="CO57" s="887"/>
      <c r="CP57" s="887"/>
      <c r="CQ57" s="887"/>
      <c r="CR57" s="887"/>
      <c r="CS57" s="887"/>
      <c r="CT57" s="887"/>
      <c r="CU57" s="887"/>
      <c r="CV57" s="887"/>
      <c r="CW57" s="887"/>
      <c r="CX57" s="887"/>
      <c r="CY57" s="887"/>
      <c r="CZ57" s="887"/>
    </row>
    <row r="58" spans="1:104" ht="16.5">
      <c r="A58" s="882" t="s">
        <v>132</v>
      </c>
      <c r="B58" s="883">
        <f t="shared" si="0"/>
        <v>10</v>
      </c>
      <c r="C58" s="884">
        <f t="shared" si="1"/>
        <v>0</v>
      </c>
      <c r="D58" s="885">
        <v>10</v>
      </c>
      <c r="E58" s="886"/>
      <c r="F58" s="887"/>
      <c r="G58" s="887"/>
      <c r="H58" s="887"/>
      <c r="I58" s="887"/>
      <c r="J58" s="887"/>
      <c r="K58" s="887"/>
      <c r="L58" s="887"/>
      <c r="M58" s="887"/>
      <c r="N58" s="887"/>
      <c r="O58" s="887"/>
      <c r="P58" s="887"/>
      <c r="Q58" s="887"/>
      <c r="R58" s="887"/>
      <c r="S58" s="887"/>
      <c r="T58" s="887"/>
      <c r="U58" s="887"/>
      <c r="V58" s="887"/>
      <c r="W58" s="887"/>
      <c r="X58" s="887"/>
      <c r="Y58" s="887"/>
      <c r="Z58" s="887"/>
      <c r="AA58" s="887"/>
      <c r="AB58" s="887"/>
      <c r="AC58" s="887"/>
      <c r="AD58" s="887"/>
      <c r="AE58" s="887"/>
      <c r="AF58" s="887"/>
      <c r="AG58" s="887"/>
      <c r="AH58" s="887"/>
      <c r="AI58" s="887"/>
      <c r="AJ58" s="887"/>
      <c r="AK58" s="887"/>
      <c r="AL58" s="887"/>
      <c r="AM58" s="887"/>
      <c r="AN58" s="887"/>
      <c r="AO58" s="887"/>
      <c r="AP58" s="887"/>
      <c r="AQ58" s="887"/>
      <c r="AR58" s="887"/>
      <c r="AS58" s="887"/>
      <c r="AT58" s="887"/>
      <c r="AU58" s="887"/>
      <c r="AV58" s="887"/>
      <c r="AW58" s="887"/>
      <c r="AX58" s="887"/>
      <c r="AY58" s="887"/>
      <c r="AZ58" s="887"/>
      <c r="BA58" s="887"/>
      <c r="BB58" s="887"/>
      <c r="BC58" s="887"/>
      <c r="BD58" s="887"/>
      <c r="BE58" s="887"/>
      <c r="BF58" s="887"/>
      <c r="BG58" s="887"/>
      <c r="BH58" s="887"/>
      <c r="BI58" s="887"/>
      <c r="BJ58" s="887"/>
      <c r="BK58" s="887"/>
      <c r="BL58" s="887"/>
      <c r="BM58" s="887"/>
      <c r="BN58" s="887"/>
      <c r="BO58" s="887"/>
      <c r="BP58" s="887"/>
      <c r="BQ58" s="887"/>
      <c r="BR58" s="887"/>
      <c r="BS58" s="887"/>
      <c r="BT58" s="887"/>
      <c r="BU58" s="887"/>
      <c r="BV58" s="887"/>
      <c r="BW58" s="887"/>
      <c r="BX58" s="887"/>
      <c r="BY58" s="887"/>
      <c r="BZ58" s="887"/>
      <c r="CA58" s="887"/>
      <c r="CB58" s="887"/>
      <c r="CC58" s="887"/>
      <c r="CD58" s="887"/>
      <c r="CE58" s="887"/>
      <c r="CF58" s="887"/>
      <c r="CG58" s="887"/>
      <c r="CH58" s="887"/>
      <c r="CI58" s="887"/>
      <c r="CJ58" s="887"/>
      <c r="CK58" s="887"/>
      <c r="CL58" s="887"/>
      <c r="CM58" s="887"/>
      <c r="CN58" s="887"/>
      <c r="CO58" s="887"/>
      <c r="CP58" s="887"/>
      <c r="CQ58" s="887"/>
      <c r="CR58" s="887"/>
      <c r="CS58" s="887"/>
      <c r="CT58" s="887"/>
      <c r="CU58" s="887"/>
      <c r="CV58" s="887"/>
      <c r="CW58" s="887"/>
      <c r="CX58" s="887"/>
      <c r="CY58" s="887"/>
      <c r="CZ58" s="887"/>
    </row>
    <row r="59" spans="1:104" ht="16.5">
      <c r="A59" s="882" t="s">
        <v>135</v>
      </c>
      <c r="B59" s="883">
        <f t="shared" si="0"/>
        <v>20</v>
      </c>
      <c r="C59" s="884">
        <f t="shared" si="1"/>
        <v>0</v>
      </c>
      <c r="D59" s="885">
        <v>20</v>
      </c>
      <c r="E59" s="886"/>
      <c r="F59" s="887"/>
      <c r="G59" s="887"/>
      <c r="H59" s="887"/>
      <c r="I59" s="887"/>
      <c r="J59" s="887"/>
      <c r="K59" s="887"/>
      <c r="L59" s="887"/>
      <c r="M59" s="887"/>
      <c r="N59" s="887"/>
      <c r="O59" s="887"/>
      <c r="P59" s="887"/>
      <c r="Q59" s="887"/>
      <c r="R59" s="887"/>
      <c r="S59" s="887"/>
      <c r="T59" s="887"/>
      <c r="U59" s="887"/>
      <c r="V59" s="887"/>
      <c r="W59" s="887"/>
      <c r="X59" s="887"/>
      <c r="Y59" s="887"/>
      <c r="Z59" s="887"/>
      <c r="AA59" s="887"/>
      <c r="AB59" s="887"/>
      <c r="AC59" s="887"/>
      <c r="AD59" s="887"/>
      <c r="AE59" s="887"/>
      <c r="AF59" s="887"/>
      <c r="AG59" s="887"/>
      <c r="AH59" s="887"/>
      <c r="AI59" s="887"/>
      <c r="AJ59" s="887"/>
      <c r="AK59" s="887"/>
      <c r="AL59" s="887"/>
      <c r="AM59" s="887"/>
      <c r="AN59" s="887"/>
      <c r="AO59" s="887"/>
      <c r="AP59" s="887"/>
      <c r="AQ59" s="887"/>
      <c r="AR59" s="887"/>
      <c r="AS59" s="887"/>
      <c r="AT59" s="887"/>
      <c r="AU59" s="887"/>
      <c r="AV59" s="887"/>
      <c r="AW59" s="887"/>
      <c r="AX59" s="887"/>
      <c r="AY59" s="887"/>
      <c r="AZ59" s="887"/>
      <c r="BA59" s="887"/>
      <c r="BB59" s="887"/>
      <c r="BC59" s="887"/>
      <c r="BD59" s="887"/>
      <c r="BE59" s="887"/>
      <c r="BF59" s="887"/>
      <c r="BG59" s="887"/>
      <c r="BH59" s="887"/>
      <c r="BI59" s="887"/>
      <c r="BJ59" s="887"/>
      <c r="BK59" s="887"/>
      <c r="BL59" s="887"/>
      <c r="BM59" s="887"/>
      <c r="BN59" s="887"/>
      <c r="BO59" s="887"/>
      <c r="BP59" s="887"/>
      <c r="BQ59" s="887"/>
      <c r="BR59" s="887"/>
      <c r="BS59" s="887"/>
      <c r="BT59" s="887"/>
      <c r="BU59" s="887"/>
      <c r="BV59" s="887"/>
      <c r="BW59" s="887"/>
      <c r="BX59" s="887"/>
      <c r="BY59" s="887"/>
      <c r="BZ59" s="887"/>
      <c r="CA59" s="887"/>
      <c r="CB59" s="887"/>
      <c r="CC59" s="887"/>
      <c r="CD59" s="887"/>
      <c r="CE59" s="887"/>
      <c r="CF59" s="887"/>
      <c r="CG59" s="887"/>
      <c r="CH59" s="887"/>
      <c r="CI59" s="887"/>
      <c r="CJ59" s="887"/>
      <c r="CK59" s="887"/>
      <c r="CL59" s="887"/>
      <c r="CM59" s="887"/>
      <c r="CN59" s="887"/>
      <c r="CO59" s="887"/>
      <c r="CP59" s="887"/>
      <c r="CQ59" s="887"/>
      <c r="CR59" s="887"/>
      <c r="CS59" s="887"/>
      <c r="CT59" s="887"/>
      <c r="CU59" s="887"/>
      <c r="CV59" s="887"/>
      <c r="CW59" s="887"/>
      <c r="CX59" s="887"/>
      <c r="CY59" s="887"/>
      <c r="CZ59" s="887"/>
    </row>
    <row r="60" spans="1:104" ht="16.5">
      <c r="A60" s="882" t="s">
        <v>138</v>
      </c>
      <c r="B60" s="883">
        <f t="shared" si="0"/>
        <v>20</v>
      </c>
      <c r="C60" s="884">
        <f t="shared" si="1"/>
        <v>0</v>
      </c>
      <c r="D60" s="885">
        <v>20</v>
      </c>
      <c r="E60" s="886"/>
      <c r="F60" s="887"/>
      <c r="G60" s="887"/>
      <c r="H60" s="887"/>
      <c r="I60" s="887"/>
      <c r="J60" s="887"/>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7"/>
      <c r="AJ60" s="887"/>
      <c r="AK60" s="887"/>
      <c r="AL60" s="887"/>
      <c r="AM60" s="887"/>
      <c r="AN60" s="887"/>
      <c r="AO60" s="887"/>
      <c r="AP60" s="887"/>
      <c r="AQ60" s="887"/>
      <c r="AR60" s="887"/>
      <c r="AS60" s="887"/>
      <c r="AT60" s="887"/>
      <c r="AU60" s="887"/>
      <c r="AV60" s="887"/>
      <c r="AW60" s="887"/>
      <c r="AX60" s="887"/>
      <c r="AY60" s="887"/>
      <c r="AZ60" s="887"/>
      <c r="BA60" s="887"/>
      <c r="BB60" s="887"/>
      <c r="BC60" s="887"/>
      <c r="BD60" s="887"/>
      <c r="BE60" s="887"/>
      <c r="BF60" s="887"/>
      <c r="BG60" s="887"/>
      <c r="BH60" s="887"/>
      <c r="BI60" s="887"/>
      <c r="BJ60" s="887"/>
      <c r="BK60" s="887"/>
      <c r="BL60" s="887"/>
      <c r="BM60" s="887"/>
      <c r="BN60" s="887"/>
      <c r="BO60" s="887"/>
      <c r="BP60" s="887"/>
      <c r="BQ60" s="887"/>
      <c r="BR60" s="887"/>
      <c r="BS60" s="887"/>
      <c r="BT60" s="887"/>
      <c r="BU60" s="887"/>
      <c r="BV60" s="887"/>
      <c r="BW60" s="887"/>
      <c r="BX60" s="887"/>
      <c r="BY60" s="887"/>
      <c r="BZ60" s="887"/>
      <c r="CA60" s="887"/>
      <c r="CB60" s="887"/>
      <c r="CC60" s="887"/>
      <c r="CD60" s="887"/>
      <c r="CE60" s="887"/>
      <c r="CF60" s="887"/>
      <c r="CG60" s="887"/>
      <c r="CH60" s="887"/>
      <c r="CI60" s="887"/>
      <c r="CJ60" s="887"/>
      <c r="CK60" s="887"/>
      <c r="CL60" s="887"/>
      <c r="CM60" s="887"/>
      <c r="CN60" s="887"/>
      <c r="CO60" s="887"/>
      <c r="CP60" s="887"/>
      <c r="CQ60" s="887"/>
      <c r="CR60" s="887"/>
      <c r="CS60" s="887"/>
      <c r="CT60" s="887"/>
      <c r="CU60" s="887"/>
      <c r="CV60" s="887"/>
      <c r="CW60" s="887"/>
      <c r="CX60" s="887"/>
      <c r="CY60" s="887"/>
      <c r="CZ60" s="887"/>
    </row>
    <row r="61" spans="1:104" ht="16.5">
      <c r="A61" s="882" t="s">
        <v>140</v>
      </c>
      <c r="B61" s="883">
        <f t="shared" si="0"/>
        <v>10</v>
      </c>
      <c r="C61" s="884">
        <f t="shared" si="1"/>
        <v>0</v>
      </c>
      <c r="D61" s="885">
        <v>10</v>
      </c>
      <c r="E61" s="886"/>
      <c r="F61" s="887"/>
      <c r="G61" s="887"/>
      <c r="H61" s="887"/>
      <c r="I61" s="887"/>
      <c r="J61" s="887"/>
      <c r="K61" s="887"/>
      <c r="L61" s="887"/>
      <c r="M61" s="887"/>
      <c r="N61" s="887"/>
      <c r="O61" s="887"/>
      <c r="P61" s="887"/>
      <c r="Q61" s="887"/>
      <c r="R61" s="887"/>
      <c r="S61" s="887"/>
      <c r="T61" s="887"/>
      <c r="U61" s="887"/>
      <c r="V61" s="887"/>
      <c r="W61" s="887"/>
      <c r="X61" s="887"/>
      <c r="Y61" s="887"/>
      <c r="Z61" s="887"/>
      <c r="AA61" s="887"/>
      <c r="AB61" s="887"/>
      <c r="AC61" s="887"/>
      <c r="AD61" s="887"/>
      <c r="AE61" s="887"/>
      <c r="AF61" s="887"/>
      <c r="AG61" s="887"/>
      <c r="AH61" s="887"/>
      <c r="AI61" s="887"/>
      <c r="AJ61" s="887"/>
      <c r="AK61" s="887"/>
      <c r="AL61" s="887"/>
      <c r="AM61" s="887"/>
      <c r="AN61" s="887"/>
      <c r="AO61" s="887"/>
      <c r="AP61" s="887"/>
      <c r="AQ61" s="887"/>
      <c r="AR61" s="887"/>
      <c r="AS61" s="887"/>
      <c r="AT61" s="887"/>
      <c r="AU61" s="887"/>
      <c r="AV61" s="887"/>
      <c r="AW61" s="887"/>
      <c r="AX61" s="887"/>
      <c r="AY61" s="887"/>
      <c r="AZ61" s="887"/>
      <c r="BA61" s="887"/>
      <c r="BB61" s="887"/>
      <c r="BC61" s="887"/>
      <c r="BD61" s="887"/>
      <c r="BE61" s="887"/>
      <c r="BF61" s="887"/>
      <c r="BG61" s="887"/>
      <c r="BH61" s="887"/>
      <c r="BI61" s="887"/>
      <c r="BJ61" s="887"/>
      <c r="BK61" s="887"/>
      <c r="BL61" s="887"/>
      <c r="BM61" s="887"/>
      <c r="BN61" s="887"/>
      <c r="BO61" s="887"/>
      <c r="BP61" s="887"/>
      <c r="BQ61" s="887"/>
      <c r="BR61" s="887"/>
      <c r="BS61" s="887"/>
      <c r="BT61" s="887"/>
      <c r="BU61" s="887"/>
      <c r="BV61" s="887"/>
      <c r="BW61" s="887"/>
      <c r="BX61" s="887"/>
      <c r="BY61" s="887"/>
      <c r="BZ61" s="887"/>
      <c r="CA61" s="887"/>
      <c r="CB61" s="887"/>
      <c r="CC61" s="887"/>
      <c r="CD61" s="887"/>
      <c r="CE61" s="887"/>
      <c r="CF61" s="887"/>
      <c r="CG61" s="887"/>
      <c r="CH61" s="887"/>
      <c r="CI61" s="887"/>
      <c r="CJ61" s="887"/>
      <c r="CK61" s="887"/>
      <c r="CL61" s="887"/>
      <c r="CM61" s="887"/>
      <c r="CN61" s="887"/>
      <c r="CO61" s="887"/>
      <c r="CP61" s="887"/>
      <c r="CQ61" s="887"/>
      <c r="CR61" s="887"/>
      <c r="CS61" s="887"/>
      <c r="CT61" s="887"/>
      <c r="CU61" s="887"/>
      <c r="CV61" s="887"/>
      <c r="CW61" s="887"/>
      <c r="CX61" s="887"/>
      <c r="CY61" s="887"/>
      <c r="CZ61" s="887"/>
    </row>
    <row r="62" spans="1:104" ht="16.5">
      <c r="A62" s="882" t="s">
        <v>1355</v>
      </c>
      <c r="B62" s="883">
        <f t="shared" si="0"/>
        <v>5</v>
      </c>
      <c r="C62" s="884">
        <f t="shared" si="1"/>
        <v>0</v>
      </c>
      <c r="D62" s="885">
        <v>5</v>
      </c>
      <c r="E62" s="886"/>
      <c r="F62" s="887"/>
      <c r="G62" s="887"/>
      <c r="H62" s="887"/>
      <c r="I62" s="887"/>
      <c r="J62" s="887"/>
      <c r="K62" s="887"/>
      <c r="L62" s="887"/>
      <c r="M62" s="887"/>
      <c r="N62" s="887"/>
      <c r="O62" s="887"/>
      <c r="P62" s="887"/>
      <c r="Q62" s="887"/>
      <c r="R62" s="887"/>
      <c r="S62" s="887"/>
      <c r="T62" s="887"/>
      <c r="U62" s="887"/>
      <c r="V62" s="887"/>
      <c r="W62" s="887"/>
      <c r="X62" s="887"/>
      <c r="Y62" s="887"/>
      <c r="Z62" s="887"/>
      <c r="AA62" s="887"/>
      <c r="AB62" s="887"/>
      <c r="AC62" s="887"/>
      <c r="AD62" s="887"/>
      <c r="AE62" s="887"/>
      <c r="AF62" s="887"/>
      <c r="AG62" s="887"/>
      <c r="AH62" s="887"/>
      <c r="AI62" s="887"/>
      <c r="AJ62" s="887"/>
      <c r="AK62" s="887"/>
      <c r="AL62" s="887"/>
      <c r="AM62" s="887"/>
      <c r="AN62" s="887"/>
      <c r="AO62" s="887"/>
      <c r="AP62" s="887"/>
      <c r="AQ62" s="887"/>
      <c r="AR62" s="887"/>
      <c r="AS62" s="887"/>
      <c r="AT62" s="887"/>
      <c r="AU62" s="887"/>
      <c r="AV62" s="887"/>
      <c r="AW62" s="887"/>
      <c r="AX62" s="887"/>
      <c r="AY62" s="887"/>
      <c r="AZ62" s="887"/>
      <c r="BA62" s="887"/>
      <c r="BB62" s="887"/>
      <c r="BC62" s="887"/>
      <c r="BD62" s="887"/>
      <c r="BE62" s="887"/>
      <c r="BF62" s="887"/>
      <c r="BG62" s="887"/>
      <c r="BH62" s="887"/>
      <c r="BI62" s="887"/>
      <c r="BJ62" s="887"/>
      <c r="BK62" s="887"/>
      <c r="BL62" s="887"/>
      <c r="BM62" s="887"/>
      <c r="BN62" s="887"/>
      <c r="BO62" s="887"/>
      <c r="BP62" s="887"/>
      <c r="BQ62" s="887"/>
      <c r="BR62" s="887"/>
      <c r="BS62" s="887"/>
      <c r="BT62" s="887"/>
      <c r="BU62" s="887"/>
      <c r="BV62" s="887"/>
      <c r="BW62" s="887"/>
      <c r="BX62" s="887"/>
      <c r="BY62" s="887"/>
      <c r="BZ62" s="887"/>
      <c r="CA62" s="887"/>
      <c r="CB62" s="887"/>
      <c r="CC62" s="887"/>
      <c r="CD62" s="887"/>
      <c r="CE62" s="887"/>
      <c r="CF62" s="887"/>
      <c r="CG62" s="887"/>
      <c r="CH62" s="887"/>
      <c r="CI62" s="887"/>
      <c r="CJ62" s="887"/>
      <c r="CK62" s="887"/>
      <c r="CL62" s="887"/>
      <c r="CM62" s="887"/>
      <c r="CN62" s="887"/>
      <c r="CO62" s="887"/>
      <c r="CP62" s="887"/>
      <c r="CQ62" s="887"/>
      <c r="CR62" s="887"/>
      <c r="CS62" s="887"/>
      <c r="CT62" s="887"/>
      <c r="CU62" s="887"/>
      <c r="CV62" s="887"/>
      <c r="CW62" s="887"/>
      <c r="CX62" s="887"/>
      <c r="CY62" s="887"/>
      <c r="CZ62" s="887"/>
    </row>
    <row r="63" spans="1:104" ht="16.5">
      <c r="A63" s="882" t="s">
        <v>144</v>
      </c>
      <c r="B63" s="883">
        <f t="shared" si="0"/>
        <v>1</v>
      </c>
      <c r="C63" s="884">
        <f t="shared" si="1"/>
        <v>0</v>
      </c>
      <c r="D63" s="885">
        <v>1</v>
      </c>
      <c r="E63" s="886"/>
      <c r="F63" s="887"/>
      <c r="G63" s="887"/>
      <c r="H63" s="887"/>
      <c r="I63" s="887"/>
      <c r="J63" s="887"/>
      <c r="K63" s="887"/>
      <c r="L63" s="887"/>
      <c r="M63" s="887"/>
      <c r="N63" s="887"/>
      <c r="O63" s="887"/>
      <c r="P63" s="887"/>
      <c r="Q63" s="887"/>
      <c r="R63" s="887"/>
      <c r="S63" s="887"/>
      <c r="T63" s="887"/>
      <c r="U63" s="887"/>
      <c r="V63" s="887"/>
      <c r="W63" s="887"/>
      <c r="X63" s="887"/>
      <c r="Y63" s="887"/>
      <c r="Z63" s="887"/>
      <c r="AA63" s="887"/>
      <c r="AB63" s="887"/>
      <c r="AC63" s="887"/>
      <c r="AD63" s="887"/>
      <c r="AE63" s="887"/>
      <c r="AF63" s="887"/>
      <c r="AG63" s="887"/>
      <c r="AH63" s="887"/>
      <c r="AI63" s="887"/>
      <c r="AJ63" s="887"/>
      <c r="AK63" s="887"/>
      <c r="AL63" s="887"/>
      <c r="AM63" s="887"/>
      <c r="AN63" s="887"/>
      <c r="AO63" s="887"/>
      <c r="AP63" s="887"/>
      <c r="AQ63" s="887"/>
      <c r="AR63" s="887"/>
      <c r="AS63" s="887"/>
      <c r="AT63" s="887"/>
      <c r="AU63" s="887"/>
      <c r="AV63" s="887"/>
      <c r="AW63" s="887"/>
      <c r="AX63" s="887"/>
      <c r="AY63" s="887"/>
      <c r="AZ63" s="887"/>
      <c r="BA63" s="887"/>
      <c r="BB63" s="887"/>
      <c r="BC63" s="887"/>
      <c r="BD63" s="887"/>
      <c r="BE63" s="887"/>
      <c r="BF63" s="887"/>
      <c r="BG63" s="887"/>
      <c r="BH63" s="887"/>
      <c r="BI63" s="887"/>
      <c r="BJ63" s="887"/>
      <c r="BK63" s="887"/>
      <c r="BL63" s="887"/>
      <c r="BM63" s="887"/>
      <c r="BN63" s="887"/>
      <c r="BO63" s="887"/>
      <c r="BP63" s="887"/>
      <c r="BQ63" s="887"/>
      <c r="BR63" s="887"/>
      <c r="BS63" s="887"/>
      <c r="BT63" s="887"/>
      <c r="BU63" s="887"/>
      <c r="BV63" s="887"/>
      <c r="BW63" s="887"/>
      <c r="BX63" s="887"/>
      <c r="BY63" s="887"/>
      <c r="BZ63" s="887"/>
      <c r="CA63" s="887"/>
      <c r="CB63" s="887"/>
      <c r="CC63" s="887"/>
      <c r="CD63" s="887"/>
      <c r="CE63" s="887"/>
      <c r="CF63" s="887"/>
      <c r="CG63" s="887"/>
      <c r="CH63" s="887"/>
      <c r="CI63" s="887"/>
      <c r="CJ63" s="887"/>
      <c r="CK63" s="887"/>
      <c r="CL63" s="887"/>
      <c r="CM63" s="887"/>
      <c r="CN63" s="887"/>
      <c r="CO63" s="887"/>
      <c r="CP63" s="887"/>
      <c r="CQ63" s="887"/>
      <c r="CR63" s="887"/>
      <c r="CS63" s="887"/>
      <c r="CT63" s="887"/>
      <c r="CU63" s="887"/>
      <c r="CV63" s="887"/>
      <c r="CW63" s="887"/>
      <c r="CX63" s="887"/>
      <c r="CY63" s="887"/>
      <c r="CZ63" s="887"/>
    </row>
    <row r="64" spans="1:104" ht="16.5">
      <c r="A64" s="882" t="s">
        <v>146</v>
      </c>
      <c r="B64" s="883">
        <f t="shared" si="0"/>
        <v>1</v>
      </c>
      <c r="C64" s="884">
        <f t="shared" si="1"/>
        <v>0</v>
      </c>
      <c r="D64" s="885">
        <v>1</v>
      </c>
      <c r="E64" s="886"/>
      <c r="F64" s="887"/>
      <c r="G64" s="887"/>
      <c r="H64" s="887"/>
      <c r="I64" s="887"/>
      <c r="J64" s="887"/>
      <c r="K64" s="887"/>
      <c r="L64" s="887"/>
      <c r="M64" s="887"/>
      <c r="N64" s="887"/>
      <c r="O64" s="887"/>
      <c r="P64" s="887"/>
      <c r="Q64" s="887"/>
      <c r="R64" s="887"/>
      <c r="S64" s="887"/>
      <c r="T64" s="887"/>
      <c r="U64" s="887"/>
      <c r="V64" s="887"/>
      <c r="W64" s="887"/>
      <c r="X64" s="887"/>
      <c r="Y64" s="887"/>
      <c r="Z64" s="887"/>
      <c r="AA64" s="887"/>
      <c r="AB64" s="887"/>
      <c r="AC64" s="887"/>
      <c r="AD64" s="887"/>
      <c r="AE64" s="887"/>
      <c r="AF64" s="887"/>
      <c r="AG64" s="887"/>
      <c r="AH64" s="887"/>
      <c r="AI64" s="887"/>
      <c r="AJ64" s="887"/>
      <c r="AK64" s="887"/>
      <c r="AL64" s="887"/>
      <c r="AM64" s="887"/>
      <c r="AN64" s="887"/>
      <c r="AO64" s="887"/>
      <c r="AP64" s="887"/>
      <c r="AQ64" s="887"/>
      <c r="AR64" s="887"/>
      <c r="AS64" s="887"/>
      <c r="AT64" s="887"/>
      <c r="AU64" s="887"/>
      <c r="AV64" s="887"/>
      <c r="AW64" s="887"/>
      <c r="AX64" s="887"/>
      <c r="AY64" s="887"/>
      <c r="AZ64" s="887"/>
      <c r="BA64" s="887"/>
      <c r="BB64" s="887"/>
      <c r="BC64" s="887"/>
      <c r="BD64" s="887"/>
      <c r="BE64" s="887"/>
      <c r="BF64" s="887"/>
      <c r="BG64" s="887"/>
      <c r="BH64" s="887"/>
      <c r="BI64" s="887"/>
      <c r="BJ64" s="887"/>
      <c r="BK64" s="887"/>
      <c r="BL64" s="887"/>
      <c r="BM64" s="887"/>
      <c r="BN64" s="887"/>
      <c r="BO64" s="887"/>
      <c r="BP64" s="887"/>
      <c r="BQ64" s="887"/>
      <c r="BR64" s="887"/>
      <c r="BS64" s="887"/>
      <c r="BT64" s="887"/>
      <c r="BU64" s="887"/>
      <c r="BV64" s="887"/>
      <c r="BW64" s="887"/>
      <c r="BX64" s="887"/>
      <c r="BY64" s="887"/>
      <c r="BZ64" s="887"/>
      <c r="CA64" s="887"/>
      <c r="CB64" s="887"/>
      <c r="CC64" s="887"/>
      <c r="CD64" s="887"/>
      <c r="CE64" s="887"/>
      <c r="CF64" s="887"/>
      <c r="CG64" s="887"/>
      <c r="CH64" s="887"/>
      <c r="CI64" s="887"/>
      <c r="CJ64" s="887"/>
      <c r="CK64" s="887"/>
      <c r="CL64" s="887"/>
      <c r="CM64" s="887"/>
      <c r="CN64" s="887"/>
      <c r="CO64" s="887"/>
      <c r="CP64" s="887"/>
      <c r="CQ64" s="887"/>
      <c r="CR64" s="887"/>
      <c r="CS64" s="887"/>
      <c r="CT64" s="887"/>
      <c r="CU64" s="887"/>
      <c r="CV64" s="887"/>
      <c r="CW64" s="887"/>
      <c r="CX64" s="887"/>
      <c r="CY64" s="887"/>
      <c r="CZ64" s="887"/>
    </row>
    <row r="65" spans="1:104" ht="16.5">
      <c r="A65" s="882" t="s">
        <v>149</v>
      </c>
      <c r="B65" s="883">
        <f t="shared" si="0"/>
        <v>1</v>
      </c>
      <c r="C65" s="884">
        <f t="shared" si="1"/>
        <v>0</v>
      </c>
      <c r="D65" s="885">
        <v>1</v>
      </c>
      <c r="E65" s="886"/>
      <c r="F65" s="887"/>
      <c r="G65" s="887"/>
      <c r="H65" s="887"/>
      <c r="I65" s="887"/>
      <c r="J65" s="887"/>
      <c r="K65" s="887"/>
      <c r="L65" s="887"/>
      <c r="M65" s="887"/>
      <c r="N65" s="887"/>
      <c r="O65" s="887"/>
      <c r="P65" s="887"/>
      <c r="Q65" s="887"/>
      <c r="R65" s="887"/>
      <c r="S65" s="887"/>
      <c r="T65" s="887"/>
      <c r="U65" s="887"/>
      <c r="V65" s="887"/>
      <c r="W65" s="887"/>
      <c r="X65" s="887"/>
      <c r="Y65" s="887"/>
      <c r="Z65" s="887"/>
      <c r="AA65" s="887"/>
      <c r="AB65" s="887"/>
      <c r="AC65" s="887"/>
      <c r="AD65" s="887"/>
      <c r="AE65" s="887"/>
      <c r="AF65" s="887"/>
      <c r="AG65" s="887"/>
      <c r="AH65" s="887"/>
      <c r="AI65" s="887"/>
      <c r="AJ65" s="887"/>
      <c r="AK65" s="887"/>
      <c r="AL65" s="887"/>
      <c r="AM65" s="887"/>
      <c r="AN65" s="887"/>
      <c r="AO65" s="887"/>
      <c r="AP65" s="887"/>
      <c r="AQ65" s="887"/>
      <c r="AR65" s="887"/>
      <c r="AS65" s="887"/>
      <c r="AT65" s="887"/>
      <c r="AU65" s="887"/>
      <c r="AV65" s="887"/>
      <c r="AW65" s="887"/>
      <c r="AX65" s="887"/>
      <c r="AY65" s="887"/>
      <c r="AZ65" s="887"/>
      <c r="BA65" s="887"/>
      <c r="BB65" s="887"/>
      <c r="BC65" s="887"/>
      <c r="BD65" s="887"/>
      <c r="BE65" s="887"/>
      <c r="BF65" s="887"/>
      <c r="BG65" s="887"/>
      <c r="BH65" s="887"/>
      <c r="BI65" s="887"/>
      <c r="BJ65" s="887"/>
      <c r="BK65" s="887"/>
      <c r="BL65" s="887"/>
      <c r="BM65" s="887"/>
      <c r="BN65" s="887"/>
      <c r="BO65" s="887"/>
      <c r="BP65" s="887"/>
      <c r="BQ65" s="887"/>
      <c r="BR65" s="887"/>
      <c r="BS65" s="887"/>
      <c r="BT65" s="887"/>
      <c r="BU65" s="887"/>
      <c r="BV65" s="887"/>
      <c r="BW65" s="887"/>
      <c r="BX65" s="887"/>
      <c r="BY65" s="887"/>
      <c r="BZ65" s="887"/>
      <c r="CA65" s="887"/>
      <c r="CB65" s="887"/>
      <c r="CC65" s="887"/>
      <c r="CD65" s="887"/>
      <c r="CE65" s="887"/>
      <c r="CF65" s="887"/>
      <c r="CG65" s="887"/>
      <c r="CH65" s="887"/>
      <c r="CI65" s="887"/>
      <c r="CJ65" s="887"/>
      <c r="CK65" s="887"/>
      <c r="CL65" s="887"/>
      <c r="CM65" s="887"/>
      <c r="CN65" s="887"/>
      <c r="CO65" s="887"/>
      <c r="CP65" s="887"/>
      <c r="CQ65" s="887"/>
      <c r="CR65" s="887"/>
      <c r="CS65" s="887"/>
      <c r="CT65" s="887"/>
      <c r="CU65" s="887"/>
      <c r="CV65" s="887"/>
      <c r="CW65" s="887"/>
      <c r="CX65" s="887"/>
      <c r="CY65" s="887"/>
      <c r="CZ65" s="887"/>
    </row>
    <row r="66" spans="1:104" ht="16.5">
      <c r="A66" s="882" t="s">
        <v>151</v>
      </c>
      <c r="B66" s="883">
        <f t="shared" si="0"/>
        <v>1</v>
      </c>
      <c r="C66" s="884">
        <f t="shared" si="1"/>
        <v>0</v>
      </c>
      <c r="D66" s="885">
        <v>1</v>
      </c>
      <c r="E66" s="886"/>
      <c r="F66" s="887"/>
      <c r="G66" s="887"/>
      <c r="H66" s="887"/>
      <c r="I66" s="887"/>
      <c r="J66" s="887"/>
      <c r="K66" s="887"/>
      <c r="L66" s="887"/>
      <c r="M66" s="887"/>
      <c r="N66" s="887"/>
      <c r="O66" s="887"/>
      <c r="P66" s="887"/>
      <c r="Q66" s="887"/>
      <c r="R66" s="887"/>
      <c r="S66" s="887"/>
      <c r="T66" s="887"/>
      <c r="U66" s="887"/>
      <c r="V66" s="887"/>
      <c r="W66" s="887"/>
      <c r="X66" s="887"/>
      <c r="Y66" s="887"/>
      <c r="Z66" s="887"/>
      <c r="AA66" s="887"/>
      <c r="AB66" s="887"/>
      <c r="AC66" s="887"/>
      <c r="AD66" s="887"/>
      <c r="AE66" s="887"/>
      <c r="AF66" s="887"/>
      <c r="AG66" s="887"/>
      <c r="AH66" s="887"/>
      <c r="AI66" s="887"/>
      <c r="AJ66" s="887"/>
      <c r="AK66" s="887"/>
      <c r="AL66" s="887"/>
      <c r="AM66" s="887"/>
      <c r="AN66" s="887"/>
      <c r="AO66" s="887"/>
      <c r="AP66" s="887"/>
      <c r="AQ66" s="887"/>
      <c r="AR66" s="887"/>
      <c r="AS66" s="887"/>
      <c r="AT66" s="887"/>
      <c r="AU66" s="887"/>
      <c r="AV66" s="887"/>
      <c r="AW66" s="887"/>
      <c r="AX66" s="887"/>
      <c r="AY66" s="887"/>
      <c r="AZ66" s="887"/>
      <c r="BA66" s="887"/>
      <c r="BB66" s="887"/>
      <c r="BC66" s="887"/>
      <c r="BD66" s="887"/>
      <c r="BE66" s="887"/>
      <c r="BF66" s="887"/>
      <c r="BG66" s="887"/>
      <c r="BH66" s="887"/>
      <c r="BI66" s="887"/>
      <c r="BJ66" s="887"/>
      <c r="BK66" s="887"/>
      <c r="BL66" s="887"/>
      <c r="BM66" s="887"/>
      <c r="BN66" s="887"/>
      <c r="BO66" s="887"/>
      <c r="BP66" s="887"/>
      <c r="BQ66" s="887"/>
      <c r="BR66" s="887"/>
      <c r="BS66" s="887"/>
      <c r="BT66" s="887"/>
      <c r="BU66" s="887"/>
      <c r="BV66" s="887"/>
      <c r="BW66" s="887"/>
      <c r="BX66" s="887"/>
      <c r="BY66" s="887"/>
      <c r="BZ66" s="887"/>
      <c r="CA66" s="887"/>
      <c r="CB66" s="887"/>
      <c r="CC66" s="887"/>
      <c r="CD66" s="887"/>
      <c r="CE66" s="887"/>
      <c r="CF66" s="887"/>
      <c r="CG66" s="887"/>
      <c r="CH66" s="887"/>
      <c r="CI66" s="887"/>
      <c r="CJ66" s="887"/>
      <c r="CK66" s="887"/>
      <c r="CL66" s="887"/>
      <c r="CM66" s="887"/>
      <c r="CN66" s="887"/>
      <c r="CO66" s="887"/>
      <c r="CP66" s="887"/>
      <c r="CQ66" s="887"/>
      <c r="CR66" s="887"/>
      <c r="CS66" s="887"/>
      <c r="CT66" s="887"/>
      <c r="CU66" s="887"/>
      <c r="CV66" s="887"/>
      <c r="CW66" s="887"/>
      <c r="CX66" s="887"/>
      <c r="CY66" s="887"/>
      <c r="CZ66" s="887"/>
    </row>
    <row r="67" spans="1:104" ht="16.5">
      <c r="A67" s="882" t="s">
        <v>153</v>
      </c>
      <c r="B67" s="883">
        <f t="shared" si="0"/>
        <v>1</v>
      </c>
      <c r="C67" s="884">
        <f t="shared" si="1"/>
        <v>0</v>
      </c>
      <c r="D67" s="885">
        <v>1</v>
      </c>
      <c r="E67" s="886"/>
      <c r="F67" s="887"/>
      <c r="G67" s="887"/>
      <c r="H67" s="887"/>
      <c r="I67" s="887"/>
      <c r="J67" s="887"/>
      <c r="K67" s="887"/>
      <c r="L67" s="887"/>
      <c r="M67" s="887"/>
      <c r="N67" s="887"/>
      <c r="O67" s="887"/>
      <c r="P67" s="887"/>
      <c r="Q67" s="887"/>
      <c r="R67" s="887"/>
      <c r="S67" s="887"/>
      <c r="T67" s="887"/>
      <c r="U67" s="887"/>
      <c r="V67" s="887"/>
      <c r="W67" s="887"/>
      <c r="X67" s="887"/>
      <c r="Y67" s="887"/>
      <c r="Z67" s="887"/>
      <c r="AA67" s="887"/>
      <c r="AB67" s="887"/>
      <c r="AC67" s="887"/>
      <c r="AD67" s="887"/>
      <c r="AE67" s="887"/>
      <c r="AF67" s="887"/>
      <c r="AG67" s="887"/>
      <c r="AH67" s="887"/>
      <c r="AI67" s="887"/>
      <c r="AJ67" s="887"/>
      <c r="AK67" s="887"/>
      <c r="AL67" s="887"/>
      <c r="AM67" s="887"/>
      <c r="AN67" s="887"/>
      <c r="AO67" s="887"/>
      <c r="AP67" s="887"/>
      <c r="AQ67" s="887"/>
      <c r="AR67" s="887"/>
      <c r="AS67" s="887"/>
      <c r="AT67" s="887"/>
      <c r="AU67" s="887"/>
      <c r="AV67" s="887"/>
      <c r="AW67" s="887"/>
      <c r="AX67" s="887"/>
      <c r="AY67" s="887"/>
      <c r="AZ67" s="887"/>
      <c r="BA67" s="887"/>
      <c r="BB67" s="887"/>
      <c r="BC67" s="887"/>
      <c r="BD67" s="887"/>
      <c r="BE67" s="887"/>
      <c r="BF67" s="887"/>
      <c r="BG67" s="887"/>
      <c r="BH67" s="887"/>
      <c r="BI67" s="887"/>
      <c r="BJ67" s="887"/>
      <c r="BK67" s="887"/>
      <c r="BL67" s="887"/>
      <c r="BM67" s="887"/>
      <c r="BN67" s="887"/>
      <c r="BO67" s="887"/>
      <c r="BP67" s="887"/>
      <c r="BQ67" s="887"/>
      <c r="BR67" s="887"/>
      <c r="BS67" s="887"/>
      <c r="BT67" s="887"/>
      <c r="BU67" s="887"/>
      <c r="BV67" s="887"/>
      <c r="BW67" s="887"/>
      <c r="BX67" s="887"/>
      <c r="BY67" s="887"/>
      <c r="BZ67" s="887"/>
      <c r="CA67" s="887"/>
      <c r="CB67" s="887"/>
      <c r="CC67" s="887"/>
      <c r="CD67" s="887"/>
      <c r="CE67" s="887"/>
      <c r="CF67" s="887"/>
      <c r="CG67" s="887"/>
      <c r="CH67" s="887"/>
      <c r="CI67" s="887"/>
      <c r="CJ67" s="887"/>
      <c r="CK67" s="887"/>
      <c r="CL67" s="887"/>
      <c r="CM67" s="887"/>
      <c r="CN67" s="887"/>
      <c r="CO67" s="887"/>
      <c r="CP67" s="887"/>
      <c r="CQ67" s="887"/>
      <c r="CR67" s="887"/>
      <c r="CS67" s="887"/>
      <c r="CT67" s="887"/>
      <c r="CU67" s="887"/>
      <c r="CV67" s="887"/>
      <c r="CW67" s="887"/>
      <c r="CX67" s="887"/>
      <c r="CY67" s="887"/>
      <c r="CZ67" s="887"/>
    </row>
    <row r="68" spans="1:104" ht="16.5">
      <c r="A68" s="882" t="s">
        <v>155</v>
      </c>
      <c r="B68" s="883">
        <f t="shared" ref="B68:B95" si="2">C68+D68</f>
        <v>1</v>
      </c>
      <c r="C68" s="884">
        <f t="shared" ref="C68:C82" si="3">SUM(E68:CZ68)</f>
        <v>0</v>
      </c>
      <c r="D68" s="885">
        <v>1</v>
      </c>
      <c r="E68" s="886"/>
      <c r="F68" s="887"/>
      <c r="G68" s="887"/>
      <c r="H68" s="887"/>
      <c r="I68" s="887"/>
      <c r="J68" s="887"/>
      <c r="K68" s="887"/>
      <c r="L68" s="887"/>
      <c r="M68" s="887"/>
      <c r="N68" s="887"/>
      <c r="O68" s="887"/>
      <c r="P68" s="887"/>
      <c r="Q68" s="887"/>
      <c r="R68" s="887"/>
      <c r="S68" s="887"/>
      <c r="T68" s="887"/>
      <c r="U68" s="887"/>
      <c r="V68" s="887"/>
      <c r="W68" s="887"/>
      <c r="X68" s="887"/>
      <c r="Y68" s="887"/>
      <c r="Z68" s="887"/>
      <c r="AA68" s="887"/>
      <c r="AB68" s="887"/>
      <c r="AC68" s="887"/>
      <c r="AD68" s="887"/>
      <c r="AE68" s="887"/>
      <c r="AF68" s="887"/>
      <c r="AG68" s="887"/>
      <c r="AH68" s="887"/>
      <c r="AI68" s="887"/>
      <c r="AJ68" s="887"/>
      <c r="AK68" s="887"/>
      <c r="AL68" s="887"/>
      <c r="AM68" s="887"/>
      <c r="AN68" s="887"/>
      <c r="AO68" s="887"/>
      <c r="AP68" s="887"/>
      <c r="AQ68" s="887"/>
      <c r="AR68" s="887"/>
      <c r="AS68" s="887"/>
      <c r="AT68" s="887"/>
      <c r="AU68" s="887"/>
      <c r="AV68" s="887"/>
      <c r="AW68" s="887"/>
      <c r="AX68" s="887"/>
      <c r="AY68" s="887"/>
      <c r="AZ68" s="887"/>
      <c r="BA68" s="887"/>
      <c r="BB68" s="887"/>
      <c r="BC68" s="887"/>
      <c r="BD68" s="887"/>
      <c r="BE68" s="887"/>
      <c r="BF68" s="887"/>
      <c r="BG68" s="887"/>
      <c r="BH68" s="887"/>
      <c r="BI68" s="887"/>
      <c r="BJ68" s="887"/>
      <c r="BK68" s="887"/>
      <c r="BL68" s="887"/>
      <c r="BM68" s="887"/>
      <c r="BN68" s="887"/>
      <c r="BO68" s="887"/>
      <c r="BP68" s="887"/>
      <c r="BQ68" s="887"/>
      <c r="BR68" s="887"/>
      <c r="BS68" s="887"/>
      <c r="BT68" s="887"/>
      <c r="BU68" s="887"/>
      <c r="BV68" s="887"/>
      <c r="BW68" s="887"/>
      <c r="BX68" s="887"/>
      <c r="BY68" s="887"/>
      <c r="BZ68" s="887"/>
      <c r="CA68" s="887"/>
      <c r="CB68" s="887"/>
      <c r="CC68" s="887"/>
      <c r="CD68" s="887"/>
      <c r="CE68" s="887"/>
      <c r="CF68" s="887"/>
      <c r="CG68" s="887"/>
      <c r="CH68" s="887"/>
      <c r="CI68" s="887"/>
      <c r="CJ68" s="887"/>
      <c r="CK68" s="887"/>
      <c r="CL68" s="887"/>
      <c r="CM68" s="887"/>
      <c r="CN68" s="887"/>
      <c r="CO68" s="887"/>
      <c r="CP68" s="887"/>
      <c r="CQ68" s="887"/>
      <c r="CR68" s="887"/>
      <c r="CS68" s="887"/>
      <c r="CT68" s="887"/>
      <c r="CU68" s="887"/>
      <c r="CV68" s="887"/>
      <c r="CW68" s="887"/>
      <c r="CX68" s="887"/>
      <c r="CY68" s="887"/>
      <c r="CZ68" s="887"/>
    </row>
    <row r="69" spans="1:104" ht="16.5">
      <c r="A69" s="882" t="s">
        <v>157</v>
      </c>
      <c r="B69" s="883">
        <f t="shared" si="2"/>
        <v>0</v>
      </c>
      <c r="C69" s="884">
        <f t="shared" si="3"/>
        <v>0</v>
      </c>
      <c r="D69" s="885"/>
      <c r="E69" s="886"/>
      <c r="F69" s="887"/>
      <c r="G69" s="887"/>
      <c r="H69" s="887"/>
      <c r="I69" s="887"/>
      <c r="J69" s="887"/>
      <c r="K69" s="887"/>
      <c r="L69" s="887"/>
      <c r="M69" s="887"/>
      <c r="N69" s="887"/>
      <c r="O69" s="887"/>
      <c r="P69" s="887"/>
      <c r="Q69" s="887"/>
      <c r="R69" s="887"/>
      <c r="S69" s="887"/>
      <c r="T69" s="887"/>
      <c r="U69" s="887"/>
      <c r="V69" s="887"/>
      <c r="W69" s="887"/>
      <c r="X69" s="887"/>
      <c r="Y69" s="887"/>
      <c r="Z69" s="887"/>
      <c r="AA69" s="887"/>
      <c r="AB69" s="887"/>
      <c r="AC69" s="887"/>
      <c r="AD69" s="887"/>
      <c r="AE69" s="887"/>
      <c r="AF69" s="887"/>
      <c r="AG69" s="887"/>
      <c r="AH69" s="887"/>
      <c r="AI69" s="887"/>
      <c r="AJ69" s="887"/>
      <c r="AK69" s="887"/>
      <c r="AL69" s="887"/>
      <c r="AM69" s="887"/>
      <c r="AN69" s="887"/>
      <c r="AO69" s="887"/>
      <c r="AP69" s="887"/>
      <c r="AQ69" s="887"/>
      <c r="AR69" s="887"/>
      <c r="AS69" s="887"/>
      <c r="AT69" s="887"/>
      <c r="AU69" s="887"/>
      <c r="AV69" s="887"/>
      <c r="AW69" s="887"/>
      <c r="AX69" s="887"/>
      <c r="AY69" s="887"/>
      <c r="AZ69" s="887"/>
      <c r="BA69" s="887"/>
      <c r="BB69" s="887"/>
      <c r="BC69" s="887"/>
      <c r="BD69" s="887"/>
      <c r="BE69" s="887"/>
      <c r="BF69" s="887"/>
      <c r="BG69" s="887"/>
      <c r="BH69" s="887"/>
      <c r="BI69" s="887"/>
      <c r="BJ69" s="887"/>
      <c r="BK69" s="887"/>
      <c r="BL69" s="887"/>
      <c r="BM69" s="887"/>
      <c r="BN69" s="887"/>
      <c r="BO69" s="887"/>
      <c r="BP69" s="887"/>
      <c r="BQ69" s="887"/>
      <c r="BR69" s="887"/>
      <c r="BS69" s="887"/>
      <c r="BT69" s="887"/>
      <c r="BU69" s="887"/>
      <c r="BV69" s="887"/>
      <c r="BW69" s="887"/>
      <c r="BX69" s="887"/>
      <c r="BY69" s="887"/>
      <c r="BZ69" s="887"/>
      <c r="CA69" s="887"/>
      <c r="CB69" s="887"/>
      <c r="CC69" s="887"/>
      <c r="CD69" s="887"/>
      <c r="CE69" s="887"/>
      <c r="CF69" s="887"/>
      <c r="CG69" s="887"/>
      <c r="CH69" s="887"/>
      <c r="CI69" s="887"/>
      <c r="CJ69" s="887"/>
      <c r="CK69" s="887"/>
      <c r="CL69" s="887"/>
      <c r="CM69" s="887"/>
      <c r="CN69" s="887"/>
      <c r="CO69" s="887"/>
      <c r="CP69" s="887"/>
      <c r="CQ69" s="887"/>
      <c r="CR69" s="887"/>
      <c r="CS69" s="887"/>
      <c r="CT69" s="887"/>
      <c r="CU69" s="887"/>
      <c r="CV69" s="887"/>
      <c r="CW69" s="887"/>
      <c r="CX69" s="887"/>
      <c r="CY69" s="887"/>
      <c r="CZ69" s="887"/>
    </row>
    <row r="70" spans="1:104" ht="16.5">
      <c r="A70" s="882" t="s">
        <v>157</v>
      </c>
      <c r="B70" s="883">
        <f t="shared" si="2"/>
        <v>0</v>
      </c>
      <c r="C70" s="884">
        <f t="shared" si="3"/>
        <v>0</v>
      </c>
      <c r="D70" s="885"/>
      <c r="E70" s="886"/>
      <c r="F70" s="887"/>
      <c r="G70" s="887"/>
      <c r="H70" s="887"/>
      <c r="I70" s="887"/>
      <c r="J70" s="887"/>
      <c r="K70" s="887"/>
      <c r="L70" s="887"/>
      <c r="M70" s="887"/>
      <c r="N70" s="887"/>
      <c r="O70" s="887"/>
      <c r="P70" s="887"/>
      <c r="Q70" s="887"/>
      <c r="R70" s="887"/>
      <c r="S70" s="887"/>
      <c r="T70" s="887"/>
      <c r="U70" s="887"/>
      <c r="V70" s="887"/>
      <c r="W70" s="887"/>
      <c r="X70" s="887"/>
      <c r="Y70" s="887"/>
      <c r="Z70" s="887"/>
      <c r="AA70" s="887"/>
      <c r="AB70" s="887"/>
      <c r="AC70" s="887"/>
      <c r="AD70" s="887"/>
      <c r="AE70" s="887"/>
      <c r="AF70" s="887"/>
      <c r="AG70" s="887"/>
      <c r="AH70" s="887"/>
      <c r="AI70" s="887"/>
      <c r="AJ70" s="887"/>
      <c r="AK70" s="887"/>
      <c r="AL70" s="887"/>
      <c r="AM70" s="887"/>
      <c r="AN70" s="887"/>
      <c r="AO70" s="887"/>
      <c r="AP70" s="887"/>
      <c r="AQ70" s="887"/>
      <c r="AR70" s="887"/>
      <c r="AS70" s="887"/>
      <c r="AT70" s="887"/>
      <c r="AU70" s="887"/>
      <c r="AV70" s="887"/>
      <c r="AW70" s="887"/>
      <c r="AX70" s="887"/>
      <c r="AY70" s="887"/>
      <c r="AZ70" s="887"/>
      <c r="BA70" s="887"/>
      <c r="BB70" s="887"/>
      <c r="BC70" s="887"/>
      <c r="BD70" s="887"/>
      <c r="BE70" s="887"/>
      <c r="BF70" s="887"/>
      <c r="BG70" s="887"/>
      <c r="BH70" s="887"/>
      <c r="BI70" s="887"/>
      <c r="BJ70" s="887"/>
      <c r="BK70" s="887"/>
      <c r="BL70" s="887"/>
      <c r="BM70" s="887"/>
      <c r="BN70" s="887"/>
      <c r="BO70" s="887"/>
      <c r="BP70" s="887"/>
      <c r="BQ70" s="887"/>
      <c r="BR70" s="887"/>
      <c r="BS70" s="887"/>
      <c r="BT70" s="887"/>
      <c r="BU70" s="887"/>
      <c r="BV70" s="887"/>
      <c r="BW70" s="887"/>
      <c r="BX70" s="887"/>
      <c r="BY70" s="887"/>
      <c r="BZ70" s="887"/>
      <c r="CA70" s="887"/>
      <c r="CB70" s="887"/>
      <c r="CC70" s="887"/>
      <c r="CD70" s="887"/>
      <c r="CE70" s="887"/>
      <c r="CF70" s="887"/>
      <c r="CG70" s="887"/>
      <c r="CH70" s="887"/>
      <c r="CI70" s="887"/>
      <c r="CJ70" s="887"/>
      <c r="CK70" s="887"/>
      <c r="CL70" s="887"/>
      <c r="CM70" s="887"/>
      <c r="CN70" s="887"/>
      <c r="CO70" s="887"/>
      <c r="CP70" s="887"/>
      <c r="CQ70" s="887"/>
      <c r="CR70" s="887"/>
      <c r="CS70" s="887"/>
      <c r="CT70" s="887"/>
      <c r="CU70" s="887"/>
      <c r="CV70" s="887"/>
      <c r="CW70" s="887"/>
      <c r="CX70" s="887"/>
      <c r="CY70" s="887"/>
      <c r="CZ70" s="887"/>
    </row>
    <row r="71" spans="1:104" ht="16.5">
      <c r="A71" s="882" t="s">
        <v>314</v>
      </c>
      <c r="B71" s="883">
        <f t="shared" si="2"/>
        <v>0</v>
      </c>
      <c r="C71" s="884">
        <f t="shared" si="3"/>
        <v>0</v>
      </c>
      <c r="D71" s="885"/>
      <c r="E71" s="886"/>
      <c r="F71" s="887"/>
      <c r="G71" s="887"/>
      <c r="H71" s="887"/>
      <c r="I71" s="887"/>
      <c r="J71" s="887"/>
      <c r="K71" s="887"/>
      <c r="L71" s="887"/>
      <c r="M71" s="887"/>
      <c r="N71" s="887"/>
      <c r="O71" s="887"/>
      <c r="P71" s="887"/>
      <c r="Q71" s="887"/>
      <c r="R71" s="887"/>
      <c r="S71" s="887"/>
      <c r="T71" s="887"/>
      <c r="U71" s="887"/>
      <c r="V71" s="887"/>
      <c r="W71" s="887"/>
      <c r="X71" s="887"/>
      <c r="Y71" s="887"/>
      <c r="Z71" s="887"/>
      <c r="AA71" s="887"/>
      <c r="AB71" s="887"/>
      <c r="AC71" s="887"/>
      <c r="AD71" s="887"/>
      <c r="AE71" s="887"/>
      <c r="AF71" s="887"/>
      <c r="AG71" s="887"/>
      <c r="AH71" s="887"/>
      <c r="AI71" s="887"/>
      <c r="AJ71" s="887"/>
      <c r="AK71" s="887"/>
      <c r="AL71" s="887"/>
      <c r="AM71" s="887"/>
      <c r="AN71" s="887"/>
      <c r="AO71" s="887"/>
      <c r="AP71" s="887"/>
      <c r="AQ71" s="887"/>
      <c r="AR71" s="887"/>
      <c r="AS71" s="887"/>
      <c r="AT71" s="887"/>
      <c r="AU71" s="887"/>
      <c r="AV71" s="887"/>
      <c r="AW71" s="887"/>
      <c r="AX71" s="887"/>
      <c r="AY71" s="887"/>
      <c r="AZ71" s="887"/>
      <c r="BA71" s="887"/>
      <c r="BB71" s="887"/>
      <c r="BC71" s="887"/>
      <c r="BD71" s="887"/>
      <c r="BE71" s="887"/>
      <c r="BF71" s="887"/>
      <c r="BG71" s="887"/>
      <c r="BH71" s="887"/>
      <c r="BI71" s="887"/>
      <c r="BJ71" s="887"/>
      <c r="BK71" s="887"/>
      <c r="BL71" s="887"/>
      <c r="BM71" s="887"/>
      <c r="BN71" s="887"/>
      <c r="BO71" s="887"/>
      <c r="BP71" s="887"/>
      <c r="BQ71" s="887"/>
      <c r="BR71" s="887"/>
      <c r="BS71" s="887"/>
      <c r="BT71" s="887"/>
      <c r="BU71" s="887"/>
      <c r="BV71" s="887"/>
      <c r="BW71" s="887"/>
      <c r="BX71" s="887"/>
      <c r="BY71" s="887"/>
      <c r="BZ71" s="887"/>
      <c r="CA71" s="887"/>
      <c r="CB71" s="887"/>
      <c r="CC71" s="887"/>
      <c r="CD71" s="887"/>
      <c r="CE71" s="887"/>
      <c r="CF71" s="887"/>
      <c r="CG71" s="887"/>
      <c r="CH71" s="887"/>
      <c r="CI71" s="887"/>
      <c r="CJ71" s="887"/>
      <c r="CK71" s="887"/>
      <c r="CL71" s="887"/>
      <c r="CM71" s="887"/>
      <c r="CN71" s="887"/>
      <c r="CO71" s="887"/>
      <c r="CP71" s="887"/>
      <c r="CQ71" s="887"/>
      <c r="CR71" s="887"/>
      <c r="CS71" s="887"/>
      <c r="CT71" s="887"/>
      <c r="CU71" s="887"/>
      <c r="CV71" s="887"/>
      <c r="CW71" s="887"/>
      <c r="CX71" s="887"/>
      <c r="CY71" s="887"/>
      <c r="CZ71" s="887"/>
    </row>
    <row r="72" spans="1:104" ht="16.5">
      <c r="A72" s="882" t="s">
        <v>318</v>
      </c>
      <c r="B72" s="883">
        <f t="shared" si="2"/>
        <v>0</v>
      </c>
      <c r="C72" s="884">
        <f t="shared" si="3"/>
        <v>0</v>
      </c>
      <c r="D72" s="885"/>
      <c r="E72" s="886"/>
      <c r="F72" s="887"/>
      <c r="G72" s="887"/>
      <c r="H72" s="887"/>
      <c r="I72" s="887"/>
      <c r="J72" s="887"/>
      <c r="K72" s="887"/>
      <c r="L72" s="887"/>
      <c r="M72" s="887"/>
      <c r="N72" s="887"/>
      <c r="O72" s="887"/>
      <c r="P72" s="887"/>
      <c r="Q72" s="887"/>
      <c r="R72" s="887"/>
      <c r="S72" s="887"/>
      <c r="T72" s="887"/>
      <c r="U72" s="887"/>
      <c r="V72" s="887"/>
      <c r="W72" s="887"/>
      <c r="X72" s="887"/>
      <c r="Y72" s="887"/>
      <c r="Z72" s="887"/>
      <c r="AA72" s="887"/>
      <c r="AB72" s="887"/>
      <c r="AC72" s="887"/>
      <c r="AD72" s="887"/>
      <c r="AE72" s="887"/>
      <c r="AF72" s="887"/>
      <c r="AG72" s="887"/>
      <c r="AH72" s="887"/>
      <c r="AI72" s="887"/>
      <c r="AJ72" s="887"/>
      <c r="AK72" s="887"/>
      <c r="AL72" s="887"/>
      <c r="AM72" s="887"/>
      <c r="AN72" s="887"/>
      <c r="AO72" s="887"/>
      <c r="AP72" s="887"/>
      <c r="AQ72" s="887"/>
      <c r="AR72" s="887"/>
      <c r="AS72" s="887"/>
      <c r="AT72" s="887"/>
      <c r="AU72" s="887"/>
      <c r="AV72" s="887"/>
      <c r="AW72" s="887"/>
      <c r="AX72" s="887"/>
      <c r="AY72" s="887"/>
      <c r="AZ72" s="887"/>
      <c r="BA72" s="887"/>
      <c r="BB72" s="887"/>
      <c r="BC72" s="887"/>
      <c r="BD72" s="887"/>
      <c r="BE72" s="887"/>
      <c r="BF72" s="887"/>
      <c r="BG72" s="887"/>
      <c r="BH72" s="887"/>
      <c r="BI72" s="887"/>
      <c r="BJ72" s="887"/>
      <c r="BK72" s="887"/>
      <c r="BL72" s="887"/>
      <c r="BM72" s="887"/>
      <c r="BN72" s="887"/>
      <c r="BO72" s="887"/>
      <c r="BP72" s="887"/>
      <c r="BQ72" s="887"/>
      <c r="BR72" s="887"/>
      <c r="BS72" s="887"/>
      <c r="BT72" s="887"/>
      <c r="BU72" s="887"/>
      <c r="BV72" s="887"/>
      <c r="BW72" s="887"/>
      <c r="BX72" s="887"/>
      <c r="BY72" s="887"/>
      <c r="BZ72" s="887"/>
      <c r="CA72" s="887"/>
      <c r="CB72" s="887"/>
      <c r="CC72" s="887"/>
      <c r="CD72" s="887"/>
      <c r="CE72" s="887"/>
      <c r="CF72" s="887"/>
      <c r="CG72" s="887"/>
      <c r="CH72" s="887"/>
      <c r="CI72" s="887"/>
      <c r="CJ72" s="887"/>
      <c r="CK72" s="887"/>
      <c r="CL72" s="887"/>
      <c r="CM72" s="887"/>
      <c r="CN72" s="887"/>
      <c r="CO72" s="887"/>
      <c r="CP72" s="887"/>
      <c r="CQ72" s="887"/>
      <c r="CR72" s="887"/>
      <c r="CS72" s="887"/>
      <c r="CT72" s="887"/>
      <c r="CU72" s="887"/>
      <c r="CV72" s="887"/>
      <c r="CW72" s="887"/>
      <c r="CX72" s="887"/>
      <c r="CY72" s="887"/>
      <c r="CZ72" s="887"/>
    </row>
    <row r="73" spans="1:104" ht="16.5">
      <c r="A73" s="882" t="s">
        <v>321</v>
      </c>
      <c r="B73" s="883">
        <f t="shared" si="2"/>
        <v>0</v>
      </c>
      <c r="C73" s="884">
        <f t="shared" si="3"/>
        <v>0</v>
      </c>
      <c r="D73" s="885"/>
      <c r="E73" s="886"/>
      <c r="F73" s="887"/>
      <c r="G73" s="887"/>
      <c r="H73" s="887"/>
      <c r="I73" s="887"/>
      <c r="J73" s="887"/>
      <c r="K73" s="887"/>
      <c r="L73" s="887"/>
      <c r="M73" s="887"/>
      <c r="N73" s="887"/>
      <c r="O73" s="887"/>
      <c r="P73" s="887"/>
      <c r="Q73" s="887"/>
      <c r="R73" s="887"/>
      <c r="S73" s="887"/>
      <c r="T73" s="887"/>
      <c r="U73" s="887"/>
      <c r="V73" s="887"/>
      <c r="W73" s="887"/>
      <c r="X73" s="887"/>
      <c r="Y73" s="887"/>
      <c r="Z73" s="887"/>
      <c r="AA73" s="887"/>
      <c r="AB73" s="887"/>
      <c r="AC73" s="887"/>
      <c r="AD73" s="887"/>
      <c r="AE73" s="887"/>
      <c r="AF73" s="887"/>
      <c r="AG73" s="887"/>
      <c r="AH73" s="887"/>
      <c r="AI73" s="887"/>
      <c r="AJ73" s="887"/>
      <c r="AK73" s="887"/>
      <c r="AL73" s="887"/>
      <c r="AM73" s="887"/>
      <c r="AN73" s="887"/>
      <c r="AO73" s="887"/>
      <c r="AP73" s="887"/>
      <c r="AQ73" s="887"/>
      <c r="AR73" s="887"/>
      <c r="AS73" s="887"/>
      <c r="AT73" s="887"/>
      <c r="AU73" s="887"/>
      <c r="AV73" s="887"/>
      <c r="AW73" s="887"/>
      <c r="AX73" s="887"/>
      <c r="AY73" s="887"/>
      <c r="AZ73" s="887"/>
      <c r="BA73" s="887"/>
      <c r="BB73" s="887"/>
      <c r="BC73" s="887"/>
      <c r="BD73" s="887"/>
      <c r="BE73" s="887"/>
      <c r="BF73" s="887"/>
      <c r="BG73" s="887"/>
      <c r="BH73" s="887"/>
      <c r="BI73" s="887"/>
      <c r="BJ73" s="887"/>
      <c r="BK73" s="887"/>
      <c r="BL73" s="887"/>
      <c r="BM73" s="887"/>
      <c r="BN73" s="887"/>
      <c r="BO73" s="887"/>
      <c r="BP73" s="887"/>
      <c r="BQ73" s="887"/>
      <c r="BR73" s="887"/>
      <c r="BS73" s="887"/>
      <c r="BT73" s="887"/>
      <c r="BU73" s="887"/>
      <c r="BV73" s="887"/>
      <c r="BW73" s="887"/>
      <c r="BX73" s="887"/>
      <c r="BY73" s="887"/>
      <c r="BZ73" s="887"/>
      <c r="CA73" s="887"/>
      <c r="CB73" s="887"/>
      <c r="CC73" s="887"/>
      <c r="CD73" s="887"/>
      <c r="CE73" s="887"/>
      <c r="CF73" s="887"/>
      <c r="CG73" s="887"/>
      <c r="CH73" s="887"/>
      <c r="CI73" s="887"/>
      <c r="CJ73" s="887"/>
      <c r="CK73" s="887"/>
      <c r="CL73" s="887"/>
      <c r="CM73" s="887"/>
      <c r="CN73" s="887"/>
      <c r="CO73" s="887"/>
      <c r="CP73" s="887"/>
      <c r="CQ73" s="887"/>
      <c r="CR73" s="887"/>
      <c r="CS73" s="887"/>
      <c r="CT73" s="887"/>
      <c r="CU73" s="887"/>
      <c r="CV73" s="887"/>
      <c r="CW73" s="887"/>
      <c r="CX73" s="887"/>
      <c r="CY73" s="887"/>
      <c r="CZ73" s="887"/>
    </row>
    <row r="74" spans="1:104" ht="16.5">
      <c r="A74" s="882" t="s">
        <v>315</v>
      </c>
      <c r="B74" s="883">
        <f t="shared" si="2"/>
        <v>0</v>
      </c>
      <c r="C74" s="884">
        <f t="shared" si="3"/>
        <v>0</v>
      </c>
      <c r="D74" s="885"/>
      <c r="E74" s="886"/>
      <c r="F74" s="887"/>
      <c r="G74" s="887"/>
      <c r="H74" s="887"/>
      <c r="I74" s="887"/>
      <c r="J74" s="887"/>
      <c r="K74" s="887"/>
      <c r="L74" s="887"/>
      <c r="M74" s="887"/>
      <c r="N74" s="887"/>
      <c r="O74" s="887"/>
      <c r="P74" s="887"/>
      <c r="Q74" s="887"/>
      <c r="R74" s="887"/>
      <c r="S74" s="887"/>
      <c r="T74" s="887"/>
      <c r="U74" s="887"/>
      <c r="V74" s="887"/>
      <c r="W74" s="887"/>
      <c r="X74" s="887"/>
      <c r="Y74" s="887"/>
      <c r="Z74" s="887"/>
      <c r="AA74" s="887"/>
      <c r="AB74" s="887"/>
      <c r="AC74" s="887"/>
      <c r="AD74" s="887"/>
      <c r="AE74" s="887"/>
      <c r="AF74" s="887"/>
      <c r="AG74" s="887"/>
      <c r="AH74" s="887"/>
      <c r="AI74" s="887"/>
      <c r="AJ74" s="887"/>
      <c r="AK74" s="887"/>
      <c r="AL74" s="887"/>
      <c r="AM74" s="887"/>
      <c r="AN74" s="887"/>
      <c r="AO74" s="887"/>
      <c r="AP74" s="887"/>
      <c r="AQ74" s="887"/>
      <c r="AR74" s="887"/>
      <c r="AS74" s="887"/>
      <c r="AT74" s="887"/>
      <c r="AU74" s="887"/>
      <c r="AV74" s="887"/>
      <c r="AW74" s="887"/>
      <c r="AX74" s="887"/>
      <c r="AY74" s="887"/>
      <c r="AZ74" s="887"/>
      <c r="BA74" s="887"/>
      <c r="BB74" s="887"/>
      <c r="BC74" s="887"/>
      <c r="BD74" s="887"/>
      <c r="BE74" s="887"/>
      <c r="BF74" s="887"/>
      <c r="BG74" s="887"/>
      <c r="BH74" s="887"/>
      <c r="BI74" s="887"/>
      <c r="BJ74" s="887"/>
      <c r="BK74" s="887"/>
      <c r="BL74" s="887"/>
      <c r="BM74" s="887"/>
      <c r="BN74" s="887"/>
      <c r="BO74" s="887"/>
      <c r="BP74" s="887"/>
      <c r="BQ74" s="887"/>
      <c r="BR74" s="887"/>
      <c r="BS74" s="887"/>
      <c r="BT74" s="887"/>
      <c r="BU74" s="887"/>
      <c r="BV74" s="887"/>
      <c r="BW74" s="887"/>
      <c r="BX74" s="887"/>
      <c r="BY74" s="887"/>
      <c r="BZ74" s="887"/>
      <c r="CA74" s="887"/>
      <c r="CB74" s="887"/>
      <c r="CC74" s="887"/>
      <c r="CD74" s="887"/>
      <c r="CE74" s="887"/>
      <c r="CF74" s="887"/>
      <c r="CG74" s="887"/>
      <c r="CH74" s="887"/>
      <c r="CI74" s="887"/>
      <c r="CJ74" s="887"/>
      <c r="CK74" s="887"/>
      <c r="CL74" s="887"/>
      <c r="CM74" s="887"/>
      <c r="CN74" s="887"/>
      <c r="CO74" s="887"/>
      <c r="CP74" s="887"/>
      <c r="CQ74" s="887"/>
      <c r="CR74" s="887"/>
      <c r="CS74" s="887"/>
      <c r="CT74" s="887"/>
      <c r="CU74" s="887"/>
      <c r="CV74" s="887"/>
      <c r="CW74" s="887"/>
      <c r="CX74" s="887"/>
      <c r="CY74" s="887"/>
      <c r="CZ74" s="887"/>
    </row>
    <row r="75" spans="1:104" ht="16.5">
      <c r="A75" s="882" t="s">
        <v>319</v>
      </c>
      <c r="B75" s="883">
        <f t="shared" si="2"/>
        <v>0</v>
      </c>
      <c r="C75" s="884">
        <f t="shared" si="3"/>
        <v>0</v>
      </c>
      <c r="D75" s="885"/>
      <c r="E75" s="886"/>
      <c r="F75" s="887"/>
      <c r="G75" s="887"/>
      <c r="H75" s="887"/>
      <c r="I75" s="887"/>
      <c r="J75" s="887"/>
      <c r="K75" s="887"/>
      <c r="L75" s="887"/>
      <c r="M75" s="887"/>
      <c r="N75" s="887"/>
      <c r="O75" s="887"/>
      <c r="P75" s="887"/>
      <c r="Q75" s="887"/>
      <c r="R75" s="887"/>
      <c r="S75" s="887"/>
      <c r="T75" s="887"/>
      <c r="U75" s="887"/>
      <c r="V75" s="887"/>
      <c r="W75" s="887"/>
      <c r="X75" s="887"/>
      <c r="Y75" s="887"/>
      <c r="Z75" s="887"/>
      <c r="AA75" s="887"/>
      <c r="AB75" s="887"/>
      <c r="AC75" s="887"/>
      <c r="AD75" s="887"/>
      <c r="AE75" s="887"/>
      <c r="AF75" s="887"/>
      <c r="AG75" s="887"/>
      <c r="AH75" s="887"/>
      <c r="AI75" s="887"/>
      <c r="AJ75" s="887"/>
      <c r="AK75" s="887"/>
      <c r="AL75" s="887"/>
      <c r="AM75" s="887"/>
      <c r="AN75" s="887"/>
      <c r="AO75" s="887"/>
      <c r="AP75" s="887"/>
      <c r="AQ75" s="887"/>
      <c r="AR75" s="887"/>
      <c r="AS75" s="887"/>
      <c r="AT75" s="887"/>
      <c r="AU75" s="887"/>
      <c r="AV75" s="887"/>
      <c r="AW75" s="887"/>
      <c r="AX75" s="887"/>
      <c r="AY75" s="887"/>
      <c r="AZ75" s="887"/>
      <c r="BA75" s="887"/>
      <c r="BB75" s="887"/>
      <c r="BC75" s="887"/>
      <c r="BD75" s="887"/>
      <c r="BE75" s="887"/>
      <c r="BF75" s="887"/>
      <c r="BG75" s="887"/>
      <c r="BH75" s="887"/>
      <c r="BI75" s="887"/>
      <c r="BJ75" s="887"/>
      <c r="BK75" s="887"/>
      <c r="BL75" s="887"/>
      <c r="BM75" s="887"/>
      <c r="BN75" s="887"/>
      <c r="BO75" s="887"/>
      <c r="BP75" s="887"/>
      <c r="BQ75" s="887"/>
      <c r="BR75" s="887"/>
      <c r="BS75" s="887"/>
      <c r="BT75" s="887"/>
      <c r="BU75" s="887"/>
      <c r="BV75" s="887"/>
      <c r="BW75" s="887"/>
      <c r="BX75" s="887"/>
      <c r="BY75" s="887"/>
      <c r="BZ75" s="887"/>
      <c r="CA75" s="887"/>
      <c r="CB75" s="887"/>
      <c r="CC75" s="887"/>
      <c r="CD75" s="887"/>
      <c r="CE75" s="887"/>
      <c r="CF75" s="887"/>
      <c r="CG75" s="887"/>
      <c r="CH75" s="887"/>
      <c r="CI75" s="887"/>
      <c r="CJ75" s="887"/>
      <c r="CK75" s="887"/>
      <c r="CL75" s="887"/>
      <c r="CM75" s="887"/>
      <c r="CN75" s="887"/>
      <c r="CO75" s="887"/>
      <c r="CP75" s="887"/>
      <c r="CQ75" s="887"/>
      <c r="CR75" s="887"/>
      <c r="CS75" s="887"/>
      <c r="CT75" s="887"/>
      <c r="CU75" s="887"/>
      <c r="CV75" s="887"/>
      <c r="CW75" s="887"/>
      <c r="CX75" s="887"/>
      <c r="CY75" s="887"/>
      <c r="CZ75" s="887"/>
    </row>
    <row r="76" spans="1:104" ht="16.5">
      <c r="A76" s="882" t="s">
        <v>317</v>
      </c>
      <c r="B76" s="883">
        <f t="shared" si="2"/>
        <v>0</v>
      </c>
      <c r="C76" s="884">
        <f t="shared" si="3"/>
        <v>0</v>
      </c>
      <c r="D76" s="885"/>
      <c r="E76" s="886"/>
      <c r="F76" s="887"/>
      <c r="G76" s="887"/>
      <c r="H76" s="887"/>
      <c r="I76" s="887"/>
      <c r="J76" s="887"/>
      <c r="K76" s="887"/>
      <c r="L76" s="887"/>
      <c r="M76" s="887"/>
      <c r="N76" s="887"/>
      <c r="O76" s="887"/>
      <c r="P76" s="887"/>
      <c r="Q76" s="887"/>
      <c r="R76" s="887"/>
      <c r="S76" s="887"/>
      <c r="T76" s="887"/>
      <c r="U76" s="887"/>
      <c r="V76" s="887"/>
      <c r="W76" s="887"/>
      <c r="X76" s="887"/>
      <c r="Y76" s="887"/>
      <c r="Z76" s="887"/>
      <c r="AA76" s="887"/>
      <c r="AB76" s="887"/>
      <c r="AC76" s="887"/>
      <c r="AD76" s="887"/>
      <c r="AE76" s="887"/>
      <c r="AF76" s="887"/>
      <c r="AG76" s="887"/>
      <c r="AH76" s="887"/>
      <c r="AI76" s="887"/>
      <c r="AJ76" s="887"/>
      <c r="AK76" s="887"/>
      <c r="AL76" s="887"/>
      <c r="AM76" s="887"/>
      <c r="AN76" s="887"/>
      <c r="AO76" s="887"/>
      <c r="AP76" s="887"/>
      <c r="AQ76" s="887"/>
      <c r="AR76" s="887"/>
      <c r="AS76" s="887"/>
      <c r="AT76" s="887"/>
      <c r="AU76" s="887"/>
      <c r="AV76" s="887"/>
      <c r="AW76" s="887"/>
      <c r="AX76" s="887"/>
      <c r="AY76" s="887"/>
      <c r="AZ76" s="887"/>
      <c r="BA76" s="887"/>
      <c r="BB76" s="887"/>
      <c r="BC76" s="887"/>
      <c r="BD76" s="887"/>
      <c r="BE76" s="887"/>
      <c r="BF76" s="887"/>
      <c r="BG76" s="887"/>
      <c r="BH76" s="887"/>
      <c r="BI76" s="887"/>
      <c r="BJ76" s="887"/>
      <c r="BK76" s="887"/>
      <c r="BL76" s="887"/>
      <c r="BM76" s="887"/>
      <c r="BN76" s="887"/>
      <c r="BO76" s="887"/>
      <c r="BP76" s="887"/>
      <c r="BQ76" s="887"/>
      <c r="BR76" s="887"/>
      <c r="BS76" s="887"/>
      <c r="BT76" s="887"/>
      <c r="BU76" s="887"/>
      <c r="BV76" s="887"/>
      <c r="BW76" s="887"/>
      <c r="BX76" s="887"/>
      <c r="BY76" s="887"/>
      <c r="BZ76" s="887"/>
      <c r="CA76" s="887"/>
      <c r="CB76" s="887"/>
      <c r="CC76" s="887"/>
      <c r="CD76" s="887"/>
      <c r="CE76" s="887"/>
      <c r="CF76" s="887"/>
      <c r="CG76" s="887"/>
      <c r="CH76" s="887"/>
      <c r="CI76" s="887"/>
      <c r="CJ76" s="887"/>
      <c r="CK76" s="887"/>
      <c r="CL76" s="887"/>
      <c r="CM76" s="887"/>
      <c r="CN76" s="887"/>
      <c r="CO76" s="887"/>
      <c r="CP76" s="887"/>
      <c r="CQ76" s="887"/>
      <c r="CR76" s="887"/>
      <c r="CS76" s="887"/>
      <c r="CT76" s="887"/>
      <c r="CU76" s="887"/>
      <c r="CV76" s="887"/>
      <c r="CW76" s="887"/>
      <c r="CX76" s="887"/>
      <c r="CY76" s="887"/>
      <c r="CZ76" s="887"/>
    </row>
    <row r="77" spans="1:104" ht="16.5">
      <c r="A77" s="882" t="s">
        <v>316</v>
      </c>
      <c r="B77" s="883">
        <f t="shared" si="2"/>
        <v>0</v>
      </c>
      <c r="C77" s="884">
        <f t="shared" si="3"/>
        <v>0</v>
      </c>
      <c r="D77" s="885"/>
      <c r="E77" s="886"/>
      <c r="F77" s="887"/>
      <c r="G77" s="887"/>
      <c r="H77" s="887"/>
      <c r="I77" s="887"/>
      <c r="J77" s="887"/>
      <c r="K77" s="887"/>
      <c r="L77" s="887"/>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7"/>
      <c r="AJ77" s="887"/>
      <c r="AK77" s="887"/>
      <c r="AL77" s="887"/>
      <c r="AM77" s="887"/>
      <c r="AN77" s="887"/>
      <c r="AO77" s="887"/>
      <c r="AP77" s="887"/>
      <c r="AQ77" s="887"/>
      <c r="AR77" s="887"/>
      <c r="AS77" s="887"/>
      <c r="AT77" s="887"/>
      <c r="AU77" s="887"/>
      <c r="AV77" s="887"/>
      <c r="AW77" s="887"/>
      <c r="AX77" s="887"/>
      <c r="AY77" s="887"/>
      <c r="AZ77" s="887"/>
      <c r="BA77" s="887"/>
      <c r="BB77" s="887"/>
      <c r="BC77" s="887"/>
      <c r="BD77" s="887"/>
      <c r="BE77" s="887"/>
      <c r="BF77" s="887"/>
      <c r="BG77" s="887"/>
      <c r="BH77" s="887"/>
      <c r="BI77" s="887"/>
      <c r="BJ77" s="887"/>
      <c r="BK77" s="887"/>
      <c r="BL77" s="887"/>
      <c r="BM77" s="887"/>
      <c r="BN77" s="887"/>
      <c r="BO77" s="887"/>
      <c r="BP77" s="887"/>
      <c r="BQ77" s="887"/>
      <c r="BR77" s="887"/>
      <c r="BS77" s="887"/>
      <c r="BT77" s="887"/>
      <c r="BU77" s="887"/>
      <c r="BV77" s="887"/>
      <c r="BW77" s="887"/>
      <c r="BX77" s="887"/>
      <c r="BY77" s="887"/>
      <c r="BZ77" s="887"/>
      <c r="CA77" s="887"/>
      <c r="CB77" s="887"/>
      <c r="CC77" s="887"/>
      <c r="CD77" s="887"/>
      <c r="CE77" s="887"/>
      <c r="CF77" s="887"/>
      <c r="CG77" s="887"/>
      <c r="CH77" s="887"/>
      <c r="CI77" s="887"/>
      <c r="CJ77" s="887"/>
      <c r="CK77" s="887"/>
      <c r="CL77" s="887"/>
      <c r="CM77" s="887"/>
      <c r="CN77" s="887"/>
      <c r="CO77" s="887"/>
      <c r="CP77" s="887"/>
      <c r="CQ77" s="887"/>
      <c r="CR77" s="887"/>
      <c r="CS77" s="887"/>
      <c r="CT77" s="887"/>
      <c r="CU77" s="887"/>
      <c r="CV77" s="887"/>
      <c r="CW77" s="887"/>
      <c r="CX77" s="887"/>
      <c r="CY77" s="887"/>
      <c r="CZ77" s="887"/>
    </row>
    <row r="78" spans="1:104" ht="16.5">
      <c r="A78" s="882" t="s">
        <v>320</v>
      </c>
      <c r="B78" s="883">
        <f t="shared" si="2"/>
        <v>0</v>
      </c>
      <c r="C78" s="884">
        <f t="shared" si="3"/>
        <v>0</v>
      </c>
      <c r="D78" s="885"/>
      <c r="E78" s="886"/>
      <c r="F78" s="887"/>
      <c r="G78" s="887"/>
      <c r="H78" s="887"/>
      <c r="I78" s="887"/>
      <c r="J78" s="887"/>
      <c r="K78" s="887"/>
      <c r="L78" s="887"/>
      <c r="M78" s="887"/>
      <c r="N78" s="887"/>
      <c r="O78" s="887"/>
      <c r="P78" s="887"/>
      <c r="Q78" s="887"/>
      <c r="R78" s="887"/>
      <c r="S78" s="887"/>
      <c r="T78" s="887"/>
      <c r="U78" s="887"/>
      <c r="V78" s="887"/>
      <c r="W78" s="887"/>
      <c r="X78" s="887"/>
      <c r="Y78" s="887"/>
      <c r="Z78" s="887"/>
      <c r="AA78" s="887"/>
      <c r="AB78" s="887"/>
      <c r="AC78" s="887"/>
      <c r="AD78" s="887"/>
      <c r="AE78" s="887"/>
      <c r="AF78" s="887"/>
      <c r="AG78" s="887"/>
      <c r="AH78" s="887"/>
      <c r="AI78" s="887"/>
      <c r="AJ78" s="887"/>
      <c r="AK78" s="887"/>
      <c r="AL78" s="887"/>
      <c r="AM78" s="887"/>
      <c r="AN78" s="887"/>
      <c r="AO78" s="887"/>
      <c r="AP78" s="887"/>
      <c r="AQ78" s="887"/>
      <c r="AR78" s="887"/>
      <c r="AS78" s="887"/>
      <c r="AT78" s="887"/>
      <c r="AU78" s="887"/>
      <c r="AV78" s="887"/>
      <c r="AW78" s="887"/>
      <c r="AX78" s="887"/>
      <c r="AY78" s="887"/>
      <c r="AZ78" s="887"/>
      <c r="BA78" s="887"/>
      <c r="BB78" s="887"/>
      <c r="BC78" s="887"/>
      <c r="BD78" s="887"/>
      <c r="BE78" s="887"/>
      <c r="BF78" s="887"/>
      <c r="BG78" s="887"/>
      <c r="BH78" s="887"/>
      <c r="BI78" s="887"/>
      <c r="BJ78" s="887"/>
      <c r="BK78" s="887"/>
      <c r="BL78" s="887"/>
      <c r="BM78" s="887"/>
      <c r="BN78" s="887"/>
      <c r="BO78" s="887"/>
      <c r="BP78" s="887"/>
      <c r="BQ78" s="887"/>
      <c r="BR78" s="887"/>
      <c r="BS78" s="887"/>
      <c r="BT78" s="887"/>
      <c r="BU78" s="887"/>
      <c r="BV78" s="887"/>
      <c r="BW78" s="887"/>
      <c r="BX78" s="887"/>
      <c r="BY78" s="887"/>
      <c r="BZ78" s="887"/>
      <c r="CA78" s="887"/>
      <c r="CB78" s="887"/>
      <c r="CC78" s="887"/>
      <c r="CD78" s="887"/>
      <c r="CE78" s="887"/>
      <c r="CF78" s="887"/>
      <c r="CG78" s="887"/>
      <c r="CH78" s="887"/>
      <c r="CI78" s="887"/>
      <c r="CJ78" s="887"/>
      <c r="CK78" s="887"/>
      <c r="CL78" s="887"/>
      <c r="CM78" s="887"/>
      <c r="CN78" s="887"/>
      <c r="CO78" s="887"/>
      <c r="CP78" s="887"/>
      <c r="CQ78" s="887"/>
      <c r="CR78" s="887"/>
      <c r="CS78" s="887"/>
      <c r="CT78" s="887"/>
      <c r="CU78" s="887"/>
      <c r="CV78" s="887"/>
      <c r="CW78" s="887"/>
      <c r="CX78" s="887"/>
      <c r="CY78" s="887"/>
      <c r="CZ78" s="887"/>
    </row>
    <row r="79" spans="1:104" ht="16.149999999999999" customHeight="1">
      <c r="A79" s="882" t="s">
        <v>389</v>
      </c>
      <c r="B79" s="883">
        <f t="shared" si="2"/>
        <v>0</v>
      </c>
      <c r="C79" s="884">
        <f t="shared" si="3"/>
        <v>0</v>
      </c>
      <c r="D79" s="885"/>
      <c r="E79" s="886"/>
      <c r="F79" s="887"/>
      <c r="G79" s="887"/>
      <c r="H79" s="887"/>
      <c r="I79" s="887"/>
      <c r="J79" s="887"/>
      <c r="K79" s="887"/>
      <c r="L79" s="887"/>
      <c r="M79" s="887"/>
      <c r="N79" s="887"/>
      <c r="O79" s="887"/>
      <c r="P79" s="887"/>
      <c r="Q79" s="887"/>
      <c r="R79" s="887"/>
      <c r="S79" s="887"/>
      <c r="T79" s="887"/>
      <c r="U79" s="887"/>
      <c r="V79" s="887"/>
      <c r="W79" s="887"/>
      <c r="X79" s="887"/>
      <c r="Y79" s="887"/>
      <c r="Z79" s="887"/>
      <c r="AA79" s="887"/>
      <c r="AB79" s="887"/>
      <c r="AC79" s="887"/>
      <c r="AD79" s="887"/>
      <c r="AE79" s="887"/>
      <c r="AF79" s="887"/>
      <c r="AG79" s="887"/>
      <c r="AH79" s="887"/>
      <c r="AI79" s="887"/>
      <c r="AJ79" s="887"/>
      <c r="AK79" s="887"/>
      <c r="AL79" s="887"/>
      <c r="AM79" s="887"/>
      <c r="AN79" s="887"/>
      <c r="AO79" s="887"/>
      <c r="AP79" s="887"/>
      <c r="AQ79" s="887"/>
      <c r="AR79" s="887"/>
      <c r="AS79" s="887"/>
      <c r="AT79" s="887"/>
      <c r="AU79" s="887"/>
      <c r="AV79" s="887"/>
      <c r="AW79" s="887"/>
      <c r="AX79" s="887"/>
      <c r="AY79" s="887"/>
      <c r="AZ79" s="887"/>
      <c r="BA79" s="887"/>
      <c r="BB79" s="887"/>
      <c r="BC79" s="887"/>
      <c r="BD79" s="887"/>
      <c r="BE79" s="887"/>
      <c r="BF79" s="887"/>
      <c r="BG79" s="887"/>
      <c r="BH79" s="887"/>
      <c r="BI79" s="887"/>
      <c r="BJ79" s="887"/>
      <c r="BK79" s="887"/>
      <c r="BL79" s="887"/>
      <c r="BM79" s="887"/>
      <c r="BN79" s="887"/>
      <c r="BO79" s="887"/>
      <c r="BP79" s="887"/>
      <c r="BQ79" s="887"/>
      <c r="BR79" s="887"/>
      <c r="BS79" s="887"/>
      <c r="BT79" s="887"/>
      <c r="BU79" s="887"/>
      <c r="BV79" s="887"/>
      <c r="BW79" s="887"/>
      <c r="BX79" s="887"/>
      <c r="BY79" s="887"/>
      <c r="BZ79" s="887"/>
      <c r="CA79" s="887"/>
      <c r="CB79" s="887"/>
      <c r="CC79" s="887"/>
      <c r="CD79" s="887"/>
      <c r="CE79" s="887"/>
      <c r="CF79" s="887"/>
      <c r="CG79" s="887"/>
      <c r="CH79" s="887"/>
      <c r="CI79" s="887"/>
      <c r="CJ79" s="887"/>
      <c r="CK79" s="887"/>
      <c r="CL79" s="887"/>
      <c r="CM79" s="887"/>
      <c r="CN79" s="887"/>
      <c r="CO79" s="887"/>
      <c r="CP79" s="887"/>
      <c r="CQ79" s="887"/>
      <c r="CR79" s="887"/>
      <c r="CS79" s="887"/>
      <c r="CT79" s="887"/>
      <c r="CU79" s="887"/>
      <c r="CV79" s="887"/>
      <c r="CW79" s="887"/>
      <c r="CX79" s="887"/>
      <c r="CY79" s="887"/>
      <c r="CZ79" s="887"/>
    </row>
    <row r="80" spans="1:104" ht="16.149999999999999" customHeight="1">
      <c r="A80" s="882" t="s">
        <v>363</v>
      </c>
      <c r="B80" s="883">
        <f t="shared" si="2"/>
        <v>0</v>
      </c>
      <c r="C80" s="884">
        <f t="shared" si="3"/>
        <v>0</v>
      </c>
      <c r="D80" s="885"/>
      <c r="E80" s="886"/>
      <c r="F80" s="887"/>
      <c r="G80" s="887"/>
      <c r="H80" s="887"/>
      <c r="I80" s="887"/>
      <c r="J80" s="887"/>
      <c r="K80" s="887"/>
      <c r="L80" s="887"/>
      <c r="M80" s="887"/>
      <c r="N80" s="887"/>
      <c r="O80" s="887"/>
      <c r="P80" s="887"/>
      <c r="Q80" s="887"/>
      <c r="R80" s="887"/>
      <c r="S80" s="887"/>
      <c r="T80" s="887"/>
      <c r="U80" s="887"/>
      <c r="V80" s="887"/>
      <c r="W80" s="887"/>
      <c r="X80" s="887"/>
      <c r="Y80" s="887"/>
      <c r="Z80" s="887"/>
      <c r="AA80" s="887"/>
      <c r="AB80" s="887"/>
      <c r="AC80" s="887"/>
      <c r="AD80" s="887"/>
      <c r="AE80" s="887"/>
      <c r="AF80" s="887"/>
      <c r="AG80" s="887"/>
      <c r="AH80" s="887"/>
      <c r="AI80" s="887"/>
      <c r="AJ80" s="887"/>
      <c r="AK80" s="887"/>
      <c r="AL80" s="887"/>
      <c r="AM80" s="887"/>
      <c r="AN80" s="887"/>
      <c r="AO80" s="887"/>
      <c r="AP80" s="887"/>
      <c r="AQ80" s="887"/>
      <c r="AR80" s="887"/>
      <c r="AS80" s="887"/>
      <c r="AT80" s="887"/>
      <c r="AU80" s="887"/>
      <c r="AV80" s="887"/>
      <c r="AW80" s="887"/>
      <c r="AX80" s="887"/>
      <c r="AY80" s="887"/>
      <c r="AZ80" s="887"/>
      <c r="BA80" s="887"/>
      <c r="BB80" s="887"/>
      <c r="BC80" s="887"/>
      <c r="BD80" s="887"/>
      <c r="BE80" s="887"/>
      <c r="BF80" s="887"/>
      <c r="BG80" s="887"/>
      <c r="BH80" s="887"/>
      <c r="BI80" s="887"/>
      <c r="BJ80" s="887"/>
      <c r="BK80" s="887"/>
      <c r="BL80" s="887"/>
      <c r="BM80" s="887"/>
      <c r="BN80" s="887"/>
      <c r="BO80" s="887"/>
      <c r="BP80" s="887"/>
      <c r="BQ80" s="887"/>
      <c r="BR80" s="887"/>
      <c r="BS80" s="887"/>
      <c r="BT80" s="887"/>
      <c r="BU80" s="887"/>
      <c r="BV80" s="887"/>
      <c r="BW80" s="887"/>
      <c r="BX80" s="887"/>
      <c r="BY80" s="887"/>
      <c r="BZ80" s="887"/>
      <c r="CA80" s="887"/>
      <c r="CB80" s="887"/>
      <c r="CC80" s="887"/>
      <c r="CD80" s="887"/>
      <c r="CE80" s="887"/>
      <c r="CF80" s="887"/>
      <c r="CG80" s="887"/>
      <c r="CH80" s="887"/>
      <c r="CI80" s="887"/>
      <c r="CJ80" s="887"/>
      <c r="CK80" s="887"/>
      <c r="CL80" s="887"/>
      <c r="CM80" s="887"/>
      <c r="CN80" s="887"/>
      <c r="CO80" s="887"/>
      <c r="CP80" s="887"/>
      <c r="CQ80" s="887"/>
      <c r="CR80" s="887"/>
      <c r="CS80" s="887"/>
      <c r="CT80" s="887"/>
      <c r="CU80" s="887"/>
      <c r="CV80" s="887"/>
      <c r="CW80" s="887"/>
      <c r="CX80" s="887"/>
      <c r="CY80" s="887"/>
      <c r="CZ80" s="887"/>
    </row>
    <row r="81" spans="1:104" ht="16.149999999999999" customHeight="1">
      <c r="A81" s="882"/>
      <c r="B81" s="883">
        <f t="shared" si="2"/>
        <v>0</v>
      </c>
      <c r="C81" s="884">
        <f t="shared" si="3"/>
        <v>0</v>
      </c>
      <c r="D81" s="885"/>
      <c r="E81" s="886"/>
      <c r="F81" s="887"/>
      <c r="G81" s="887"/>
      <c r="H81" s="887"/>
      <c r="I81" s="887"/>
      <c r="J81" s="887"/>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7"/>
      <c r="AJ81" s="887"/>
      <c r="AK81" s="887"/>
      <c r="AL81" s="887"/>
      <c r="AM81" s="887"/>
      <c r="AN81" s="887"/>
      <c r="AO81" s="887"/>
      <c r="AP81" s="887"/>
      <c r="AQ81" s="887"/>
      <c r="AR81" s="887"/>
      <c r="AS81" s="887"/>
      <c r="AT81" s="887"/>
      <c r="AU81" s="887"/>
      <c r="AV81" s="887"/>
      <c r="AW81" s="887"/>
      <c r="AX81" s="887"/>
      <c r="AY81" s="887"/>
      <c r="AZ81" s="887"/>
      <c r="BA81" s="887"/>
      <c r="BB81" s="887"/>
      <c r="BC81" s="887"/>
      <c r="BD81" s="887"/>
      <c r="BE81" s="887"/>
      <c r="BF81" s="887"/>
      <c r="BG81" s="887"/>
      <c r="BH81" s="887"/>
      <c r="BI81" s="887"/>
      <c r="BJ81" s="887"/>
      <c r="BK81" s="887"/>
      <c r="BL81" s="887"/>
      <c r="BM81" s="887"/>
      <c r="BN81" s="887"/>
      <c r="BO81" s="887"/>
      <c r="BP81" s="887"/>
      <c r="BQ81" s="887"/>
      <c r="BR81" s="887"/>
      <c r="BS81" s="887"/>
      <c r="BT81" s="887"/>
      <c r="BU81" s="887"/>
      <c r="BV81" s="887"/>
      <c r="BW81" s="887"/>
      <c r="BX81" s="887"/>
      <c r="BY81" s="887"/>
      <c r="BZ81" s="887"/>
      <c r="CA81" s="887"/>
      <c r="CB81" s="887"/>
      <c r="CC81" s="887"/>
      <c r="CD81" s="887"/>
      <c r="CE81" s="887"/>
      <c r="CF81" s="887"/>
      <c r="CG81" s="887"/>
      <c r="CH81" s="887"/>
      <c r="CI81" s="887"/>
      <c r="CJ81" s="887"/>
      <c r="CK81" s="887"/>
      <c r="CL81" s="887"/>
      <c r="CM81" s="887"/>
      <c r="CN81" s="887"/>
      <c r="CO81" s="887"/>
      <c r="CP81" s="887"/>
      <c r="CQ81" s="887"/>
      <c r="CR81" s="887"/>
      <c r="CS81" s="887"/>
      <c r="CT81" s="887"/>
      <c r="CU81" s="887"/>
      <c r="CV81" s="887"/>
      <c r="CW81" s="887"/>
      <c r="CX81" s="887"/>
      <c r="CY81" s="887"/>
      <c r="CZ81" s="887"/>
    </row>
    <row r="82" spans="1:104" ht="16.149999999999999" customHeight="1">
      <c r="A82" s="882"/>
      <c r="B82" s="883">
        <f t="shared" si="2"/>
        <v>0</v>
      </c>
      <c r="C82" s="884">
        <f t="shared" si="3"/>
        <v>0</v>
      </c>
      <c r="D82" s="885"/>
      <c r="E82" s="886"/>
      <c r="F82" s="887"/>
      <c r="G82" s="887"/>
      <c r="H82" s="887"/>
      <c r="I82" s="887"/>
      <c r="J82" s="887"/>
      <c r="K82" s="887"/>
      <c r="L82" s="887"/>
      <c r="M82" s="887"/>
      <c r="N82" s="887"/>
      <c r="O82" s="887"/>
      <c r="P82" s="887"/>
      <c r="Q82" s="887"/>
      <c r="R82" s="887"/>
      <c r="S82" s="887"/>
      <c r="T82" s="887"/>
      <c r="U82" s="887"/>
      <c r="V82" s="887"/>
      <c r="W82" s="887"/>
      <c r="X82" s="887"/>
      <c r="Y82" s="887"/>
      <c r="Z82" s="887"/>
      <c r="AA82" s="887"/>
      <c r="AB82" s="887"/>
      <c r="AC82" s="887"/>
      <c r="AD82" s="887"/>
      <c r="AE82" s="887"/>
      <c r="AF82" s="887"/>
      <c r="AG82" s="887"/>
      <c r="AH82" s="887"/>
      <c r="AI82" s="887"/>
      <c r="AJ82" s="887"/>
      <c r="AK82" s="887"/>
      <c r="AL82" s="887"/>
      <c r="AM82" s="887"/>
      <c r="AN82" s="887"/>
      <c r="AO82" s="887"/>
      <c r="AP82" s="887"/>
      <c r="AQ82" s="887"/>
      <c r="AR82" s="887"/>
      <c r="AS82" s="887"/>
      <c r="AT82" s="887"/>
      <c r="AU82" s="887"/>
      <c r="AV82" s="887"/>
      <c r="AW82" s="887"/>
      <c r="AX82" s="887"/>
      <c r="AY82" s="887"/>
      <c r="AZ82" s="887"/>
      <c r="BA82" s="887"/>
      <c r="BB82" s="887"/>
      <c r="BC82" s="887"/>
      <c r="BD82" s="887"/>
      <c r="BE82" s="887"/>
      <c r="BF82" s="887"/>
      <c r="BG82" s="887"/>
      <c r="BH82" s="887"/>
      <c r="BI82" s="887"/>
      <c r="BJ82" s="887"/>
      <c r="BK82" s="887"/>
      <c r="BL82" s="887"/>
      <c r="BM82" s="887"/>
      <c r="BN82" s="887"/>
      <c r="BO82" s="887"/>
      <c r="BP82" s="887"/>
      <c r="BQ82" s="887"/>
      <c r="BR82" s="887"/>
      <c r="BS82" s="887"/>
      <c r="BT82" s="887"/>
      <c r="BU82" s="887"/>
      <c r="BV82" s="887"/>
      <c r="BW82" s="887"/>
      <c r="BX82" s="887"/>
      <c r="BY82" s="887"/>
      <c r="BZ82" s="887"/>
      <c r="CA82" s="887"/>
      <c r="CB82" s="887"/>
      <c r="CC82" s="887"/>
      <c r="CD82" s="887"/>
      <c r="CE82" s="887"/>
      <c r="CF82" s="887"/>
      <c r="CG82" s="887"/>
      <c r="CH82" s="887"/>
      <c r="CI82" s="887"/>
      <c r="CJ82" s="887"/>
      <c r="CK82" s="887"/>
      <c r="CL82" s="887"/>
      <c r="CM82" s="887"/>
      <c r="CN82" s="887"/>
      <c r="CO82" s="887"/>
      <c r="CP82" s="887"/>
      <c r="CQ82" s="887"/>
      <c r="CR82" s="887"/>
      <c r="CS82" s="887"/>
      <c r="CT82" s="887"/>
      <c r="CU82" s="887"/>
      <c r="CV82" s="887"/>
      <c r="CW82" s="887"/>
      <c r="CX82" s="887"/>
      <c r="CY82" s="887"/>
      <c r="CZ82" s="887"/>
    </row>
    <row r="83" spans="1:104" ht="16.149999999999999" customHeight="1">
      <c r="A83" s="882"/>
      <c r="B83" s="883">
        <f t="shared" si="2"/>
        <v>0</v>
      </c>
      <c r="C83" s="884">
        <f t="shared" ref="C83:C95" si="4">SUM(E83:CZ83)</f>
        <v>0</v>
      </c>
      <c r="D83" s="885"/>
      <c r="E83" s="886"/>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c r="BC83" s="887"/>
      <c r="BD83" s="887"/>
      <c r="BE83" s="887"/>
      <c r="BF83" s="887"/>
      <c r="BG83" s="887"/>
      <c r="BH83" s="887"/>
      <c r="BI83" s="887"/>
      <c r="BJ83" s="887"/>
      <c r="BK83" s="887"/>
      <c r="BL83" s="887"/>
      <c r="BM83" s="887"/>
      <c r="BN83" s="887"/>
      <c r="BO83" s="887"/>
      <c r="BP83" s="887"/>
      <c r="BQ83" s="887"/>
      <c r="BR83" s="887"/>
      <c r="BS83" s="887"/>
      <c r="BT83" s="887"/>
      <c r="BU83" s="887"/>
      <c r="BV83" s="887"/>
      <c r="BW83" s="887"/>
      <c r="BX83" s="887"/>
      <c r="BY83" s="887"/>
      <c r="BZ83" s="887"/>
      <c r="CA83" s="887"/>
      <c r="CB83" s="887"/>
      <c r="CC83" s="887"/>
      <c r="CD83" s="887"/>
      <c r="CE83" s="887"/>
      <c r="CF83" s="887"/>
      <c r="CG83" s="887"/>
      <c r="CH83" s="887"/>
      <c r="CI83" s="887"/>
      <c r="CJ83" s="887"/>
      <c r="CK83" s="887"/>
      <c r="CL83" s="887"/>
      <c r="CM83" s="887"/>
      <c r="CN83" s="887"/>
      <c r="CO83" s="887"/>
      <c r="CP83" s="887"/>
      <c r="CQ83" s="887"/>
      <c r="CR83" s="887"/>
      <c r="CS83" s="887"/>
      <c r="CT83" s="887"/>
      <c r="CU83" s="887"/>
      <c r="CV83" s="887"/>
      <c r="CW83" s="887"/>
      <c r="CX83" s="887"/>
      <c r="CY83" s="887"/>
      <c r="CZ83" s="887"/>
    </row>
    <row r="84" spans="1:104" ht="16.149999999999999" customHeight="1">
      <c r="A84" s="882"/>
      <c r="B84" s="883">
        <f t="shared" si="2"/>
        <v>0</v>
      </c>
      <c r="C84" s="884">
        <f t="shared" si="4"/>
        <v>0</v>
      </c>
      <c r="D84" s="885"/>
      <c r="E84" s="886"/>
      <c r="F84" s="887"/>
      <c r="G84" s="887"/>
      <c r="H84" s="887"/>
      <c r="I84" s="887"/>
      <c r="J84" s="887"/>
      <c r="K84" s="887"/>
      <c r="L84" s="887"/>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c r="BC84" s="887"/>
      <c r="BD84" s="887"/>
      <c r="BE84" s="887"/>
      <c r="BF84" s="887"/>
      <c r="BG84" s="887"/>
      <c r="BH84" s="887"/>
      <c r="BI84" s="887"/>
      <c r="BJ84" s="887"/>
      <c r="BK84" s="887"/>
      <c r="BL84" s="887"/>
      <c r="BM84" s="887"/>
      <c r="BN84" s="887"/>
      <c r="BO84" s="887"/>
      <c r="BP84" s="887"/>
      <c r="BQ84" s="887"/>
      <c r="BR84" s="887"/>
      <c r="BS84" s="887"/>
      <c r="BT84" s="887"/>
      <c r="BU84" s="887"/>
      <c r="BV84" s="887"/>
      <c r="BW84" s="887"/>
      <c r="BX84" s="887"/>
      <c r="BY84" s="887"/>
      <c r="BZ84" s="887"/>
      <c r="CA84" s="887"/>
      <c r="CB84" s="887"/>
      <c r="CC84" s="887"/>
      <c r="CD84" s="887"/>
      <c r="CE84" s="887"/>
      <c r="CF84" s="887"/>
      <c r="CG84" s="887"/>
      <c r="CH84" s="887"/>
      <c r="CI84" s="887"/>
      <c r="CJ84" s="887"/>
      <c r="CK84" s="887"/>
      <c r="CL84" s="887"/>
      <c r="CM84" s="887"/>
      <c r="CN84" s="887"/>
      <c r="CO84" s="887"/>
      <c r="CP84" s="887"/>
      <c r="CQ84" s="887"/>
      <c r="CR84" s="887"/>
      <c r="CS84" s="887"/>
      <c r="CT84" s="887"/>
      <c r="CU84" s="887"/>
      <c r="CV84" s="887"/>
      <c r="CW84" s="887"/>
      <c r="CX84" s="887"/>
      <c r="CY84" s="887"/>
      <c r="CZ84" s="887"/>
    </row>
    <row r="85" spans="1:104" ht="16.149999999999999" customHeight="1">
      <c r="A85" s="882"/>
      <c r="B85" s="883">
        <f t="shared" si="2"/>
        <v>0</v>
      </c>
      <c r="C85" s="884">
        <f t="shared" si="4"/>
        <v>0</v>
      </c>
      <c r="D85" s="885"/>
      <c r="E85" s="886"/>
      <c r="F85" s="887"/>
      <c r="G85" s="887"/>
      <c r="H85" s="887"/>
      <c r="I85" s="887"/>
      <c r="J85" s="887"/>
      <c r="K85" s="887"/>
      <c r="L85" s="887"/>
      <c r="M85" s="887"/>
      <c r="N85" s="887"/>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c r="BC85" s="887"/>
      <c r="BD85" s="887"/>
      <c r="BE85" s="887"/>
      <c r="BF85" s="887"/>
      <c r="BG85" s="887"/>
      <c r="BH85" s="887"/>
      <c r="BI85" s="887"/>
      <c r="BJ85" s="887"/>
      <c r="BK85" s="887"/>
      <c r="BL85" s="887"/>
      <c r="BM85" s="887"/>
      <c r="BN85" s="887"/>
      <c r="BO85" s="887"/>
      <c r="BP85" s="887"/>
      <c r="BQ85" s="887"/>
      <c r="BR85" s="887"/>
      <c r="BS85" s="887"/>
      <c r="BT85" s="887"/>
      <c r="BU85" s="887"/>
      <c r="BV85" s="887"/>
      <c r="BW85" s="887"/>
      <c r="BX85" s="887"/>
      <c r="BY85" s="887"/>
      <c r="BZ85" s="887"/>
      <c r="CA85" s="887"/>
      <c r="CB85" s="887"/>
      <c r="CC85" s="887"/>
      <c r="CD85" s="887"/>
      <c r="CE85" s="887"/>
      <c r="CF85" s="887"/>
      <c r="CG85" s="887"/>
      <c r="CH85" s="887"/>
      <c r="CI85" s="887"/>
      <c r="CJ85" s="887"/>
      <c r="CK85" s="887"/>
      <c r="CL85" s="887"/>
      <c r="CM85" s="887"/>
      <c r="CN85" s="887"/>
      <c r="CO85" s="887"/>
      <c r="CP85" s="887"/>
      <c r="CQ85" s="887"/>
      <c r="CR85" s="887"/>
      <c r="CS85" s="887"/>
      <c r="CT85" s="887"/>
      <c r="CU85" s="887"/>
      <c r="CV85" s="887"/>
      <c r="CW85" s="887"/>
      <c r="CX85" s="887"/>
      <c r="CY85" s="887"/>
      <c r="CZ85" s="887"/>
    </row>
    <row r="86" spans="1:104" ht="16.149999999999999" customHeight="1">
      <c r="A86" s="882"/>
      <c r="B86" s="883">
        <f t="shared" si="2"/>
        <v>0</v>
      </c>
      <c r="C86" s="884">
        <f t="shared" si="4"/>
        <v>0</v>
      </c>
      <c r="D86" s="885"/>
      <c r="E86" s="886"/>
      <c r="F86" s="887"/>
      <c r="G86" s="887"/>
      <c r="H86" s="887"/>
      <c r="I86" s="887"/>
      <c r="J86" s="887"/>
      <c r="K86" s="887"/>
      <c r="L86" s="887"/>
      <c r="M86" s="887"/>
      <c r="N86" s="887"/>
      <c r="O86" s="887"/>
      <c r="P86" s="887"/>
      <c r="Q86" s="887"/>
      <c r="R86" s="887"/>
      <c r="S86" s="887"/>
      <c r="T86" s="887"/>
      <c r="U86" s="887"/>
      <c r="V86" s="887"/>
      <c r="W86" s="887"/>
      <c r="X86" s="887"/>
      <c r="Y86" s="887"/>
      <c r="Z86" s="887"/>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c r="BC86" s="887"/>
      <c r="BD86" s="887"/>
      <c r="BE86" s="887"/>
      <c r="BF86" s="887"/>
      <c r="BG86" s="887"/>
      <c r="BH86" s="887"/>
      <c r="BI86" s="887"/>
      <c r="BJ86" s="887"/>
      <c r="BK86" s="887"/>
      <c r="BL86" s="887"/>
      <c r="BM86" s="887"/>
      <c r="BN86" s="887"/>
      <c r="BO86" s="887"/>
      <c r="BP86" s="887"/>
      <c r="BQ86" s="887"/>
      <c r="BR86" s="887"/>
      <c r="BS86" s="887"/>
      <c r="BT86" s="887"/>
      <c r="BU86" s="887"/>
      <c r="BV86" s="887"/>
      <c r="BW86" s="887"/>
      <c r="BX86" s="887"/>
      <c r="BY86" s="887"/>
      <c r="BZ86" s="887"/>
      <c r="CA86" s="887"/>
      <c r="CB86" s="887"/>
      <c r="CC86" s="887"/>
      <c r="CD86" s="887"/>
      <c r="CE86" s="887"/>
      <c r="CF86" s="887"/>
      <c r="CG86" s="887"/>
      <c r="CH86" s="887"/>
      <c r="CI86" s="887"/>
      <c r="CJ86" s="887"/>
      <c r="CK86" s="887"/>
      <c r="CL86" s="887"/>
      <c r="CM86" s="887"/>
      <c r="CN86" s="887"/>
      <c r="CO86" s="887"/>
      <c r="CP86" s="887"/>
      <c r="CQ86" s="887"/>
      <c r="CR86" s="887"/>
      <c r="CS86" s="887"/>
      <c r="CT86" s="887"/>
      <c r="CU86" s="887"/>
      <c r="CV86" s="887"/>
      <c r="CW86" s="887"/>
      <c r="CX86" s="887"/>
      <c r="CY86" s="887"/>
      <c r="CZ86" s="887"/>
    </row>
    <row r="87" spans="1:104" ht="16.149999999999999" customHeight="1">
      <c r="A87" s="882"/>
      <c r="B87" s="883">
        <f t="shared" si="2"/>
        <v>0</v>
      </c>
      <c r="C87" s="884">
        <f t="shared" si="4"/>
        <v>0</v>
      </c>
      <c r="D87" s="885"/>
      <c r="E87" s="886"/>
      <c r="F87" s="887"/>
      <c r="G87" s="887"/>
      <c r="H87" s="887"/>
      <c r="I87" s="887"/>
      <c r="J87" s="887"/>
      <c r="K87" s="887"/>
      <c r="L87" s="887"/>
      <c r="M87" s="887"/>
      <c r="N87" s="887"/>
      <c r="O87" s="887"/>
      <c r="P87" s="887"/>
      <c r="Q87" s="887"/>
      <c r="R87" s="887"/>
      <c r="S87" s="887"/>
      <c r="T87" s="887"/>
      <c r="U87" s="887"/>
      <c r="V87" s="887"/>
      <c r="W87" s="887"/>
      <c r="X87" s="887"/>
      <c r="Y87" s="887"/>
      <c r="Z87" s="887"/>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c r="BC87" s="887"/>
      <c r="BD87" s="887"/>
      <c r="BE87" s="887"/>
      <c r="BF87" s="887"/>
      <c r="BG87" s="887"/>
      <c r="BH87" s="887"/>
      <c r="BI87" s="887"/>
      <c r="BJ87" s="887"/>
      <c r="BK87" s="887"/>
      <c r="BL87" s="887"/>
      <c r="BM87" s="887"/>
      <c r="BN87" s="887"/>
      <c r="BO87" s="887"/>
      <c r="BP87" s="887"/>
      <c r="BQ87" s="887"/>
      <c r="BR87" s="887"/>
      <c r="BS87" s="887"/>
      <c r="BT87" s="887"/>
      <c r="BU87" s="887"/>
      <c r="BV87" s="887"/>
      <c r="BW87" s="887"/>
      <c r="BX87" s="887"/>
      <c r="BY87" s="887"/>
      <c r="BZ87" s="887"/>
      <c r="CA87" s="887"/>
      <c r="CB87" s="887"/>
      <c r="CC87" s="887"/>
      <c r="CD87" s="887"/>
      <c r="CE87" s="887"/>
      <c r="CF87" s="887"/>
      <c r="CG87" s="887"/>
      <c r="CH87" s="887"/>
      <c r="CI87" s="887"/>
      <c r="CJ87" s="887"/>
      <c r="CK87" s="887"/>
      <c r="CL87" s="887"/>
      <c r="CM87" s="887"/>
      <c r="CN87" s="887"/>
      <c r="CO87" s="887"/>
      <c r="CP87" s="887"/>
      <c r="CQ87" s="887"/>
      <c r="CR87" s="887"/>
      <c r="CS87" s="887"/>
      <c r="CT87" s="887"/>
      <c r="CU87" s="887"/>
      <c r="CV87" s="887"/>
      <c r="CW87" s="887"/>
      <c r="CX87" s="887"/>
      <c r="CY87" s="887"/>
      <c r="CZ87" s="887"/>
    </row>
    <row r="88" spans="1:104" ht="16.149999999999999" customHeight="1">
      <c r="A88" s="882"/>
      <c r="B88" s="883">
        <f t="shared" si="2"/>
        <v>0</v>
      </c>
      <c r="C88" s="884">
        <f t="shared" si="4"/>
        <v>0</v>
      </c>
      <c r="D88" s="885"/>
      <c r="E88" s="886"/>
      <c r="F88" s="887"/>
      <c r="G88" s="887"/>
      <c r="H88" s="887"/>
      <c r="I88" s="887"/>
      <c r="J88" s="887"/>
      <c r="K88" s="887"/>
      <c r="L88" s="887"/>
      <c r="M88" s="887"/>
      <c r="N88" s="887"/>
      <c r="O88" s="887"/>
      <c r="P88" s="887"/>
      <c r="Q88" s="887"/>
      <c r="R88" s="887"/>
      <c r="S88" s="887"/>
      <c r="T88" s="887"/>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c r="BC88" s="887"/>
      <c r="BD88" s="887"/>
      <c r="BE88" s="887"/>
      <c r="BF88" s="887"/>
      <c r="BG88" s="887"/>
      <c r="BH88" s="887"/>
      <c r="BI88" s="887"/>
      <c r="BJ88" s="887"/>
      <c r="BK88" s="887"/>
      <c r="BL88" s="887"/>
      <c r="BM88" s="887"/>
      <c r="BN88" s="887"/>
      <c r="BO88" s="887"/>
      <c r="BP88" s="887"/>
      <c r="BQ88" s="887"/>
      <c r="BR88" s="887"/>
      <c r="BS88" s="887"/>
      <c r="BT88" s="887"/>
      <c r="BU88" s="887"/>
      <c r="BV88" s="887"/>
      <c r="BW88" s="887"/>
      <c r="BX88" s="887"/>
      <c r="BY88" s="887"/>
      <c r="BZ88" s="887"/>
      <c r="CA88" s="887"/>
      <c r="CB88" s="887"/>
      <c r="CC88" s="887"/>
      <c r="CD88" s="887"/>
      <c r="CE88" s="887"/>
      <c r="CF88" s="887"/>
      <c r="CG88" s="887"/>
      <c r="CH88" s="887"/>
      <c r="CI88" s="887"/>
      <c r="CJ88" s="887"/>
      <c r="CK88" s="887"/>
      <c r="CL88" s="887"/>
      <c r="CM88" s="887"/>
      <c r="CN88" s="887"/>
      <c r="CO88" s="887"/>
      <c r="CP88" s="887"/>
      <c r="CQ88" s="887"/>
      <c r="CR88" s="887"/>
      <c r="CS88" s="887"/>
      <c r="CT88" s="887"/>
      <c r="CU88" s="887"/>
      <c r="CV88" s="887"/>
      <c r="CW88" s="887"/>
      <c r="CX88" s="887"/>
      <c r="CY88" s="887"/>
      <c r="CZ88" s="887"/>
    </row>
    <row r="89" spans="1:104" ht="16.149999999999999" customHeight="1">
      <c r="A89" s="882"/>
      <c r="B89" s="883">
        <f t="shared" si="2"/>
        <v>0</v>
      </c>
      <c r="C89" s="884">
        <f t="shared" si="4"/>
        <v>0</v>
      </c>
      <c r="D89" s="885"/>
      <c r="E89" s="886"/>
      <c r="F89" s="887"/>
      <c r="G89" s="887"/>
      <c r="H89" s="887"/>
      <c r="I89" s="887"/>
      <c r="J89" s="887"/>
      <c r="K89" s="887"/>
      <c r="L89" s="887"/>
      <c r="M89" s="887"/>
      <c r="N89" s="887"/>
      <c r="O89" s="887"/>
      <c r="P89" s="887"/>
      <c r="Q89" s="887"/>
      <c r="R89" s="887"/>
      <c r="S89" s="887"/>
      <c r="T89" s="887"/>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c r="BC89" s="887"/>
      <c r="BD89" s="887"/>
      <c r="BE89" s="887"/>
      <c r="BF89" s="887"/>
      <c r="BG89" s="887"/>
      <c r="BH89" s="887"/>
      <c r="BI89" s="887"/>
      <c r="BJ89" s="887"/>
      <c r="BK89" s="887"/>
      <c r="BL89" s="887"/>
      <c r="BM89" s="887"/>
      <c r="BN89" s="887"/>
      <c r="BO89" s="887"/>
      <c r="BP89" s="887"/>
      <c r="BQ89" s="887"/>
      <c r="BR89" s="887"/>
      <c r="BS89" s="887"/>
      <c r="BT89" s="887"/>
      <c r="BU89" s="887"/>
      <c r="BV89" s="887"/>
      <c r="BW89" s="887"/>
      <c r="BX89" s="887"/>
      <c r="BY89" s="887"/>
      <c r="BZ89" s="887"/>
      <c r="CA89" s="887"/>
      <c r="CB89" s="887"/>
      <c r="CC89" s="887"/>
      <c r="CD89" s="887"/>
      <c r="CE89" s="887"/>
      <c r="CF89" s="887"/>
      <c r="CG89" s="887"/>
      <c r="CH89" s="887"/>
      <c r="CI89" s="887"/>
      <c r="CJ89" s="887"/>
      <c r="CK89" s="887"/>
      <c r="CL89" s="887"/>
      <c r="CM89" s="887"/>
      <c r="CN89" s="887"/>
      <c r="CO89" s="887"/>
      <c r="CP89" s="887"/>
      <c r="CQ89" s="887"/>
      <c r="CR89" s="887"/>
      <c r="CS89" s="887"/>
      <c r="CT89" s="887"/>
      <c r="CU89" s="887"/>
      <c r="CV89" s="887"/>
      <c r="CW89" s="887"/>
      <c r="CX89" s="887"/>
      <c r="CY89" s="887"/>
      <c r="CZ89" s="887"/>
    </row>
    <row r="90" spans="1:104" ht="16.149999999999999" customHeight="1">
      <c r="A90" s="882"/>
      <c r="B90" s="883">
        <f t="shared" si="2"/>
        <v>0</v>
      </c>
      <c r="C90" s="884">
        <f t="shared" si="4"/>
        <v>0</v>
      </c>
      <c r="D90" s="885"/>
      <c r="E90" s="886"/>
      <c r="F90" s="887"/>
      <c r="G90" s="887"/>
      <c r="H90" s="887"/>
      <c r="I90" s="887"/>
      <c r="J90" s="887"/>
      <c r="K90" s="887"/>
      <c r="L90" s="887"/>
      <c r="M90" s="887"/>
      <c r="N90" s="887"/>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7"/>
      <c r="AM90" s="887"/>
      <c r="AN90" s="887"/>
      <c r="AO90" s="887"/>
      <c r="AP90" s="887"/>
      <c r="AQ90" s="887"/>
      <c r="AR90" s="887"/>
      <c r="AS90" s="887"/>
      <c r="AT90" s="887"/>
      <c r="AU90" s="887"/>
      <c r="AV90" s="887"/>
      <c r="AW90" s="887"/>
      <c r="AX90" s="887"/>
      <c r="AY90" s="887"/>
      <c r="AZ90" s="887"/>
      <c r="BA90" s="887"/>
      <c r="BB90" s="887"/>
      <c r="BC90" s="887"/>
      <c r="BD90" s="887"/>
      <c r="BE90" s="887"/>
      <c r="BF90" s="887"/>
      <c r="BG90" s="887"/>
      <c r="BH90" s="887"/>
      <c r="BI90" s="887"/>
      <c r="BJ90" s="887"/>
      <c r="BK90" s="887"/>
      <c r="BL90" s="887"/>
      <c r="BM90" s="887"/>
      <c r="BN90" s="887"/>
      <c r="BO90" s="887"/>
      <c r="BP90" s="887"/>
      <c r="BQ90" s="887"/>
      <c r="BR90" s="887"/>
      <c r="BS90" s="887"/>
      <c r="BT90" s="887"/>
      <c r="BU90" s="887"/>
      <c r="BV90" s="887"/>
      <c r="BW90" s="887"/>
      <c r="BX90" s="887"/>
      <c r="BY90" s="887"/>
      <c r="BZ90" s="887"/>
      <c r="CA90" s="887"/>
      <c r="CB90" s="887"/>
      <c r="CC90" s="887"/>
      <c r="CD90" s="887"/>
      <c r="CE90" s="887"/>
      <c r="CF90" s="887"/>
      <c r="CG90" s="887"/>
      <c r="CH90" s="887"/>
      <c r="CI90" s="887"/>
      <c r="CJ90" s="887"/>
      <c r="CK90" s="887"/>
      <c r="CL90" s="887"/>
      <c r="CM90" s="887"/>
      <c r="CN90" s="887"/>
      <c r="CO90" s="887"/>
      <c r="CP90" s="887"/>
      <c r="CQ90" s="887"/>
      <c r="CR90" s="887"/>
      <c r="CS90" s="887"/>
      <c r="CT90" s="887"/>
      <c r="CU90" s="887"/>
      <c r="CV90" s="887"/>
      <c r="CW90" s="887"/>
      <c r="CX90" s="887"/>
      <c r="CY90" s="887"/>
      <c r="CZ90" s="887"/>
    </row>
    <row r="91" spans="1:104" ht="16.149999999999999" customHeight="1">
      <c r="A91" s="882"/>
      <c r="B91" s="883">
        <f t="shared" si="2"/>
        <v>0</v>
      </c>
      <c r="C91" s="884">
        <f t="shared" si="4"/>
        <v>0</v>
      </c>
      <c r="D91" s="885"/>
      <c r="E91" s="886"/>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c r="BC91" s="887"/>
      <c r="BD91" s="887"/>
      <c r="BE91" s="887"/>
      <c r="BF91" s="887"/>
      <c r="BG91" s="887"/>
      <c r="BH91" s="887"/>
      <c r="BI91" s="887"/>
      <c r="BJ91" s="887"/>
      <c r="BK91" s="887"/>
      <c r="BL91" s="887"/>
      <c r="BM91" s="887"/>
      <c r="BN91" s="887"/>
      <c r="BO91" s="887"/>
      <c r="BP91" s="887"/>
      <c r="BQ91" s="887"/>
      <c r="BR91" s="887"/>
      <c r="BS91" s="887"/>
      <c r="BT91" s="887"/>
      <c r="BU91" s="887"/>
      <c r="BV91" s="887"/>
      <c r="BW91" s="887"/>
      <c r="BX91" s="887"/>
      <c r="BY91" s="887"/>
      <c r="BZ91" s="887"/>
      <c r="CA91" s="887"/>
      <c r="CB91" s="887"/>
      <c r="CC91" s="887"/>
      <c r="CD91" s="887"/>
      <c r="CE91" s="887"/>
      <c r="CF91" s="887"/>
      <c r="CG91" s="887"/>
      <c r="CH91" s="887"/>
      <c r="CI91" s="887"/>
      <c r="CJ91" s="887"/>
      <c r="CK91" s="887"/>
      <c r="CL91" s="887"/>
      <c r="CM91" s="887"/>
      <c r="CN91" s="887"/>
      <c r="CO91" s="887"/>
      <c r="CP91" s="887"/>
      <c r="CQ91" s="887"/>
      <c r="CR91" s="887"/>
      <c r="CS91" s="887"/>
      <c r="CT91" s="887"/>
      <c r="CU91" s="887"/>
      <c r="CV91" s="887"/>
      <c r="CW91" s="887"/>
      <c r="CX91" s="887"/>
      <c r="CY91" s="887"/>
      <c r="CZ91" s="887"/>
    </row>
    <row r="92" spans="1:104" ht="16.149999999999999" customHeight="1">
      <c r="A92" s="882"/>
      <c r="B92" s="883">
        <f t="shared" si="2"/>
        <v>0</v>
      </c>
      <c r="C92" s="884">
        <f t="shared" si="4"/>
        <v>0</v>
      </c>
      <c r="D92" s="885"/>
      <c r="E92" s="886"/>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c r="BC92" s="887"/>
      <c r="BD92" s="887"/>
      <c r="BE92" s="887"/>
      <c r="BF92" s="887"/>
      <c r="BG92" s="887"/>
      <c r="BH92" s="887"/>
      <c r="BI92" s="887"/>
      <c r="BJ92" s="887"/>
      <c r="BK92" s="887"/>
      <c r="BL92" s="887"/>
      <c r="BM92" s="887"/>
      <c r="BN92" s="887"/>
      <c r="BO92" s="887"/>
      <c r="BP92" s="887"/>
      <c r="BQ92" s="887"/>
      <c r="BR92" s="887"/>
      <c r="BS92" s="887"/>
      <c r="BT92" s="887"/>
      <c r="BU92" s="887"/>
      <c r="BV92" s="887"/>
      <c r="BW92" s="887"/>
      <c r="BX92" s="887"/>
      <c r="BY92" s="887"/>
      <c r="BZ92" s="887"/>
      <c r="CA92" s="887"/>
      <c r="CB92" s="887"/>
      <c r="CC92" s="887"/>
      <c r="CD92" s="887"/>
      <c r="CE92" s="887"/>
      <c r="CF92" s="887"/>
      <c r="CG92" s="887"/>
      <c r="CH92" s="887"/>
      <c r="CI92" s="887"/>
      <c r="CJ92" s="887"/>
      <c r="CK92" s="887"/>
      <c r="CL92" s="887"/>
      <c r="CM92" s="887"/>
      <c r="CN92" s="887"/>
      <c r="CO92" s="887"/>
      <c r="CP92" s="887"/>
      <c r="CQ92" s="887"/>
      <c r="CR92" s="887"/>
      <c r="CS92" s="887"/>
      <c r="CT92" s="887"/>
      <c r="CU92" s="887"/>
      <c r="CV92" s="887"/>
      <c r="CW92" s="887"/>
      <c r="CX92" s="887"/>
      <c r="CY92" s="887"/>
      <c r="CZ92" s="887"/>
    </row>
    <row r="93" spans="1:104" ht="16.149999999999999" customHeight="1">
      <c r="A93" s="882"/>
      <c r="B93" s="883">
        <f t="shared" si="2"/>
        <v>0</v>
      </c>
      <c r="C93" s="884">
        <f t="shared" si="4"/>
        <v>0</v>
      </c>
      <c r="D93" s="885"/>
      <c r="E93" s="886"/>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c r="BC93" s="887"/>
      <c r="BD93" s="887"/>
      <c r="BE93" s="887"/>
      <c r="BF93" s="887"/>
      <c r="BG93" s="887"/>
      <c r="BH93" s="887"/>
      <c r="BI93" s="887"/>
      <c r="BJ93" s="887"/>
      <c r="BK93" s="887"/>
      <c r="BL93" s="887"/>
      <c r="BM93" s="887"/>
      <c r="BN93" s="887"/>
      <c r="BO93" s="887"/>
      <c r="BP93" s="887"/>
      <c r="BQ93" s="887"/>
      <c r="BR93" s="887"/>
      <c r="BS93" s="887"/>
      <c r="BT93" s="887"/>
      <c r="BU93" s="887"/>
      <c r="BV93" s="887"/>
      <c r="BW93" s="887"/>
      <c r="BX93" s="887"/>
      <c r="BY93" s="887"/>
      <c r="BZ93" s="887"/>
      <c r="CA93" s="887"/>
      <c r="CB93" s="887"/>
      <c r="CC93" s="887"/>
      <c r="CD93" s="887"/>
      <c r="CE93" s="887"/>
      <c r="CF93" s="887"/>
      <c r="CG93" s="887"/>
      <c r="CH93" s="887"/>
      <c r="CI93" s="887"/>
      <c r="CJ93" s="887"/>
      <c r="CK93" s="887"/>
      <c r="CL93" s="887"/>
      <c r="CM93" s="887"/>
      <c r="CN93" s="887"/>
      <c r="CO93" s="887"/>
      <c r="CP93" s="887"/>
      <c r="CQ93" s="887"/>
      <c r="CR93" s="887"/>
      <c r="CS93" s="887"/>
      <c r="CT93" s="887"/>
      <c r="CU93" s="887"/>
      <c r="CV93" s="887"/>
      <c r="CW93" s="887"/>
      <c r="CX93" s="887"/>
      <c r="CY93" s="887"/>
      <c r="CZ93" s="887"/>
    </row>
    <row r="94" spans="1:104" ht="16.149999999999999" customHeight="1">
      <c r="A94" s="882"/>
      <c r="B94" s="883">
        <f t="shared" si="2"/>
        <v>0</v>
      </c>
      <c r="C94" s="884">
        <f t="shared" si="4"/>
        <v>0</v>
      </c>
      <c r="D94" s="885"/>
      <c r="E94" s="886"/>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c r="BC94" s="887"/>
      <c r="BD94" s="887"/>
      <c r="BE94" s="887"/>
      <c r="BF94" s="887"/>
      <c r="BG94" s="887"/>
      <c r="BH94" s="887"/>
      <c r="BI94" s="887"/>
      <c r="BJ94" s="887"/>
      <c r="BK94" s="887"/>
      <c r="BL94" s="887"/>
      <c r="BM94" s="887"/>
      <c r="BN94" s="887"/>
      <c r="BO94" s="887"/>
      <c r="BP94" s="887"/>
      <c r="BQ94" s="887"/>
      <c r="BR94" s="887"/>
      <c r="BS94" s="887"/>
      <c r="BT94" s="887"/>
      <c r="BU94" s="887"/>
      <c r="BV94" s="887"/>
      <c r="BW94" s="887"/>
      <c r="BX94" s="887"/>
      <c r="BY94" s="887"/>
      <c r="BZ94" s="887"/>
      <c r="CA94" s="887"/>
      <c r="CB94" s="887"/>
      <c r="CC94" s="887"/>
      <c r="CD94" s="887"/>
      <c r="CE94" s="887"/>
      <c r="CF94" s="887"/>
      <c r="CG94" s="887"/>
      <c r="CH94" s="887"/>
      <c r="CI94" s="887"/>
      <c r="CJ94" s="887"/>
      <c r="CK94" s="887"/>
      <c r="CL94" s="887"/>
      <c r="CM94" s="887"/>
      <c r="CN94" s="887"/>
      <c r="CO94" s="887"/>
      <c r="CP94" s="887"/>
      <c r="CQ94" s="887"/>
      <c r="CR94" s="887"/>
      <c r="CS94" s="887"/>
      <c r="CT94" s="887"/>
      <c r="CU94" s="887"/>
      <c r="CV94" s="887"/>
      <c r="CW94" s="887"/>
      <c r="CX94" s="887"/>
      <c r="CY94" s="887"/>
      <c r="CZ94" s="887"/>
    </row>
    <row r="95" spans="1:104" ht="16.149999999999999" customHeight="1">
      <c r="A95" s="889"/>
      <c r="B95" s="890">
        <f t="shared" si="2"/>
        <v>0</v>
      </c>
      <c r="C95" s="891">
        <f t="shared" si="4"/>
        <v>0</v>
      </c>
      <c r="D95" s="892"/>
      <c r="E95" s="893"/>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c r="BC95" s="894"/>
      <c r="BD95" s="894"/>
      <c r="BE95" s="894"/>
      <c r="BF95" s="894"/>
      <c r="BG95" s="894"/>
      <c r="BH95" s="894"/>
      <c r="BI95" s="894"/>
      <c r="BJ95" s="894"/>
      <c r="BK95" s="894"/>
      <c r="BL95" s="894"/>
      <c r="BM95" s="894"/>
      <c r="BN95" s="894"/>
      <c r="BO95" s="894"/>
      <c r="BP95" s="894"/>
      <c r="BQ95" s="894"/>
      <c r="BR95" s="894"/>
      <c r="BS95" s="894"/>
      <c r="BT95" s="894"/>
      <c r="BU95" s="894"/>
      <c r="BV95" s="894"/>
      <c r="BW95" s="894"/>
      <c r="BX95" s="894"/>
      <c r="BY95" s="894"/>
      <c r="BZ95" s="894"/>
      <c r="CA95" s="894"/>
      <c r="CB95" s="894"/>
      <c r="CC95" s="894"/>
      <c r="CD95" s="894"/>
      <c r="CE95" s="894"/>
      <c r="CF95" s="894"/>
      <c r="CG95" s="894"/>
      <c r="CH95" s="894"/>
      <c r="CI95" s="894"/>
      <c r="CJ95" s="894"/>
      <c r="CK95" s="894"/>
      <c r="CL95" s="894"/>
      <c r="CM95" s="894"/>
      <c r="CN95" s="894"/>
      <c r="CO95" s="894"/>
      <c r="CP95" s="894"/>
      <c r="CQ95" s="894"/>
      <c r="CR95" s="894"/>
      <c r="CS95" s="894"/>
      <c r="CT95" s="894"/>
      <c r="CU95" s="894"/>
      <c r="CV95" s="894"/>
      <c r="CW95" s="894"/>
      <c r="CX95" s="894"/>
      <c r="CY95" s="894"/>
      <c r="CZ95" s="894"/>
    </row>
    <row r="96" spans="1:104" ht="16.149999999999999" customHeight="1">
      <c r="A96" s="2193" t="s">
        <v>1356</v>
      </c>
      <c r="B96" s="2196" t="s">
        <v>1357</v>
      </c>
      <c r="C96" s="2197"/>
      <c r="D96" s="2198"/>
      <c r="E96" s="895" t="s">
        <v>1244</v>
      </c>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6"/>
      <c r="AM96" s="896"/>
      <c r="AN96" s="896"/>
      <c r="AO96" s="896"/>
      <c r="AP96" s="896"/>
      <c r="AQ96" s="896"/>
      <c r="AR96" s="896"/>
      <c r="AS96" s="896"/>
      <c r="AT96" s="896"/>
      <c r="AU96" s="896"/>
      <c r="AV96" s="896"/>
      <c r="AW96" s="896"/>
      <c r="AX96" s="896"/>
      <c r="AY96" s="896"/>
      <c r="AZ96" s="896"/>
      <c r="BA96" s="896"/>
      <c r="BB96" s="896"/>
      <c r="BC96" s="896"/>
      <c r="BD96" s="896"/>
      <c r="BE96" s="896"/>
      <c r="BF96" s="896"/>
      <c r="BG96" s="896"/>
      <c r="BH96" s="896"/>
      <c r="BI96" s="896"/>
      <c r="BJ96" s="896"/>
      <c r="BK96" s="896"/>
      <c r="BL96" s="896"/>
      <c r="BM96" s="896"/>
      <c r="BN96" s="896"/>
      <c r="BO96" s="896"/>
      <c r="BP96" s="896"/>
      <c r="BQ96" s="896"/>
      <c r="BR96" s="896"/>
      <c r="BS96" s="896"/>
      <c r="BT96" s="896"/>
      <c r="BU96" s="896"/>
      <c r="BV96" s="896"/>
      <c r="BW96" s="896"/>
      <c r="BX96" s="896"/>
      <c r="BY96" s="896"/>
      <c r="BZ96" s="896"/>
      <c r="CA96" s="896"/>
      <c r="CB96" s="896"/>
      <c r="CC96" s="896"/>
      <c r="CD96" s="896"/>
      <c r="CE96" s="896"/>
      <c r="CF96" s="896"/>
      <c r="CG96" s="896"/>
      <c r="CH96" s="896"/>
      <c r="CI96" s="896"/>
      <c r="CJ96" s="896"/>
      <c r="CK96" s="896"/>
      <c r="CL96" s="896"/>
      <c r="CM96" s="896"/>
      <c r="CN96" s="896"/>
      <c r="CO96" s="896"/>
      <c r="CP96" s="896"/>
      <c r="CQ96" s="896"/>
      <c r="CR96" s="896"/>
      <c r="CS96" s="896"/>
      <c r="CT96" s="896"/>
      <c r="CU96" s="896"/>
      <c r="CV96" s="896"/>
      <c r="CW96" s="896"/>
      <c r="CX96" s="896"/>
      <c r="CY96" s="896"/>
      <c r="CZ96" s="899"/>
    </row>
    <row r="97" spans="1:104" ht="16.149999999999999" customHeight="1">
      <c r="A97" s="2194"/>
      <c r="B97" s="2199"/>
      <c r="C97" s="2200"/>
      <c r="D97" s="2201"/>
      <c r="E97" s="886" t="s">
        <v>1358</v>
      </c>
      <c r="F97" s="887"/>
      <c r="G97" s="887"/>
      <c r="H97" s="887"/>
      <c r="I97" s="887"/>
      <c r="J97" s="887"/>
      <c r="K97" s="887"/>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c r="BC97" s="887"/>
      <c r="BD97" s="887"/>
      <c r="BE97" s="887"/>
      <c r="BF97" s="887"/>
      <c r="BG97" s="887"/>
      <c r="BH97" s="887"/>
      <c r="BI97" s="887"/>
      <c r="BJ97" s="887"/>
      <c r="BK97" s="887"/>
      <c r="BL97" s="887"/>
      <c r="BM97" s="887"/>
      <c r="BN97" s="887"/>
      <c r="BO97" s="887"/>
      <c r="BP97" s="887"/>
      <c r="BQ97" s="887"/>
      <c r="BR97" s="887"/>
      <c r="BS97" s="887"/>
      <c r="BT97" s="887"/>
      <c r="BU97" s="887"/>
      <c r="BV97" s="887"/>
      <c r="BW97" s="887"/>
      <c r="BX97" s="887"/>
      <c r="BY97" s="887"/>
      <c r="BZ97" s="887"/>
      <c r="CA97" s="887"/>
      <c r="CB97" s="887"/>
      <c r="CC97" s="887"/>
      <c r="CD97" s="887"/>
      <c r="CE97" s="887"/>
      <c r="CF97" s="887"/>
      <c r="CG97" s="887"/>
      <c r="CH97" s="887"/>
      <c r="CI97" s="887"/>
      <c r="CJ97" s="887"/>
      <c r="CK97" s="887"/>
      <c r="CL97" s="887"/>
      <c r="CM97" s="887"/>
      <c r="CN97" s="887"/>
      <c r="CO97" s="887"/>
      <c r="CP97" s="887"/>
      <c r="CQ97" s="887"/>
      <c r="CR97" s="887"/>
      <c r="CS97" s="887"/>
      <c r="CT97" s="887"/>
      <c r="CU97" s="887"/>
      <c r="CV97" s="887"/>
      <c r="CW97" s="887"/>
      <c r="CX97" s="887"/>
      <c r="CY97" s="887"/>
      <c r="CZ97" s="900"/>
    </row>
    <row r="98" spans="1:104" ht="16.149999999999999" customHeight="1">
      <c r="A98" s="2194"/>
      <c r="B98" s="2199"/>
      <c r="C98" s="2200"/>
      <c r="D98" s="2201"/>
      <c r="E98" s="886" t="s">
        <v>1359</v>
      </c>
      <c r="F98" s="887"/>
      <c r="G98" s="887"/>
      <c r="H98" s="887"/>
      <c r="I98" s="887"/>
      <c r="J98" s="887"/>
      <c r="K98" s="887"/>
      <c r="L98" s="887"/>
      <c r="M98" s="887"/>
      <c r="N98" s="887"/>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c r="BC98" s="887"/>
      <c r="BD98" s="887"/>
      <c r="BE98" s="887"/>
      <c r="BF98" s="887"/>
      <c r="BG98" s="887"/>
      <c r="BH98" s="887"/>
      <c r="BI98" s="887"/>
      <c r="BJ98" s="887"/>
      <c r="BK98" s="887"/>
      <c r="BL98" s="887"/>
      <c r="BM98" s="887"/>
      <c r="BN98" s="887"/>
      <c r="BO98" s="887"/>
      <c r="BP98" s="887"/>
      <c r="BQ98" s="887"/>
      <c r="BR98" s="887"/>
      <c r="BS98" s="887"/>
      <c r="BT98" s="887"/>
      <c r="BU98" s="887"/>
      <c r="BV98" s="887"/>
      <c r="BW98" s="887"/>
      <c r="BX98" s="887"/>
      <c r="BY98" s="887"/>
      <c r="BZ98" s="887"/>
      <c r="CA98" s="887"/>
      <c r="CB98" s="887"/>
      <c r="CC98" s="887"/>
      <c r="CD98" s="887"/>
      <c r="CE98" s="887"/>
      <c r="CF98" s="887"/>
      <c r="CG98" s="887"/>
      <c r="CH98" s="887"/>
      <c r="CI98" s="887"/>
      <c r="CJ98" s="887"/>
      <c r="CK98" s="887"/>
      <c r="CL98" s="887"/>
      <c r="CM98" s="887"/>
      <c r="CN98" s="887"/>
      <c r="CO98" s="887"/>
      <c r="CP98" s="887"/>
      <c r="CQ98" s="887"/>
      <c r="CR98" s="887"/>
      <c r="CS98" s="887"/>
      <c r="CT98" s="887"/>
      <c r="CU98" s="887"/>
      <c r="CV98" s="887"/>
      <c r="CW98" s="887"/>
      <c r="CX98" s="887"/>
      <c r="CY98" s="887"/>
      <c r="CZ98" s="900"/>
    </row>
    <row r="99" spans="1:104" ht="16.149999999999999" customHeight="1">
      <c r="A99" s="2194"/>
      <c r="B99" s="2199"/>
      <c r="C99" s="2200"/>
      <c r="D99" s="2201"/>
      <c r="E99" s="886" t="s">
        <v>1360</v>
      </c>
      <c r="F99" s="887"/>
      <c r="G99" s="887"/>
      <c r="H99" s="887"/>
      <c r="I99" s="887"/>
      <c r="J99" s="887"/>
      <c r="K99" s="887"/>
      <c r="L99" s="887"/>
      <c r="M99" s="887"/>
      <c r="N99" s="887"/>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c r="BC99" s="887"/>
      <c r="BD99" s="887"/>
      <c r="BE99" s="887"/>
      <c r="BF99" s="887"/>
      <c r="BG99" s="887"/>
      <c r="BH99" s="887"/>
      <c r="BI99" s="887"/>
      <c r="BJ99" s="887"/>
      <c r="BK99" s="887"/>
      <c r="BL99" s="887"/>
      <c r="BM99" s="887"/>
      <c r="BN99" s="887"/>
      <c r="BO99" s="887"/>
      <c r="BP99" s="887"/>
      <c r="BQ99" s="887"/>
      <c r="BR99" s="887"/>
      <c r="BS99" s="887"/>
      <c r="BT99" s="887"/>
      <c r="BU99" s="887"/>
      <c r="BV99" s="887"/>
      <c r="BW99" s="887"/>
      <c r="BX99" s="887"/>
      <c r="BY99" s="887"/>
      <c r="BZ99" s="887"/>
      <c r="CA99" s="887"/>
      <c r="CB99" s="887"/>
      <c r="CC99" s="887"/>
      <c r="CD99" s="887"/>
      <c r="CE99" s="887"/>
      <c r="CF99" s="887"/>
      <c r="CG99" s="887"/>
      <c r="CH99" s="887"/>
      <c r="CI99" s="887"/>
      <c r="CJ99" s="887"/>
      <c r="CK99" s="887"/>
      <c r="CL99" s="887"/>
      <c r="CM99" s="887"/>
      <c r="CN99" s="887"/>
      <c r="CO99" s="887"/>
      <c r="CP99" s="887"/>
      <c r="CQ99" s="887"/>
      <c r="CR99" s="887"/>
      <c r="CS99" s="887"/>
      <c r="CT99" s="887"/>
      <c r="CU99" s="887"/>
      <c r="CV99" s="887"/>
      <c r="CW99" s="887"/>
      <c r="CX99" s="887"/>
      <c r="CY99" s="887"/>
      <c r="CZ99" s="900"/>
    </row>
    <row r="100" spans="1:104" ht="16.149999999999999" customHeight="1">
      <c r="A100" s="2195"/>
      <c r="B100" s="2202"/>
      <c r="C100" s="2203"/>
      <c r="D100" s="2204"/>
      <c r="E100" s="897" t="s">
        <v>1361</v>
      </c>
      <c r="F100" s="898"/>
      <c r="G100" s="898"/>
      <c r="H100" s="898"/>
      <c r="I100" s="898"/>
      <c r="J100" s="898"/>
      <c r="K100" s="898"/>
      <c r="L100" s="898"/>
      <c r="M100" s="898"/>
      <c r="N100" s="898"/>
      <c r="O100" s="898"/>
      <c r="P100" s="898"/>
      <c r="Q100" s="898"/>
      <c r="R100" s="898"/>
      <c r="S100" s="898"/>
      <c r="T100" s="898"/>
      <c r="U100" s="898"/>
      <c r="V100" s="898"/>
      <c r="W100" s="898"/>
      <c r="X100" s="898"/>
      <c r="Y100" s="898"/>
      <c r="Z100" s="898"/>
      <c r="AA100" s="898"/>
      <c r="AB100" s="898"/>
      <c r="AC100" s="898"/>
      <c r="AD100" s="898"/>
      <c r="AE100" s="898"/>
      <c r="AF100" s="898"/>
      <c r="AG100" s="898"/>
      <c r="AH100" s="898"/>
      <c r="AI100" s="898"/>
      <c r="AJ100" s="898"/>
      <c r="AK100" s="898"/>
      <c r="AL100" s="898"/>
      <c r="AM100" s="898"/>
      <c r="AN100" s="898"/>
      <c r="AO100" s="898"/>
      <c r="AP100" s="898"/>
      <c r="AQ100" s="898"/>
      <c r="AR100" s="898"/>
      <c r="AS100" s="898"/>
      <c r="AT100" s="898"/>
      <c r="AU100" s="898"/>
      <c r="AV100" s="898"/>
      <c r="AW100" s="898"/>
      <c r="AX100" s="898"/>
      <c r="AY100" s="898"/>
      <c r="AZ100" s="898"/>
      <c r="BA100" s="898"/>
      <c r="BB100" s="898"/>
      <c r="BC100" s="898"/>
      <c r="BD100" s="898"/>
      <c r="BE100" s="898"/>
      <c r="BF100" s="898"/>
      <c r="BG100" s="898"/>
      <c r="BH100" s="898"/>
      <c r="BI100" s="898"/>
      <c r="BJ100" s="898"/>
      <c r="BK100" s="898"/>
      <c r="BL100" s="898"/>
      <c r="BM100" s="898"/>
      <c r="BN100" s="898"/>
      <c r="BO100" s="898"/>
      <c r="BP100" s="898"/>
      <c r="BQ100" s="898"/>
      <c r="BR100" s="898"/>
      <c r="BS100" s="898"/>
      <c r="BT100" s="898"/>
      <c r="BU100" s="898"/>
      <c r="BV100" s="898"/>
      <c r="BW100" s="898"/>
      <c r="BX100" s="898"/>
      <c r="BY100" s="898"/>
      <c r="BZ100" s="898"/>
      <c r="CA100" s="898"/>
      <c r="CB100" s="898"/>
      <c r="CC100" s="898"/>
      <c r="CD100" s="898"/>
      <c r="CE100" s="898"/>
      <c r="CF100" s="898"/>
      <c r="CG100" s="898"/>
      <c r="CH100" s="898"/>
      <c r="CI100" s="898"/>
      <c r="CJ100" s="898"/>
      <c r="CK100" s="898"/>
      <c r="CL100" s="898"/>
      <c r="CM100" s="898"/>
      <c r="CN100" s="898"/>
      <c r="CO100" s="898"/>
      <c r="CP100" s="898"/>
      <c r="CQ100" s="898"/>
      <c r="CR100" s="898"/>
      <c r="CS100" s="898"/>
      <c r="CT100" s="898"/>
      <c r="CU100" s="898"/>
      <c r="CV100" s="898"/>
      <c r="CW100" s="898"/>
      <c r="CX100" s="898"/>
      <c r="CY100" s="898"/>
      <c r="CZ100" s="901"/>
    </row>
  </sheetData>
  <sheetProtection sheet="1" objects="1" selectLockedCells="1"/>
  <mergeCells count="4">
    <mergeCell ref="C1:E1"/>
    <mergeCell ref="F1:H1"/>
    <mergeCell ref="A96:A100"/>
    <mergeCell ref="B96:D100"/>
  </mergeCells>
  <phoneticPr fontId="203" type="noConversion"/>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B1" activePane="topRight" state="frozen"/>
      <selection pane="topRight" activeCell="A2" sqref="A2"/>
    </sheetView>
  </sheetViews>
  <sheetFormatPr defaultColWidth="3" defaultRowHeight="110.25" customHeight="1"/>
  <cols>
    <col min="1" max="1" width="20.5" style="415" customWidth="1"/>
    <col min="2" max="232" width="3.125" style="415" customWidth="1"/>
    <col min="233" max="233" width="3" style="415" customWidth="1"/>
    <col min="234" max="16384" width="3" style="415"/>
  </cols>
  <sheetData>
    <row r="1" spans="1:256" ht="15" customHeight="1">
      <c r="B1" s="415">
        <v>0</v>
      </c>
      <c r="C1" s="802">
        <v>1</v>
      </c>
      <c r="D1" s="802">
        <v>2</v>
      </c>
      <c r="E1" s="802">
        <v>3</v>
      </c>
      <c r="F1" s="802">
        <v>4</v>
      </c>
      <c r="G1" s="802">
        <v>5</v>
      </c>
      <c r="H1" s="802">
        <v>6</v>
      </c>
      <c r="I1" s="802">
        <v>7</v>
      </c>
      <c r="J1" s="802">
        <v>8</v>
      </c>
      <c r="K1" s="802">
        <v>9</v>
      </c>
      <c r="L1" s="802">
        <v>10</v>
      </c>
      <c r="M1" s="802">
        <v>11</v>
      </c>
      <c r="N1" s="802">
        <v>12</v>
      </c>
      <c r="O1" s="802">
        <v>13</v>
      </c>
      <c r="P1" s="802">
        <v>14</v>
      </c>
      <c r="Q1" s="802">
        <v>15</v>
      </c>
      <c r="R1" s="802">
        <v>16</v>
      </c>
      <c r="S1" s="802">
        <v>17</v>
      </c>
      <c r="T1" s="802">
        <v>18</v>
      </c>
      <c r="U1" s="802">
        <v>19</v>
      </c>
      <c r="V1" s="802">
        <v>20</v>
      </c>
      <c r="W1" s="802">
        <v>21</v>
      </c>
      <c r="X1" s="802">
        <v>22</v>
      </c>
      <c r="Y1" s="802">
        <v>23</v>
      </c>
      <c r="Z1" s="802">
        <v>24</v>
      </c>
      <c r="AA1" s="802">
        <v>25</v>
      </c>
      <c r="AB1" s="802">
        <v>26</v>
      </c>
      <c r="AC1" s="802">
        <v>27</v>
      </c>
      <c r="AD1" s="802">
        <v>28</v>
      </c>
      <c r="AE1" s="802">
        <v>29</v>
      </c>
      <c r="AF1" s="802">
        <v>30</v>
      </c>
      <c r="AG1" s="802">
        <v>31</v>
      </c>
      <c r="AH1" s="802">
        <v>32</v>
      </c>
      <c r="AI1" s="802">
        <v>33</v>
      </c>
      <c r="AJ1" s="802">
        <v>34</v>
      </c>
      <c r="AK1" s="802">
        <v>35</v>
      </c>
      <c r="AL1" s="802">
        <v>36</v>
      </c>
      <c r="AM1" s="802">
        <v>37</v>
      </c>
      <c r="AN1" s="802">
        <v>38</v>
      </c>
      <c r="AO1" s="802">
        <v>39</v>
      </c>
      <c r="AP1" s="802">
        <v>40</v>
      </c>
      <c r="AQ1" s="802">
        <v>41</v>
      </c>
      <c r="AR1" s="802">
        <v>42</v>
      </c>
      <c r="AS1" s="802">
        <v>43</v>
      </c>
      <c r="AT1" s="802">
        <v>44</v>
      </c>
      <c r="AU1" s="802">
        <v>45</v>
      </c>
      <c r="AV1" s="802">
        <v>46</v>
      </c>
      <c r="AW1" s="802">
        <v>47</v>
      </c>
      <c r="AX1" s="802">
        <v>48</v>
      </c>
      <c r="AY1" s="802">
        <v>49</v>
      </c>
      <c r="AZ1" s="802">
        <v>50</v>
      </c>
      <c r="BA1" s="802">
        <v>51</v>
      </c>
      <c r="BB1" s="802">
        <v>52</v>
      </c>
      <c r="BC1" s="802">
        <v>53</v>
      </c>
      <c r="BD1" s="802">
        <v>54</v>
      </c>
      <c r="BE1" s="802">
        <v>55</v>
      </c>
      <c r="BF1" s="802">
        <v>56</v>
      </c>
      <c r="BG1" s="802">
        <v>57</v>
      </c>
      <c r="BH1" s="802">
        <v>58</v>
      </c>
      <c r="BI1" s="802">
        <v>59</v>
      </c>
      <c r="BJ1" s="802">
        <v>60</v>
      </c>
      <c r="BK1" s="802">
        <v>61</v>
      </c>
      <c r="BL1" s="802">
        <v>62</v>
      </c>
      <c r="BM1" s="802">
        <v>63</v>
      </c>
      <c r="BN1" s="802">
        <v>64</v>
      </c>
      <c r="BO1" s="802">
        <v>65</v>
      </c>
      <c r="BP1" s="802">
        <v>66</v>
      </c>
      <c r="BQ1" s="802">
        <v>67</v>
      </c>
      <c r="BR1" s="802">
        <v>68</v>
      </c>
      <c r="BS1" s="802">
        <v>69</v>
      </c>
      <c r="BT1" s="802">
        <v>70</v>
      </c>
      <c r="BU1" s="802">
        <v>71</v>
      </c>
      <c r="BV1" s="802">
        <v>72</v>
      </c>
      <c r="BW1" s="802">
        <v>73</v>
      </c>
      <c r="BX1" s="802">
        <v>74</v>
      </c>
      <c r="BY1" s="802">
        <v>75</v>
      </c>
      <c r="BZ1" s="802">
        <v>76</v>
      </c>
      <c r="CA1" s="802">
        <v>77</v>
      </c>
      <c r="CB1" s="802">
        <v>78</v>
      </c>
      <c r="CC1" s="802">
        <v>79</v>
      </c>
      <c r="CD1" s="802">
        <v>80</v>
      </c>
      <c r="CE1" s="802">
        <v>81</v>
      </c>
      <c r="CF1" s="802">
        <v>82</v>
      </c>
      <c r="CG1" s="802">
        <v>83</v>
      </c>
      <c r="CH1" s="802">
        <v>84</v>
      </c>
      <c r="CI1" s="802">
        <v>85</v>
      </c>
      <c r="CJ1" s="802">
        <v>86</v>
      </c>
      <c r="CK1" s="802">
        <v>87</v>
      </c>
      <c r="CL1" s="802">
        <v>88</v>
      </c>
      <c r="CM1" s="802">
        <v>89</v>
      </c>
      <c r="CN1" s="802">
        <v>90</v>
      </c>
      <c r="CO1" s="802">
        <v>91</v>
      </c>
      <c r="CP1" s="802">
        <v>92</v>
      </c>
      <c r="CQ1" s="802">
        <v>93</v>
      </c>
      <c r="CR1" s="802">
        <v>94</v>
      </c>
      <c r="CS1" s="802">
        <v>95</v>
      </c>
      <c r="CT1" s="802">
        <v>96</v>
      </c>
      <c r="CU1" s="802">
        <v>97</v>
      </c>
      <c r="CV1" s="802">
        <v>98</v>
      </c>
      <c r="CW1" s="802">
        <v>99</v>
      </c>
      <c r="CX1" s="802">
        <v>100</v>
      </c>
      <c r="CY1" s="802">
        <v>101</v>
      </c>
      <c r="CZ1" s="802">
        <v>102</v>
      </c>
      <c r="DA1" s="802">
        <v>103</v>
      </c>
      <c r="DB1" s="802">
        <v>104</v>
      </c>
      <c r="DC1" s="802">
        <v>105</v>
      </c>
      <c r="DD1" s="802">
        <v>106</v>
      </c>
      <c r="DE1" s="802">
        <v>107</v>
      </c>
      <c r="DF1" s="802">
        <v>108</v>
      </c>
      <c r="DG1" s="802">
        <v>109</v>
      </c>
      <c r="DH1" s="802">
        <v>110</v>
      </c>
      <c r="DI1" s="802">
        <v>111</v>
      </c>
      <c r="DJ1" s="802">
        <v>112</v>
      </c>
      <c r="DK1" s="802">
        <v>113</v>
      </c>
      <c r="DL1" s="802">
        <v>114</v>
      </c>
      <c r="DM1" s="802">
        <v>115</v>
      </c>
      <c r="DN1" s="802">
        <v>116</v>
      </c>
      <c r="DO1" s="802">
        <v>117</v>
      </c>
      <c r="DP1" s="802">
        <v>118</v>
      </c>
      <c r="DQ1" s="802">
        <v>119</v>
      </c>
      <c r="DR1" s="802">
        <v>120</v>
      </c>
      <c r="DS1" s="802">
        <v>121</v>
      </c>
      <c r="DT1" s="802">
        <v>122</v>
      </c>
      <c r="DU1" s="802">
        <v>123</v>
      </c>
      <c r="DV1" s="802">
        <v>124</v>
      </c>
      <c r="DW1" s="802">
        <v>125</v>
      </c>
      <c r="DX1" s="802">
        <v>126</v>
      </c>
      <c r="DY1" s="802">
        <v>127</v>
      </c>
      <c r="DZ1" s="802">
        <v>128</v>
      </c>
      <c r="EA1" s="802">
        <v>129</v>
      </c>
      <c r="EB1" s="802">
        <v>130</v>
      </c>
      <c r="EC1" s="802">
        <v>131</v>
      </c>
      <c r="ED1" s="802">
        <v>132</v>
      </c>
      <c r="EE1" s="802">
        <v>133</v>
      </c>
      <c r="EF1" s="802">
        <v>134</v>
      </c>
      <c r="EG1" s="802">
        <v>135</v>
      </c>
      <c r="EH1" s="802">
        <v>136</v>
      </c>
      <c r="EI1" s="802">
        <v>137</v>
      </c>
      <c r="EJ1" s="802">
        <v>138</v>
      </c>
      <c r="EK1" s="802">
        <v>139</v>
      </c>
      <c r="EL1" s="802">
        <v>140</v>
      </c>
      <c r="EM1" s="802">
        <v>141</v>
      </c>
      <c r="EN1" s="802">
        <v>142</v>
      </c>
      <c r="EO1" s="802">
        <v>143</v>
      </c>
      <c r="EP1" s="802">
        <v>144</v>
      </c>
      <c r="EQ1" s="802">
        <v>145</v>
      </c>
      <c r="ER1" s="802">
        <v>146</v>
      </c>
      <c r="ES1" s="802">
        <v>147</v>
      </c>
      <c r="ET1" s="802">
        <v>148</v>
      </c>
      <c r="EU1" s="802">
        <v>149</v>
      </c>
      <c r="EV1" s="802">
        <v>150</v>
      </c>
      <c r="EW1" s="802">
        <v>151</v>
      </c>
      <c r="EX1" s="802">
        <v>152</v>
      </c>
      <c r="EY1" s="802">
        <v>153</v>
      </c>
      <c r="EZ1" s="802">
        <v>154</v>
      </c>
      <c r="FA1" s="802">
        <v>155</v>
      </c>
      <c r="FB1" s="802">
        <v>156</v>
      </c>
      <c r="FC1" s="802">
        <v>157</v>
      </c>
      <c r="FD1" s="802">
        <v>158</v>
      </c>
      <c r="FE1" s="802">
        <v>159</v>
      </c>
      <c r="FF1" s="802">
        <v>160</v>
      </c>
      <c r="FG1" s="802">
        <v>161</v>
      </c>
      <c r="FH1" s="802">
        <v>162</v>
      </c>
      <c r="FI1" s="802">
        <v>163</v>
      </c>
      <c r="FJ1" s="802">
        <v>164</v>
      </c>
      <c r="FK1" s="802">
        <v>165</v>
      </c>
      <c r="FL1" s="802">
        <v>166</v>
      </c>
      <c r="FM1" s="802">
        <v>167</v>
      </c>
      <c r="FN1" s="802">
        <v>168</v>
      </c>
      <c r="FO1" s="802">
        <v>169</v>
      </c>
      <c r="FP1" s="802">
        <v>170</v>
      </c>
      <c r="FQ1" s="802">
        <v>171</v>
      </c>
      <c r="FR1" s="802">
        <v>172</v>
      </c>
      <c r="FS1" s="802">
        <v>173</v>
      </c>
      <c r="FT1" s="802">
        <v>174</v>
      </c>
      <c r="FU1" s="802">
        <v>175</v>
      </c>
      <c r="FV1" s="802">
        <v>176</v>
      </c>
      <c r="FW1" s="802">
        <v>177</v>
      </c>
      <c r="FX1" s="802">
        <v>178</v>
      </c>
      <c r="FY1" s="802">
        <v>179</v>
      </c>
      <c r="FZ1" s="802">
        <v>180</v>
      </c>
      <c r="GA1" s="802">
        <v>181</v>
      </c>
      <c r="GB1" s="802">
        <v>182</v>
      </c>
      <c r="GC1" s="802">
        <v>183</v>
      </c>
      <c r="GD1" s="802">
        <v>184</v>
      </c>
      <c r="GE1" s="802">
        <v>185</v>
      </c>
      <c r="GF1" s="802">
        <v>186</v>
      </c>
      <c r="GG1" s="802">
        <v>187</v>
      </c>
      <c r="GH1" s="802">
        <v>188</v>
      </c>
      <c r="GI1" s="802">
        <v>189</v>
      </c>
      <c r="GJ1" s="802">
        <v>190</v>
      </c>
      <c r="GK1" s="802">
        <v>191</v>
      </c>
      <c r="GL1" s="802">
        <v>192</v>
      </c>
      <c r="GM1" s="802">
        <v>193</v>
      </c>
      <c r="GN1" s="802">
        <v>194</v>
      </c>
      <c r="GO1" s="802">
        <v>195</v>
      </c>
      <c r="GP1" s="802">
        <v>196</v>
      </c>
      <c r="GQ1" s="802">
        <v>197</v>
      </c>
      <c r="GR1" s="802">
        <v>198</v>
      </c>
      <c r="GS1" s="802">
        <v>199</v>
      </c>
      <c r="GT1" s="802">
        <v>200</v>
      </c>
      <c r="GU1" s="802">
        <v>201</v>
      </c>
      <c r="GV1" s="802">
        <v>202</v>
      </c>
      <c r="GW1" s="802">
        <v>203</v>
      </c>
      <c r="GX1" s="802">
        <v>204</v>
      </c>
      <c r="GY1" s="852">
        <v>205</v>
      </c>
      <c r="GZ1" s="852">
        <v>206</v>
      </c>
      <c r="HA1" s="852">
        <v>207</v>
      </c>
      <c r="HB1" s="852">
        <v>208</v>
      </c>
      <c r="HC1" s="852">
        <v>209</v>
      </c>
      <c r="HD1" s="852">
        <v>210</v>
      </c>
      <c r="HE1" s="852">
        <v>211</v>
      </c>
      <c r="HF1" s="852">
        <v>212</v>
      </c>
      <c r="HG1" s="852">
        <v>213</v>
      </c>
      <c r="HH1" s="852">
        <v>214</v>
      </c>
      <c r="HI1" s="852">
        <v>215</v>
      </c>
      <c r="HJ1" s="852">
        <v>216</v>
      </c>
      <c r="HK1" s="852">
        <v>217</v>
      </c>
      <c r="HL1" s="852">
        <v>218</v>
      </c>
      <c r="HM1" s="852">
        <v>219</v>
      </c>
      <c r="HN1" s="852">
        <v>220</v>
      </c>
      <c r="HO1" s="852">
        <v>221</v>
      </c>
      <c r="HP1" s="852">
        <v>222</v>
      </c>
      <c r="HQ1" s="852">
        <v>223</v>
      </c>
      <c r="HR1" s="852">
        <v>224</v>
      </c>
      <c r="HS1" s="852">
        <v>225</v>
      </c>
      <c r="HT1" s="852">
        <v>226</v>
      </c>
      <c r="HU1" s="852">
        <v>227</v>
      </c>
      <c r="HV1" s="852">
        <v>228</v>
      </c>
      <c r="HW1" s="852">
        <v>229</v>
      </c>
      <c r="HX1" s="852">
        <v>230</v>
      </c>
    </row>
    <row r="2" spans="1:256" s="789" customFormat="1" ht="147.94999999999999" customHeight="1">
      <c r="C2" s="789" t="s">
        <v>1362</v>
      </c>
      <c r="D2" s="789" t="s">
        <v>420</v>
      </c>
      <c r="E2" s="789" t="s">
        <v>426</v>
      </c>
      <c r="F2" s="789" t="s">
        <v>432</v>
      </c>
      <c r="G2" s="789" t="s">
        <v>438</v>
      </c>
      <c r="H2" s="789" t="s">
        <v>1363</v>
      </c>
      <c r="I2" s="789" t="s">
        <v>448</v>
      </c>
      <c r="J2" s="789" t="s">
        <v>454</v>
      </c>
      <c r="K2" s="789" t="s">
        <v>460</v>
      </c>
      <c r="L2" s="789" t="s">
        <v>465</v>
      </c>
      <c r="M2" s="789" t="s">
        <v>470</v>
      </c>
      <c r="N2" s="789" t="s">
        <v>475</v>
      </c>
      <c r="O2" s="789" t="s">
        <v>482</v>
      </c>
      <c r="P2" s="789" t="s">
        <v>488</v>
      </c>
      <c r="Q2" s="789" t="s">
        <v>493</v>
      </c>
      <c r="R2" s="789" t="s">
        <v>498</v>
      </c>
      <c r="S2" s="789" t="s">
        <v>503</v>
      </c>
      <c r="T2" s="789" t="s">
        <v>508</v>
      </c>
      <c r="U2" s="789" t="s">
        <v>513</v>
      </c>
      <c r="V2" s="789" t="s">
        <v>519</v>
      </c>
      <c r="W2" s="789" t="s">
        <v>523</v>
      </c>
      <c r="X2" s="789" t="s">
        <v>529</v>
      </c>
      <c r="Y2" s="789" t="s">
        <v>532</v>
      </c>
      <c r="Z2" s="789" t="s">
        <v>537</v>
      </c>
      <c r="AA2" s="789" t="s">
        <v>542</v>
      </c>
      <c r="AB2" s="789" t="s">
        <v>546</v>
      </c>
      <c r="AC2" s="789" t="s">
        <v>550</v>
      </c>
      <c r="AD2" s="789" t="s">
        <v>555</v>
      </c>
      <c r="AE2" s="789" t="s">
        <v>560</v>
      </c>
      <c r="AF2" s="789" t="s">
        <v>566</v>
      </c>
      <c r="AG2" s="789" t="s">
        <v>572</v>
      </c>
      <c r="AH2" s="789" t="s">
        <v>577</v>
      </c>
      <c r="AI2" s="789" t="s">
        <v>583</v>
      </c>
      <c r="AJ2" s="789" t="s">
        <v>588</v>
      </c>
      <c r="AK2" s="789" t="s">
        <v>593</v>
      </c>
      <c r="AL2" s="789" t="s">
        <v>597</v>
      </c>
      <c r="AM2" s="789" t="s">
        <v>602</v>
      </c>
      <c r="AN2" s="789" t="s">
        <v>607</v>
      </c>
      <c r="AO2" s="789" t="s">
        <v>612</v>
      </c>
      <c r="AP2" s="789" t="s">
        <v>616</v>
      </c>
      <c r="AQ2" s="789" t="s">
        <v>620</v>
      </c>
      <c r="AR2" s="789" t="s">
        <v>624</v>
      </c>
      <c r="AS2" s="789" t="s">
        <v>629</v>
      </c>
      <c r="AT2" s="789" t="s">
        <v>633</v>
      </c>
      <c r="AU2" s="789" t="s">
        <v>638</v>
      </c>
      <c r="AV2" s="789" t="s">
        <v>644</v>
      </c>
      <c r="AW2" s="789" t="s">
        <v>648</v>
      </c>
      <c r="AX2" s="789" t="s">
        <v>652</v>
      </c>
      <c r="AY2" s="789" t="s">
        <v>656</v>
      </c>
      <c r="AZ2" s="789" t="s">
        <v>661</v>
      </c>
      <c r="BA2" s="789" t="s">
        <v>666</v>
      </c>
      <c r="BB2" s="789" t="s">
        <v>670</v>
      </c>
      <c r="BC2" s="789" t="s">
        <v>674</v>
      </c>
      <c r="BD2" s="789" t="s">
        <v>679</v>
      </c>
      <c r="BE2" s="789" t="s">
        <v>683</v>
      </c>
      <c r="BF2" s="789" t="s">
        <v>687</v>
      </c>
      <c r="BG2" s="789" t="s">
        <v>691</v>
      </c>
      <c r="BH2" s="789" t="s">
        <v>695</v>
      </c>
      <c r="BI2" s="789" t="s">
        <v>700</v>
      </c>
      <c r="BJ2" s="789" t="s">
        <v>706</v>
      </c>
      <c r="BK2" s="789" t="s">
        <v>711</v>
      </c>
      <c r="BL2" s="789" t="s">
        <v>714</v>
      </c>
      <c r="BM2" s="789" t="s">
        <v>719</v>
      </c>
      <c r="BN2" s="789" t="s">
        <v>724</v>
      </c>
      <c r="BO2" s="789" t="s">
        <v>730</v>
      </c>
      <c r="BP2" s="789" t="s">
        <v>734</v>
      </c>
      <c r="BQ2" s="789" t="s">
        <v>738</v>
      </c>
      <c r="BR2" s="789" t="s">
        <v>743</v>
      </c>
      <c r="BS2" s="789" t="s">
        <v>1364</v>
      </c>
      <c r="BT2" s="789" t="s">
        <v>751</v>
      </c>
      <c r="BU2" s="789" t="s">
        <v>754</v>
      </c>
      <c r="BV2" s="789" t="s">
        <v>757</v>
      </c>
      <c r="BW2" s="789" t="s">
        <v>761</v>
      </c>
      <c r="BX2" s="789" t="s">
        <v>766</v>
      </c>
      <c r="BY2" s="789" t="s">
        <v>770</v>
      </c>
      <c r="BZ2" s="789" t="s">
        <v>775</v>
      </c>
      <c r="CA2" s="789" t="s">
        <v>780</v>
      </c>
      <c r="CB2" s="789" t="s">
        <v>784</v>
      </c>
      <c r="CC2" s="789" t="s">
        <v>788</v>
      </c>
      <c r="CD2" s="789" t="s">
        <v>793</v>
      </c>
      <c r="CE2" s="789" t="s">
        <v>797</v>
      </c>
      <c r="CF2" s="789" t="s">
        <v>802</v>
      </c>
      <c r="CG2" s="789" t="s">
        <v>807</v>
      </c>
      <c r="CH2" s="789" t="s">
        <v>811</v>
      </c>
      <c r="CI2" s="789" t="s">
        <v>816</v>
      </c>
      <c r="CJ2" s="789" t="s">
        <v>820</v>
      </c>
      <c r="CK2" s="789" t="s">
        <v>823</v>
      </c>
      <c r="CL2" s="789" t="s">
        <v>827</v>
      </c>
      <c r="CM2" s="789" t="s">
        <v>831</v>
      </c>
      <c r="CN2" s="789" t="s">
        <v>835</v>
      </c>
      <c r="CO2" s="789" t="s">
        <v>839</v>
      </c>
      <c r="CP2" s="789" t="s">
        <v>843</v>
      </c>
      <c r="CQ2" s="789" t="s">
        <v>847</v>
      </c>
      <c r="CR2" s="789" t="s">
        <v>852</v>
      </c>
      <c r="CS2" s="789" t="s">
        <v>857</v>
      </c>
      <c r="CT2" s="789" t="s">
        <v>861</v>
      </c>
      <c r="CU2" s="789" t="s">
        <v>865</v>
      </c>
      <c r="CV2" s="789" t="s">
        <v>869</v>
      </c>
      <c r="CW2" s="789" t="s">
        <v>874</v>
      </c>
      <c r="CX2" s="789" t="s">
        <v>878</v>
      </c>
      <c r="CY2" s="789" t="s">
        <v>882</v>
      </c>
      <c r="CZ2" s="789" t="s">
        <v>886</v>
      </c>
      <c r="DA2" s="789" t="s">
        <v>891</v>
      </c>
      <c r="DB2" s="789" t="s">
        <v>895</v>
      </c>
      <c r="DC2" s="789" t="s">
        <v>898</v>
      </c>
      <c r="DD2" s="789" t="s">
        <v>902</v>
      </c>
      <c r="DE2" s="789" t="s">
        <v>907</v>
      </c>
      <c r="DF2" s="789" t="s">
        <v>912</v>
      </c>
      <c r="DG2" s="789" t="s">
        <v>917</v>
      </c>
      <c r="DH2" s="789" t="s">
        <v>921</v>
      </c>
      <c r="DI2" s="789" t="s">
        <v>925</v>
      </c>
      <c r="DJ2" s="789" t="s">
        <v>929</v>
      </c>
      <c r="DK2" s="789" t="s">
        <v>933</v>
      </c>
      <c r="DL2" s="789" t="s">
        <v>938</v>
      </c>
      <c r="DM2" s="789" t="s">
        <v>942</v>
      </c>
      <c r="DN2" s="789" t="s">
        <v>946</v>
      </c>
      <c r="DO2" s="789" t="s">
        <v>951</v>
      </c>
      <c r="DP2" s="789" t="s">
        <v>953</v>
      </c>
      <c r="DQ2" s="789" t="s">
        <v>958</v>
      </c>
      <c r="DR2" s="789" t="s">
        <v>961</v>
      </c>
      <c r="DS2" s="789" t="s">
        <v>964</v>
      </c>
      <c r="DT2" s="789" t="s">
        <v>967</v>
      </c>
      <c r="DU2" s="789" t="s">
        <v>971</v>
      </c>
      <c r="DV2" s="789" t="s">
        <v>974</v>
      </c>
      <c r="DW2" s="789" t="s">
        <v>975</v>
      </c>
      <c r="DX2" s="789" t="s">
        <v>978</v>
      </c>
      <c r="DY2" s="789" t="s">
        <v>981</v>
      </c>
      <c r="DZ2" s="789" t="s">
        <v>984</v>
      </c>
      <c r="EA2" s="789" t="s">
        <v>987</v>
      </c>
      <c r="EB2" s="789" t="s">
        <v>990</v>
      </c>
      <c r="EC2" s="789" t="s">
        <v>993</v>
      </c>
      <c r="ED2" s="789" t="s">
        <v>996</v>
      </c>
      <c r="EE2" s="789" t="s">
        <v>999</v>
      </c>
      <c r="EF2" s="789" t="s">
        <v>1000</v>
      </c>
      <c r="EG2" s="789" t="s">
        <v>1001</v>
      </c>
      <c r="EH2" s="789" t="s">
        <v>1002</v>
      </c>
      <c r="EI2" s="789" t="s">
        <v>1004</v>
      </c>
      <c r="EJ2" s="789" t="s">
        <v>1007</v>
      </c>
      <c r="EK2" s="789" t="s">
        <v>1010</v>
      </c>
      <c r="EL2" s="789" t="s">
        <v>1365</v>
      </c>
      <c r="EM2" s="789" t="s">
        <v>1016</v>
      </c>
      <c r="EN2" s="789" t="s">
        <v>1019</v>
      </c>
      <c r="EO2" s="789" t="s">
        <v>1023</v>
      </c>
      <c r="EP2" s="789" t="s">
        <v>1366</v>
      </c>
      <c r="EQ2" s="789" t="s">
        <v>1029</v>
      </c>
      <c r="ER2" s="789" t="s">
        <v>1032</v>
      </c>
      <c r="ES2" s="789" t="s">
        <v>1034</v>
      </c>
      <c r="ET2" s="789" t="s">
        <v>1036</v>
      </c>
      <c r="EU2" s="789" t="s">
        <v>1039</v>
      </c>
      <c r="EV2" s="789" t="s">
        <v>1042</v>
      </c>
      <c r="EW2" s="789" t="s">
        <v>1046</v>
      </c>
      <c r="EX2" s="789" t="s">
        <v>1049</v>
      </c>
      <c r="EY2" s="789" t="s">
        <v>1052</v>
      </c>
      <c r="EZ2" s="789" t="s">
        <v>1055</v>
      </c>
      <c r="FA2" s="789" t="s">
        <v>1058</v>
      </c>
      <c r="FB2" s="789" t="s">
        <v>1063</v>
      </c>
      <c r="FC2" s="789" t="s">
        <v>1068</v>
      </c>
      <c r="FD2" s="789" t="s">
        <v>1075</v>
      </c>
      <c r="FE2" s="789" t="s">
        <v>1079</v>
      </c>
      <c r="FF2" s="789" t="s">
        <v>1084</v>
      </c>
      <c r="FG2" s="789" t="s">
        <v>1088</v>
      </c>
      <c r="FH2" s="789" t="s">
        <v>1091</v>
      </c>
      <c r="FI2" s="789" t="s">
        <v>1095</v>
      </c>
      <c r="FJ2" s="789" t="s">
        <v>1099</v>
      </c>
      <c r="FK2" s="789" t="s">
        <v>1102</v>
      </c>
      <c r="FL2" s="789" t="s">
        <v>1104</v>
      </c>
      <c r="FM2" s="789" t="s">
        <v>1106</v>
      </c>
      <c r="FN2" s="789" t="s">
        <v>1110</v>
      </c>
      <c r="FO2" s="789" t="s">
        <v>1113</v>
      </c>
      <c r="FP2" s="789" t="s">
        <v>1116</v>
      </c>
      <c r="FQ2" s="789" t="s">
        <v>1121</v>
      </c>
      <c r="FR2" s="789" t="s">
        <v>1124</v>
      </c>
      <c r="FS2" s="789" t="s">
        <v>1127</v>
      </c>
      <c r="FT2" s="789" t="s">
        <v>1130</v>
      </c>
      <c r="FU2" s="789" t="s">
        <v>1134</v>
      </c>
      <c r="FV2" s="789" t="s">
        <v>1136</v>
      </c>
      <c r="FW2" s="789" t="s">
        <v>1138</v>
      </c>
      <c r="FX2" s="789" t="s">
        <v>1139</v>
      </c>
      <c r="FY2" s="789" t="s">
        <v>1142</v>
      </c>
      <c r="FZ2" s="789" t="s">
        <v>1143</v>
      </c>
      <c r="GA2" s="789" t="s">
        <v>1145</v>
      </c>
      <c r="GB2" s="789" t="s">
        <v>1147</v>
      </c>
      <c r="GC2" s="789" t="s">
        <v>1149</v>
      </c>
      <c r="GD2" s="789" t="s">
        <v>1150</v>
      </c>
      <c r="GE2" s="789" t="s">
        <v>1151</v>
      </c>
      <c r="GF2" s="789" t="s">
        <v>1153</v>
      </c>
      <c r="GG2" s="789" t="s">
        <v>1154</v>
      </c>
      <c r="GH2" s="789" t="s">
        <v>1156</v>
      </c>
      <c r="GI2" s="789" t="s">
        <v>1158</v>
      </c>
      <c r="GJ2" s="789" t="s">
        <v>1160</v>
      </c>
      <c r="GK2" s="789" t="s">
        <v>1162</v>
      </c>
      <c r="GL2" s="789" t="s">
        <v>1163</v>
      </c>
      <c r="GM2" s="789" t="s">
        <v>1164</v>
      </c>
      <c r="GN2" s="789" t="s">
        <v>1165</v>
      </c>
      <c r="GO2" s="789" t="s">
        <v>1167</v>
      </c>
      <c r="GP2" s="789" t="s">
        <v>1169</v>
      </c>
      <c r="GQ2" s="789" t="s">
        <v>1171</v>
      </c>
      <c r="GR2" s="789" t="s">
        <v>1174</v>
      </c>
      <c r="GS2" s="789" t="s">
        <v>1175</v>
      </c>
      <c r="GT2" s="789" t="s">
        <v>1177</v>
      </c>
      <c r="GU2" s="789" t="s">
        <v>1179</v>
      </c>
      <c r="GV2" s="789" t="s">
        <v>1180</v>
      </c>
      <c r="GW2" s="789" t="s">
        <v>1183</v>
      </c>
      <c r="GX2" s="789" t="s">
        <v>1185</v>
      </c>
      <c r="GY2" s="789" t="s">
        <v>1187</v>
      </c>
      <c r="GZ2" s="789" t="s">
        <v>1191</v>
      </c>
      <c r="HA2" s="789" t="s">
        <v>1193</v>
      </c>
      <c r="HB2" s="789" t="s">
        <v>482</v>
      </c>
      <c r="HC2" s="789" t="s">
        <v>1197</v>
      </c>
      <c r="HD2" s="789" t="s">
        <v>1199</v>
      </c>
      <c r="HE2" s="789" t="s">
        <v>1201</v>
      </c>
      <c r="HF2" s="789" t="s">
        <v>1204</v>
      </c>
      <c r="HG2" s="789" t="s">
        <v>550</v>
      </c>
      <c r="HH2" s="789" t="s">
        <v>1208</v>
      </c>
      <c r="HI2" s="789" t="s">
        <v>1210</v>
      </c>
      <c r="HJ2" s="789" t="s">
        <v>670</v>
      </c>
      <c r="HK2" s="789" t="s">
        <v>1213</v>
      </c>
      <c r="HL2" s="789" t="s">
        <v>1216</v>
      </c>
      <c r="HM2" s="789" t="s">
        <v>839</v>
      </c>
      <c r="HN2" s="789" t="s">
        <v>1220</v>
      </c>
      <c r="HO2" s="789" t="s">
        <v>1222</v>
      </c>
      <c r="HP2" s="789" t="s">
        <v>757</v>
      </c>
      <c r="HQ2" s="789" t="s">
        <v>1225</v>
      </c>
      <c r="HR2" s="789" t="s">
        <v>1227</v>
      </c>
      <c r="HS2" s="789" t="s">
        <v>1229</v>
      </c>
      <c r="HT2" s="789" t="s">
        <v>882</v>
      </c>
      <c r="HU2" s="789" t="s">
        <v>1232</v>
      </c>
      <c r="HV2" s="789" t="s">
        <v>1234</v>
      </c>
      <c r="HW2" s="789" t="s">
        <v>1236</v>
      </c>
      <c r="HX2" s="789" t="s">
        <v>1238</v>
      </c>
      <c r="HY2" s="857"/>
      <c r="HZ2" s="857"/>
      <c r="IA2" s="857"/>
      <c r="IB2" s="857"/>
      <c r="IC2" s="857"/>
      <c r="ID2" s="857"/>
      <c r="IE2" s="857"/>
      <c r="IF2" s="857"/>
      <c r="IG2" s="857"/>
      <c r="IH2" s="857"/>
      <c r="II2" s="857"/>
      <c r="IJ2" s="857"/>
      <c r="IK2" s="857"/>
      <c r="IL2" s="857"/>
      <c r="IM2" s="857"/>
      <c r="IN2" s="857"/>
      <c r="IO2" s="857"/>
      <c r="IP2" s="857"/>
      <c r="IQ2" s="857"/>
      <c r="IR2" s="857"/>
      <c r="IS2" s="857"/>
      <c r="IT2" s="857"/>
      <c r="IU2" s="857"/>
      <c r="IV2" s="857"/>
    </row>
    <row r="3" spans="1:256" s="790" customFormat="1" ht="20.100000000000001" customHeight="1">
      <c r="A3" s="803" t="s">
        <v>1367</v>
      </c>
      <c r="B3" s="803"/>
      <c r="C3" s="803"/>
      <c r="D3" s="803"/>
      <c r="E3" s="803"/>
      <c r="F3" s="803"/>
      <c r="G3" s="803"/>
      <c r="H3" s="803"/>
      <c r="I3" s="803"/>
      <c r="J3" s="803"/>
      <c r="K3" s="803"/>
      <c r="L3" s="803"/>
      <c r="M3" s="803">
        <v>1</v>
      </c>
      <c r="N3" s="803">
        <v>1</v>
      </c>
      <c r="O3" s="803">
        <v>1</v>
      </c>
      <c r="P3" s="803"/>
      <c r="Q3" s="803"/>
      <c r="R3" s="803">
        <v>1</v>
      </c>
      <c r="S3" s="803"/>
      <c r="T3" s="803">
        <v>1</v>
      </c>
      <c r="U3" s="803"/>
      <c r="V3" s="803">
        <v>1</v>
      </c>
      <c r="W3" s="803"/>
      <c r="X3" s="803">
        <v>1</v>
      </c>
      <c r="Y3" s="803"/>
      <c r="Z3" s="803"/>
      <c r="AA3" s="803"/>
      <c r="AB3" s="803">
        <v>1</v>
      </c>
      <c r="AC3" s="803"/>
      <c r="AD3" s="803"/>
      <c r="AE3" s="803">
        <v>1</v>
      </c>
      <c r="AF3" s="803"/>
      <c r="AG3" s="803">
        <v>1</v>
      </c>
      <c r="AH3" s="803">
        <v>1</v>
      </c>
      <c r="AI3" s="803">
        <v>1</v>
      </c>
      <c r="AJ3" s="803">
        <v>1</v>
      </c>
      <c r="AK3" s="803"/>
      <c r="AL3" s="803"/>
      <c r="AM3" s="803">
        <v>1</v>
      </c>
      <c r="AN3" s="803"/>
      <c r="AO3" s="803"/>
      <c r="AP3" s="803">
        <v>1</v>
      </c>
      <c r="AQ3" s="803">
        <v>1</v>
      </c>
      <c r="AR3" s="803"/>
      <c r="AS3" s="803"/>
      <c r="AT3" s="803"/>
      <c r="AU3" s="803"/>
      <c r="AV3" s="803"/>
      <c r="AW3" s="803"/>
      <c r="AX3" s="803"/>
      <c r="AY3" s="803"/>
      <c r="AZ3" s="803"/>
      <c r="BA3" s="803"/>
      <c r="BB3" s="803"/>
      <c r="BC3" s="803">
        <v>1</v>
      </c>
      <c r="BD3" s="803"/>
      <c r="BE3" s="803"/>
      <c r="BF3" s="803"/>
      <c r="BG3" s="803"/>
      <c r="BH3" s="803"/>
      <c r="BI3" s="803"/>
      <c r="BJ3" s="803"/>
      <c r="BK3" s="803"/>
      <c r="BL3" s="803"/>
      <c r="BM3" s="803">
        <v>1</v>
      </c>
      <c r="BN3" s="803"/>
      <c r="BO3" s="803"/>
      <c r="BP3" s="803"/>
      <c r="BQ3" s="803"/>
      <c r="BR3" s="803">
        <v>1</v>
      </c>
      <c r="BS3" s="803"/>
      <c r="BT3" s="803">
        <v>1</v>
      </c>
      <c r="BU3" s="803"/>
      <c r="BV3" s="803"/>
      <c r="BW3" s="803"/>
      <c r="BX3" s="803"/>
      <c r="BY3" s="803"/>
      <c r="BZ3" s="803"/>
      <c r="CA3" s="803"/>
      <c r="CB3" s="803"/>
      <c r="CC3" s="803"/>
      <c r="CD3" s="803"/>
      <c r="CE3" s="803"/>
      <c r="CF3" s="803"/>
      <c r="CG3" s="803"/>
      <c r="CH3" s="803"/>
      <c r="CI3" s="803"/>
      <c r="CJ3" s="803"/>
      <c r="CK3" s="803"/>
      <c r="CL3" s="803"/>
      <c r="CM3" s="803">
        <v>1</v>
      </c>
      <c r="CN3" s="803">
        <v>1</v>
      </c>
      <c r="CO3" s="803"/>
      <c r="CP3" s="803"/>
      <c r="CQ3" s="803"/>
      <c r="CR3" s="803"/>
      <c r="CS3" s="803"/>
      <c r="CT3" s="803"/>
      <c r="CU3" s="803"/>
      <c r="CV3" s="803">
        <v>1</v>
      </c>
      <c r="CW3" s="803"/>
      <c r="CX3" s="803">
        <v>1</v>
      </c>
      <c r="CY3" s="803">
        <v>1</v>
      </c>
      <c r="CZ3" s="803">
        <v>1</v>
      </c>
      <c r="DA3" s="803"/>
      <c r="DB3" s="803">
        <v>1</v>
      </c>
      <c r="DC3" s="803">
        <v>1</v>
      </c>
      <c r="DD3" s="803">
        <v>1</v>
      </c>
      <c r="DE3" s="803">
        <v>1</v>
      </c>
      <c r="DF3" s="803">
        <v>1</v>
      </c>
      <c r="DG3" s="803"/>
      <c r="DH3" s="803"/>
      <c r="DI3" s="803"/>
      <c r="DJ3" s="803">
        <v>1</v>
      </c>
      <c r="DK3" s="803"/>
      <c r="DL3" s="803"/>
      <c r="DM3" s="803"/>
      <c r="DN3" s="803"/>
      <c r="DO3" s="803"/>
      <c r="DP3" s="803"/>
      <c r="DQ3" s="803"/>
      <c r="DR3" s="803"/>
      <c r="DS3" s="803"/>
      <c r="DT3" s="803"/>
      <c r="DU3" s="803"/>
      <c r="DV3" s="803"/>
      <c r="DW3" s="803"/>
      <c r="DX3" s="803"/>
      <c r="DY3" s="803"/>
      <c r="DZ3" s="803"/>
      <c r="EA3" s="803"/>
      <c r="EB3" s="803"/>
      <c r="EC3" s="803"/>
      <c r="ED3" s="803"/>
      <c r="EE3" s="803"/>
      <c r="EF3" s="803"/>
      <c r="EG3" s="803"/>
      <c r="EH3" s="803"/>
      <c r="EI3" s="803"/>
      <c r="EJ3" s="803">
        <v>1</v>
      </c>
      <c r="EK3" s="803"/>
      <c r="EL3" s="803"/>
      <c r="EM3" s="803"/>
      <c r="EN3" s="803">
        <v>1</v>
      </c>
      <c r="EO3" s="803"/>
      <c r="EP3" s="803"/>
      <c r="EQ3" s="803"/>
      <c r="ER3" s="803">
        <v>1</v>
      </c>
      <c r="ES3" s="803"/>
      <c r="ET3" s="803"/>
      <c r="EU3" s="803"/>
      <c r="EV3" s="803"/>
      <c r="EW3" s="803"/>
      <c r="EX3" s="803"/>
      <c r="EY3" s="803"/>
      <c r="EZ3" s="803"/>
      <c r="FA3" s="803"/>
      <c r="FB3" s="803">
        <v>1</v>
      </c>
      <c r="FC3" s="803">
        <v>1</v>
      </c>
      <c r="FD3" s="803"/>
      <c r="FE3" s="803">
        <v>1</v>
      </c>
      <c r="FF3" s="803"/>
      <c r="FG3" s="803"/>
      <c r="FH3" s="803"/>
      <c r="FI3" s="803">
        <v>1</v>
      </c>
      <c r="FJ3" s="803">
        <v>1</v>
      </c>
      <c r="FK3" s="803"/>
      <c r="FL3" s="803">
        <v>1</v>
      </c>
      <c r="FM3" s="803"/>
      <c r="FN3" s="803"/>
      <c r="FO3" s="803"/>
      <c r="FP3" s="803"/>
      <c r="FQ3" s="803"/>
      <c r="FR3" s="803"/>
      <c r="FS3" s="803"/>
      <c r="FT3" s="803"/>
      <c r="FU3" s="803"/>
      <c r="FV3" s="803"/>
      <c r="FW3" s="803"/>
      <c r="FX3" s="803"/>
      <c r="FY3" s="803"/>
      <c r="FZ3" s="803">
        <v>1</v>
      </c>
      <c r="GA3" s="803"/>
      <c r="GB3" s="803"/>
      <c r="GC3" s="803">
        <v>1</v>
      </c>
      <c r="GD3" s="803">
        <v>1</v>
      </c>
      <c r="GE3" s="803">
        <v>1</v>
      </c>
      <c r="GF3" s="803">
        <v>1</v>
      </c>
      <c r="GG3" s="803"/>
      <c r="GH3" s="803"/>
      <c r="GI3" s="803"/>
      <c r="GJ3" s="803"/>
      <c r="GK3" s="803"/>
      <c r="GL3" s="803"/>
      <c r="GM3" s="803"/>
      <c r="GN3" s="803"/>
      <c r="GO3" s="803"/>
      <c r="GP3" s="803"/>
      <c r="GQ3" s="803"/>
      <c r="GR3" s="803"/>
      <c r="GS3" s="803"/>
      <c r="GT3" s="803"/>
      <c r="GU3" s="803">
        <v>1</v>
      </c>
      <c r="GV3" s="803"/>
      <c r="GW3" s="803">
        <v>1</v>
      </c>
      <c r="GX3" s="803"/>
      <c r="GY3" s="803">
        <v>1</v>
      </c>
      <c r="GZ3" s="803"/>
      <c r="HA3" s="803"/>
      <c r="HB3" s="803"/>
      <c r="HC3" s="803"/>
      <c r="HD3" s="803"/>
      <c r="HE3" s="803"/>
      <c r="HF3" s="803"/>
      <c r="HG3" s="803"/>
      <c r="HH3" s="803"/>
      <c r="HI3" s="803"/>
      <c r="HJ3" s="803"/>
      <c r="HK3" s="803">
        <v>1</v>
      </c>
      <c r="HL3" s="803"/>
      <c r="HM3" s="803"/>
      <c r="HN3" s="803"/>
      <c r="HO3" s="803"/>
      <c r="HP3" s="803"/>
      <c r="HQ3" s="803"/>
      <c r="HR3" s="803"/>
      <c r="HS3" s="803"/>
      <c r="HT3" s="803"/>
      <c r="HU3" s="803"/>
      <c r="HV3" s="803"/>
      <c r="HW3" s="803"/>
      <c r="HX3" s="803"/>
      <c r="HY3" s="858"/>
      <c r="HZ3" s="858"/>
      <c r="IA3" s="858"/>
      <c r="IB3" s="858"/>
      <c r="IC3" s="858"/>
      <c r="ID3" s="858"/>
      <c r="IE3" s="858"/>
      <c r="IF3" s="858"/>
      <c r="IG3" s="858"/>
      <c r="IH3" s="858"/>
      <c r="II3" s="858"/>
      <c r="IJ3" s="858"/>
      <c r="IK3" s="858"/>
      <c r="IL3" s="858"/>
      <c r="IM3" s="858"/>
      <c r="IN3" s="858"/>
      <c r="IO3" s="858"/>
      <c r="IP3" s="858"/>
      <c r="IQ3" s="858"/>
      <c r="IR3" s="858"/>
      <c r="IS3" s="858"/>
      <c r="IT3" s="858"/>
      <c r="IU3" s="858"/>
      <c r="IV3" s="858"/>
    </row>
    <row r="4" spans="1:256" s="790" customFormat="1" ht="20.100000000000001" customHeight="1">
      <c r="A4" s="803" t="s">
        <v>1368</v>
      </c>
      <c r="B4" s="804"/>
      <c r="C4" s="804"/>
      <c r="D4" s="804"/>
      <c r="E4" s="805"/>
      <c r="F4" s="804"/>
      <c r="G4" s="804"/>
      <c r="H4" s="804"/>
      <c r="I4" s="804"/>
      <c r="J4" s="804"/>
      <c r="K4" s="804"/>
      <c r="L4" s="804"/>
      <c r="M4" s="804"/>
      <c r="N4" s="804"/>
      <c r="O4" s="804"/>
      <c r="P4" s="804"/>
      <c r="Q4" s="804"/>
      <c r="R4" s="804"/>
      <c r="S4" s="804"/>
      <c r="T4" s="804">
        <v>1</v>
      </c>
      <c r="U4" s="804"/>
      <c r="V4" s="804">
        <v>1</v>
      </c>
      <c r="W4" s="804"/>
      <c r="X4" s="804"/>
      <c r="Y4" s="804"/>
      <c r="Z4" s="804"/>
      <c r="AA4" s="804"/>
      <c r="AB4" s="804">
        <v>1</v>
      </c>
      <c r="AC4" s="804"/>
      <c r="AD4" s="804"/>
      <c r="AE4" s="804"/>
      <c r="AF4" s="804"/>
      <c r="AG4" s="804"/>
      <c r="AH4" s="804"/>
      <c r="AI4" s="804">
        <v>1</v>
      </c>
      <c r="AJ4" s="804"/>
      <c r="AK4" s="804"/>
      <c r="AL4" s="804"/>
      <c r="AM4" s="804"/>
      <c r="AN4" s="804"/>
      <c r="AO4" s="804"/>
      <c r="AP4" s="804"/>
      <c r="AQ4" s="804"/>
      <c r="AR4" s="804"/>
      <c r="AS4" s="804"/>
      <c r="AT4" s="804"/>
      <c r="AU4" s="804"/>
      <c r="AV4" s="804"/>
      <c r="AW4" s="804"/>
      <c r="AX4" s="804"/>
      <c r="AY4" s="804"/>
      <c r="AZ4" s="804"/>
      <c r="BA4" s="804"/>
      <c r="BB4" s="804"/>
      <c r="BC4" s="804"/>
      <c r="BD4" s="804"/>
      <c r="BE4" s="804"/>
      <c r="BF4" s="804"/>
      <c r="BG4" s="804"/>
      <c r="BH4" s="804"/>
      <c r="BI4" s="804"/>
      <c r="BJ4" s="804"/>
      <c r="BK4" s="804"/>
      <c r="BL4" s="804"/>
      <c r="BM4" s="804"/>
      <c r="BN4" s="804"/>
      <c r="BO4" s="804"/>
      <c r="BP4" s="804"/>
      <c r="BQ4" s="804"/>
      <c r="BR4" s="804"/>
      <c r="BS4" s="804"/>
      <c r="BT4" s="804"/>
      <c r="BU4" s="804"/>
      <c r="BV4" s="804"/>
      <c r="BW4" s="804"/>
      <c r="BX4" s="804"/>
      <c r="BY4" s="804"/>
      <c r="BZ4" s="804"/>
      <c r="CA4" s="804"/>
      <c r="CB4" s="804"/>
      <c r="CC4" s="804"/>
      <c r="CD4" s="804"/>
      <c r="CE4" s="804"/>
      <c r="CF4" s="804"/>
      <c r="CG4" s="804"/>
      <c r="CH4" s="804"/>
      <c r="CI4" s="804"/>
      <c r="CJ4" s="804"/>
      <c r="CK4" s="804"/>
      <c r="CL4" s="804"/>
      <c r="CM4" s="804"/>
      <c r="CN4" s="804"/>
      <c r="CO4" s="804"/>
      <c r="CP4" s="804"/>
      <c r="CQ4" s="804"/>
      <c r="CR4" s="804"/>
      <c r="CS4" s="804"/>
      <c r="CT4" s="804"/>
      <c r="CU4" s="804"/>
      <c r="CV4" s="804"/>
      <c r="CW4" s="804"/>
      <c r="CX4" s="804"/>
      <c r="CY4" s="804"/>
      <c r="CZ4" s="804">
        <v>1</v>
      </c>
      <c r="DA4" s="804"/>
      <c r="DB4" s="804"/>
      <c r="DC4" s="804"/>
      <c r="DD4" s="804"/>
      <c r="DE4" s="804"/>
      <c r="DF4" s="804"/>
      <c r="DG4" s="804"/>
      <c r="DH4" s="804"/>
      <c r="DI4" s="804"/>
      <c r="DJ4" s="804"/>
      <c r="DK4" s="804"/>
      <c r="DL4" s="804"/>
      <c r="DM4" s="804"/>
      <c r="DN4" s="804"/>
      <c r="DO4" s="804"/>
      <c r="DP4" s="804"/>
      <c r="DQ4" s="804"/>
      <c r="DR4" s="804"/>
      <c r="DS4" s="804"/>
      <c r="DT4" s="804"/>
      <c r="DU4" s="804"/>
      <c r="DV4" s="804"/>
      <c r="DW4" s="804"/>
      <c r="DX4" s="804"/>
      <c r="DY4" s="804"/>
      <c r="DZ4" s="804"/>
      <c r="EA4" s="804"/>
      <c r="EB4" s="804"/>
      <c r="EC4" s="804"/>
      <c r="ED4" s="804"/>
      <c r="EE4" s="804"/>
      <c r="EF4" s="804"/>
      <c r="EG4" s="804"/>
      <c r="EH4" s="804"/>
      <c r="EI4" s="804"/>
      <c r="EJ4" s="804"/>
      <c r="EK4" s="804"/>
      <c r="EL4" s="804"/>
      <c r="EM4" s="804"/>
      <c r="EN4" s="804"/>
      <c r="EO4" s="804"/>
      <c r="EP4" s="804"/>
      <c r="EQ4" s="804"/>
      <c r="ER4" s="804"/>
      <c r="ES4" s="804"/>
      <c r="ET4" s="804"/>
      <c r="EU4" s="804"/>
      <c r="EV4" s="804"/>
      <c r="EW4" s="804"/>
      <c r="EX4" s="804"/>
      <c r="EY4" s="804"/>
      <c r="EZ4" s="804"/>
      <c r="FA4" s="804"/>
      <c r="FB4" s="804"/>
      <c r="FC4" s="804"/>
      <c r="FD4" s="804"/>
      <c r="FE4" s="804"/>
      <c r="FF4" s="804"/>
      <c r="FG4" s="804"/>
      <c r="FH4" s="804"/>
      <c r="FI4" s="804"/>
      <c r="FJ4" s="804"/>
      <c r="FK4" s="804"/>
      <c r="FL4" s="804"/>
      <c r="FM4" s="804"/>
      <c r="FN4" s="804"/>
      <c r="FO4" s="804"/>
      <c r="FP4" s="804"/>
      <c r="FQ4" s="804"/>
      <c r="FR4" s="804"/>
      <c r="FS4" s="804"/>
      <c r="FT4" s="804"/>
      <c r="FU4" s="804"/>
      <c r="FV4" s="804"/>
      <c r="FW4" s="804"/>
      <c r="FX4" s="804"/>
      <c r="FY4" s="804"/>
      <c r="FZ4" s="804"/>
      <c r="GA4" s="804"/>
      <c r="GB4" s="804"/>
      <c r="GC4" s="804"/>
      <c r="GD4" s="804"/>
      <c r="GE4" s="804"/>
      <c r="GF4" s="804"/>
      <c r="GG4" s="804"/>
      <c r="GH4" s="804"/>
      <c r="GI4" s="804"/>
      <c r="GJ4" s="804"/>
      <c r="GK4" s="804"/>
      <c r="GL4" s="804"/>
      <c r="GM4" s="804"/>
      <c r="GN4" s="804"/>
      <c r="GO4" s="804"/>
      <c r="GP4" s="804"/>
      <c r="GQ4" s="804"/>
      <c r="GR4" s="804"/>
      <c r="GS4" s="804"/>
      <c r="GT4" s="804"/>
      <c r="GU4" s="804"/>
      <c r="GV4" s="804"/>
      <c r="GW4" s="804"/>
      <c r="GX4" s="804"/>
      <c r="GY4" s="804"/>
      <c r="GZ4" s="804"/>
      <c r="HA4" s="804"/>
      <c r="HB4" s="804"/>
      <c r="HC4" s="804"/>
      <c r="HD4" s="804"/>
      <c r="HE4" s="804"/>
      <c r="HF4" s="804"/>
      <c r="HG4" s="804"/>
      <c r="HH4" s="804"/>
      <c r="HI4" s="804"/>
      <c r="HJ4" s="804"/>
      <c r="HK4" s="804"/>
      <c r="HL4" s="804"/>
      <c r="HM4" s="804"/>
      <c r="HN4" s="804"/>
      <c r="HO4" s="804"/>
      <c r="HP4" s="804"/>
      <c r="HQ4" s="804"/>
      <c r="HR4" s="804"/>
      <c r="HS4" s="804"/>
      <c r="HT4" s="804"/>
      <c r="HU4" s="804"/>
      <c r="HV4" s="804"/>
      <c r="HW4" s="804"/>
      <c r="HX4" s="804"/>
      <c r="HY4" s="858"/>
      <c r="HZ4" s="858"/>
      <c r="IA4" s="858"/>
      <c r="IB4" s="858"/>
      <c r="IC4" s="858"/>
      <c r="ID4" s="858"/>
      <c r="IE4" s="858"/>
      <c r="IF4" s="858"/>
      <c r="IG4" s="858"/>
      <c r="IH4" s="858"/>
      <c r="II4" s="858"/>
      <c r="IJ4" s="858"/>
      <c r="IK4" s="858"/>
      <c r="IL4" s="858"/>
      <c r="IM4" s="858"/>
      <c r="IN4" s="858"/>
      <c r="IO4" s="858"/>
      <c r="IP4" s="858"/>
      <c r="IQ4" s="858"/>
      <c r="IR4" s="858"/>
      <c r="IS4" s="858"/>
      <c r="IT4" s="858"/>
      <c r="IU4" s="858"/>
      <c r="IV4" s="858"/>
    </row>
    <row r="5" spans="1:256" s="791" customFormat="1" ht="20.100000000000001" customHeight="1">
      <c r="A5" s="806" t="s">
        <v>1369</v>
      </c>
      <c r="B5" s="807"/>
      <c r="C5" s="804"/>
      <c r="D5" s="807"/>
      <c r="E5" s="807"/>
      <c r="F5" s="807">
        <v>2</v>
      </c>
      <c r="G5" s="807">
        <v>2</v>
      </c>
      <c r="H5" s="807">
        <v>1</v>
      </c>
      <c r="I5" s="807"/>
      <c r="J5" s="807"/>
      <c r="K5" s="807">
        <v>1</v>
      </c>
      <c r="L5" s="807">
        <v>2</v>
      </c>
      <c r="M5" s="807"/>
      <c r="N5" s="807"/>
      <c r="O5" s="807">
        <v>1</v>
      </c>
      <c r="P5" s="807">
        <v>2</v>
      </c>
      <c r="Q5" s="807">
        <v>1</v>
      </c>
      <c r="R5" s="807"/>
      <c r="S5" s="807">
        <v>2</v>
      </c>
      <c r="T5" s="807"/>
      <c r="U5" s="807">
        <v>1</v>
      </c>
      <c r="V5" s="807">
        <v>1</v>
      </c>
      <c r="W5" s="807"/>
      <c r="X5" s="807"/>
      <c r="Y5" s="807">
        <v>1</v>
      </c>
      <c r="Z5" s="807"/>
      <c r="AA5" s="807">
        <v>1</v>
      </c>
      <c r="AB5" s="807"/>
      <c r="AC5" s="807"/>
      <c r="AD5" s="807"/>
      <c r="AE5" s="807"/>
      <c r="AF5" s="807">
        <v>2</v>
      </c>
      <c r="AG5" s="807"/>
      <c r="AH5" s="807">
        <v>2</v>
      </c>
      <c r="AI5" s="807">
        <v>1</v>
      </c>
      <c r="AJ5" s="807">
        <v>2</v>
      </c>
      <c r="AK5" s="807">
        <v>1</v>
      </c>
      <c r="AL5" s="807"/>
      <c r="AM5" s="807">
        <v>1</v>
      </c>
      <c r="AN5" s="807">
        <v>1</v>
      </c>
      <c r="AO5" s="807">
        <v>2</v>
      </c>
      <c r="AP5" s="807">
        <v>2</v>
      </c>
      <c r="AQ5" s="807"/>
      <c r="AR5" s="807">
        <v>2</v>
      </c>
      <c r="AS5" s="807"/>
      <c r="AT5" s="807"/>
      <c r="AU5" s="807">
        <v>1</v>
      </c>
      <c r="AV5" s="807">
        <v>2</v>
      </c>
      <c r="AW5" s="807">
        <v>1</v>
      </c>
      <c r="AX5" s="807"/>
      <c r="AY5" s="807">
        <v>2</v>
      </c>
      <c r="AZ5" s="807"/>
      <c r="BA5" s="807"/>
      <c r="BB5" s="807">
        <v>2</v>
      </c>
      <c r="BC5" s="807"/>
      <c r="BD5" s="807">
        <v>1</v>
      </c>
      <c r="BE5" s="807"/>
      <c r="BF5" s="807"/>
      <c r="BG5" s="807">
        <v>2</v>
      </c>
      <c r="BH5" s="807"/>
      <c r="BI5" s="807">
        <v>2</v>
      </c>
      <c r="BJ5" s="807">
        <v>2</v>
      </c>
      <c r="BK5" s="807">
        <v>2</v>
      </c>
      <c r="BL5" s="807">
        <v>2</v>
      </c>
      <c r="BM5" s="807"/>
      <c r="BN5" s="807">
        <v>1</v>
      </c>
      <c r="BO5" s="807">
        <v>1</v>
      </c>
      <c r="BP5" s="807">
        <v>1</v>
      </c>
      <c r="BQ5" s="807"/>
      <c r="BR5" s="807"/>
      <c r="BS5" s="807"/>
      <c r="BT5" s="807"/>
      <c r="BU5" s="807"/>
      <c r="BV5" s="807">
        <v>2</v>
      </c>
      <c r="BW5" s="807"/>
      <c r="BX5" s="807"/>
      <c r="BY5" s="807">
        <v>2</v>
      </c>
      <c r="BZ5" s="807">
        <v>1</v>
      </c>
      <c r="CA5" s="807"/>
      <c r="CB5" s="807"/>
      <c r="CC5" s="807">
        <v>1</v>
      </c>
      <c r="CD5" s="807">
        <v>1</v>
      </c>
      <c r="CE5" s="807">
        <v>1</v>
      </c>
      <c r="CF5" s="807"/>
      <c r="CG5" s="807"/>
      <c r="CH5" s="807">
        <v>1</v>
      </c>
      <c r="CI5" s="807">
        <v>1</v>
      </c>
      <c r="CJ5" s="807">
        <v>1</v>
      </c>
      <c r="CK5" s="807"/>
      <c r="CL5" s="807"/>
      <c r="CM5" s="807">
        <v>1</v>
      </c>
      <c r="CN5" s="807"/>
      <c r="CO5" s="807">
        <v>1</v>
      </c>
      <c r="CP5" s="807"/>
      <c r="CQ5" s="807"/>
      <c r="CR5" s="807">
        <v>2</v>
      </c>
      <c r="CS5" s="807"/>
      <c r="CT5" s="807"/>
      <c r="CU5" s="807">
        <v>1</v>
      </c>
      <c r="CV5" s="807"/>
      <c r="CW5" s="807">
        <v>1</v>
      </c>
      <c r="CX5" s="807">
        <v>2</v>
      </c>
      <c r="CY5" s="807">
        <v>1</v>
      </c>
      <c r="CZ5" s="807">
        <v>2</v>
      </c>
      <c r="DA5" s="807">
        <v>2</v>
      </c>
      <c r="DB5" s="807"/>
      <c r="DC5" s="807">
        <v>1</v>
      </c>
      <c r="DD5" s="807"/>
      <c r="DE5" s="807"/>
      <c r="DF5" s="807"/>
      <c r="DG5" s="807">
        <v>1</v>
      </c>
      <c r="DH5" s="807">
        <v>2</v>
      </c>
      <c r="DI5" s="807">
        <v>2</v>
      </c>
      <c r="DJ5" s="807">
        <v>1</v>
      </c>
      <c r="DK5" s="807">
        <v>2</v>
      </c>
      <c r="DL5" s="807">
        <v>2</v>
      </c>
      <c r="DM5" s="807"/>
      <c r="DN5" s="807"/>
      <c r="DO5" s="807">
        <v>1</v>
      </c>
      <c r="DP5" s="807">
        <v>1</v>
      </c>
      <c r="DQ5" s="807">
        <v>1</v>
      </c>
      <c r="DR5" s="807">
        <v>1</v>
      </c>
      <c r="DS5" s="807">
        <v>3</v>
      </c>
      <c r="DT5" s="807">
        <v>2</v>
      </c>
      <c r="DU5" s="807">
        <v>1</v>
      </c>
      <c r="DV5" s="807">
        <v>1</v>
      </c>
      <c r="DW5" s="807">
        <v>1</v>
      </c>
      <c r="DX5" s="807">
        <v>1</v>
      </c>
      <c r="DY5" s="807">
        <v>2</v>
      </c>
      <c r="DZ5" s="807">
        <v>2</v>
      </c>
      <c r="EA5" s="807">
        <v>2</v>
      </c>
      <c r="EB5" s="807">
        <v>2</v>
      </c>
      <c r="EC5" s="807">
        <v>1</v>
      </c>
      <c r="ED5" s="807"/>
      <c r="EE5" s="807">
        <v>2</v>
      </c>
      <c r="EF5" s="807"/>
      <c r="EG5" s="807"/>
      <c r="EH5" s="807"/>
      <c r="EI5" s="807">
        <v>1</v>
      </c>
      <c r="EJ5" s="807">
        <v>1</v>
      </c>
      <c r="EK5" s="807">
        <v>1</v>
      </c>
      <c r="EL5" s="807"/>
      <c r="EM5" s="807">
        <v>2</v>
      </c>
      <c r="EN5" s="807"/>
      <c r="EO5" s="807">
        <v>1</v>
      </c>
      <c r="EP5" s="807"/>
      <c r="EQ5" s="807"/>
      <c r="ER5" s="807">
        <v>2</v>
      </c>
      <c r="ES5" s="807">
        <v>2</v>
      </c>
      <c r="ET5" s="807">
        <v>2</v>
      </c>
      <c r="EU5" s="807">
        <v>2</v>
      </c>
      <c r="EV5" s="807">
        <v>2</v>
      </c>
      <c r="EW5" s="807"/>
      <c r="EX5" s="807">
        <v>2</v>
      </c>
      <c r="EY5" s="807">
        <v>2</v>
      </c>
      <c r="EZ5" s="807"/>
      <c r="FA5" s="807">
        <v>2</v>
      </c>
      <c r="FB5" s="807">
        <v>1</v>
      </c>
      <c r="FC5" s="807"/>
      <c r="FD5" s="807"/>
      <c r="FE5" s="807">
        <v>1</v>
      </c>
      <c r="FF5" s="807">
        <v>1</v>
      </c>
      <c r="FG5" s="807">
        <v>1</v>
      </c>
      <c r="FH5" s="807"/>
      <c r="FI5" s="807"/>
      <c r="FJ5" s="807"/>
      <c r="FK5" s="807"/>
      <c r="FL5" s="807"/>
      <c r="FM5" s="807">
        <v>2</v>
      </c>
      <c r="FN5" s="807"/>
      <c r="FO5" s="807"/>
      <c r="FP5" s="807"/>
      <c r="FQ5" s="807">
        <v>2</v>
      </c>
      <c r="FR5" s="807">
        <v>1</v>
      </c>
      <c r="FS5" s="807"/>
      <c r="FT5" s="807"/>
      <c r="FU5" s="807"/>
      <c r="FV5" s="807">
        <v>1</v>
      </c>
      <c r="FW5" s="807"/>
      <c r="FX5" s="807"/>
      <c r="FY5" s="807">
        <v>2</v>
      </c>
      <c r="FZ5" s="807"/>
      <c r="GA5" s="807"/>
      <c r="GB5" s="807">
        <v>1</v>
      </c>
      <c r="GC5" s="807"/>
      <c r="GD5" s="807"/>
      <c r="GE5" s="807"/>
      <c r="GF5" s="807">
        <v>1</v>
      </c>
      <c r="GG5" s="807">
        <v>2</v>
      </c>
      <c r="GH5" s="807">
        <v>2</v>
      </c>
      <c r="GI5" s="807">
        <v>2</v>
      </c>
      <c r="GJ5" s="807"/>
      <c r="GK5" s="807"/>
      <c r="GL5" s="807"/>
      <c r="GM5" s="807"/>
      <c r="GN5" s="807">
        <v>2</v>
      </c>
      <c r="GO5" s="807">
        <v>2</v>
      </c>
      <c r="GP5" s="807">
        <v>1</v>
      </c>
      <c r="GQ5" s="807">
        <v>2</v>
      </c>
      <c r="GR5" s="807"/>
      <c r="GS5" s="807"/>
      <c r="GT5" s="807">
        <v>1</v>
      </c>
      <c r="GU5" s="807"/>
      <c r="GV5" s="807"/>
      <c r="GW5" s="807">
        <v>1</v>
      </c>
      <c r="GX5" s="807">
        <v>1</v>
      </c>
      <c r="GY5" s="807">
        <v>1</v>
      </c>
      <c r="GZ5" s="807">
        <v>1</v>
      </c>
      <c r="HA5" s="807"/>
      <c r="HB5" s="807"/>
      <c r="HC5" s="807">
        <v>1</v>
      </c>
      <c r="HD5" s="807">
        <v>1</v>
      </c>
      <c r="HE5" s="807">
        <v>1</v>
      </c>
      <c r="HF5" s="807"/>
      <c r="HG5" s="807">
        <v>1</v>
      </c>
      <c r="HH5" s="807">
        <v>1</v>
      </c>
      <c r="HI5" s="807"/>
      <c r="HJ5" s="807">
        <v>2</v>
      </c>
      <c r="HK5" s="807">
        <v>1</v>
      </c>
      <c r="HL5" s="807"/>
      <c r="HM5" s="807">
        <v>2</v>
      </c>
      <c r="HN5" s="807">
        <v>2</v>
      </c>
      <c r="HO5" s="807"/>
      <c r="HP5" s="807">
        <v>2</v>
      </c>
      <c r="HQ5" s="807"/>
      <c r="HR5" s="807">
        <v>1</v>
      </c>
      <c r="HS5" s="807">
        <v>1</v>
      </c>
      <c r="HT5" s="807">
        <v>1</v>
      </c>
      <c r="HU5" s="807"/>
      <c r="HV5" s="807">
        <v>1</v>
      </c>
      <c r="HW5" s="807"/>
      <c r="HX5" s="807">
        <v>1</v>
      </c>
      <c r="HY5" s="859"/>
      <c r="HZ5" s="859"/>
      <c r="IA5" s="859"/>
      <c r="IB5" s="859"/>
      <c r="IC5" s="859"/>
      <c r="ID5" s="859"/>
      <c r="IE5" s="859"/>
      <c r="IF5" s="859"/>
      <c r="IG5" s="859"/>
      <c r="IH5" s="859"/>
      <c r="II5" s="859"/>
      <c r="IJ5" s="859"/>
      <c r="IK5" s="859"/>
      <c r="IL5" s="859"/>
      <c r="IM5" s="859"/>
      <c r="IN5" s="859"/>
      <c r="IO5" s="859"/>
      <c r="IP5" s="859"/>
      <c r="IQ5" s="859"/>
      <c r="IR5" s="859"/>
      <c r="IS5" s="859"/>
      <c r="IT5" s="859"/>
      <c r="IU5" s="859"/>
      <c r="IV5" s="859"/>
    </row>
    <row r="6" spans="1:256" s="790" customFormat="1" ht="20.100000000000001" customHeight="1">
      <c r="A6" s="790" t="s">
        <v>1370</v>
      </c>
      <c r="AI6" s="790">
        <v>1</v>
      </c>
      <c r="DB6" s="790">
        <v>1</v>
      </c>
      <c r="DE6" s="790">
        <v>1</v>
      </c>
      <c r="GC6" s="790">
        <v>1</v>
      </c>
      <c r="GD6" s="790">
        <v>1</v>
      </c>
      <c r="GU6" s="790">
        <v>1</v>
      </c>
      <c r="HO6" s="790">
        <v>1</v>
      </c>
      <c r="HU6" s="790">
        <v>1</v>
      </c>
    </row>
    <row r="7" spans="1:256" ht="20.100000000000001" customHeight="1">
      <c r="A7" s="790" t="s">
        <v>68</v>
      </c>
      <c r="B7" s="808"/>
      <c r="C7" s="808">
        <f>职业列表!J11</f>
        <v>0</v>
      </c>
      <c r="D7" s="808">
        <v>2</v>
      </c>
      <c r="E7" s="808">
        <v>2</v>
      </c>
      <c r="F7" s="808">
        <v>1</v>
      </c>
      <c r="G7" s="808">
        <v>2</v>
      </c>
      <c r="H7" s="808"/>
      <c r="I7" s="808"/>
      <c r="J7" s="808">
        <v>1</v>
      </c>
      <c r="K7" s="808">
        <v>1</v>
      </c>
      <c r="L7" s="808"/>
      <c r="M7" s="808"/>
      <c r="N7" s="808"/>
      <c r="O7" s="808">
        <v>2</v>
      </c>
      <c r="P7" s="808"/>
      <c r="Q7" s="808">
        <v>1</v>
      </c>
      <c r="R7" s="808">
        <v>1</v>
      </c>
      <c r="S7" s="808">
        <v>1</v>
      </c>
      <c r="T7" s="808"/>
      <c r="U7" s="808"/>
      <c r="V7" s="808"/>
      <c r="W7" s="808">
        <v>2</v>
      </c>
      <c r="X7" s="808">
        <v>1</v>
      </c>
      <c r="Y7" s="808">
        <v>1</v>
      </c>
      <c r="Z7" s="808">
        <v>2</v>
      </c>
      <c r="AA7" s="808">
        <v>2</v>
      </c>
      <c r="AB7" s="808"/>
      <c r="AC7" s="808">
        <v>2</v>
      </c>
      <c r="AD7" s="808"/>
      <c r="AE7" s="808">
        <v>1</v>
      </c>
      <c r="AF7" s="808"/>
      <c r="AG7" s="808"/>
      <c r="AH7" s="808"/>
      <c r="AI7" s="808"/>
      <c r="AJ7" s="808">
        <v>1</v>
      </c>
      <c r="AK7" s="808">
        <v>1</v>
      </c>
      <c r="AL7" s="808">
        <v>1</v>
      </c>
      <c r="AM7" s="808"/>
      <c r="AN7" s="808"/>
      <c r="AO7" s="808">
        <v>2</v>
      </c>
      <c r="AP7" s="808"/>
      <c r="AQ7" s="808">
        <v>1</v>
      </c>
      <c r="AR7" s="808">
        <v>3</v>
      </c>
      <c r="AS7" s="808">
        <v>1</v>
      </c>
      <c r="AT7" s="808">
        <v>2</v>
      </c>
      <c r="AU7" s="808">
        <v>2</v>
      </c>
      <c r="AV7" s="808">
        <v>1</v>
      </c>
      <c r="AW7" s="808">
        <v>1</v>
      </c>
      <c r="AX7" s="808">
        <v>1</v>
      </c>
      <c r="AY7" s="808">
        <v>1</v>
      </c>
      <c r="AZ7" s="808"/>
      <c r="BA7" s="808">
        <v>1</v>
      </c>
      <c r="BB7" s="808">
        <v>2</v>
      </c>
      <c r="BC7" s="808"/>
      <c r="BD7" s="808">
        <v>1</v>
      </c>
      <c r="BE7" s="808">
        <v>1</v>
      </c>
      <c r="BF7" s="808"/>
      <c r="BG7" s="808">
        <v>1</v>
      </c>
      <c r="BH7" s="808"/>
      <c r="BI7" s="808"/>
      <c r="BJ7" s="808"/>
      <c r="BK7" s="808">
        <v>2</v>
      </c>
      <c r="BL7" s="808"/>
      <c r="BM7" s="808">
        <v>1</v>
      </c>
      <c r="BN7" s="808"/>
      <c r="BO7" s="808">
        <v>2</v>
      </c>
      <c r="BP7" s="808"/>
      <c r="BQ7" s="808"/>
      <c r="BR7" s="808">
        <v>1</v>
      </c>
      <c r="BS7" s="808">
        <v>1</v>
      </c>
      <c r="BT7" s="808"/>
      <c r="BU7" s="808">
        <v>1</v>
      </c>
      <c r="BV7" s="808">
        <v>2</v>
      </c>
      <c r="BW7" s="808">
        <v>4</v>
      </c>
      <c r="BX7" s="808">
        <v>2</v>
      </c>
      <c r="BY7" s="808">
        <v>1</v>
      </c>
      <c r="BZ7" s="808">
        <v>2</v>
      </c>
      <c r="CA7" s="808"/>
      <c r="CB7" s="808"/>
      <c r="CC7" s="808">
        <v>4</v>
      </c>
      <c r="CD7" s="808"/>
      <c r="CE7" s="808">
        <v>1</v>
      </c>
      <c r="CF7" s="808"/>
      <c r="CG7" s="808">
        <v>1</v>
      </c>
      <c r="CH7" s="808"/>
      <c r="CI7" s="808">
        <v>2</v>
      </c>
      <c r="CJ7" s="808">
        <v>2</v>
      </c>
      <c r="CK7" s="808">
        <v>2</v>
      </c>
      <c r="CL7" s="808">
        <v>1</v>
      </c>
      <c r="CM7" s="808">
        <v>1</v>
      </c>
      <c r="CN7" s="808"/>
      <c r="CO7" s="808">
        <v>1</v>
      </c>
      <c r="CP7" s="808">
        <v>4</v>
      </c>
      <c r="CQ7" s="808">
        <v>1</v>
      </c>
      <c r="CR7" s="808">
        <v>1</v>
      </c>
      <c r="CS7" s="808"/>
      <c r="CT7" s="808">
        <v>2</v>
      </c>
      <c r="CU7" s="808">
        <v>3</v>
      </c>
      <c r="CV7" s="808"/>
      <c r="CW7" s="808"/>
      <c r="CX7" s="808">
        <v>1</v>
      </c>
      <c r="CY7" s="808"/>
      <c r="CZ7" s="808">
        <v>1</v>
      </c>
      <c r="DA7" s="808"/>
      <c r="DB7" s="808"/>
      <c r="DC7" s="808"/>
      <c r="DD7" s="808">
        <v>5</v>
      </c>
      <c r="DE7" s="808"/>
      <c r="DF7" s="808"/>
      <c r="DG7" s="808"/>
      <c r="DH7" s="808"/>
      <c r="DI7" s="808">
        <v>1</v>
      </c>
      <c r="DJ7" s="808">
        <v>2</v>
      </c>
      <c r="DK7" s="808">
        <v>2</v>
      </c>
      <c r="DL7" s="808">
        <v>3</v>
      </c>
      <c r="DM7" s="808"/>
      <c r="DN7" s="808"/>
      <c r="DO7" s="808">
        <v>1</v>
      </c>
      <c r="DP7" s="808">
        <v>1</v>
      </c>
      <c r="DQ7" s="808">
        <v>1</v>
      </c>
      <c r="DR7" s="808">
        <v>1</v>
      </c>
      <c r="DS7" s="808">
        <v>1</v>
      </c>
      <c r="DT7" s="808">
        <v>2</v>
      </c>
      <c r="DU7" s="808">
        <v>1</v>
      </c>
      <c r="DV7" s="808">
        <v>1</v>
      </c>
      <c r="DW7" s="808">
        <v>1</v>
      </c>
      <c r="DX7" s="808"/>
      <c r="DY7" s="808">
        <v>2</v>
      </c>
      <c r="DZ7" s="808"/>
      <c r="EA7" s="808">
        <v>1</v>
      </c>
      <c r="EB7" s="808">
        <v>2</v>
      </c>
      <c r="EC7" s="808">
        <v>1</v>
      </c>
      <c r="ED7" s="808">
        <v>2</v>
      </c>
      <c r="EE7" s="808">
        <v>2</v>
      </c>
      <c r="EF7" s="808">
        <v>2</v>
      </c>
      <c r="EG7" s="808">
        <v>2</v>
      </c>
      <c r="EH7" s="808">
        <v>2</v>
      </c>
      <c r="EI7" s="808">
        <v>1</v>
      </c>
      <c r="EJ7" s="808">
        <v>2</v>
      </c>
      <c r="EK7" s="808">
        <v>2</v>
      </c>
      <c r="EL7" s="808">
        <v>1</v>
      </c>
      <c r="EM7" s="808">
        <v>1</v>
      </c>
      <c r="EN7" s="808">
        <v>1</v>
      </c>
      <c r="EO7" s="808">
        <v>3</v>
      </c>
      <c r="EP7" s="808">
        <v>2</v>
      </c>
      <c r="EQ7" s="808">
        <v>2</v>
      </c>
      <c r="ER7" s="808">
        <v>1</v>
      </c>
      <c r="ES7" s="808">
        <v>1</v>
      </c>
      <c r="ET7" s="808">
        <v>4</v>
      </c>
      <c r="EU7" s="808">
        <v>2</v>
      </c>
      <c r="EV7" s="808">
        <v>2</v>
      </c>
      <c r="EW7" s="808">
        <v>1</v>
      </c>
      <c r="EX7" s="808">
        <v>2</v>
      </c>
      <c r="EY7" s="808">
        <v>2</v>
      </c>
      <c r="EZ7" s="808"/>
      <c r="FA7" s="808">
        <v>1</v>
      </c>
      <c r="FB7" s="808"/>
      <c r="FC7" s="808"/>
      <c r="FD7" s="808">
        <v>3</v>
      </c>
      <c r="FE7" s="808">
        <v>1</v>
      </c>
      <c r="FF7" s="808">
        <v>1</v>
      </c>
      <c r="FG7" s="808">
        <v>1</v>
      </c>
      <c r="FH7" s="808">
        <v>2</v>
      </c>
      <c r="FI7" s="808">
        <v>0</v>
      </c>
      <c r="FJ7" s="808">
        <v>1</v>
      </c>
      <c r="FK7" s="808">
        <v>1</v>
      </c>
      <c r="FL7" s="808"/>
      <c r="FM7" s="808">
        <v>2</v>
      </c>
      <c r="FN7" s="808">
        <v>1</v>
      </c>
      <c r="FO7" s="808">
        <v>2</v>
      </c>
      <c r="FP7" s="808"/>
      <c r="FQ7" s="808">
        <v>1</v>
      </c>
      <c r="FR7" s="808"/>
      <c r="FS7" s="808">
        <v>2</v>
      </c>
      <c r="FT7" s="808">
        <v>1</v>
      </c>
      <c r="FU7" s="808"/>
      <c r="FV7" s="808">
        <v>1</v>
      </c>
      <c r="FW7" s="808">
        <v>1</v>
      </c>
      <c r="FX7" s="808"/>
      <c r="FY7" s="808">
        <v>2</v>
      </c>
      <c r="FZ7" s="808">
        <v>1</v>
      </c>
      <c r="GA7" s="808"/>
      <c r="GB7" s="808"/>
      <c r="GC7" s="808"/>
      <c r="GD7" s="808"/>
      <c r="GE7" s="808"/>
      <c r="GF7" s="808"/>
      <c r="GG7" s="808">
        <v>2</v>
      </c>
      <c r="GH7" s="808">
        <v>2</v>
      </c>
      <c r="GI7" s="808">
        <v>2</v>
      </c>
      <c r="GJ7" s="808">
        <v>2</v>
      </c>
      <c r="GK7" s="808">
        <v>2</v>
      </c>
      <c r="GL7" s="808">
        <v>2</v>
      </c>
      <c r="GM7" s="808">
        <v>2</v>
      </c>
      <c r="GN7" s="808"/>
      <c r="GO7" s="808">
        <v>2</v>
      </c>
      <c r="GP7" s="808"/>
      <c r="GQ7" s="808">
        <v>1</v>
      </c>
      <c r="GR7" s="808">
        <v>2</v>
      </c>
      <c r="GS7" s="808">
        <v>1</v>
      </c>
      <c r="GT7" s="808">
        <v>2</v>
      </c>
      <c r="GU7" s="808"/>
      <c r="GV7" s="808">
        <v>3</v>
      </c>
      <c r="GW7" s="808"/>
      <c r="GX7" s="808">
        <v>2</v>
      </c>
      <c r="GY7" s="808">
        <v>1</v>
      </c>
      <c r="GZ7" s="808">
        <v>2</v>
      </c>
      <c r="HA7" s="808">
        <v>3</v>
      </c>
      <c r="HB7" s="808">
        <v>2</v>
      </c>
      <c r="HC7" s="808">
        <v>2</v>
      </c>
      <c r="HD7" s="808">
        <v>1</v>
      </c>
      <c r="HE7" s="808">
        <v>2</v>
      </c>
      <c r="HF7" s="808">
        <v>2</v>
      </c>
      <c r="HG7" s="808">
        <v>1</v>
      </c>
      <c r="HH7" s="808">
        <v>1</v>
      </c>
      <c r="HI7" s="808">
        <v>6</v>
      </c>
      <c r="HJ7" s="808">
        <v>3</v>
      </c>
      <c r="HK7" s="808"/>
      <c r="HL7" s="808"/>
      <c r="HM7" s="808">
        <v>1</v>
      </c>
      <c r="HN7" s="808"/>
      <c r="HO7" s="808">
        <v>1</v>
      </c>
      <c r="HP7" s="808">
        <v>2</v>
      </c>
      <c r="HQ7" s="808">
        <v>2</v>
      </c>
      <c r="HR7" s="808"/>
      <c r="HS7" s="808">
        <v>6</v>
      </c>
      <c r="HT7" s="808">
        <v>6</v>
      </c>
      <c r="HU7" s="808">
        <v>1</v>
      </c>
      <c r="HV7" s="808">
        <v>1</v>
      </c>
      <c r="HW7" s="808">
        <v>2</v>
      </c>
      <c r="HX7" s="808"/>
    </row>
    <row r="8" spans="1:256" ht="20.100000000000001" customHeight="1">
      <c r="A8" s="809" t="s">
        <v>60</v>
      </c>
      <c r="B8" s="810"/>
      <c r="C8" s="811" t="str">
        <f>IF(ISTEXT(IFERROR(VLOOKUP(本职技能!A8,职业列表!I3:J10,1,FALSE),0)),"★","")</f>
        <v/>
      </c>
      <c r="D8" s="810" t="s">
        <v>93</v>
      </c>
      <c r="E8" s="810"/>
      <c r="F8" s="810"/>
      <c r="G8" s="810"/>
      <c r="H8" s="810"/>
      <c r="I8" s="810"/>
      <c r="J8" s="810"/>
      <c r="K8" s="810"/>
      <c r="L8" s="810" t="s">
        <v>93</v>
      </c>
      <c r="M8" s="810"/>
      <c r="N8" s="810" t="s">
        <v>93</v>
      </c>
      <c r="O8" s="810"/>
      <c r="P8" s="810"/>
      <c r="Q8" s="810"/>
      <c r="R8" s="810"/>
      <c r="S8" s="810" t="s">
        <v>93</v>
      </c>
      <c r="T8" s="810"/>
      <c r="U8" s="810" t="s">
        <v>93</v>
      </c>
      <c r="V8" s="810"/>
      <c r="W8" s="810"/>
      <c r="X8" s="810" t="s">
        <v>1367</v>
      </c>
      <c r="Y8" s="810" t="s">
        <v>93</v>
      </c>
      <c r="Z8" s="810"/>
      <c r="AA8" s="810"/>
      <c r="AB8" s="810"/>
      <c r="AC8" s="810" t="s">
        <v>93</v>
      </c>
      <c r="AD8" s="810"/>
      <c r="AE8" s="810"/>
      <c r="AF8" s="810"/>
      <c r="AG8" s="810"/>
      <c r="AH8" s="810"/>
      <c r="AI8" s="810"/>
      <c r="AJ8" s="810"/>
      <c r="AK8" s="810" t="s">
        <v>93</v>
      </c>
      <c r="AL8" s="810" t="s">
        <v>93</v>
      </c>
      <c r="AM8" s="810"/>
      <c r="AN8" s="810"/>
      <c r="AO8" s="810" t="s">
        <v>93</v>
      </c>
      <c r="AP8" s="810"/>
      <c r="AQ8" s="810" t="s">
        <v>93</v>
      </c>
      <c r="AR8" s="810"/>
      <c r="AS8" s="810"/>
      <c r="AT8" s="810"/>
      <c r="AU8" s="810"/>
      <c r="AV8" s="810"/>
      <c r="AW8" s="810" t="s">
        <v>93</v>
      </c>
      <c r="AX8" s="810" t="s">
        <v>93</v>
      </c>
      <c r="AY8" s="810" t="s">
        <v>93</v>
      </c>
      <c r="AZ8" s="810"/>
      <c r="BA8" s="810"/>
      <c r="BB8" s="810"/>
      <c r="BC8" s="810"/>
      <c r="BD8" s="810"/>
      <c r="BE8" s="810"/>
      <c r="BF8" s="810"/>
      <c r="BG8" s="810"/>
      <c r="BH8" s="810"/>
      <c r="BI8" s="810" t="s">
        <v>93</v>
      </c>
      <c r="BJ8" s="810"/>
      <c r="BK8" s="810"/>
      <c r="BL8" s="810"/>
      <c r="BM8" s="810"/>
      <c r="BN8" s="810"/>
      <c r="BO8" s="810"/>
      <c r="BP8" s="810"/>
      <c r="BQ8" s="810"/>
      <c r="BR8" s="810"/>
      <c r="BS8" s="810"/>
      <c r="BT8" s="810"/>
      <c r="BU8" s="810"/>
      <c r="BV8" s="810" t="s">
        <v>93</v>
      </c>
      <c r="BW8" s="810" t="s">
        <v>93</v>
      </c>
      <c r="BX8" s="810"/>
      <c r="BY8" s="810" t="s">
        <v>93</v>
      </c>
      <c r="BZ8" s="810"/>
      <c r="CA8" s="810"/>
      <c r="CB8" s="810" t="s">
        <v>93</v>
      </c>
      <c r="CC8" s="810"/>
      <c r="CD8" s="810"/>
      <c r="CE8" s="810"/>
      <c r="CF8" s="810"/>
      <c r="CG8" s="810"/>
      <c r="CH8" s="810" t="s">
        <v>93</v>
      </c>
      <c r="CI8" s="810"/>
      <c r="CJ8" s="810"/>
      <c r="CK8" s="810"/>
      <c r="CL8" s="810" t="s">
        <v>93</v>
      </c>
      <c r="CM8" s="810"/>
      <c r="CN8" s="810"/>
      <c r="CO8" s="810"/>
      <c r="CP8" s="810"/>
      <c r="CQ8" s="810"/>
      <c r="CR8" s="810"/>
      <c r="CS8" s="810"/>
      <c r="CT8" s="810" t="s">
        <v>93</v>
      </c>
      <c r="CU8" s="810"/>
      <c r="CV8" s="810"/>
      <c r="CW8" s="810"/>
      <c r="CX8" s="810" t="s">
        <v>93</v>
      </c>
      <c r="CY8" s="810"/>
      <c r="CZ8" s="810" t="s">
        <v>93</v>
      </c>
      <c r="DA8" s="810" t="s">
        <v>93</v>
      </c>
      <c r="DB8" s="810"/>
      <c r="DC8" s="810"/>
      <c r="DD8" s="810"/>
      <c r="DE8" s="810"/>
      <c r="DF8" s="810"/>
      <c r="DG8" s="810" t="s">
        <v>93</v>
      </c>
      <c r="DH8" s="810" t="s">
        <v>93</v>
      </c>
      <c r="DI8" s="810" t="s">
        <v>93</v>
      </c>
      <c r="DJ8" s="810" t="s">
        <v>93</v>
      </c>
      <c r="DK8" s="810" t="s">
        <v>93</v>
      </c>
      <c r="DL8" s="810"/>
      <c r="DM8" s="810" t="s">
        <v>93</v>
      </c>
      <c r="DN8" s="810"/>
      <c r="DO8" s="810"/>
      <c r="DP8" s="810"/>
      <c r="DQ8" s="810"/>
      <c r="DR8" s="810"/>
      <c r="DS8" s="810"/>
      <c r="DT8" s="810" t="s">
        <v>93</v>
      </c>
      <c r="DU8" s="810" t="s">
        <v>93</v>
      </c>
      <c r="DV8" s="810" t="s">
        <v>93</v>
      </c>
      <c r="DW8" s="810"/>
      <c r="DX8" s="810"/>
      <c r="DY8" s="810"/>
      <c r="DZ8" s="810"/>
      <c r="EA8" s="810" t="s">
        <v>93</v>
      </c>
      <c r="EB8" s="810" t="s">
        <v>93</v>
      </c>
      <c r="EC8" s="810"/>
      <c r="ED8" s="810" t="s">
        <v>93</v>
      </c>
      <c r="EE8" s="810" t="s">
        <v>93</v>
      </c>
      <c r="EF8" s="810"/>
      <c r="EG8" s="810"/>
      <c r="EH8" s="810"/>
      <c r="EI8" s="810" t="s">
        <v>93</v>
      </c>
      <c r="EJ8" s="810" t="s">
        <v>93</v>
      </c>
      <c r="EK8" s="810"/>
      <c r="EL8" s="810"/>
      <c r="EM8" s="810" t="s">
        <v>93</v>
      </c>
      <c r="EN8" s="810"/>
      <c r="EO8" s="810" t="s">
        <v>93</v>
      </c>
      <c r="EP8" s="810"/>
      <c r="EQ8" s="810"/>
      <c r="ER8" s="810" t="s">
        <v>93</v>
      </c>
      <c r="ES8" s="810" t="s">
        <v>93</v>
      </c>
      <c r="ET8" s="810" t="s">
        <v>93</v>
      </c>
      <c r="EU8" s="810"/>
      <c r="EV8" s="810" t="s">
        <v>93</v>
      </c>
      <c r="EW8" s="810" t="s">
        <v>93</v>
      </c>
      <c r="EX8" s="810"/>
      <c r="EY8" s="810" t="s">
        <v>93</v>
      </c>
      <c r="EZ8" s="810"/>
      <c r="FA8" s="810"/>
      <c r="FB8" s="810"/>
      <c r="FC8" s="810"/>
      <c r="FD8" s="810"/>
      <c r="FE8" s="810"/>
      <c r="FF8" s="810"/>
      <c r="FG8" s="810"/>
      <c r="FH8" s="810"/>
      <c r="FI8" s="810"/>
      <c r="FJ8" s="810"/>
      <c r="FK8" s="810"/>
      <c r="FL8" s="810"/>
      <c r="FM8" s="810"/>
      <c r="FN8" s="810"/>
      <c r="FO8" s="810"/>
      <c r="FP8" s="810"/>
      <c r="FQ8" s="810"/>
      <c r="FR8" s="810"/>
      <c r="FS8" s="810" t="s">
        <v>93</v>
      </c>
      <c r="FT8" s="810"/>
      <c r="FU8" s="810"/>
      <c r="FV8" s="810" t="s">
        <v>93</v>
      </c>
      <c r="FW8" s="810"/>
      <c r="FX8" s="810"/>
      <c r="FY8" s="810"/>
      <c r="FZ8" s="810" t="s">
        <v>93</v>
      </c>
      <c r="GA8" s="810"/>
      <c r="GB8" s="810"/>
      <c r="GC8" s="810"/>
      <c r="GD8" s="810"/>
      <c r="GE8" s="810"/>
      <c r="GF8" s="810"/>
      <c r="GG8" s="810"/>
      <c r="GH8" s="810"/>
      <c r="GI8" s="810"/>
      <c r="GJ8" s="810"/>
      <c r="GK8" s="810"/>
      <c r="GL8" s="810"/>
      <c r="GM8" s="810"/>
      <c r="GN8" s="810"/>
      <c r="GO8" s="810"/>
      <c r="GP8" s="810"/>
      <c r="GQ8" s="810"/>
      <c r="GR8" s="810"/>
      <c r="GS8" s="810"/>
      <c r="GT8" s="810"/>
      <c r="GU8" s="810"/>
      <c r="GV8" s="810"/>
      <c r="GW8" s="810"/>
      <c r="GX8" s="810"/>
      <c r="GY8" s="810"/>
      <c r="GZ8" s="811" t="s">
        <v>93</v>
      </c>
      <c r="HA8" s="810"/>
      <c r="HB8" s="810"/>
      <c r="HC8" s="810"/>
      <c r="HD8" s="810"/>
      <c r="HE8" s="810"/>
      <c r="HF8" s="810"/>
      <c r="HG8" s="811" t="s">
        <v>93</v>
      </c>
      <c r="HH8" s="810"/>
      <c r="HI8" s="810"/>
      <c r="HJ8" s="810"/>
      <c r="HK8" s="810"/>
      <c r="HL8" s="810"/>
      <c r="HM8" s="811" t="s">
        <v>93</v>
      </c>
      <c r="HN8" s="810"/>
      <c r="HO8" s="810"/>
      <c r="HP8" s="810" t="s">
        <v>93</v>
      </c>
      <c r="HQ8" s="810"/>
      <c r="HR8" s="810"/>
      <c r="HS8" s="810"/>
      <c r="HT8" s="810"/>
      <c r="HU8" s="810" t="s">
        <v>1370</v>
      </c>
      <c r="HV8" s="810" t="s">
        <v>93</v>
      </c>
      <c r="HW8" s="810"/>
      <c r="HX8" s="810"/>
      <c r="HY8" s="857"/>
      <c r="HZ8" s="857"/>
      <c r="IA8" s="857"/>
      <c r="IB8" s="857"/>
      <c r="IC8" s="857"/>
      <c r="ID8" s="857"/>
      <c r="IE8" s="857"/>
      <c r="IF8" s="857"/>
      <c r="IG8" s="857"/>
      <c r="IH8" s="857"/>
      <c r="II8" s="857"/>
      <c r="IJ8" s="857"/>
      <c r="IK8" s="857"/>
      <c r="IL8" s="857"/>
      <c r="IM8" s="857"/>
      <c r="IN8" s="857"/>
      <c r="IO8" s="857"/>
      <c r="IP8" s="857"/>
      <c r="IQ8" s="857"/>
      <c r="IR8" s="857"/>
      <c r="IS8" s="857"/>
      <c r="IT8" s="857"/>
      <c r="IU8" s="857"/>
      <c r="IV8" s="857"/>
    </row>
    <row r="9" spans="1:256" ht="20.100000000000001" customHeight="1">
      <c r="A9" s="809" t="s">
        <v>62</v>
      </c>
      <c r="B9" s="810"/>
      <c r="C9" s="810" t="str">
        <f>IF(ISTEXT(IFERROR(VLOOKUP(A9,职业列表!I3:J10,1,FALSE),0)),"★","")</f>
        <v/>
      </c>
      <c r="D9" s="810"/>
      <c r="E9" s="810"/>
      <c r="F9" s="810"/>
      <c r="G9" s="810"/>
      <c r="H9" s="810"/>
      <c r="I9" s="810"/>
      <c r="J9" s="810"/>
      <c r="K9" s="810"/>
      <c r="L9" s="810"/>
      <c r="M9" s="810"/>
      <c r="N9" s="810"/>
      <c r="O9" s="810"/>
      <c r="P9" s="810"/>
      <c r="Q9" s="810"/>
      <c r="R9" s="810"/>
      <c r="S9" s="810"/>
      <c r="T9" s="810"/>
      <c r="U9" s="810"/>
      <c r="V9" s="810"/>
      <c r="W9" s="810"/>
      <c r="X9" s="810"/>
      <c r="Y9" s="810"/>
      <c r="Z9" s="810"/>
      <c r="AA9" s="810"/>
      <c r="AB9" s="810"/>
      <c r="AC9" s="810"/>
      <c r="AD9" s="810"/>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c r="BC9" s="810"/>
      <c r="BD9" s="810"/>
      <c r="BE9" s="810"/>
      <c r="BF9" s="810"/>
      <c r="BG9" s="810"/>
      <c r="BH9" s="810"/>
      <c r="BI9" s="810"/>
      <c r="BJ9" s="810"/>
      <c r="BK9" s="810"/>
      <c r="BL9" s="810"/>
      <c r="BM9" s="810"/>
      <c r="BN9" s="810"/>
      <c r="BO9" s="810"/>
      <c r="BP9" s="810"/>
      <c r="BQ9" s="810"/>
      <c r="BR9" s="810"/>
      <c r="BS9" s="810"/>
      <c r="BT9" s="810"/>
      <c r="BU9" s="810"/>
      <c r="BV9" s="810"/>
      <c r="BW9" s="810"/>
      <c r="BX9" s="810"/>
      <c r="BY9" s="810"/>
      <c r="BZ9" s="810"/>
      <c r="CA9" s="810"/>
      <c r="CB9" s="810"/>
      <c r="CC9" s="810"/>
      <c r="CD9" s="810"/>
      <c r="CE9" s="810" t="s">
        <v>93</v>
      </c>
      <c r="CF9" s="810"/>
      <c r="CG9" s="810" t="s">
        <v>93</v>
      </c>
      <c r="CH9" s="810"/>
      <c r="CI9" s="810"/>
      <c r="CJ9" s="810"/>
      <c r="CK9" s="810"/>
      <c r="CL9" s="810"/>
      <c r="CM9" s="810"/>
      <c r="CN9" s="810"/>
      <c r="CO9" s="810"/>
      <c r="CP9" s="810"/>
      <c r="CQ9" s="810"/>
      <c r="CR9" s="810"/>
      <c r="CS9" s="810"/>
      <c r="CT9" s="810"/>
      <c r="CU9" s="810"/>
      <c r="CV9" s="810"/>
      <c r="CW9" s="810"/>
      <c r="CX9" s="810"/>
      <c r="CY9" s="810"/>
      <c r="CZ9" s="810"/>
      <c r="DA9" s="810"/>
      <c r="DB9" s="810"/>
      <c r="DC9" s="810"/>
      <c r="DD9" s="810"/>
      <c r="DE9" s="810"/>
      <c r="DF9" s="810"/>
      <c r="DG9" s="810"/>
      <c r="DH9" s="810"/>
      <c r="DI9" s="810"/>
      <c r="DJ9" s="810"/>
      <c r="DK9" s="810"/>
      <c r="DL9" s="810"/>
      <c r="DM9" s="810"/>
      <c r="DN9" s="810"/>
      <c r="DO9" s="810"/>
      <c r="DP9" s="810"/>
      <c r="DQ9" s="810"/>
      <c r="DR9" s="810"/>
      <c r="DS9" s="810"/>
      <c r="DT9" s="810"/>
      <c r="DU9" s="810"/>
      <c r="DV9" s="810"/>
      <c r="DW9" s="810"/>
      <c r="DX9" s="810"/>
      <c r="DY9" s="810"/>
      <c r="DZ9" s="810"/>
      <c r="EA9" s="810"/>
      <c r="EB9" s="810"/>
      <c r="EC9" s="810"/>
      <c r="ED9" s="810"/>
      <c r="EE9" s="810"/>
      <c r="EF9" s="810"/>
      <c r="EG9" s="810"/>
      <c r="EH9" s="810"/>
      <c r="EI9" s="810"/>
      <c r="EJ9" s="810"/>
      <c r="EK9" s="810"/>
      <c r="EL9" s="810"/>
      <c r="EM9" s="810"/>
      <c r="EN9" s="810" t="s">
        <v>93</v>
      </c>
      <c r="EO9" s="810"/>
      <c r="EP9" s="810"/>
      <c r="EQ9" s="810"/>
      <c r="ER9" s="810"/>
      <c r="ES9" s="810"/>
      <c r="ET9" s="810"/>
      <c r="EU9" s="810"/>
      <c r="EV9" s="810"/>
      <c r="EW9" s="810"/>
      <c r="EX9" s="810"/>
      <c r="EY9" s="810"/>
      <c r="EZ9" s="810"/>
      <c r="FA9" s="810"/>
      <c r="FB9" s="810"/>
      <c r="FC9" s="810"/>
      <c r="FD9" s="810"/>
      <c r="FE9" s="810"/>
      <c r="FF9" s="810"/>
      <c r="FG9" s="810"/>
      <c r="FH9" s="810"/>
      <c r="FI9" s="810"/>
      <c r="FJ9" s="810"/>
      <c r="FK9" s="810"/>
      <c r="FL9" s="810"/>
      <c r="FM9" s="810"/>
      <c r="FN9" s="810"/>
      <c r="FO9" s="810"/>
      <c r="FP9" s="810"/>
      <c r="FQ9" s="810"/>
      <c r="FR9" s="810"/>
      <c r="FS9" s="810"/>
      <c r="FT9" s="810"/>
      <c r="FU9" s="810"/>
      <c r="FV9" s="810"/>
      <c r="FW9" s="810"/>
      <c r="FX9" s="810"/>
      <c r="FY9" s="810"/>
      <c r="FZ9" s="810"/>
      <c r="GA9" s="810"/>
      <c r="GB9" s="810"/>
      <c r="GC9" s="810"/>
      <c r="GD9" s="810"/>
      <c r="GE9" s="810"/>
      <c r="GF9" s="810"/>
      <c r="GG9" s="810"/>
      <c r="GH9" s="810"/>
      <c r="GI9" s="810"/>
      <c r="GJ9" s="810"/>
      <c r="GK9" s="810"/>
      <c r="GL9" s="810"/>
      <c r="GM9" s="810"/>
      <c r="GN9" s="810"/>
      <c r="GO9" s="810"/>
      <c r="GP9" s="810"/>
      <c r="GQ9" s="810"/>
      <c r="GR9" s="810"/>
      <c r="GS9" s="810"/>
      <c r="GT9" s="810"/>
      <c r="GU9" s="810"/>
      <c r="GV9" s="810"/>
      <c r="GW9" s="810"/>
      <c r="GX9" s="810"/>
      <c r="GY9" s="810"/>
      <c r="GZ9" s="810"/>
      <c r="HA9" s="810"/>
      <c r="HB9" s="810"/>
      <c r="HC9" s="810"/>
      <c r="HD9" s="810"/>
      <c r="HE9" s="810"/>
      <c r="HF9" s="811" t="s">
        <v>93</v>
      </c>
      <c r="HG9" s="810"/>
      <c r="HH9" s="810"/>
      <c r="HI9" s="810"/>
      <c r="HJ9" s="810"/>
      <c r="HK9" s="810"/>
      <c r="HL9" s="811" t="s">
        <v>93</v>
      </c>
      <c r="HM9" s="810"/>
      <c r="HN9" s="810"/>
      <c r="HO9" s="810"/>
      <c r="HP9" s="810"/>
      <c r="HQ9" s="810"/>
      <c r="HR9" s="810"/>
      <c r="HS9" s="810"/>
      <c r="HT9" s="810"/>
      <c r="HU9" s="810"/>
      <c r="HV9" s="810"/>
      <c r="HW9" s="810"/>
      <c r="HX9" s="810"/>
      <c r="HY9" s="857"/>
      <c r="HZ9" s="857"/>
      <c r="IA9" s="857"/>
      <c r="IB9" s="857"/>
      <c r="IC9" s="857"/>
      <c r="ID9" s="857"/>
      <c r="IE9" s="857"/>
      <c r="IF9" s="857"/>
      <c r="IG9" s="857"/>
      <c r="IH9" s="857"/>
      <c r="II9" s="857"/>
      <c r="IJ9" s="857"/>
      <c r="IK9" s="857"/>
      <c r="IL9" s="857"/>
      <c r="IM9" s="857"/>
      <c r="IN9" s="857"/>
      <c r="IO9" s="857"/>
      <c r="IP9" s="857"/>
      <c r="IQ9" s="857"/>
      <c r="IR9" s="857"/>
      <c r="IS9" s="857"/>
      <c r="IT9" s="857"/>
      <c r="IU9" s="857"/>
      <c r="IV9" s="857"/>
    </row>
    <row r="10" spans="1:256" ht="20.100000000000001" customHeight="1">
      <c r="A10" s="809" t="s">
        <v>66</v>
      </c>
      <c r="B10" s="810"/>
      <c r="C10" s="810" t="str">
        <f>IF(ISTEXT(IFERROR(VLOOKUP(A10,职业列表!I3:J10,1,FALSE),0)),"★","")</f>
        <v/>
      </c>
      <c r="D10" s="810"/>
      <c r="E10" s="810"/>
      <c r="F10" s="810"/>
      <c r="G10" s="810"/>
      <c r="H10" s="810"/>
      <c r="I10" s="810"/>
      <c r="J10" s="810"/>
      <c r="K10" s="810" t="s">
        <v>93</v>
      </c>
      <c r="L10" s="810" t="s">
        <v>93</v>
      </c>
      <c r="M10" s="810" t="s">
        <v>93</v>
      </c>
      <c r="N10" s="810"/>
      <c r="O10" s="810"/>
      <c r="P10" s="810"/>
      <c r="Q10" s="810"/>
      <c r="R10" s="810"/>
      <c r="S10" s="810"/>
      <c r="T10" s="810"/>
      <c r="U10" s="810" t="s">
        <v>93</v>
      </c>
      <c r="V10" s="810"/>
      <c r="W10" s="810"/>
      <c r="X10" s="810" t="s">
        <v>1367</v>
      </c>
      <c r="Y10" s="810"/>
      <c r="Z10" s="810"/>
      <c r="AA10" s="810"/>
      <c r="AB10" s="810"/>
      <c r="AC10" s="810"/>
      <c r="AD10" s="810"/>
      <c r="AE10" s="810"/>
      <c r="AF10" s="810"/>
      <c r="AG10" s="810" t="s">
        <v>93</v>
      </c>
      <c r="AH10" s="810" t="s">
        <v>93</v>
      </c>
      <c r="AI10" s="810" t="s">
        <v>93</v>
      </c>
      <c r="AJ10" s="810"/>
      <c r="AK10" s="810" t="s">
        <v>93</v>
      </c>
      <c r="AL10" s="810" t="s">
        <v>93</v>
      </c>
      <c r="AM10" s="810"/>
      <c r="AN10" s="810"/>
      <c r="AO10" s="810"/>
      <c r="AP10" s="810"/>
      <c r="AQ10" s="810"/>
      <c r="AR10" s="810"/>
      <c r="AS10" s="810"/>
      <c r="AT10" s="810"/>
      <c r="AU10" s="810"/>
      <c r="AV10" s="810"/>
      <c r="AW10" s="810"/>
      <c r="AX10" s="810"/>
      <c r="AY10" s="810"/>
      <c r="AZ10" s="810"/>
      <c r="BA10" s="810"/>
      <c r="BB10" s="810"/>
      <c r="BC10" s="810"/>
      <c r="BD10" s="810"/>
      <c r="BE10" s="810"/>
      <c r="BF10" s="810"/>
      <c r="BG10" s="810"/>
      <c r="BH10" s="810"/>
      <c r="BI10" s="810"/>
      <c r="BJ10" s="810"/>
      <c r="BK10" s="810"/>
      <c r="BL10" s="810"/>
      <c r="BM10" s="810"/>
      <c r="BN10" s="810"/>
      <c r="BO10" s="810"/>
      <c r="BP10" s="810"/>
      <c r="BQ10" s="810"/>
      <c r="BR10" s="810"/>
      <c r="BS10" s="810"/>
      <c r="BT10" s="810"/>
      <c r="BU10" s="810"/>
      <c r="BV10" s="810"/>
      <c r="BW10" s="810"/>
      <c r="BX10" s="810"/>
      <c r="BY10" s="810"/>
      <c r="BZ10" s="810"/>
      <c r="CA10" s="810"/>
      <c r="CB10" s="810" t="s">
        <v>93</v>
      </c>
      <c r="CC10" s="810"/>
      <c r="CD10" s="810"/>
      <c r="CE10" s="810"/>
      <c r="CF10" s="810"/>
      <c r="CG10" s="810"/>
      <c r="CH10" s="810"/>
      <c r="CI10" s="810"/>
      <c r="CJ10" s="810"/>
      <c r="CK10" s="810"/>
      <c r="CL10" s="810"/>
      <c r="CM10" s="810"/>
      <c r="CN10" s="810"/>
      <c r="CO10" s="810"/>
      <c r="CP10" s="810"/>
      <c r="CQ10" s="810"/>
      <c r="CR10" s="810"/>
      <c r="CS10" s="810"/>
      <c r="CT10" s="810"/>
      <c r="CU10" s="810"/>
      <c r="CV10" s="810"/>
      <c r="CW10" s="810"/>
      <c r="CX10" s="810"/>
      <c r="CY10" s="810"/>
      <c r="CZ10" s="810"/>
      <c r="DA10" s="810"/>
      <c r="DB10" s="810"/>
      <c r="DC10" s="810"/>
      <c r="DD10" s="810"/>
      <c r="DE10" s="810"/>
      <c r="DF10" s="810"/>
      <c r="DG10" s="810"/>
      <c r="DH10" s="810"/>
      <c r="DI10" s="810"/>
      <c r="DJ10" s="810"/>
      <c r="DK10" s="810"/>
      <c r="DL10" s="810"/>
      <c r="DM10" s="810"/>
      <c r="DN10" s="810"/>
      <c r="DO10" s="810"/>
      <c r="DP10" s="810"/>
      <c r="DQ10" s="810"/>
      <c r="DR10" s="810"/>
      <c r="DS10" s="810"/>
      <c r="DT10" s="810"/>
      <c r="DU10" s="810"/>
      <c r="DV10" s="810"/>
      <c r="DW10" s="810"/>
      <c r="DX10" s="810"/>
      <c r="DY10" s="810"/>
      <c r="DZ10" s="810"/>
      <c r="EA10" s="810"/>
      <c r="EB10" s="810" t="s">
        <v>93</v>
      </c>
      <c r="EC10" s="810"/>
      <c r="ED10" s="810"/>
      <c r="EE10" s="810"/>
      <c r="EF10" s="810"/>
      <c r="EG10" s="810"/>
      <c r="EH10" s="810"/>
      <c r="EI10" s="810"/>
      <c r="EJ10" s="810"/>
      <c r="EK10" s="810"/>
      <c r="EL10" s="810"/>
      <c r="EM10" s="810"/>
      <c r="EN10" s="810"/>
      <c r="EO10" s="810"/>
      <c r="EP10" s="810"/>
      <c r="EQ10" s="810"/>
      <c r="ER10" s="810"/>
      <c r="ES10" s="810"/>
      <c r="ET10" s="810"/>
      <c r="EU10" s="810"/>
      <c r="EV10" s="810" t="s">
        <v>93</v>
      </c>
      <c r="EW10" s="810"/>
      <c r="EX10" s="810"/>
      <c r="EY10" s="810"/>
      <c r="EZ10" s="810"/>
      <c r="FA10" s="810"/>
      <c r="FB10" s="810" t="s">
        <v>93</v>
      </c>
      <c r="FC10" s="810"/>
      <c r="FD10" s="810"/>
      <c r="FE10" s="810"/>
      <c r="FF10" s="810"/>
      <c r="FG10" s="810"/>
      <c r="FH10" s="810"/>
      <c r="FI10" s="810"/>
      <c r="FJ10" s="810"/>
      <c r="FK10" s="810"/>
      <c r="FL10" s="810"/>
      <c r="FM10" s="810"/>
      <c r="FN10" s="810"/>
      <c r="FO10" s="810"/>
      <c r="FP10" s="810"/>
      <c r="FQ10" s="810"/>
      <c r="FR10" s="810"/>
      <c r="FS10" s="810"/>
      <c r="FT10" s="810"/>
      <c r="FU10" s="810"/>
      <c r="FV10" s="810"/>
      <c r="FW10" s="810"/>
      <c r="FX10" s="810"/>
      <c r="FY10" s="810"/>
      <c r="FZ10" s="810"/>
      <c r="GA10" s="810"/>
      <c r="GB10" s="810"/>
      <c r="GC10" s="810"/>
      <c r="GD10" s="810"/>
      <c r="GE10" s="810"/>
      <c r="GF10" s="810"/>
      <c r="GG10" s="810"/>
      <c r="GH10" s="810"/>
      <c r="GI10" s="810"/>
      <c r="GJ10" s="810"/>
      <c r="GK10" s="810"/>
      <c r="GL10" s="810"/>
      <c r="GM10" s="810"/>
      <c r="GN10" s="810"/>
      <c r="GO10" s="810"/>
      <c r="GP10" s="810"/>
      <c r="GQ10" s="810"/>
      <c r="GR10" s="810"/>
      <c r="GS10" s="810"/>
      <c r="GT10" s="810"/>
      <c r="GU10" s="810"/>
      <c r="GV10" s="810"/>
      <c r="GW10" s="810"/>
      <c r="GX10" s="810"/>
      <c r="GY10" s="811" t="s">
        <v>93</v>
      </c>
      <c r="GZ10" s="810" t="s">
        <v>93</v>
      </c>
      <c r="HA10" s="810"/>
      <c r="HB10" s="811" t="s">
        <v>93</v>
      </c>
      <c r="HC10" s="810"/>
      <c r="HD10" s="810"/>
      <c r="HE10" s="810"/>
      <c r="HF10" s="810" t="s">
        <v>93</v>
      </c>
      <c r="HG10" s="811" t="s">
        <v>93</v>
      </c>
      <c r="HH10" s="811" t="s">
        <v>93</v>
      </c>
      <c r="HI10" s="810"/>
      <c r="HJ10" s="810"/>
      <c r="HK10" s="810"/>
      <c r="HL10" s="811" t="s">
        <v>93</v>
      </c>
      <c r="HM10" s="810"/>
      <c r="HN10" s="811" t="s">
        <v>93</v>
      </c>
      <c r="HO10" s="855" t="s">
        <v>93</v>
      </c>
      <c r="HP10" s="810" t="s">
        <v>93</v>
      </c>
      <c r="HQ10" s="810"/>
      <c r="HR10" s="810"/>
      <c r="HS10" s="810"/>
      <c r="HT10" s="810"/>
      <c r="HU10" s="810" t="s">
        <v>1370</v>
      </c>
      <c r="HV10" s="810" t="s">
        <v>93</v>
      </c>
      <c r="HW10" s="810"/>
      <c r="HX10" s="810"/>
      <c r="HY10" s="857"/>
      <c r="HZ10" s="857"/>
      <c r="IA10" s="857"/>
      <c r="IB10" s="857"/>
      <c r="IC10" s="857"/>
      <c r="ID10" s="857"/>
      <c r="IE10" s="857"/>
      <c r="IF10" s="857"/>
      <c r="IG10" s="857"/>
      <c r="IH10" s="857"/>
      <c r="II10" s="857"/>
      <c r="IJ10" s="857"/>
      <c r="IK10" s="857"/>
      <c r="IL10" s="857"/>
      <c r="IM10" s="857"/>
      <c r="IN10" s="857"/>
      <c r="IO10" s="857"/>
      <c r="IP10" s="857"/>
      <c r="IQ10" s="857"/>
      <c r="IR10" s="857"/>
      <c r="IS10" s="857"/>
      <c r="IT10" s="857"/>
      <c r="IU10" s="857"/>
      <c r="IV10" s="857"/>
    </row>
    <row r="11" spans="1:256" ht="20.100000000000001" customHeight="1">
      <c r="A11" s="809" t="s">
        <v>69</v>
      </c>
      <c r="B11" s="810"/>
      <c r="C11" s="810" t="str">
        <f>IF(ISTEXT(IFERROR(VLOOKUP(A11,职业列表!I3:J10,1,FALSE),0)),"★","")</f>
        <v/>
      </c>
      <c r="D11" s="810"/>
      <c r="E11" s="810"/>
      <c r="F11" s="810"/>
      <c r="G11" s="810"/>
      <c r="H11" s="810"/>
      <c r="I11" s="810"/>
      <c r="J11" s="810"/>
      <c r="K11" s="810"/>
      <c r="L11" s="810"/>
      <c r="M11" s="810" t="s">
        <v>93</v>
      </c>
      <c r="N11" s="810"/>
      <c r="O11" s="810"/>
      <c r="P11" s="810"/>
      <c r="Q11" s="810"/>
      <c r="R11" s="810"/>
      <c r="S11" s="810"/>
      <c r="T11" s="810"/>
      <c r="U11" s="810"/>
      <c r="V11" s="810"/>
      <c r="W11" s="810"/>
      <c r="X11" s="810"/>
      <c r="Y11" s="810"/>
      <c r="Z11" s="810"/>
      <c r="AA11" s="810"/>
      <c r="AB11" s="810"/>
      <c r="AC11" s="810"/>
      <c r="AD11" s="810"/>
      <c r="AE11" s="810"/>
      <c r="AF11" s="810"/>
      <c r="AG11" s="810"/>
      <c r="AH11" s="810"/>
      <c r="AI11" s="810"/>
      <c r="AJ11" s="810"/>
      <c r="AK11" s="810"/>
      <c r="AL11" s="810"/>
      <c r="AM11" s="810"/>
      <c r="AN11" s="810"/>
      <c r="AO11" s="810"/>
      <c r="AP11" s="810"/>
      <c r="AQ11" s="810"/>
      <c r="AR11" s="810"/>
      <c r="AS11" s="810"/>
      <c r="AT11" s="810"/>
      <c r="AU11" s="810"/>
      <c r="AV11" s="810"/>
      <c r="AW11" s="810"/>
      <c r="AX11" s="810"/>
      <c r="AY11" s="810"/>
      <c r="AZ11" s="810"/>
      <c r="BA11" s="810"/>
      <c r="BB11" s="810"/>
      <c r="BC11" s="810"/>
      <c r="BD11" s="810"/>
      <c r="BE11" s="810"/>
      <c r="BF11" s="810"/>
      <c r="BG11" s="810"/>
      <c r="BH11" s="810"/>
      <c r="BI11" s="810"/>
      <c r="BJ11" s="810"/>
      <c r="BK11" s="810"/>
      <c r="BL11" s="810"/>
      <c r="BM11" s="810"/>
      <c r="BN11" s="810"/>
      <c r="BO11" s="810"/>
      <c r="BP11" s="810"/>
      <c r="BQ11" s="810"/>
      <c r="BR11" s="810"/>
      <c r="BS11" s="810"/>
      <c r="BT11" s="810"/>
      <c r="BU11" s="810"/>
      <c r="BV11" s="810"/>
      <c r="BW11" s="810"/>
      <c r="BX11" s="810"/>
      <c r="BY11" s="810"/>
      <c r="BZ11" s="810"/>
      <c r="CA11" s="810"/>
      <c r="CB11" s="810" t="s">
        <v>93</v>
      </c>
      <c r="CC11" s="810"/>
      <c r="CD11" s="810"/>
      <c r="CE11" s="810"/>
      <c r="CF11" s="810"/>
      <c r="CG11" s="810"/>
      <c r="CH11" s="810"/>
      <c r="CI11" s="810"/>
      <c r="CJ11" s="810"/>
      <c r="CK11" s="810"/>
      <c r="CL11" s="810"/>
      <c r="CM11" s="810"/>
      <c r="CN11" s="810"/>
      <c r="CO11" s="810"/>
      <c r="CP11" s="810"/>
      <c r="CQ11" s="810"/>
      <c r="CR11" s="810"/>
      <c r="CS11" s="810"/>
      <c r="CT11" s="810"/>
      <c r="CU11" s="810"/>
      <c r="CV11" s="810"/>
      <c r="CW11" s="810"/>
      <c r="CX11" s="810"/>
      <c r="CY11" s="810"/>
      <c r="CZ11" s="810"/>
      <c r="DA11" s="810"/>
      <c r="DB11" s="810"/>
      <c r="DC11" s="810"/>
      <c r="DD11" s="810"/>
      <c r="DE11" s="810"/>
      <c r="DF11" s="810"/>
      <c r="DG11" s="810"/>
      <c r="DH11" s="810"/>
      <c r="DI11" s="810"/>
      <c r="DJ11" s="810"/>
      <c r="DK11" s="810"/>
      <c r="DL11" s="810"/>
      <c r="DM11" s="810"/>
      <c r="DN11" s="810"/>
      <c r="DO11" s="810"/>
      <c r="DP11" s="810"/>
      <c r="DQ11" s="810"/>
      <c r="DR11" s="810"/>
      <c r="DS11" s="810"/>
      <c r="DT11" s="810"/>
      <c r="DU11" s="810"/>
      <c r="DV11" s="810"/>
      <c r="DW11" s="810"/>
      <c r="DX11" s="810"/>
      <c r="DY11" s="810"/>
      <c r="DZ11" s="810"/>
      <c r="EA11" s="810"/>
      <c r="EB11" s="810"/>
      <c r="EC11" s="810"/>
      <c r="ED11" s="810"/>
      <c r="EE11" s="810"/>
      <c r="EF11" s="810"/>
      <c r="EG11" s="810"/>
      <c r="EH11" s="810"/>
      <c r="EI11" s="810"/>
      <c r="EJ11" s="810"/>
      <c r="EK11" s="810"/>
      <c r="EL11" s="810"/>
      <c r="EM11" s="810"/>
      <c r="EN11" s="810"/>
      <c r="EO11" s="810"/>
      <c r="EP11" s="810"/>
      <c r="EQ11" s="810"/>
      <c r="ER11" s="810"/>
      <c r="ES11" s="810"/>
      <c r="ET11" s="810"/>
      <c r="EU11" s="810"/>
      <c r="EV11" s="810"/>
      <c r="EW11" s="810"/>
      <c r="EX11" s="810"/>
      <c r="EY11" s="810"/>
      <c r="EZ11" s="810"/>
      <c r="FA11" s="810"/>
      <c r="FB11" s="810"/>
      <c r="FC11" s="810"/>
      <c r="FD11" s="810"/>
      <c r="FE11" s="810"/>
      <c r="FF11" s="810"/>
      <c r="FG11" s="810"/>
      <c r="FH11" s="810"/>
      <c r="FI11" s="810"/>
      <c r="FJ11" s="810"/>
      <c r="FK11" s="810"/>
      <c r="FL11" s="810"/>
      <c r="FM11" s="810"/>
      <c r="FN11" s="810"/>
      <c r="FO11" s="810"/>
      <c r="FP11" s="810"/>
      <c r="FQ11" s="810"/>
      <c r="FR11" s="810"/>
      <c r="FS11" s="810"/>
      <c r="FT11" s="810"/>
      <c r="FU11" s="810"/>
      <c r="FV11" s="810"/>
      <c r="FW11" s="810"/>
      <c r="FX11" s="810"/>
      <c r="FY11" s="810"/>
      <c r="FZ11" s="810"/>
      <c r="GA11" s="810"/>
      <c r="GB11" s="810"/>
      <c r="GC11" s="810"/>
      <c r="GD11" s="810"/>
      <c r="GE11" s="810"/>
      <c r="GF11" s="810"/>
      <c r="GG11" s="810"/>
      <c r="GH11" s="810"/>
      <c r="GI11" s="810"/>
      <c r="GJ11" s="810"/>
      <c r="GK11" s="810"/>
      <c r="GL11" s="810"/>
      <c r="GM11" s="810"/>
      <c r="GN11" s="810"/>
      <c r="GO11" s="810"/>
      <c r="GP11" s="810"/>
      <c r="GQ11" s="810"/>
      <c r="GR11" s="810"/>
      <c r="GS11" s="810"/>
      <c r="GT11" s="810"/>
      <c r="GU11" s="810"/>
      <c r="GV11" s="810"/>
      <c r="GW11" s="810"/>
      <c r="GX11" s="810"/>
      <c r="GY11" s="810"/>
      <c r="GZ11" s="810"/>
      <c r="HA11" s="810"/>
      <c r="HB11" s="810"/>
      <c r="HC11" s="810"/>
      <c r="HD11" s="810"/>
      <c r="HE11" s="810"/>
      <c r="HF11" s="810"/>
      <c r="HG11" s="810"/>
      <c r="HH11" s="810"/>
      <c r="HI11" s="810"/>
      <c r="HJ11" s="810"/>
      <c r="HK11" s="810"/>
      <c r="HL11" s="810" t="s">
        <v>93</v>
      </c>
      <c r="HM11" s="810"/>
      <c r="HN11" s="810"/>
      <c r="HO11" s="810"/>
      <c r="HP11" s="810"/>
      <c r="HQ11" s="810"/>
      <c r="HR11" s="810"/>
      <c r="HS11" s="810"/>
      <c r="HT11" s="810"/>
      <c r="HU11" s="810"/>
      <c r="HV11" s="810"/>
      <c r="HW11" s="810"/>
      <c r="HX11" s="810"/>
      <c r="HY11" s="857"/>
      <c r="HZ11" s="857"/>
      <c r="IA11" s="857"/>
      <c r="IB11" s="857"/>
      <c r="IC11" s="857"/>
      <c r="ID11" s="857"/>
      <c r="IE11" s="857"/>
      <c r="IF11" s="857"/>
      <c r="IG11" s="857"/>
      <c r="IH11" s="857"/>
      <c r="II11" s="857"/>
      <c r="IJ11" s="857"/>
      <c r="IK11" s="857"/>
      <c r="IL11" s="857"/>
      <c r="IM11" s="857"/>
      <c r="IN11" s="857"/>
      <c r="IO11" s="857"/>
      <c r="IP11" s="857"/>
      <c r="IQ11" s="857"/>
      <c r="IR11" s="857"/>
      <c r="IS11" s="857"/>
      <c r="IT11" s="857"/>
      <c r="IU11" s="857"/>
      <c r="IV11" s="857"/>
    </row>
    <row r="12" spans="1:256" s="792" customFormat="1" ht="20.100000000000001" customHeight="1">
      <c r="A12" s="812" t="s">
        <v>71</v>
      </c>
      <c r="B12" s="813"/>
      <c r="C12" s="810" t="str">
        <f>IF(ISTEXT(IFERROR(VLOOKUP(A12,职业列表!I3:J10,1,FALSE),0)),"★","")</f>
        <v/>
      </c>
      <c r="D12" s="813"/>
      <c r="E12" s="813"/>
      <c r="F12" s="813" t="s">
        <v>1371</v>
      </c>
      <c r="G12" s="813" t="s">
        <v>1371</v>
      </c>
      <c r="H12" s="813"/>
      <c r="I12" s="813"/>
      <c r="J12" s="813"/>
      <c r="K12" s="813" t="s">
        <v>93</v>
      </c>
      <c r="L12" s="813"/>
      <c r="M12" s="813"/>
      <c r="N12" s="813" t="s">
        <v>1372</v>
      </c>
      <c r="O12" s="813" t="s">
        <v>93</v>
      </c>
      <c r="P12" s="813"/>
      <c r="Q12" s="813"/>
      <c r="R12" s="813" t="s">
        <v>1373</v>
      </c>
      <c r="S12" s="813"/>
      <c r="T12" s="813"/>
      <c r="U12" s="813"/>
      <c r="V12" s="813"/>
      <c r="W12" s="813"/>
      <c r="X12" s="813" t="s">
        <v>93</v>
      </c>
      <c r="Y12" s="813"/>
      <c r="Z12" s="813"/>
      <c r="AA12" s="813"/>
      <c r="AB12" s="813"/>
      <c r="AC12" s="813" t="s">
        <v>93</v>
      </c>
      <c r="AD12" s="813"/>
      <c r="AE12" s="813"/>
      <c r="AF12" s="813"/>
      <c r="AG12" s="813"/>
      <c r="AH12" s="813" t="s">
        <v>1371</v>
      </c>
      <c r="AI12" s="813" t="s">
        <v>1374</v>
      </c>
      <c r="AJ12" s="813" t="s">
        <v>93</v>
      </c>
      <c r="AK12" s="813" t="s">
        <v>1375</v>
      </c>
      <c r="AL12" s="813" t="s">
        <v>1375</v>
      </c>
      <c r="AM12" s="813"/>
      <c r="AN12" s="813"/>
      <c r="AO12" s="813"/>
      <c r="AP12" s="813"/>
      <c r="AQ12" s="813" t="s">
        <v>1376</v>
      </c>
      <c r="AR12" s="813" t="s">
        <v>93</v>
      </c>
      <c r="AS12" s="813"/>
      <c r="AT12" s="813"/>
      <c r="AU12" s="813"/>
      <c r="AV12" s="813"/>
      <c r="AW12" s="813"/>
      <c r="AX12" s="813"/>
      <c r="AY12" s="813"/>
      <c r="AZ12" s="813"/>
      <c r="BA12" s="813" t="s">
        <v>1372</v>
      </c>
      <c r="BB12" s="813" t="s">
        <v>1377</v>
      </c>
      <c r="BC12" s="813"/>
      <c r="BD12" s="813" t="s">
        <v>1378</v>
      </c>
      <c r="BE12" s="813"/>
      <c r="BF12" s="813"/>
      <c r="BG12" s="813"/>
      <c r="BH12" s="813"/>
      <c r="BI12" s="813" t="s">
        <v>1371</v>
      </c>
      <c r="BJ12" s="813"/>
      <c r="BK12" s="813"/>
      <c r="BL12" s="813" t="s">
        <v>93</v>
      </c>
      <c r="BM12" s="813" t="s">
        <v>93</v>
      </c>
      <c r="BN12" s="813"/>
      <c r="BO12" s="848" t="s">
        <v>1379</v>
      </c>
      <c r="BP12" s="813" t="s">
        <v>1371</v>
      </c>
      <c r="BQ12" s="813"/>
      <c r="BR12" s="813"/>
      <c r="BS12" s="813"/>
      <c r="BT12" s="813"/>
      <c r="BU12" s="813"/>
      <c r="BV12" s="813"/>
      <c r="BW12" s="813"/>
      <c r="BX12" s="813" t="s">
        <v>93</v>
      </c>
      <c r="BY12" s="813"/>
      <c r="BZ12" s="813" t="s">
        <v>93</v>
      </c>
      <c r="CA12" s="813"/>
      <c r="CB12" s="813"/>
      <c r="CC12" s="813" t="s">
        <v>1380</v>
      </c>
      <c r="CD12" s="813"/>
      <c r="CE12" s="813"/>
      <c r="CF12" s="813"/>
      <c r="CG12" s="813" t="s">
        <v>1376</v>
      </c>
      <c r="CH12" s="813"/>
      <c r="CI12" s="813" t="s">
        <v>1376</v>
      </c>
      <c r="CJ12" s="813" t="s">
        <v>1376</v>
      </c>
      <c r="CK12" s="813"/>
      <c r="CL12" s="813"/>
      <c r="CM12" s="848" t="s">
        <v>1374</v>
      </c>
      <c r="CN12" s="813"/>
      <c r="CO12" s="813" t="s">
        <v>1376</v>
      </c>
      <c r="CP12" s="813"/>
      <c r="CQ12" s="813"/>
      <c r="CR12" s="813" t="s">
        <v>93</v>
      </c>
      <c r="CS12" s="813"/>
      <c r="CT12" s="813"/>
      <c r="CU12" s="813"/>
      <c r="CV12" s="813"/>
      <c r="CW12" s="813"/>
      <c r="CX12" s="813"/>
      <c r="CY12" s="813"/>
      <c r="CZ12" s="813"/>
      <c r="DA12" s="813"/>
      <c r="DB12" s="813"/>
      <c r="DC12" s="813" t="s">
        <v>1374</v>
      </c>
      <c r="DD12" s="813"/>
      <c r="DE12" s="813"/>
      <c r="DF12" s="813"/>
      <c r="DG12" s="813"/>
      <c r="DH12" s="813"/>
      <c r="DI12" s="813" t="s">
        <v>93</v>
      </c>
      <c r="DJ12" s="813"/>
      <c r="DK12" s="813"/>
      <c r="DL12" s="813"/>
      <c r="DM12" s="813" t="s">
        <v>1381</v>
      </c>
      <c r="DN12" s="813"/>
      <c r="DO12" s="813"/>
      <c r="DP12" s="813"/>
      <c r="DQ12" s="813"/>
      <c r="DR12" s="813"/>
      <c r="DS12" s="813"/>
      <c r="DT12" s="813"/>
      <c r="DU12" s="813"/>
      <c r="DV12" s="813"/>
      <c r="DW12" s="813"/>
      <c r="DX12" s="813"/>
      <c r="DY12" s="813"/>
      <c r="DZ12" s="813" t="s">
        <v>1373</v>
      </c>
      <c r="EA12" s="813"/>
      <c r="EB12" s="813"/>
      <c r="EC12" s="813"/>
      <c r="ED12" s="813"/>
      <c r="EE12" s="813"/>
      <c r="EF12" s="813"/>
      <c r="EG12" s="813"/>
      <c r="EH12" s="813"/>
      <c r="EI12" s="813"/>
      <c r="EJ12" s="813"/>
      <c r="EK12" s="813" t="s">
        <v>93</v>
      </c>
      <c r="EL12" s="813" t="s">
        <v>1376</v>
      </c>
      <c r="EM12" s="813"/>
      <c r="EN12" s="813"/>
      <c r="EO12" s="813" t="s">
        <v>1380</v>
      </c>
      <c r="EP12" s="813"/>
      <c r="EQ12" s="813" t="s">
        <v>1371</v>
      </c>
      <c r="ER12" s="813"/>
      <c r="ES12" s="813"/>
      <c r="ET12" s="813"/>
      <c r="EU12" s="813" t="s">
        <v>93</v>
      </c>
      <c r="EV12" s="813"/>
      <c r="EW12" s="813" t="s">
        <v>1376</v>
      </c>
      <c r="EX12" s="813"/>
      <c r="EY12" s="813"/>
      <c r="EZ12" s="813" t="s">
        <v>1376</v>
      </c>
      <c r="FA12" s="813"/>
      <c r="FB12" s="813"/>
      <c r="FC12" s="813"/>
      <c r="FD12" s="813"/>
      <c r="FE12" s="813" t="s">
        <v>1382</v>
      </c>
      <c r="FF12" s="813" t="s">
        <v>1382</v>
      </c>
      <c r="FG12" s="813" t="s">
        <v>93</v>
      </c>
      <c r="FH12" s="813"/>
      <c r="FI12" s="813"/>
      <c r="FJ12" s="813" t="s">
        <v>1371</v>
      </c>
      <c r="FK12" s="813" t="s">
        <v>1382</v>
      </c>
      <c r="FL12" s="813"/>
      <c r="FM12" s="813"/>
      <c r="FN12" s="813"/>
      <c r="FO12" s="813"/>
      <c r="FP12" s="813"/>
      <c r="FQ12" s="813" t="s">
        <v>93</v>
      </c>
      <c r="FR12" s="813" t="s">
        <v>93</v>
      </c>
      <c r="FS12" s="813" t="s">
        <v>1383</v>
      </c>
      <c r="FT12" s="813"/>
      <c r="FU12" s="813"/>
      <c r="FV12" s="813"/>
      <c r="FW12" s="813" t="s">
        <v>1376</v>
      </c>
      <c r="FX12" s="813"/>
      <c r="FY12" s="813" t="s">
        <v>1377</v>
      </c>
      <c r="FZ12" s="813" t="s">
        <v>1376</v>
      </c>
      <c r="GA12" s="813"/>
      <c r="GB12" s="813"/>
      <c r="GC12" s="813"/>
      <c r="GD12" s="813"/>
      <c r="GE12" s="813"/>
      <c r="GF12" s="813"/>
      <c r="GG12" s="813" t="s">
        <v>1371</v>
      </c>
      <c r="GH12" s="813" t="s">
        <v>1384</v>
      </c>
      <c r="GI12" s="813" t="s">
        <v>1371</v>
      </c>
      <c r="GJ12" s="813"/>
      <c r="GK12" s="813" t="s">
        <v>1371</v>
      </c>
      <c r="GL12" s="813" t="s">
        <v>1371</v>
      </c>
      <c r="GM12" s="813" t="s">
        <v>1371</v>
      </c>
      <c r="GN12" s="813" t="s">
        <v>1371</v>
      </c>
      <c r="GO12" s="813"/>
      <c r="GP12" s="813" t="s">
        <v>1376</v>
      </c>
      <c r="GQ12" s="813" t="s">
        <v>1371</v>
      </c>
      <c r="GR12" s="813" t="s">
        <v>1383</v>
      </c>
      <c r="GS12" s="813" t="s">
        <v>1385</v>
      </c>
      <c r="GT12" s="813"/>
      <c r="GU12" s="813"/>
      <c r="GV12" s="813"/>
      <c r="GW12" s="813"/>
      <c r="GX12" s="813" t="s">
        <v>1386</v>
      </c>
      <c r="GY12" s="848" t="s">
        <v>93</v>
      </c>
      <c r="GZ12" s="848" t="s">
        <v>93</v>
      </c>
      <c r="HA12" s="813"/>
      <c r="HB12" s="848" t="s">
        <v>93</v>
      </c>
      <c r="HC12" s="848" t="s">
        <v>1387</v>
      </c>
      <c r="HD12" s="813"/>
      <c r="HE12" s="813"/>
      <c r="HF12" s="813"/>
      <c r="HG12" s="813" t="s">
        <v>93</v>
      </c>
      <c r="HH12" s="813"/>
      <c r="HI12" s="813"/>
      <c r="HJ12" s="813" t="s">
        <v>93</v>
      </c>
      <c r="HK12" s="813"/>
      <c r="HL12" s="813"/>
      <c r="HM12" s="848" t="s">
        <v>1376</v>
      </c>
      <c r="HN12" s="848" t="s">
        <v>1376</v>
      </c>
      <c r="HO12" s="813" t="s">
        <v>1370</v>
      </c>
      <c r="HP12" s="813"/>
      <c r="HQ12" s="813"/>
      <c r="HR12" s="813"/>
      <c r="HS12" s="813"/>
      <c r="HT12" s="848" t="s">
        <v>93</v>
      </c>
      <c r="HU12" s="848" t="s">
        <v>93</v>
      </c>
      <c r="HV12" s="848" t="s">
        <v>93</v>
      </c>
      <c r="HW12" s="813"/>
      <c r="HX12" s="813"/>
      <c r="HY12" s="860"/>
      <c r="HZ12" s="860"/>
      <c r="IA12" s="860"/>
      <c r="IB12" s="860"/>
      <c r="IC12" s="860"/>
      <c r="ID12" s="860"/>
      <c r="IE12" s="860"/>
      <c r="IF12" s="860"/>
      <c r="IG12" s="860"/>
      <c r="IH12" s="860"/>
      <c r="II12" s="860"/>
      <c r="IJ12" s="860"/>
      <c r="IK12" s="860"/>
      <c r="IL12" s="860"/>
      <c r="IM12" s="860"/>
      <c r="IN12" s="860"/>
      <c r="IO12" s="860"/>
      <c r="IP12" s="860"/>
      <c r="IQ12" s="860"/>
      <c r="IR12" s="860"/>
      <c r="IS12" s="860"/>
      <c r="IT12" s="860"/>
      <c r="IU12" s="860"/>
      <c r="IV12" s="860"/>
    </row>
    <row r="13" spans="1:256" ht="20.100000000000001" customHeight="1">
      <c r="A13" s="814" t="s">
        <v>73</v>
      </c>
      <c r="B13" s="810"/>
      <c r="C13" s="810" t="str">
        <f>IF(ISTEXT(IFERROR(VLOOKUP(A13,职业列表!I3:J10,1,FALSE),0)),"★","")</f>
        <v/>
      </c>
      <c r="D13" s="815"/>
      <c r="E13" s="815"/>
      <c r="F13" s="815"/>
      <c r="G13" s="815"/>
      <c r="H13" s="815"/>
      <c r="I13" s="815"/>
      <c r="J13" s="815"/>
      <c r="K13" s="815"/>
      <c r="L13" s="815"/>
      <c r="M13" s="815"/>
      <c r="N13" s="810"/>
      <c r="O13" s="815"/>
      <c r="P13" s="815"/>
      <c r="Q13" s="815"/>
      <c r="R13" s="815"/>
      <c r="S13" s="815"/>
      <c r="T13" s="815"/>
      <c r="U13" s="815"/>
      <c r="V13" s="815"/>
      <c r="W13" s="815"/>
      <c r="X13" s="815"/>
      <c r="Y13" s="815"/>
      <c r="Z13" s="815"/>
      <c r="AA13" s="815"/>
      <c r="AB13" s="815"/>
      <c r="AC13" s="810" t="s">
        <v>93</v>
      </c>
      <c r="AD13" s="815"/>
      <c r="AE13" s="815"/>
      <c r="AF13" s="815"/>
      <c r="AG13" s="815"/>
      <c r="AH13" s="815"/>
      <c r="AI13" s="815"/>
      <c r="AJ13" s="815"/>
      <c r="AK13" s="815"/>
      <c r="AL13" s="815"/>
      <c r="AM13" s="815"/>
      <c r="AN13" s="815"/>
      <c r="AO13" s="815"/>
      <c r="AP13" s="815"/>
      <c r="AQ13" s="810" t="s">
        <v>93</v>
      </c>
      <c r="AR13" s="815"/>
      <c r="AS13" s="815"/>
      <c r="AT13" s="815"/>
      <c r="AU13" s="815"/>
      <c r="AV13" s="815"/>
      <c r="AW13" s="815"/>
      <c r="AX13" s="815"/>
      <c r="AY13" s="815"/>
      <c r="AZ13" s="815"/>
      <c r="BA13" s="810"/>
      <c r="BB13" s="815" t="s">
        <v>1388</v>
      </c>
      <c r="BC13" s="815"/>
      <c r="BD13" s="815"/>
      <c r="BE13" s="815"/>
      <c r="BF13" s="815"/>
      <c r="BG13" s="815"/>
      <c r="BH13" s="815"/>
      <c r="BI13" s="815"/>
      <c r="BJ13" s="815"/>
      <c r="BK13" s="815"/>
      <c r="BL13" s="815"/>
      <c r="BM13" s="815"/>
      <c r="BN13" s="815"/>
      <c r="BO13" s="815" t="s">
        <v>1389</v>
      </c>
      <c r="BP13" s="815"/>
      <c r="BQ13" s="815"/>
      <c r="BR13" s="815"/>
      <c r="BS13" s="815"/>
      <c r="BT13" s="815"/>
      <c r="BU13" s="815"/>
      <c r="BV13" s="815"/>
      <c r="BW13" s="815"/>
      <c r="BX13" s="810" t="s">
        <v>93</v>
      </c>
      <c r="BY13" s="815"/>
      <c r="BZ13" s="815"/>
      <c r="CA13" s="815"/>
      <c r="CB13" s="815"/>
      <c r="CC13" s="815"/>
      <c r="CD13" s="815"/>
      <c r="CE13" s="815"/>
      <c r="CF13" s="815"/>
      <c r="CG13" s="815"/>
      <c r="CH13" s="815"/>
      <c r="CI13" s="815"/>
      <c r="CJ13" s="815"/>
      <c r="CK13" s="815"/>
      <c r="CL13" s="815"/>
      <c r="CM13" s="815"/>
      <c r="CN13" s="815"/>
      <c r="CO13" s="815"/>
      <c r="CP13" s="815"/>
      <c r="CQ13" s="815"/>
      <c r="CR13" s="815"/>
      <c r="CS13" s="815"/>
      <c r="CT13" s="815"/>
      <c r="CU13" s="815"/>
      <c r="CV13" s="815"/>
      <c r="CW13" s="815"/>
      <c r="CX13" s="815"/>
      <c r="CY13" s="815"/>
      <c r="CZ13" s="841" t="s">
        <v>1390</v>
      </c>
      <c r="DA13" s="815"/>
      <c r="DB13" s="815"/>
      <c r="DC13" s="815"/>
      <c r="DD13" s="815"/>
      <c r="DE13" s="815"/>
      <c r="DF13" s="815"/>
      <c r="DG13" s="815"/>
      <c r="DH13" s="815"/>
      <c r="DI13" s="815"/>
      <c r="DJ13" s="815"/>
      <c r="DK13" s="815"/>
      <c r="DL13" s="815"/>
      <c r="DM13" s="815"/>
      <c r="DN13" s="810"/>
      <c r="DO13" s="810"/>
      <c r="DP13" s="810"/>
      <c r="DQ13" s="810"/>
      <c r="DR13" s="810"/>
      <c r="DS13" s="810"/>
      <c r="DT13" s="810"/>
      <c r="DU13" s="810"/>
      <c r="DV13" s="810"/>
      <c r="DW13" s="810"/>
      <c r="DX13" s="810"/>
      <c r="DY13" s="810"/>
      <c r="DZ13" s="810"/>
      <c r="EA13" s="810"/>
      <c r="EB13" s="810"/>
      <c r="EC13" s="810"/>
      <c r="ED13" s="810"/>
      <c r="EE13" s="810"/>
      <c r="EF13" s="810"/>
      <c r="EG13" s="810"/>
      <c r="EH13" s="810"/>
      <c r="EI13" s="810"/>
      <c r="EJ13" s="810"/>
      <c r="EK13" s="810"/>
      <c r="EL13" s="810"/>
      <c r="EM13" s="810"/>
      <c r="EN13" s="810"/>
      <c r="EO13" s="810"/>
      <c r="EP13" s="810"/>
      <c r="EQ13" s="810"/>
      <c r="ER13" s="810"/>
      <c r="ES13" s="810"/>
      <c r="ET13" s="810"/>
      <c r="EU13" s="810"/>
      <c r="EV13" s="810"/>
      <c r="EW13" s="810"/>
      <c r="EX13" s="810"/>
      <c r="EY13" s="810"/>
      <c r="EZ13" s="810"/>
      <c r="FA13" s="810"/>
      <c r="FB13" s="810"/>
      <c r="FC13" s="810"/>
      <c r="FD13" s="810"/>
      <c r="FE13" s="810"/>
      <c r="FF13" s="810" t="s">
        <v>93</v>
      </c>
      <c r="FG13" s="810"/>
      <c r="FH13" s="810"/>
      <c r="FI13" s="810"/>
      <c r="FJ13" s="810"/>
      <c r="FK13" s="810" t="s">
        <v>93</v>
      </c>
      <c r="FL13" s="810"/>
      <c r="FM13" s="810"/>
      <c r="FN13" s="810"/>
      <c r="FO13" s="810"/>
      <c r="FP13" s="810"/>
      <c r="FQ13" s="810"/>
      <c r="FR13" s="810"/>
      <c r="FS13" s="810"/>
      <c r="FT13" s="810"/>
      <c r="FU13" s="810"/>
      <c r="FV13" s="810"/>
      <c r="FW13" s="810"/>
      <c r="FX13" s="810"/>
      <c r="FY13" s="810" t="s">
        <v>1388</v>
      </c>
      <c r="FZ13" s="810" t="s">
        <v>93</v>
      </c>
      <c r="GA13" s="810"/>
      <c r="GB13" s="810"/>
      <c r="GC13" s="810"/>
      <c r="GD13" s="810"/>
      <c r="GE13" s="810"/>
      <c r="GF13" s="810"/>
      <c r="GG13" s="810" t="s">
        <v>1384</v>
      </c>
      <c r="GH13" s="810" t="s">
        <v>1391</v>
      </c>
      <c r="GI13" s="810" t="s">
        <v>1392</v>
      </c>
      <c r="GJ13" s="810"/>
      <c r="GK13" s="810"/>
      <c r="GL13" s="810"/>
      <c r="GM13" s="810"/>
      <c r="GN13" s="810" t="s">
        <v>1384</v>
      </c>
      <c r="GO13" s="810"/>
      <c r="GP13" s="810"/>
      <c r="GQ13" s="810"/>
      <c r="GR13" s="810" t="s">
        <v>1393</v>
      </c>
      <c r="GS13" s="810"/>
      <c r="GT13" s="810"/>
      <c r="GU13" s="810"/>
      <c r="GV13" s="810"/>
      <c r="GW13" s="810"/>
      <c r="GX13" s="810"/>
      <c r="GY13" s="815"/>
      <c r="GZ13" s="815"/>
      <c r="HA13" s="815"/>
      <c r="HB13" s="815"/>
      <c r="HC13" s="815"/>
      <c r="HD13" s="815"/>
      <c r="HE13" s="815"/>
      <c r="HF13" s="810"/>
      <c r="HG13" s="815"/>
      <c r="HH13" s="815"/>
      <c r="HI13" s="815"/>
      <c r="HJ13" s="815"/>
      <c r="HK13" s="815"/>
      <c r="HL13" s="815"/>
      <c r="HM13" s="815"/>
      <c r="HN13" s="815"/>
      <c r="HO13" s="815"/>
      <c r="HP13" s="815"/>
      <c r="HQ13" s="815"/>
      <c r="HR13" s="815"/>
      <c r="HS13" s="815"/>
      <c r="HT13" s="815"/>
      <c r="HU13" s="810"/>
      <c r="HV13" s="815"/>
      <c r="HW13" s="815"/>
      <c r="HX13" s="815"/>
      <c r="HY13" s="857"/>
      <c r="HZ13" s="857"/>
      <c r="IA13" s="857"/>
      <c r="IB13" s="857"/>
      <c r="IC13" s="857"/>
      <c r="ID13" s="857"/>
      <c r="IE13" s="857"/>
      <c r="IF13" s="857"/>
      <c r="IG13" s="857"/>
      <c r="IH13" s="857"/>
      <c r="II13" s="857"/>
      <c r="IJ13" s="857"/>
      <c r="IK13" s="857"/>
      <c r="IL13" s="857"/>
      <c r="IM13" s="857"/>
      <c r="IN13" s="857"/>
      <c r="IO13" s="857"/>
      <c r="IP13" s="857"/>
      <c r="IQ13" s="857"/>
      <c r="IR13" s="857"/>
      <c r="IS13" s="857"/>
      <c r="IT13" s="857"/>
      <c r="IU13" s="857"/>
      <c r="IV13" s="857"/>
    </row>
    <row r="14" spans="1:256" ht="20.100000000000001" customHeight="1">
      <c r="A14" s="814" t="s">
        <v>75</v>
      </c>
      <c r="B14" s="810"/>
      <c r="C14" s="810" t="str">
        <f>IF(ISTEXT(IFERROR(VLOOKUP(A14,职业列表!I3:J10,1,FALSE),0)),"★","")</f>
        <v/>
      </c>
      <c r="D14" s="815"/>
      <c r="E14" s="815"/>
      <c r="F14" s="815"/>
      <c r="G14" s="815"/>
      <c r="H14" s="815"/>
      <c r="I14" s="815"/>
      <c r="J14" s="815"/>
      <c r="K14" s="815"/>
      <c r="L14" s="815"/>
      <c r="M14" s="815"/>
      <c r="N14" s="815"/>
      <c r="O14" s="815"/>
      <c r="P14" s="815"/>
      <c r="Q14" s="815"/>
      <c r="R14" s="815"/>
      <c r="S14" s="815"/>
      <c r="T14" s="815"/>
      <c r="U14" s="815"/>
      <c r="V14" s="815"/>
      <c r="W14" s="815"/>
      <c r="X14" s="815"/>
      <c r="Y14" s="815"/>
      <c r="Z14" s="815"/>
      <c r="AA14" s="815"/>
      <c r="AB14" s="815"/>
      <c r="AC14" s="815"/>
      <c r="AD14" s="815"/>
      <c r="AE14" s="815"/>
      <c r="AF14" s="815"/>
      <c r="AG14" s="815"/>
      <c r="AH14" s="815"/>
      <c r="AI14" s="815"/>
      <c r="AJ14" s="815"/>
      <c r="AK14" s="815"/>
      <c r="AL14" s="815"/>
      <c r="AM14" s="815"/>
      <c r="AN14" s="815"/>
      <c r="AO14" s="815"/>
      <c r="AP14" s="815"/>
      <c r="AQ14" s="815"/>
      <c r="AR14" s="815"/>
      <c r="AS14" s="815"/>
      <c r="AT14" s="815"/>
      <c r="AU14" s="815"/>
      <c r="AV14" s="815"/>
      <c r="AW14" s="815"/>
      <c r="AX14" s="815"/>
      <c r="AY14" s="815"/>
      <c r="AZ14" s="815"/>
      <c r="BA14" s="815"/>
      <c r="BB14" s="815" t="s">
        <v>1394</v>
      </c>
      <c r="BC14" s="815"/>
      <c r="BD14" s="815"/>
      <c r="BE14" s="815"/>
      <c r="BF14" s="815"/>
      <c r="BG14" s="815"/>
      <c r="BH14" s="815"/>
      <c r="BI14" s="815"/>
      <c r="BJ14" s="815"/>
      <c r="BK14" s="815"/>
      <c r="BL14" s="815"/>
      <c r="BM14" s="815"/>
      <c r="BN14" s="815"/>
      <c r="BO14" s="815"/>
      <c r="BP14" s="815"/>
      <c r="BQ14" s="815"/>
      <c r="BR14" s="815"/>
      <c r="BS14" s="815"/>
      <c r="BT14" s="815"/>
      <c r="BU14" s="815"/>
      <c r="BV14" s="815"/>
      <c r="BW14" s="815"/>
      <c r="BX14" s="810" t="s">
        <v>93</v>
      </c>
      <c r="BY14" s="815"/>
      <c r="BZ14" s="815"/>
      <c r="CA14" s="815"/>
      <c r="CB14" s="815"/>
      <c r="CC14" s="815"/>
      <c r="CD14" s="815"/>
      <c r="CE14" s="815"/>
      <c r="CF14" s="815"/>
      <c r="CG14" s="815"/>
      <c r="CH14" s="815"/>
      <c r="CI14" s="815"/>
      <c r="CJ14" s="815"/>
      <c r="CK14" s="815"/>
      <c r="CL14" s="815"/>
      <c r="CM14" s="815"/>
      <c r="CN14" s="815"/>
      <c r="CO14" s="815"/>
      <c r="CP14" s="815"/>
      <c r="CQ14" s="815"/>
      <c r="CR14" s="815"/>
      <c r="CS14" s="815"/>
      <c r="CT14" s="815"/>
      <c r="CU14" s="815"/>
      <c r="CV14" s="815"/>
      <c r="CW14" s="815"/>
      <c r="CX14" s="815"/>
      <c r="CY14" s="815"/>
      <c r="CZ14" s="841" t="s">
        <v>1395</v>
      </c>
      <c r="DA14" s="815"/>
      <c r="DB14" s="815"/>
      <c r="DC14" s="815"/>
      <c r="DD14" s="815"/>
      <c r="DE14" s="815"/>
      <c r="DF14" s="815"/>
      <c r="DG14" s="815"/>
      <c r="DH14" s="815"/>
      <c r="DI14" s="815"/>
      <c r="DJ14" s="815"/>
      <c r="DK14" s="815"/>
      <c r="DL14" s="815"/>
      <c r="DM14" s="815"/>
      <c r="DN14" s="810"/>
      <c r="DO14" s="810"/>
      <c r="DP14" s="810"/>
      <c r="DQ14" s="810"/>
      <c r="DR14" s="810"/>
      <c r="DS14" s="810"/>
      <c r="DT14" s="810"/>
      <c r="DU14" s="810"/>
      <c r="DV14" s="810"/>
      <c r="DW14" s="810"/>
      <c r="DX14" s="810"/>
      <c r="DY14" s="810"/>
      <c r="DZ14" s="810"/>
      <c r="EA14" s="810"/>
      <c r="EB14" s="810"/>
      <c r="EC14" s="810"/>
      <c r="ED14" s="810"/>
      <c r="EE14" s="810"/>
      <c r="EF14" s="810"/>
      <c r="EG14" s="810"/>
      <c r="EH14" s="810"/>
      <c r="EI14" s="810"/>
      <c r="EJ14" s="810"/>
      <c r="EK14" s="810"/>
      <c r="EL14" s="810"/>
      <c r="EM14" s="810"/>
      <c r="EN14" s="810"/>
      <c r="EO14" s="810"/>
      <c r="EP14" s="810"/>
      <c r="EQ14" s="810"/>
      <c r="ER14" s="810"/>
      <c r="ES14" s="810"/>
      <c r="ET14" s="810"/>
      <c r="EU14" s="810"/>
      <c r="EV14" s="810"/>
      <c r="EW14" s="810"/>
      <c r="EX14" s="810"/>
      <c r="EY14" s="810"/>
      <c r="EZ14" s="810"/>
      <c r="FA14" s="810"/>
      <c r="FB14" s="810"/>
      <c r="FC14" s="810"/>
      <c r="FD14" s="810"/>
      <c r="FE14" s="810"/>
      <c r="FF14" s="810"/>
      <c r="FG14" s="810"/>
      <c r="FH14" s="810"/>
      <c r="FI14" s="810"/>
      <c r="FJ14" s="810"/>
      <c r="FK14" s="810"/>
      <c r="FL14" s="810"/>
      <c r="FM14" s="810"/>
      <c r="FN14" s="810"/>
      <c r="FO14" s="810"/>
      <c r="FP14" s="810"/>
      <c r="FQ14" s="810"/>
      <c r="FR14" s="810"/>
      <c r="FS14" s="810"/>
      <c r="FT14" s="810"/>
      <c r="FU14" s="810"/>
      <c r="FV14" s="810"/>
      <c r="FW14" s="810"/>
      <c r="FX14" s="810"/>
      <c r="FY14" s="810" t="s">
        <v>1394</v>
      </c>
      <c r="FZ14" s="810"/>
      <c r="GA14" s="810"/>
      <c r="GB14" s="810"/>
      <c r="GC14" s="810"/>
      <c r="GD14" s="810"/>
      <c r="GE14" s="810"/>
      <c r="GF14" s="810"/>
      <c r="GG14" s="810" t="s">
        <v>1391</v>
      </c>
      <c r="GH14" s="810" t="s">
        <v>1380</v>
      </c>
      <c r="GI14" s="810" t="s">
        <v>1396</v>
      </c>
      <c r="GJ14" s="810"/>
      <c r="GK14" s="810"/>
      <c r="GL14" s="810"/>
      <c r="GM14" s="810"/>
      <c r="GN14" s="810" t="s">
        <v>1392</v>
      </c>
      <c r="GO14" s="810"/>
      <c r="GP14" s="810"/>
      <c r="GQ14" s="810"/>
      <c r="GR14" s="810" t="s">
        <v>1397</v>
      </c>
      <c r="GS14" s="810"/>
      <c r="GT14" s="810"/>
      <c r="GU14" s="810"/>
      <c r="GV14" s="810"/>
      <c r="GW14" s="810"/>
      <c r="GX14" s="810"/>
      <c r="GY14" s="815"/>
      <c r="GZ14" s="815"/>
      <c r="HA14" s="815"/>
      <c r="HB14" s="815"/>
      <c r="HC14" s="815"/>
      <c r="HD14" s="815"/>
      <c r="HE14" s="815"/>
      <c r="HF14" s="815"/>
      <c r="HG14" s="815"/>
      <c r="HH14" s="815"/>
      <c r="HI14" s="815"/>
      <c r="HJ14" s="815"/>
      <c r="HK14" s="815"/>
      <c r="HL14" s="815"/>
      <c r="HM14" s="815"/>
      <c r="HN14" s="815"/>
      <c r="HO14" s="815"/>
      <c r="HP14" s="815"/>
      <c r="HQ14" s="815"/>
      <c r="HR14" s="815"/>
      <c r="HS14" s="815"/>
      <c r="HT14" s="815"/>
      <c r="HU14" s="815"/>
      <c r="HV14" s="815"/>
      <c r="HW14" s="815"/>
      <c r="HX14" s="815"/>
      <c r="HY14" s="857"/>
      <c r="HZ14" s="857"/>
      <c r="IA14" s="857"/>
      <c r="IB14" s="857"/>
      <c r="IC14" s="857"/>
      <c r="ID14" s="857"/>
      <c r="IE14" s="857"/>
      <c r="IF14" s="857"/>
      <c r="IG14" s="857"/>
      <c r="IH14" s="857"/>
      <c r="II14" s="857"/>
      <c r="IJ14" s="857"/>
      <c r="IK14" s="857"/>
      <c r="IL14" s="857"/>
      <c r="IM14" s="857"/>
      <c r="IN14" s="857"/>
      <c r="IO14" s="857"/>
      <c r="IP14" s="857"/>
      <c r="IQ14" s="857"/>
      <c r="IR14" s="857"/>
      <c r="IS14" s="857"/>
      <c r="IT14" s="857"/>
      <c r="IU14" s="857"/>
      <c r="IV14" s="857"/>
    </row>
    <row r="15" spans="1:256" s="793" customFormat="1" ht="20.100000000000001" customHeight="1">
      <c r="A15" s="816" t="s">
        <v>78</v>
      </c>
      <c r="B15" s="817"/>
      <c r="C15" s="810" t="str">
        <f>IF(ISTEXT(IFERROR(VLOOKUP(A15,职业列表!I3:J10,1,FALSE),0)),"★","")</f>
        <v/>
      </c>
      <c r="D15" s="817"/>
      <c r="E15" s="817"/>
      <c r="F15" s="818" t="s">
        <v>1369</v>
      </c>
      <c r="G15" s="817" t="s">
        <v>1369</v>
      </c>
      <c r="H15" s="817" t="s">
        <v>1369</v>
      </c>
      <c r="I15" s="817"/>
      <c r="J15" s="817"/>
      <c r="K15" s="817" t="s">
        <v>1369</v>
      </c>
      <c r="L15" s="817" t="s">
        <v>1369</v>
      </c>
      <c r="M15" s="817"/>
      <c r="N15" s="817"/>
      <c r="O15" s="817" t="s">
        <v>1369</v>
      </c>
      <c r="P15" s="818" t="s">
        <v>1369</v>
      </c>
      <c r="Q15" s="817" t="s">
        <v>1369</v>
      </c>
      <c r="R15" s="817"/>
      <c r="S15" s="817" t="s">
        <v>1369</v>
      </c>
      <c r="T15" s="817"/>
      <c r="U15" s="817" t="s">
        <v>1369</v>
      </c>
      <c r="V15" s="817" t="s">
        <v>1369</v>
      </c>
      <c r="W15" s="817"/>
      <c r="X15" s="817"/>
      <c r="Y15" s="817" t="s">
        <v>1369</v>
      </c>
      <c r="Z15" s="817"/>
      <c r="AA15" s="817" t="s">
        <v>1369</v>
      </c>
      <c r="AB15" s="817"/>
      <c r="AC15" s="817"/>
      <c r="AD15" s="817"/>
      <c r="AE15" s="817"/>
      <c r="AF15" s="817" t="s">
        <v>1369</v>
      </c>
      <c r="AG15" s="817"/>
      <c r="AH15" s="817" t="s">
        <v>1369</v>
      </c>
      <c r="AI15" s="817" t="s">
        <v>1369</v>
      </c>
      <c r="AJ15" s="817" t="s">
        <v>1369</v>
      </c>
      <c r="AK15" s="817" t="s">
        <v>1369</v>
      </c>
      <c r="AL15" s="817"/>
      <c r="AM15" s="817" t="s">
        <v>1369</v>
      </c>
      <c r="AN15" s="817" t="s">
        <v>1369</v>
      </c>
      <c r="AO15" s="817" t="s">
        <v>1369</v>
      </c>
      <c r="AP15" s="817" t="s">
        <v>1369</v>
      </c>
      <c r="AQ15" s="843"/>
      <c r="AR15" s="817" t="s">
        <v>1369</v>
      </c>
      <c r="AS15" s="817"/>
      <c r="AT15" s="817"/>
      <c r="AU15" s="817" t="s">
        <v>1369</v>
      </c>
      <c r="AV15" s="817" t="s">
        <v>1369</v>
      </c>
      <c r="AW15" s="817" t="s">
        <v>1369</v>
      </c>
      <c r="AX15" s="817"/>
      <c r="AY15" s="817" t="s">
        <v>1369</v>
      </c>
      <c r="AZ15" s="817" t="s">
        <v>93</v>
      </c>
      <c r="BA15" s="817"/>
      <c r="BB15" s="817" t="s">
        <v>1369</v>
      </c>
      <c r="BC15" s="817"/>
      <c r="BD15" s="817" t="s">
        <v>1369</v>
      </c>
      <c r="BE15" s="817"/>
      <c r="BF15" s="817"/>
      <c r="BG15" s="817" t="s">
        <v>1369</v>
      </c>
      <c r="BH15" s="817"/>
      <c r="BI15" s="817" t="s">
        <v>1369</v>
      </c>
      <c r="BJ15" s="817" t="s">
        <v>1369</v>
      </c>
      <c r="BK15" s="817" t="s">
        <v>1369</v>
      </c>
      <c r="BL15" s="817" t="s">
        <v>1369</v>
      </c>
      <c r="BM15" s="817"/>
      <c r="BN15" s="817" t="s">
        <v>1369</v>
      </c>
      <c r="BO15" s="817" t="s">
        <v>1369</v>
      </c>
      <c r="BP15" s="817" t="s">
        <v>1369</v>
      </c>
      <c r="BQ15" s="817"/>
      <c r="BR15" s="817"/>
      <c r="BS15" s="817"/>
      <c r="BT15" s="817"/>
      <c r="BU15" s="843"/>
      <c r="BV15" s="817" t="s">
        <v>1369</v>
      </c>
      <c r="BW15" s="817"/>
      <c r="BX15" s="817"/>
      <c r="BY15" s="817" t="s">
        <v>1369</v>
      </c>
      <c r="BZ15" s="817" t="s">
        <v>1369</v>
      </c>
      <c r="CA15" s="817"/>
      <c r="CB15" s="817"/>
      <c r="CC15" s="817" t="s">
        <v>1369</v>
      </c>
      <c r="CD15" s="817" t="s">
        <v>1369</v>
      </c>
      <c r="CE15" s="817" t="s">
        <v>1369</v>
      </c>
      <c r="CF15" s="817"/>
      <c r="CG15" s="817"/>
      <c r="CH15" s="817" t="s">
        <v>1369</v>
      </c>
      <c r="CI15" s="817" t="s">
        <v>1369</v>
      </c>
      <c r="CJ15" s="817" t="s">
        <v>1369</v>
      </c>
      <c r="CK15" s="817"/>
      <c r="CL15" s="817"/>
      <c r="CM15" s="817" t="s">
        <v>1369</v>
      </c>
      <c r="CN15" s="817" t="s">
        <v>1369</v>
      </c>
      <c r="CO15" s="817" t="s">
        <v>1369</v>
      </c>
      <c r="CP15" s="817"/>
      <c r="CQ15" s="817"/>
      <c r="CR15" s="817" t="s">
        <v>1369</v>
      </c>
      <c r="CS15" s="817"/>
      <c r="CT15" s="817"/>
      <c r="CU15" s="817" t="s">
        <v>1369</v>
      </c>
      <c r="CV15" s="817"/>
      <c r="CW15" s="817" t="s">
        <v>1369</v>
      </c>
      <c r="CX15" s="817" t="s">
        <v>1369</v>
      </c>
      <c r="CY15" s="817" t="s">
        <v>1369</v>
      </c>
      <c r="CZ15" s="817" t="s">
        <v>1369</v>
      </c>
      <c r="DA15" s="817" t="s">
        <v>1369</v>
      </c>
      <c r="DB15" s="817"/>
      <c r="DC15" s="817" t="s">
        <v>1369</v>
      </c>
      <c r="DD15" s="817"/>
      <c r="DE15" s="817"/>
      <c r="DF15" s="817"/>
      <c r="DG15" s="817" t="s">
        <v>1369</v>
      </c>
      <c r="DH15" s="817" t="s">
        <v>1369</v>
      </c>
      <c r="DI15" s="817" t="s">
        <v>1369</v>
      </c>
      <c r="DJ15" s="817" t="s">
        <v>1369</v>
      </c>
      <c r="DK15" s="817" t="s">
        <v>1369</v>
      </c>
      <c r="DL15" s="817" t="s">
        <v>1369</v>
      </c>
      <c r="DM15" s="817"/>
      <c r="DN15" s="817" t="s">
        <v>93</v>
      </c>
      <c r="DO15" s="817" t="s">
        <v>1369</v>
      </c>
      <c r="DP15" s="817" t="s">
        <v>1369</v>
      </c>
      <c r="DQ15" s="817" t="s">
        <v>1369</v>
      </c>
      <c r="DR15" s="817" t="s">
        <v>1369</v>
      </c>
      <c r="DS15" s="817" t="s">
        <v>1369</v>
      </c>
      <c r="DT15" s="817" t="s">
        <v>1369</v>
      </c>
      <c r="DU15" s="817" t="s">
        <v>1369</v>
      </c>
      <c r="DV15" s="817" t="s">
        <v>1369</v>
      </c>
      <c r="DW15" s="817" t="s">
        <v>1369</v>
      </c>
      <c r="DX15" s="817" t="s">
        <v>1369</v>
      </c>
      <c r="DY15" s="817" t="s">
        <v>1369</v>
      </c>
      <c r="DZ15" s="817" t="s">
        <v>1369</v>
      </c>
      <c r="EA15" s="817" t="s">
        <v>1369</v>
      </c>
      <c r="EB15" s="817" t="s">
        <v>1369</v>
      </c>
      <c r="EC15" s="817" t="s">
        <v>1369</v>
      </c>
      <c r="ED15" s="817"/>
      <c r="EE15" s="817" t="s">
        <v>1369</v>
      </c>
      <c r="EF15" s="817"/>
      <c r="EG15" s="817"/>
      <c r="EH15" s="817"/>
      <c r="EI15" s="817" t="s">
        <v>1369</v>
      </c>
      <c r="EJ15" s="817" t="s">
        <v>1369</v>
      </c>
      <c r="EK15" s="817" t="s">
        <v>1369</v>
      </c>
      <c r="EL15" s="817"/>
      <c r="EM15" s="817" t="s">
        <v>1369</v>
      </c>
      <c r="EN15" s="817"/>
      <c r="EO15" s="817" t="s">
        <v>1369</v>
      </c>
      <c r="EP15" s="817"/>
      <c r="EQ15" s="817" t="s">
        <v>93</v>
      </c>
      <c r="ER15" s="817" t="s">
        <v>1369</v>
      </c>
      <c r="ES15" s="817" t="s">
        <v>1369</v>
      </c>
      <c r="ET15" s="817" t="s">
        <v>1369</v>
      </c>
      <c r="EU15" s="817" t="s">
        <v>1369</v>
      </c>
      <c r="EV15" s="817" t="s">
        <v>1369</v>
      </c>
      <c r="EW15" s="817"/>
      <c r="EX15" s="817" t="s">
        <v>1369</v>
      </c>
      <c r="EY15" s="817" t="s">
        <v>1369</v>
      </c>
      <c r="EZ15" s="817"/>
      <c r="FA15" s="817" t="s">
        <v>1369</v>
      </c>
      <c r="FB15" s="817" t="s">
        <v>1369</v>
      </c>
      <c r="FC15" s="817"/>
      <c r="FD15" s="817"/>
      <c r="FE15" s="817" t="s">
        <v>1369</v>
      </c>
      <c r="FF15" s="817" t="s">
        <v>1369</v>
      </c>
      <c r="FG15" s="817" t="s">
        <v>1369</v>
      </c>
      <c r="FH15" s="817"/>
      <c r="FI15" s="817"/>
      <c r="FJ15" s="817"/>
      <c r="FK15" s="817"/>
      <c r="FL15" s="817"/>
      <c r="FM15" s="817" t="s">
        <v>1369</v>
      </c>
      <c r="FN15" s="817"/>
      <c r="FO15" s="817"/>
      <c r="FP15" s="817"/>
      <c r="FQ15" s="817" t="s">
        <v>1369</v>
      </c>
      <c r="FR15" s="817" t="s">
        <v>1369</v>
      </c>
      <c r="FS15" s="817"/>
      <c r="FT15" s="817"/>
      <c r="FU15" s="817"/>
      <c r="FV15" s="817" t="s">
        <v>1369</v>
      </c>
      <c r="FW15" s="817"/>
      <c r="FX15" s="817"/>
      <c r="FY15" s="817" t="s">
        <v>1369</v>
      </c>
      <c r="FZ15" s="817"/>
      <c r="GA15" s="817"/>
      <c r="GB15" s="817" t="s">
        <v>1369</v>
      </c>
      <c r="GC15" s="817"/>
      <c r="GD15" s="817"/>
      <c r="GE15" s="817"/>
      <c r="GF15" s="817" t="s">
        <v>1369</v>
      </c>
      <c r="GG15" s="817" t="s">
        <v>1369</v>
      </c>
      <c r="GH15" s="817" t="s">
        <v>1369</v>
      </c>
      <c r="GI15" s="817" t="s">
        <v>1369</v>
      </c>
      <c r="GJ15" s="817"/>
      <c r="GK15" s="817" t="s">
        <v>93</v>
      </c>
      <c r="GL15" s="817" t="s">
        <v>93</v>
      </c>
      <c r="GM15" s="817" t="s">
        <v>93</v>
      </c>
      <c r="GN15" s="817" t="s">
        <v>1369</v>
      </c>
      <c r="GO15" s="817" t="s">
        <v>1369</v>
      </c>
      <c r="GP15" s="817" t="s">
        <v>1369</v>
      </c>
      <c r="GQ15" s="817" t="s">
        <v>1369</v>
      </c>
      <c r="GR15" s="817"/>
      <c r="GS15" s="817"/>
      <c r="GT15" s="817" t="s">
        <v>1369</v>
      </c>
      <c r="GU15" s="817"/>
      <c r="GV15" s="817"/>
      <c r="GW15" s="817" t="s">
        <v>1369</v>
      </c>
      <c r="GX15" s="817" t="s">
        <v>1369</v>
      </c>
      <c r="GY15" s="818" t="s">
        <v>1369</v>
      </c>
      <c r="GZ15" s="817" t="s">
        <v>1369</v>
      </c>
      <c r="HA15" s="817" t="s">
        <v>1369</v>
      </c>
      <c r="HB15" s="817"/>
      <c r="HC15" s="817" t="s">
        <v>1369</v>
      </c>
      <c r="HD15" s="817"/>
      <c r="HE15" s="817" t="s">
        <v>1369</v>
      </c>
      <c r="HF15" s="817"/>
      <c r="HG15" s="818" t="s">
        <v>1369</v>
      </c>
      <c r="HH15" s="817" t="s">
        <v>1369</v>
      </c>
      <c r="HI15" s="817"/>
      <c r="HJ15" s="817" t="s">
        <v>1369</v>
      </c>
      <c r="HK15" s="818" t="s">
        <v>1369</v>
      </c>
      <c r="HL15" s="817"/>
      <c r="HM15" s="817" t="s">
        <v>1369</v>
      </c>
      <c r="HN15" s="818" t="s">
        <v>1369</v>
      </c>
      <c r="HO15" s="818" t="s">
        <v>1369</v>
      </c>
      <c r="HP15" s="817" t="s">
        <v>1369</v>
      </c>
      <c r="HQ15" s="817"/>
      <c r="HR15" s="818" t="s">
        <v>1369</v>
      </c>
      <c r="HS15" s="817" t="s">
        <v>1369</v>
      </c>
      <c r="HT15" s="817" t="s">
        <v>1369</v>
      </c>
      <c r="HU15" s="817"/>
      <c r="HV15" s="818" t="s">
        <v>1369</v>
      </c>
      <c r="HW15" s="817"/>
      <c r="HX15" s="817" t="s">
        <v>1369</v>
      </c>
      <c r="HY15" s="861"/>
      <c r="HZ15" s="861"/>
      <c r="IA15" s="861"/>
      <c r="IB15" s="861"/>
      <c r="IC15" s="861"/>
      <c r="ID15" s="861"/>
      <c r="IE15" s="861"/>
      <c r="IF15" s="861"/>
      <c r="IG15" s="861"/>
      <c r="IH15" s="861"/>
      <c r="II15" s="861"/>
      <c r="IJ15" s="861"/>
      <c r="IK15" s="861"/>
      <c r="IL15" s="861"/>
      <c r="IM15" s="861"/>
      <c r="IN15" s="861"/>
      <c r="IO15" s="861"/>
      <c r="IP15" s="861"/>
      <c r="IQ15" s="861"/>
      <c r="IR15" s="861"/>
      <c r="IS15" s="861"/>
      <c r="IT15" s="861"/>
      <c r="IU15" s="861"/>
      <c r="IV15" s="861"/>
    </row>
    <row r="16" spans="1:256" ht="20.100000000000001" customHeight="1">
      <c r="A16" s="809" t="s">
        <v>81</v>
      </c>
      <c r="B16" s="810"/>
      <c r="C16" s="810" t="str">
        <f>IF(ISTEXT(IFERROR(VLOOKUP(A16,职业列表!I3:J10,1,FALSE),0)),"★","")</f>
        <v/>
      </c>
      <c r="D16" s="810"/>
      <c r="E16" s="810" t="s">
        <v>93</v>
      </c>
      <c r="F16" s="810"/>
      <c r="G16" s="810"/>
      <c r="H16" s="810"/>
      <c r="I16" s="810"/>
      <c r="J16" s="810"/>
      <c r="K16" s="810"/>
      <c r="L16" s="810"/>
      <c r="M16" s="810"/>
      <c r="N16" s="810"/>
      <c r="O16" s="810"/>
      <c r="P16" s="810"/>
      <c r="Q16" s="810" t="s">
        <v>93</v>
      </c>
      <c r="R16" s="810"/>
      <c r="S16" s="810"/>
      <c r="T16" s="810"/>
      <c r="U16" s="810"/>
      <c r="V16" s="810"/>
      <c r="W16" s="810"/>
      <c r="X16" s="810"/>
      <c r="Y16" s="810"/>
      <c r="Z16" s="810"/>
      <c r="AA16" s="810"/>
      <c r="AB16" s="810"/>
      <c r="AC16" s="810"/>
      <c r="AD16" s="810"/>
      <c r="AE16" s="810"/>
      <c r="AF16" s="810"/>
      <c r="AG16" s="810" t="s">
        <v>93</v>
      </c>
      <c r="AH16" s="810"/>
      <c r="AI16" s="810"/>
      <c r="AJ16" s="810"/>
      <c r="AK16" s="810"/>
      <c r="AL16" s="810"/>
      <c r="AM16" s="810"/>
      <c r="AN16" s="810" t="s">
        <v>93</v>
      </c>
      <c r="AO16" s="810"/>
      <c r="AP16" s="810"/>
      <c r="AQ16" s="810"/>
      <c r="AR16" s="810"/>
      <c r="AS16" s="810"/>
      <c r="AT16" s="810"/>
      <c r="AU16" s="810" t="s">
        <v>93</v>
      </c>
      <c r="AV16" s="810"/>
      <c r="AW16" s="810"/>
      <c r="AX16" s="810"/>
      <c r="AY16" s="810"/>
      <c r="AZ16" s="810"/>
      <c r="BA16" s="810"/>
      <c r="BB16" s="810"/>
      <c r="BC16" s="810" t="s">
        <v>1367</v>
      </c>
      <c r="BD16" s="810"/>
      <c r="BE16" s="810"/>
      <c r="BF16" s="810" t="s">
        <v>93</v>
      </c>
      <c r="BG16" s="810"/>
      <c r="BH16" s="810"/>
      <c r="BI16" s="810"/>
      <c r="BJ16" s="810"/>
      <c r="BK16" s="810"/>
      <c r="BL16" s="810"/>
      <c r="BM16" s="810" t="s">
        <v>93</v>
      </c>
      <c r="BN16" s="810"/>
      <c r="BO16" s="810"/>
      <c r="BP16" s="810"/>
      <c r="BQ16" s="810"/>
      <c r="BR16" s="810"/>
      <c r="BS16" s="810"/>
      <c r="BT16" s="810" t="s">
        <v>93</v>
      </c>
      <c r="BU16" s="810" t="s">
        <v>93</v>
      </c>
      <c r="BV16" s="810"/>
      <c r="BW16" s="810"/>
      <c r="BX16" s="810" t="s">
        <v>93</v>
      </c>
      <c r="BY16" s="810"/>
      <c r="BZ16" s="810"/>
      <c r="CA16" s="810" t="s">
        <v>93</v>
      </c>
      <c r="CB16" s="810"/>
      <c r="CC16" s="810"/>
      <c r="CD16" s="810"/>
      <c r="CE16" s="810"/>
      <c r="CF16" s="810"/>
      <c r="CG16" s="810"/>
      <c r="CH16" s="810"/>
      <c r="CI16" s="810"/>
      <c r="CJ16" s="810" t="s">
        <v>93</v>
      </c>
      <c r="CK16" s="810"/>
      <c r="CL16" s="810"/>
      <c r="CM16" s="810"/>
      <c r="CN16" s="810"/>
      <c r="CO16" s="810"/>
      <c r="CP16" s="810"/>
      <c r="CQ16" s="810" t="s">
        <v>93</v>
      </c>
      <c r="CR16" s="810"/>
      <c r="CS16" s="810"/>
      <c r="CT16" s="810"/>
      <c r="CU16" s="810"/>
      <c r="CV16" s="810"/>
      <c r="CW16" s="810"/>
      <c r="CX16" s="810"/>
      <c r="CY16" s="810"/>
      <c r="CZ16" s="810"/>
      <c r="DA16" s="810"/>
      <c r="DB16" s="810" t="s">
        <v>1367</v>
      </c>
      <c r="DC16" s="810"/>
      <c r="DD16" s="810"/>
      <c r="DE16" s="810" t="s">
        <v>93</v>
      </c>
      <c r="DF16" s="810" t="s">
        <v>93</v>
      </c>
      <c r="DG16" s="810"/>
      <c r="DH16" s="810"/>
      <c r="DI16" s="810"/>
      <c r="DJ16" s="810"/>
      <c r="DK16" s="810"/>
      <c r="DL16" s="810"/>
      <c r="DM16" s="810"/>
      <c r="DN16" s="810"/>
      <c r="DO16" s="810" t="s">
        <v>93</v>
      </c>
      <c r="DP16" s="810" t="s">
        <v>93</v>
      </c>
      <c r="DQ16" s="810"/>
      <c r="DR16" s="810" t="s">
        <v>93</v>
      </c>
      <c r="DS16" s="810"/>
      <c r="DT16" s="810"/>
      <c r="DU16" s="810"/>
      <c r="DV16" s="810"/>
      <c r="DW16" s="810"/>
      <c r="DX16" s="810"/>
      <c r="DY16" s="810"/>
      <c r="DZ16" s="810"/>
      <c r="EA16" s="810"/>
      <c r="EB16" s="810"/>
      <c r="EC16" s="810"/>
      <c r="ED16" s="810"/>
      <c r="EE16" s="810"/>
      <c r="EF16" s="810"/>
      <c r="EG16" s="810"/>
      <c r="EH16" s="810"/>
      <c r="EI16" s="810"/>
      <c r="EJ16" s="810" t="s">
        <v>1367</v>
      </c>
      <c r="EK16" s="810" t="s">
        <v>93</v>
      </c>
      <c r="EL16" s="810"/>
      <c r="EM16" s="810"/>
      <c r="EN16" s="810" t="s">
        <v>93</v>
      </c>
      <c r="EO16" s="810"/>
      <c r="EP16" s="810"/>
      <c r="EQ16" s="810"/>
      <c r="ER16" s="810"/>
      <c r="ES16" s="810"/>
      <c r="ET16" s="810"/>
      <c r="EU16" s="810"/>
      <c r="EV16" s="810"/>
      <c r="EW16" s="810"/>
      <c r="EX16" s="810"/>
      <c r="EY16" s="810"/>
      <c r="EZ16" s="810"/>
      <c r="FA16" s="810"/>
      <c r="FB16" s="810" t="s">
        <v>93</v>
      </c>
      <c r="FC16" s="810"/>
      <c r="FD16" s="810"/>
      <c r="FE16" s="810"/>
      <c r="FF16" s="810"/>
      <c r="FG16" s="810"/>
      <c r="FH16" s="810"/>
      <c r="FI16" s="810" t="s">
        <v>93</v>
      </c>
      <c r="FJ16" s="810"/>
      <c r="FK16" s="810"/>
      <c r="FL16" s="810"/>
      <c r="FM16" s="810"/>
      <c r="FN16" s="810"/>
      <c r="FO16" s="810"/>
      <c r="FP16" s="810"/>
      <c r="FQ16" s="810"/>
      <c r="FR16" s="810"/>
      <c r="FS16" s="810"/>
      <c r="FT16" s="810"/>
      <c r="FU16" s="810" t="s">
        <v>93</v>
      </c>
      <c r="FV16" s="810"/>
      <c r="FW16" s="810"/>
      <c r="FX16" s="810" t="s">
        <v>93</v>
      </c>
      <c r="FY16" s="810"/>
      <c r="FZ16" s="810"/>
      <c r="GA16" s="810"/>
      <c r="GB16" s="810"/>
      <c r="GC16" s="810" t="s">
        <v>1367</v>
      </c>
      <c r="GD16" s="810" t="s">
        <v>1367</v>
      </c>
      <c r="GE16" s="810" t="s">
        <v>1367</v>
      </c>
      <c r="GF16" s="810"/>
      <c r="GG16" s="810"/>
      <c r="GH16" s="810"/>
      <c r="GI16" s="810"/>
      <c r="GJ16" s="810" t="s">
        <v>93</v>
      </c>
      <c r="GK16" s="810"/>
      <c r="GL16" s="810"/>
      <c r="GM16" s="810"/>
      <c r="GN16" s="810"/>
      <c r="GO16" s="810"/>
      <c r="GP16" s="810"/>
      <c r="GQ16" s="810"/>
      <c r="GR16" s="810" t="s">
        <v>93</v>
      </c>
      <c r="GS16" s="810"/>
      <c r="GT16" s="810"/>
      <c r="GU16" s="810" t="s">
        <v>1367</v>
      </c>
      <c r="GV16" s="810"/>
      <c r="GW16" s="810"/>
      <c r="GX16" s="810"/>
      <c r="GY16" s="810"/>
      <c r="GZ16" s="810"/>
      <c r="HA16" s="810"/>
      <c r="HB16" s="810"/>
      <c r="HC16" s="810"/>
      <c r="HD16" s="810"/>
      <c r="HE16" s="810"/>
      <c r="HF16" s="810"/>
      <c r="HG16" s="810"/>
      <c r="HH16" s="810"/>
      <c r="HI16" s="810"/>
      <c r="HJ16" s="810"/>
      <c r="HK16" s="810" t="s">
        <v>1367</v>
      </c>
      <c r="HL16" s="810" t="s">
        <v>93</v>
      </c>
      <c r="HM16" s="810"/>
      <c r="HN16" s="810"/>
      <c r="HO16" s="810" t="s">
        <v>1370</v>
      </c>
      <c r="HP16" s="810"/>
      <c r="HQ16" s="810"/>
      <c r="HR16" s="810"/>
      <c r="HS16" s="810"/>
      <c r="HT16" s="810"/>
      <c r="HU16" s="810"/>
      <c r="HV16" s="810"/>
      <c r="HW16" s="810"/>
      <c r="HX16" s="810"/>
      <c r="HY16" s="857"/>
      <c r="HZ16" s="857"/>
      <c r="IA16" s="857"/>
      <c r="IB16" s="857"/>
      <c r="IC16" s="857"/>
      <c r="ID16" s="857"/>
      <c r="IE16" s="857"/>
      <c r="IF16" s="857"/>
      <c r="IG16" s="857"/>
      <c r="IH16" s="857"/>
      <c r="II16" s="857"/>
      <c r="IJ16" s="857"/>
      <c r="IK16" s="857"/>
      <c r="IL16" s="857"/>
      <c r="IM16" s="857"/>
      <c r="IN16" s="857"/>
      <c r="IO16" s="857"/>
      <c r="IP16" s="857"/>
      <c r="IQ16" s="857"/>
      <c r="IR16" s="857"/>
      <c r="IS16" s="857"/>
      <c r="IT16" s="857"/>
      <c r="IU16" s="857"/>
      <c r="IV16" s="857"/>
    </row>
    <row r="17" spans="1:256" ht="20.100000000000001" customHeight="1">
      <c r="A17" s="819" t="s">
        <v>86</v>
      </c>
      <c r="B17" s="810"/>
      <c r="C17" s="810" t="str">
        <f>IF(ISTEXT(IFERROR(VLOOKUP(A17,职业列表!I3:J10,1,FALSE),0)),"★","")</f>
        <v/>
      </c>
      <c r="D17" s="810"/>
      <c r="E17" s="810"/>
      <c r="F17" s="810"/>
      <c r="G17" s="810"/>
      <c r="H17" s="810"/>
      <c r="I17" s="810"/>
      <c r="J17" s="810"/>
      <c r="K17" s="810"/>
      <c r="L17" s="810"/>
      <c r="M17" s="810"/>
      <c r="N17" s="810" t="s">
        <v>1367</v>
      </c>
      <c r="O17" s="810"/>
      <c r="P17" s="810"/>
      <c r="Q17" s="810"/>
      <c r="R17" s="810"/>
      <c r="S17" s="810"/>
      <c r="T17" s="810"/>
      <c r="U17" s="810"/>
      <c r="V17" s="810"/>
      <c r="W17" s="810"/>
      <c r="X17" s="810"/>
      <c r="Y17" s="810"/>
      <c r="Z17" s="810" t="s">
        <v>93</v>
      </c>
      <c r="AA17" s="810" t="s">
        <v>93</v>
      </c>
      <c r="AB17" s="810"/>
      <c r="AC17" s="810"/>
      <c r="AD17" s="810"/>
      <c r="AE17" s="810"/>
      <c r="AF17" s="810"/>
      <c r="AG17" s="810"/>
      <c r="AH17" s="810"/>
      <c r="AI17" s="810"/>
      <c r="AJ17" s="810"/>
      <c r="AK17" s="810"/>
      <c r="AL17" s="810"/>
      <c r="AM17" s="810"/>
      <c r="AN17" s="810"/>
      <c r="AO17" s="810"/>
      <c r="AP17" s="810"/>
      <c r="AQ17" s="810" t="s">
        <v>1367</v>
      </c>
      <c r="AR17" s="810"/>
      <c r="AS17" s="810"/>
      <c r="AT17" s="810"/>
      <c r="AU17" s="810"/>
      <c r="AV17" s="810"/>
      <c r="AW17" s="810"/>
      <c r="AX17" s="810"/>
      <c r="AY17" s="810"/>
      <c r="AZ17" s="810"/>
      <c r="BA17" s="810"/>
      <c r="BB17" s="810"/>
      <c r="BC17" s="810"/>
      <c r="BD17" s="810"/>
      <c r="BE17" s="810"/>
      <c r="BF17" s="810"/>
      <c r="BG17" s="810"/>
      <c r="BH17" s="810"/>
      <c r="BI17" s="810"/>
      <c r="BJ17" s="810"/>
      <c r="BK17" s="810"/>
      <c r="BL17" s="810"/>
      <c r="BM17" s="810"/>
      <c r="BN17" s="810"/>
      <c r="BO17" s="810"/>
      <c r="BP17" s="810"/>
      <c r="BQ17" s="810"/>
      <c r="BR17" s="810" t="s">
        <v>1367</v>
      </c>
      <c r="BS17" s="810"/>
      <c r="BT17" s="810"/>
      <c r="BU17" s="810"/>
      <c r="BV17" s="810"/>
      <c r="BW17" s="810"/>
      <c r="BX17" s="810"/>
      <c r="BY17" s="810"/>
      <c r="BZ17" s="810"/>
      <c r="CA17" s="810"/>
      <c r="CB17" s="810"/>
      <c r="CC17" s="810"/>
      <c r="CD17" s="810"/>
      <c r="CE17" s="810"/>
      <c r="CF17" s="810"/>
      <c r="CG17" s="810"/>
      <c r="CH17" s="810"/>
      <c r="CI17" s="810"/>
      <c r="CJ17" s="810"/>
      <c r="CK17" s="810"/>
      <c r="CL17" s="810"/>
      <c r="CM17" s="810"/>
      <c r="CN17" s="810"/>
      <c r="CO17" s="810"/>
      <c r="CP17" s="810"/>
      <c r="CQ17" s="810"/>
      <c r="CR17" s="810"/>
      <c r="CS17" s="810"/>
      <c r="CT17" s="810"/>
      <c r="CU17" s="810"/>
      <c r="CV17" s="810"/>
      <c r="CW17" s="810"/>
      <c r="CX17" s="810"/>
      <c r="CY17" s="810" t="s">
        <v>1367</v>
      </c>
      <c r="CZ17" s="811" t="s">
        <v>1368</v>
      </c>
      <c r="DA17" s="810"/>
      <c r="DB17" s="810"/>
      <c r="DC17" s="810"/>
      <c r="DD17" s="810"/>
      <c r="DE17" s="810"/>
      <c r="DF17" s="810"/>
      <c r="DG17" s="810"/>
      <c r="DH17" s="810"/>
      <c r="DI17" s="810"/>
      <c r="DJ17" s="810" t="s">
        <v>1367</v>
      </c>
      <c r="DK17" s="810"/>
      <c r="DL17" s="810"/>
      <c r="DM17" s="810"/>
      <c r="DN17" s="810"/>
      <c r="DO17" s="810"/>
      <c r="DP17" s="810"/>
      <c r="DQ17" s="810"/>
      <c r="DR17" s="810"/>
      <c r="DS17" s="810"/>
      <c r="DT17" s="810"/>
      <c r="DU17" s="810"/>
      <c r="DV17" s="810"/>
      <c r="DW17" s="810"/>
      <c r="DX17" s="810"/>
      <c r="DY17" s="810"/>
      <c r="DZ17" s="810"/>
      <c r="EA17" s="810"/>
      <c r="EB17" s="810"/>
      <c r="EC17" s="810"/>
      <c r="ED17" s="810"/>
      <c r="EE17" s="810"/>
      <c r="EF17" s="810"/>
      <c r="EG17" s="810"/>
      <c r="EH17" s="810"/>
      <c r="EI17" s="810"/>
      <c r="EJ17" s="810"/>
      <c r="EK17" s="810"/>
      <c r="EL17" s="810"/>
      <c r="EM17" s="810"/>
      <c r="EN17" s="810"/>
      <c r="EO17" s="810"/>
      <c r="EP17" s="810"/>
      <c r="EQ17" s="810"/>
      <c r="ER17" s="810"/>
      <c r="ES17" s="810"/>
      <c r="ET17" s="810"/>
      <c r="EU17" s="810"/>
      <c r="EV17" s="810"/>
      <c r="EW17" s="810"/>
      <c r="EX17" s="810"/>
      <c r="EY17" s="810"/>
      <c r="EZ17" s="810"/>
      <c r="FA17" s="810"/>
      <c r="FB17" s="810"/>
      <c r="FC17" s="810"/>
      <c r="FD17" s="810"/>
      <c r="FE17" s="810"/>
      <c r="FF17" s="810"/>
      <c r="FG17" s="810"/>
      <c r="FH17" s="810"/>
      <c r="FI17" s="810"/>
      <c r="FJ17" s="811"/>
      <c r="FK17" s="810"/>
      <c r="FL17" s="810"/>
      <c r="FM17" s="810"/>
      <c r="FN17" s="810"/>
      <c r="FO17" s="810"/>
      <c r="FP17" s="810"/>
      <c r="FQ17" s="810"/>
      <c r="FR17" s="810"/>
      <c r="FS17" s="810"/>
      <c r="FT17" s="810"/>
      <c r="FU17" s="810"/>
      <c r="FV17" s="810"/>
      <c r="FW17" s="810"/>
      <c r="FX17" s="810"/>
      <c r="FY17" s="810"/>
      <c r="FZ17" s="810" t="s">
        <v>1367</v>
      </c>
      <c r="GA17" s="810"/>
      <c r="GB17" s="810"/>
      <c r="GC17" s="810"/>
      <c r="GD17" s="810"/>
      <c r="GE17" s="810"/>
      <c r="GF17" s="810"/>
      <c r="GG17" s="810"/>
      <c r="GH17" s="810"/>
      <c r="GI17" s="810"/>
      <c r="GJ17" s="810"/>
      <c r="GK17" s="810"/>
      <c r="GL17" s="810"/>
      <c r="GM17" s="810"/>
      <c r="GN17" s="810" t="s">
        <v>93</v>
      </c>
      <c r="GO17" s="810"/>
      <c r="GP17" s="810"/>
      <c r="GQ17" s="810"/>
      <c r="GR17" s="810"/>
      <c r="GS17" s="810"/>
      <c r="GT17" s="810" t="s">
        <v>93</v>
      </c>
      <c r="GU17" s="810"/>
      <c r="GV17" s="810" t="s">
        <v>93</v>
      </c>
      <c r="GW17" s="810"/>
      <c r="GX17" s="810" t="s">
        <v>93</v>
      </c>
      <c r="GY17" s="810" t="s">
        <v>212</v>
      </c>
      <c r="GZ17" s="810"/>
      <c r="HA17" s="810"/>
      <c r="HB17" s="810"/>
      <c r="HC17" s="810"/>
      <c r="HD17" s="810"/>
      <c r="HE17" s="810"/>
      <c r="HF17" s="810"/>
      <c r="HG17" s="810"/>
      <c r="HH17" s="810"/>
      <c r="HI17" s="810"/>
      <c r="HJ17" s="810"/>
      <c r="HK17" s="810"/>
      <c r="HL17" s="810"/>
      <c r="HM17" s="810"/>
      <c r="HN17" s="810"/>
      <c r="HO17" s="810"/>
      <c r="HP17" s="810"/>
      <c r="HQ17" s="810"/>
      <c r="HR17" s="810"/>
      <c r="HS17" s="810"/>
      <c r="HT17" s="810"/>
      <c r="HU17" s="810"/>
      <c r="HV17" s="810"/>
      <c r="HW17" s="810"/>
      <c r="HX17" s="810"/>
      <c r="HY17" s="857"/>
      <c r="HZ17" s="857"/>
      <c r="IA17" s="857"/>
      <c r="IB17" s="857"/>
      <c r="IC17" s="857"/>
      <c r="ID17" s="857"/>
      <c r="IE17" s="857"/>
      <c r="IF17" s="857"/>
      <c r="IG17" s="857"/>
      <c r="IH17" s="857"/>
      <c r="II17" s="857"/>
      <c r="IJ17" s="857"/>
      <c r="IK17" s="857"/>
      <c r="IL17" s="857"/>
      <c r="IM17" s="857"/>
      <c r="IN17" s="857"/>
      <c r="IO17" s="857"/>
      <c r="IP17" s="857"/>
      <c r="IQ17" s="857"/>
      <c r="IR17" s="857"/>
      <c r="IS17" s="857"/>
      <c r="IT17" s="857"/>
      <c r="IU17" s="857"/>
      <c r="IV17" s="857"/>
    </row>
    <row r="18" spans="1:256" ht="20.100000000000001" customHeight="1">
      <c r="A18" s="819" t="s">
        <v>96</v>
      </c>
      <c r="B18" s="810"/>
      <c r="C18" s="810" t="str">
        <f>IF(ISTEXT(IFERROR(VLOOKUP(A18,职业列表!I3:J10,1,FALSE),0)),"★","")</f>
        <v/>
      </c>
      <c r="D18" s="810"/>
      <c r="E18" s="810"/>
      <c r="F18" s="810"/>
      <c r="G18" s="810"/>
      <c r="H18" s="810"/>
      <c r="I18" s="810"/>
      <c r="J18" s="810"/>
      <c r="K18" s="810"/>
      <c r="L18" s="810"/>
      <c r="M18" s="810"/>
      <c r="N18" s="810"/>
      <c r="O18" s="810"/>
      <c r="P18" s="810"/>
      <c r="Q18" s="810"/>
      <c r="R18" s="810"/>
      <c r="S18" s="810"/>
      <c r="T18" s="810"/>
      <c r="U18" s="810"/>
      <c r="V18" s="810"/>
      <c r="W18" s="810"/>
      <c r="X18" s="810"/>
      <c r="Y18" s="810"/>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c r="BC18" s="810"/>
      <c r="BD18" s="810"/>
      <c r="BE18" s="810"/>
      <c r="BF18" s="810"/>
      <c r="BG18" s="810"/>
      <c r="BH18" s="810"/>
      <c r="BI18" s="810"/>
      <c r="BJ18" s="810"/>
      <c r="BK18" s="810"/>
      <c r="BL18" s="810"/>
      <c r="BM18" s="810"/>
      <c r="BN18" s="810"/>
      <c r="BO18" s="810"/>
      <c r="BP18" s="810"/>
      <c r="BQ18" s="810"/>
      <c r="BR18" s="810"/>
      <c r="BS18" s="810"/>
      <c r="BT18" s="810"/>
      <c r="BU18" s="810"/>
      <c r="BV18" s="810"/>
      <c r="BW18" s="810"/>
      <c r="BX18" s="810"/>
      <c r="BY18" s="810"/>
      <c r="BZ18" s="810"/>
      <c r="CA18" s="810"/>
      <c r="CB18" s="810"/>
      <c r="CC18" s="810"/>
      <c r="CD18" s="810"/>
      <c r="CE18" s="810"/>
      <c r="CF18" s="810"/>
      <c r="CG18" s="810"/>
      <c r="CH18" s="810"/>
      <c r="CI18" s="810"/>
      <c r="CJ18" s="810"/>
      <c r="CK18" s="810"/>
      <c r="CL18" s="810"/>
      <c r="CM18" s="810"/>
      <c r="CN18" s="810"/>
      <c r="CO18" s="810"/>
      <c r="CP18" s="810"/>
      <c r="CQ18" s="810"/>
      <c r="CR18" s="810"/>
      <c r="CS18" s="810"/>
      <c r="CT18" s="810"/>
      <c r="CU18" s="810"/>
      <c r="CV18" s="810"/>
      <c r="CW18" s="810"/>
      <c r="CX18" s="810"/>
      <c r="CY18" s="810"/>
      <c r="CZ18" s="810"/>
      <c r="DA18" s="810"/>
      <c r="DB18" s="810"/>
      <c r="DC18" s="810"/>
      <c r="DD18" s="810"/>
      <c r="DE18" s="810"/>
      <c r="DF18" s="810"/>
      <c r="DG18" s="810"/>
      <c r="DH18" s="810"/>
      <c r="DI18" s="810"/>
      <c r="DJ18" s="810"/>
      <c r="DK18" s="810"/>
      <c r="DL18" s="810"/>
      <c r="DM18" s="810"/>
      <c r="DN18" s="810"/>
      <c r="DO18" s="810"/>
      <c r="DP18" s="810"/>
      <c r="DQ18" s="810"/>
      <c r="DR18" s="810"/>
      <c r="DS18" s="810"/>
      <c r="DT18" s="810"/>
      <c r="DU18" s="810"/>
      <c r="DV18" s="810"/>
      <c r="DW18" s="810"/>
      <c r="DX18" s="810"/>
      <c r="DY18" s="810"/>
      <c r="DZ18" s="810"/>
      <c r="EA18" s="810"/>
      <c r="EB18" s="810"/>
      <c r="EC18" s="810"/>
      <c r="ED18" s="810"/>
      <c r="EE18" s="810"/>
      <c r="EF18" s="810"/>
      <c r="EG18" s="810"/>
      <c r="EH18" s="810"/>
      <c r="EI18" s="810"/>
      <c r="EJ18" s="810"/>
      <c r="EK18" s="810"/>
      <c r="EL18" s="810"/>
      <c r="EM18" s="810"/>
      <c r="EN18" s="810"/>
      <c r="EO18" s="810"/>
      <c r="EP18" s="810"/>
      <c r="EQ18" s="810"/>
      <c r="ER18" s="810"/>
      <c r="ES18" s="810"/>
      <c r="ET18" s="810"/>
      <c r="EU18" s="810"/>
      <c r="EV18" s="810"/>
      <c r="EW18" s="810"/>
      <c r="EX18" s="810"/>
      <c r="EY18" s="810"/>
      <c r="EZ18" s="810"/>
      <c r="FA18" s="810"/>
      <c r="FB18" s="810"/>
      <c r="FC18" s="810"/>
      <c r="FD18" s="810"/>
      <c r="FE18" s="810"/>
      <c r="FF18" s="810"/>
      <c r="FG18" s="810"/>
      <c r="FH18" s="810"/>
      <c r="FI18" s="810"/>
      <c r="FJ18" s="810"/>
      <c r="FK18" s="810"/>
      <c r="FL18" s="810"/>
      <c r="FM18" s="810"/>
      <c r="FN18" s="810"/>
      <c r="FO18" s="810"/>
      <c r="FP18" s="810"/>
      <c r="FQ18" s="810"/>
      <c r="FR18" s="810"/>
      <c r="FS18" s="810"/>
      <c r="FT18" s="810"/>
      <c r="FU18" s="810"/>
      <c r="FV18" s="810"/>
      <c r="FW18" s="810"/>
      <c r="FX18" s="810"/>
      <c r="FY18" s="810"/>
      <c r="FZ18" s="810"/>
      <c r="GA18" s="810"/>
      <c r="GB18" s="810"/>
      <c r="GC18" s="810"/>
      <c r="GD18" s="810"/>
      <c r="GE18" s="810"/>
      <c r="GF18" s="810"/>
      <c r="GG18" s="810"/>
      <c r="GH18" s="810"/>
      <c r="GI18" s="810"/>
      <c r="GJ18" s="810"/>
      <c r="GK18" s="810"/>
      <c r="GL18" s="810"/>
      <c r="GM18" s="810"/>
      <c r="GN18" s="810"/>
      <c r="GO18" s="810"/>
      <c r="GP18" s="810"/>
      <c r="GQ18" s="810"/>
      <c r="GR18" s="810"/>
      <c r="GS18" s="810"/>
      <c r="GT18" s="810"/>
      <c r="GU18" s="810"/>
      <c r="GV18" s="810"/>
      <c r="GW18" s="810"/>
      <c r="GX18" s="810"/>
      <c r="GY18" s="810"/>
      <c r="GZ18" s="810"/>
      <c r="HA18" s="810"/>
      <c r="HB18" s="810"/>
      <c r="HC18" s="810"/>
      <c r="HD18" s="810"/>
      <c r="HE18" s="810"/>
      <c r="HF18" s="810"/>
      <c r="HG18" s="810"/>
      <c r="HH18" s="810"/>
      <c r="HI18" s="810"/>
      <c r="HJ18" s="810"/>
      <c r="HK18" s="810"/>
      <c r="HL18" s="810"/>
      <c r="HM18" s="810"/>
      <c r="HN18" s="810"/>
      <c r="HO18" s="810"/>
      <c r="HP18" s="810"/>
      <c r="HQ18" s="810"/>
      <c r="HR18" s="810"/>
      <c r="HS18" s="810"/>
      <c r="HT18" s="810"/>
      <c r="HU18" s="810"/>
      <c r="HV18" s="810"/>
      <c r="HW18" s="810"/>
      <c r="HX18" s="810"/>
      <c r="HY18" s="857"/>
      <c r="HZ18" s="857"/>
      <c r="IA18" s="857"/>
      <c r="IB18" s="857"/>
      <c r="IC18" s="857"/>
      <c r="ID18" s="857"/>
      <c r="IE18" s="857"/>
      <c r="IF18" s="857"/>
      <c r="IG18" s="857"/>
      <c r="IH18" s="857"/>
      <c r="II18" s="857"/>
      <c r="IJ18" s="857"/>
      <c r="IK18" s="857"/>
      <c r="IL18" s="857"/>
      <c r="IM18" s="857"/>
      <c r="IN18" s="857"/>
      <c r="IO18" s="857"/>
      <c r="IP18" s="857"/>
      <c r="IQ18" s="857"/>
      <c r="IR18" s="857"/>
      <c r="IS18" s="857"/>
      <c r="IT18" s="857"/>
      <c r="IU18" s="857"/>
      <c r="IV18" s="857"/>
    </row>
    <row r="19" spans="1:256" ht="20.100000000000001" customHeight="1">
      <c r="A19" s="809" t="s">
        <v>103</v>
      </c>
      <c r="B19" s="810"/>
      <c r="C19" s="810" t="str">
        <f>IF(ISTEXT(IFERROR(VLOOKUP(A19,职业列表!I3:J10,1,FALSE),0)),"★","")</f>
        <v/>
      </c>
      <c r="D19" s="810"/>
      <c r="E19" s="810"/>
      <c r="F19" s="810" t="s">
        <v>93</v>
      </c>
      <c r="G19" s="810" t="s">
        <v>93</v>
      </c>
      <c r="H19" s="810"/>
      <c r="I19" s="810"/>
      <c r="J19" s="810"/>
      <c r="K19" s="810"/>
      <c r="L19" s="810"/>
      <c r="M19" s="810"/>
      <c r="N19" s="810"/>
      <c r="O19" s="810"/>
      <c r="P19" s="810"/>
      <c r="Q19" s="810"/>
      <c r="R19" s="810"/>
      <c r="S19" s="810"/>
      <c r="T19" s="810"/>
      <c r="U19" s="810"/>
      <c r="V19" s="810"/>
      <c r="W19" s="810"/>
      <c r="X19" s="810"/>
      <c r="Y19" s="810"/>
      <c r="Z19" s="810"/>
      <c r="AA19" s="810"/>
      <c r="AB19" s="810"/>
      <c r="AC19" s="810"/>
      <c r="AD19" s="810" t="s">
        <v>93</v>
      </c>
      <c r="AE19" s="810"/>
      <c r="AF19" s="810"/>
      <c r="AG19" s="810"/>
      <c r="AH19" s="810"/>
      <c r="AI19" s="810" t="s">
        <v>1367</v>
      </c>
      <c r="AJ19" s="810"/>
      <c r="AK19" s="810"/>
      <c r="AL19" s="810"/>
      <c r="AM19" s="810"/>
      <c r="AN19" s="810"/>
      <c r="AO19" s="810"/>
      <c r="AP19" s="810"/>
      <c r="AQ19" s="810"/>
      <c r="AR19" s="810"/>
      <c r="AS19" s="810"/>
      <c r="AT19" s="810"/>
      <c r="AU19" s="810"/>
      <c r="AV19" s="810"/>
      <c r="AW19" s="810"/>
      <c r="AX19" s="810"/>
      <c r="AY19" s="810"/>
      <c r="AZ19" s="810"/>
      <c r="BA19" s="810"/>
      <c r="BB19" s="810" t="s">
        <v>93</v>
      </c>
      <c r="BC19" s="810"/>
      <c r="BD19" s="810"/>
      <c r="BE19" s="810"/>
      <c r="BF19" s="810"/>
      <c r="BG19" s="810"/>
      <c r="BH19" s="810"/>
      <c r="BI19" s="810"/>
      <c r="BJ19" s="810"/>
      <c r="BK19" s="810"/>
      <c r="BL19" s="810"/>
      <c r="BM19" s="810"/>
      <c r="BN19" s="810"/>
      <c r="BO19" s="810"/>
      <c r="BP19" s="810"/>
      <c r="BQ19" s="810"/>
      <c r="BR19" s="810"/>
      <c r="BS19" s="810"/>
      <c r="BT19" s="810"/>
      <c r="BU19" s="810"/>
      <c r="BV19" s="810"/>
      <c r="BW19" s="810"/>
      <c r="BX19" s="810"/>
      <c r="BY19" s="810"/>
      <c r="BZ19" s="810"/>
      <c r="CA19" s="810"/>
      <c r="CB19" s="810"/>
      <c r="CC19" s="810"/>
      <c r="CD19" s="810"/>
      <c r="CE19" s="810"/>
      <c r="CF19" s="810"/>
      <c r="CG19" s="810"/>
      <c r="CH19" s="810"/>
      <c r="CI19" s="810"/>
      <c r="CJ19" s="810"/>
      <c r="CK19" s="810"/>
      <c r="CL19" s="810"/>
      <c r="CM19" s="810" t="s">
        <v>1367</v>
      </c>
      <c r="CN19" s="810"/>
      <c r="CO19" s="810" t="s">
        <v>93</v>
      </c>
      <c r="CP19" s="810"/>
      <c r="CQ19" s="810"/>
      <c r="CR19" s="810"/>
      <c r="CS19" s="810"/>
      <c r="CT19" s="810"/>
      <c r="CU19" s="810"/>
      <c r="CV19" s="810"/>
      <c r="CW19" s="810"/>
      <c r="CX19" s="810"/>
      <c r="CY19" s="810"/>
      <c r="CZ19" s="810"/>
      <c r="DA19" s="810"/>
      <c r="DB19" s="810"/>
      <c r="DC19" s="810" t="s">
        <v>1367</v>
      </c>
      <c r="DD19" s="810"/>
      <c r="DE19" s="810"/>
      <c r="DF19" s="810"/>
      <c r="DG19" s="810"/>
      <c r="DH19" s="810"/>
      <c r="DI19" s="810"/>
      <c r="DJ19" s="810"/>
      <c r="DK19" s="810"/>
      <c r="DL19" s="810"/>
      <c r="DM19" s="810"/>
      <c r="DN19" s="810"/>
      <c r="DO19" s="810"/>
      <c r="DP19" s="810"/>
      <c r="DQ19" s="810"/>
      <c r="DR19" s="810"/>
      <c r="DS19" s="810" t="s">
        <v>93</v>
      </c>
      <c r="DT19" s="810"/>
      <c r="DU19" s="810"/>
      <c r="DV19" s="810"/>
      <c r="DW19" s="810"/>
      <c r="DX19" s="810" t="s">
        <v>93</v>
      </c>
      <c r="DY19" s="810"/>
      <c r="DZ19" s="810"/>
      <c r="EA19" s="810"/>
      <c r="EB19" s="810"/>
      <c r="EC19" s="810" t="s">
        <v>93</v>
      </c>
      <c r="ED19" s="810"/>
      <c r="EE19" s="810"/>
      <c r="EF19" s="810"/>
      <c r="EG19" s="810"/>
      <c r="EH19" s="810"/>
      <c r="EI19" s="810"/>
      <c r="EJ19" s="810"/>
      <c r="EK19" s="810"/>
      <c r="EL19" s="810"/>
      <c r="EM19" s="810"/>
      <c r="EN19" s="810"/>
      <c r="EO19" s="810"/>
      <c r="EP19" s="810"/>
      <c r="EQ19" s="810"/>
      <c r="ER19" s="810"/>
      <c r="ES19" s="810"/>
      <c r="ET19" s="810"/>
      <c r="EU19" s="810" t="s">
        <v>93</v>
      </c>
      <c r="EV19" s="810"/>
      <c r="EW19" s="810"/>
      <c r="EX19" s="810"/>
      <c r="EY19" s="810"/>
      <c r="EZ19" s="810"/>
      <c r="FA19" s="810"/>
      <c r="FB19" s="810"/>
      <c r="FC19" s="810"/>
      <c r="FD19" s="810"/>
      <c r="FE19" s="810"/>
      <c r="FF19" s="810"/>
      <c r="FG19" s="810"/>
      <c r="FH19" s="810"/>
      <c r="FI19" s="810"/>
      <c r="FJ19" s="810"/>
      <c r="FK19" s="810"/>
      <c r="FL19" s="810"/>
      <c r="FM19" s="810"/>
      <c r="FN19" s="810" t="s">
        <v>93</v>
      </c>
      <c r="FO19" s="810"/>
      <c r="FP19" s="810"/>
      <c r="FQ19" s="810"/>
      <c r="FR19" s="810"/>
      <c r="FS19" s="810"/>
      <c r="FT19" s="810"/>
      <c r="FU19" s="810"/>
      <c r="FV19" s="810"/>
      <c r="FW19" s="810"/>
      <c r="FX19" s="810"/>
      <c r="FY19" s="810" t="s">
        <v>93</v>
      </c>
      <c r="FZ19" s="810" t="s">
        <v>93</v>
      </c>
      <c r="GA19" s="810"/>
      <c r="GB19" s="810"/>
      <c r="GC19" s="810"/>
      <c r="GD19" s="810"/>
      <c r="GE19" s="810"/>
      <c r="GF19" s="810" t="s">
        <v>93</v>
      </c>
      <c r="GG19" s="810" t="s">
        <v>93</v>
      </c>
      <c r="GH19" s="810" t="s">
        <v>93</v>
      </c>
      <c r="GI19" s="810" t="s">
        <v>93</v>
      </c>
      <c r="GJ19" s="810"/>
      <c r="GK19" s="810"/>
      <c r="GL19" s="810"/>
      <c r="GM19" s="810"/>
      <c r="GN19" s="810" t="s">
        <v>93</v>
      </c>
      <c r="GO19" s="810"/>
      <c r="GP19" s="810"/>
      <c r="GQ19" s="810"/>
      <c r="GR19" s="810"/>
      <c r="GS19" s="810"/>
      <c r="GT19" s="810"/>
      <c r="GU19" s="810"/>
      <c r="GV19" s="810"/>
      <c r="GW19" s="810"/>
      <c r="GX19" s="810"/>
      <c r="GY19" s="810" t="s">
        <v>1367</v>
      </c>
      <c r="GZ19" s="811"/>
      <c r="HA19" s="810"/>
      <c r="HB19" s="810"/>
      <c r="HC19" s="810"/>
      <c r="HD19" s="810"/>
      <c r="HE19" s="810"/>
      <c r="HF19" s="810"/>
      <c r="HG19" s="810"/>
      <c r="HH19" s="810" t="s">
        <v>93</v>
      </c>
      <c r="HI19" s="810"/>
      <c r="HJ19" s="810" t="s">
        <v>93</v>
      </c>
      <c r="HK19" s="810"/>
      <c r="HL19" s="810"/>
      <c r="HM19" s="810"/>
      <c r="HN19" s="810"/>
      <c r="HO19" s="810"/>
      <c r="HP19" s="810"/>
      <c r="HQ19" s="810"/>
      <c r="HR19" s="810"/>
      <c r="HS19" s="810"/>
      <c r="HT19" s="810"/>
      <c r="HU19" s="810"/>
      <c r="HV19" s="810"/>
      <c r="HW19" s="810"/>
      <c r="HX19" s="810" t="s">
        <v>93</v>
      </c>
      <c r="HY19" s="857"/>
      <c r="HZ19" s="857"/>
      <c r="IA19" s="857"/>
      <c r="IB19" s="857"/>
      <c r="IC19" s="857"/>
      <c r="ID19" s="857"/>
      <c r="IE19" s="857"/>
      <c r="IF19" s="857"/>
      <c r="IG19" s="857"/>
      <c r="IH19" s="857"/>
      <c r="II19" s="857"/>
      <c r="IJ19" s="857"/>
      <c r="IK19" s="857"/>
      <c r="IL19" s="857"/>
      <c r="IM19" s="857"/>
      <c r="IN19" s="857"/>
      <c r="IO19" s="857"/>
      <c r="IP19" s="857"/>
      <c r="IQ19" s="857"/>
      <c r="IR19" s="857"/>
      <c r="IS19" s="857"/>
      <c r="IT19" s="857"/>
      <c r="IU19" s="857"/>
      <c r="IV19" s="857"/>
    </row>
    <row r="20" spans="1:256" s="794" customFormat="1" ht="20.100000000000001" customHeight="1">
      <c r="A20" s="820" t="s">
        <v>105</v>
      </c>
      <c r="B20" s="821"/>
      <c r="C20" s="810" t="str">
        <f>IF(ISTEXT(IFERROR(VLOOKUP(A20,职业列表!I3:J10,1,FALSE),0)),"★","")</f>
        <v/>
      </c>
      <c r="D20" s="821"/>
      <c r="E20" s="821" t="s">
        <v>93</v>
      </c>
      <c r="F20" s="821"/>
      <c r="G20" s="821"/>
      <c r="H20" s="821"/>
      <c r="I20" s="821"/>
      <c r="J20" s="821"/>
      <c r="K20" s="821"/>
      <c r="L20" s="821"/>
      <c r="M20" s="821"/>
      <c r="N20" s="821"/>
      <c r="O20" s="821"/>
      <c r="P20" s="821" t="s">
        <v>93</v>
      </c>
      <c r="Q20" s="821"/>
      <c r="R20" s="821"/>
      <c r="S20" s="821"/>
      <c r="T20" s="821"/>
      <c r="U20" s="821"/>
      <c r="V20" s="821"/>
      <c r="W20" s="821" t="s">
        <v>93</v>
      </c>
      <c r="X20" s="821"/>
      <c r="Y20" s="821"/>
      <c r="Z20" s="821"/>
      <c r="AA20" s="821"/>
      <c r="AB20" s="821" t="s">
        <v>93</v>
      </c>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c r="BC20" s="821"/>
      <c r="BD20" s="821"/>
      <c r="BE20" s="821"/>
      <c r="BF20" s="821" t="s">
        <v>93</v>
      </c>
      <c r="BG20" s="821"/>
      <c r="BH20" s="821"/>
      <c r="BI20" s="821"/>
      <c r="BJ20" s="821"/>
      <c r="BK20" s="821"/>
      <c r="BL20" s="821"/>
      <c r="BM20" s="821"/>
      <c r="BN20" s="821"/>
      <c r="BO20" s="821"/>
      <c r="BP20" s="821"/>
      <c r="BQ20" s="821"/>
      <c r="BR20" s="821"/>
      <c r="BS20" s="821"/>
      <c r="BT20" s="821" t="s">
        <v>93</v>
      </c>
      <c r="BU20" s="821"/>
      <c r="BV20" s="821"/>
      <c r="BW20" s="821"/>
      <c r="BX20" s="821"/>
      <c r="BY20" s="821"/>
      <c r="BZ20" s="821"/>
      <c r="CA20" s="821"/>
      <c r="CB20" s="821"/>
      <c r="CC20" s="821"/>
      <c r="CD20" s="821"/>
      <c r="CE20" s="821"/>
      <c r="CF20" s="821"/>
      <c r="CG20" s="821"/>
      <c r="CH20" s="821"/>
      <c r="CI20" s="821"/>
      <c r="CJ20" s="821"/>
      <c r="CK20" s="821"/>
      <c r="CL20" s="821"/>
      <c r="CM20" s="821"/>
      <c r="CN20" s="821"/>
      <c r="CO20" s="821"/>
      <c r="CP20" s="821"/>
      <c r="CQ20" s="821"/>
      <c r="CR20" s="821" t="s">
        <v>93</v>
      </c>
      <c r="CS20" s="821"/>
      <c r="CT20" s="821"/>
      <c r="CU20" s="821"/>
      <c r="CV20" s="821"/>
      <c r="CW20" s="821"/>
      <c r="CX20" s="821"/>
      <c r="CY20" s="821"/>
      <c r="CZ20" s="821"/>
      <c r="DA20" s="821"/>
      <c r="DB20" s="821" t="s">
        <v>93</v>
      </c>
      <c r="DC20" s="821"/>
      <c r="DD20" s="821"/>
      <c r="DE20" s="821" t="s">
        <v>93</v>
      </c>
      <c r="DF20" s="821"/>
      <c r="DG20" s="821"/>
      <c r="DH20" s="821"/>
      <c r="DI20" s="821" t="s">
        <v>93</v>
      </c>
      <c r="DJ20" s="821"/>
      <c r="DK20" s="821"/>
      <c r="DL20" s="821"/>
      <c r="DM20" s="821" t="s">
        <v>93</v>
      </c>
      <c r="DN20" s="821"/>
      <c r="DO20" s="821"/>
      <c r="DP20" s="821"/>
      <c r="DQ20" s="821" t="s">
        <v>93</v>
      </c>
      <c r="DR20" s="821" t="s">
        <v>93</v>
      </c>
      <c r="DS20" s="821" t="s">
        <v>93</v>
      </c>
      <c r="DT20" s="821"/>
      <c r="DU20" s="821"/>
      <c r="DV20" s="821"/>
      <c r="DW20" s="821"/>
      <c r="DX20" s="821"/>
      <c r="DY20" s="821"/>
      <c r="DZ20" s="821"/>
      <c r="EA20" s="821"/>
      <c r="EB20" s="821"/>
      <c r="EC20" s="821"/>
      <c r="ED20" s="821"/>
      <c r="EE20" s="821"/>
      <c r="EF20" s="821"/>
      <c r="EG20" s="821"/>
      <c r="EH20" s="821"/>
      <c r="EI20" s="821"/>
      <c r="EJ20" s="821"/>
      <c r="EK20" s="821"/>
      <c r="EL20" s="821"/>
      <c r="EM20" s="821" t="s">
        <v>93</v>
      </c>
      <c r="EN20" s="821"/>
      <c r="EO20" s="821"/>
      <c r="EP20" s="821"/>
      <c r="EQ20" s="821"/>
      <c r="ER20" s="821"/>
      <c r="ES20" s="821"/>
      <c r="ET20" s="821"/>
      <c r="EU20" s="821"/>
      <c r="EV20" s="821"/>
      <c r="EW20" s="821"/>
      <c r="EX20" s="821"/>
      <c r="EY20" s="821"/>
      <c r="EZ20" s="821"/>
      <c r="FA20" s="821"/>
      <c r="FB20" s="821"/>
      <c r="FC20" s="821"/>
      <c r="FD20" s="821"/>
      <c r="FE20" s="821"/>
      <c r="FF20" s="821"/>
      <c r="FG20" s="821"/>
      <c r="FH20" s="821"/>
      <c r="FI20" s="821"/>
      <c r="FJ20" s="821"/>
      <c r="FK20" s="821"/>
      <c r="FL20" s="821"/>
      <c r="FM20" s="821"/>
      <c r="FN20" s="821"/>
      <c r="FO20" s="821" t="s">
        <v>93</v>
      </c>
      <c r="FP20" s="821"/>
      <c r="FQ20" s="821"/>
      <c r="FR20" s="821"/>
      <c r="FS20" s="821"/>
      <c r="FT20" s="821"/>
      <c r="FU20" s="821"/>
      <c r="FV20" s="821"/>
      <c r="FW20" s="821"/>
      <c r="FX20" s="821"/>
      <c r="FY20" s="821"/>
      <c r="FZ20" s="821"/>
      <c r="GA20" s="821"/>
      <c r="GB20" s="821"/>
      <c r="GC20" s="821" t="s">
        <v>93</v>
      </c>
      <c r="GD20" s="821" t="s">
        <v>93</v>
      </c>
      <c r="GE20" s="821"/>
      <c r="GF20" s="821"/>
      <c r="GG20" s="821"/>
      <c r="GH20" s="821"/>
      <c r="GI20" s="821"/>
      <c r="GJ20" s="821" t="s">
        <v>93</v>
      </c>
      <c r="GK20" s="821"/>
      <c r="GL20" s="821"/>
      <c r="GM20" s="821"/>
      <c r="GN20" s="821"/>
      <c r="GO20" s="821"/>
      <c r="GP20" s="821"/>
      <c r="GQ20" s="821"/>
      <c r="GR20" s="821"/>
      <c r="GS20" s="821"/>
      <c r="GT20" s="821"/>
      <c r="GU20" s="821" t="s">
        <v>93</v>
      </c>
      <c r="GV20" s="821"/>
      <c r="GW20" s="821"/>
      <c r="GX20" s="821"/>
      <c r="GY20" s="821"/>
      <c r="GZ20" s="821"/>
      <c r="HA20" s="821"/>
      <c r="HB20" s="821"/>
      <c r="HC20" s="821"/>
      <c r="HD20" s="821" t="s">
        <v>93</v>
      </c>
      <c r="HE20" s="821"/>
      <c r="HF20" s="821"/>
      <c r="HG20" s="821"/>
      <c r="HH20" s="821"/>
      <c r="HI20" s="821"/>
      <c r="HJ20" s="856" t="s">
        <v>93</v>
      </c>
      <c r="HK20" s="821"/>
      <c r="HL20" s="821"/>
      <c r="HM20" s="821"/>
      <c r="HN20" s="821" t="s">
        <v>93</v>
      </c>
      <c r="HO20" s="821" t="s">
        <v>93</v>
      </c>
      <c r="HP20" s="821"/>
      <c r="HQ20" s="821"/>
      <c r="HR20" s="821" t="s">
        <v>93</v>
      </c>
      <c r="HS20" s="821"/>
      <c r="HT20" s="821"/>
      <c r="HU20" s="821" t="s">
        <v>93</v>
      </c>
      <c r="HV20" s="821"/>
      <c r="HW20" s="856" t="s">
        <v>93</v>
      </c>
      <c r="HX20" s="821"/>
      <c r="HY20" s="862"/>
      <c r="HZ20" s="862"/>
      <c r="IA20" s="862"/>
      <c r="IB20" s="862"/>
      <c r="IC20" s="862"/>
      <c r="ID20" s="862"/>
      <c r="IE20" s="862"/>
      <c r="IF20" s="862"/>
      <c r="IG20" s="862"/>
      <c r="IH20" s="862"/>
      <c r="II20" s="862"/>
      <c r="IJ20" s="862"/>
      <c r="IK20" s="862"/>
      <c r="IL20" s="862"/>
      <c r="IM20" s="862"/>
      <c r="IN20" s="862"/>
      <c r="IO20" s="862"/>
      <c r="IP20" s="862"/>
      <c r="IQ20" s="862"/>
      <c r="IR20" s="862"/>
      <c r="IS20" s="862"/>
      <c r="IT20" s="862"/>
      <c r="IU20" s="862"/>
      <c r="IV20" s="862"/>
    </row>
    <row r="21" spans="1:256" ht="20.100000000000001" customHeight="1">
      <c r="A21" s="809" t="s">
        <v>109</v>
      </c>
      <c r="B21" s="810"/>
      <c r="C21" s="810" t="str">
        <f>IF(ISTEXT(IFERROR(VLOOKUP(A21,职业列表!I3:J10,1,FALSE),0)),"★","")</f>
        <v/>
      </c>
      <c r="D21" s="810"/>
      <c r="E21" s="810"/>
      <c r="F21" s="810"/>
      <c r="G21" s="810" t="s">
        <v>93</v>
      </c>
      <c r="H21" s="810"/>
      <c r="I21" s="810"/>
      <c r="J21" s="810"/>
      <c r="K21" s="810"/>
      <c r="L21" s="810" t="s">
        <v>93</v>
      </c>
      <c r="M21" s="810"/>
      <c r="N21" s="810"/>
      <c r="O21" s="810"/>
      <c r="P21" s="810"/>
      <c r="Q21" s="810"/>
      <c r="R21" s="810"/>
      <c r="S21" s="810"/>
      <c r="T21" s="810"/>
      <c r="U21" s="810" t="s">
        <v>93</v>
      </c>
      <c r="V21" s="810" t="s">
        <v>93</v>
      </c>
      <c r="W21" s="810"/>
      <c r="X21" s="810"/>
      <c r="Y21" s="810"/>
      <c r="Z21" s="810"/>
      <c r="AA21" s="810"/>
      <c r="AB21" s="810"/>
      <c r="AC21" s="810"/>
      <c r="AD21" s="810"/>
      <c r="AE21" s="810" t="s">
        <v>93</v>
      </c>
      <c r="AF21" s="810" t="s">
        <v>93</v>
      </c>
      <c r="AG21" s="810"/>
      <c r="AH21" s="810"/>
      <c r="AI21" s="810"/>
      <c r="AJ21" s="810" t="s">
        <v>93</v>
      </c>
      <c r="AK21" s="810"/>
      <c r="AL21" s="810"/>
      <c r="AM21" s="810" t="s">
        <v>1367</v>
      </c>
      <c r="AN21" s="810"/>
      <c r="AO21" s="810"/>
      <c r="AP21" s="810" t="s">
        <v>93</v>
      </c>
      <c r="AQ21" s="810"/>
      <c r="AR21" s="810"/>
      <c r="AS21" s="810"/>
      <c r="AT21" s="810"/>
      <c r="AU21" s="810"/>
      <c r="AV21" s="810" t="s">
        <v>93</v>
      </c>
      <c r="AW21" s="810" t="s">
        <v>93</v>
      </c>
      <c r="AX21" s="810" t="s">
        <v>93</v>
      </c>
      <c r="AY21" s="810"/>
      <c r="AZ21" s="810"/>
      <c r="BA21" s="810"/>
      <c r="BB21" s="810"/>
      <c r="BC21" s="810"/>
      <c r="BD21" s="810" t="s">
        <v>93</v>
      </c>
      <c r="BE21" s="810" t="s">
        <v>93</v>
      </c>
      <c r="BF21" s="810" t="s">
        <v>93</v>
      </c>
      <c r="BG21" s="810"/>
      <c r="BH21" s="810"/>
      <c r="BI21" s="810"/>
      <c r="BJ21" s="810"/>
      <c r="BK21" s="810" t="s">
        <v>93</v>
      </c>
      <c r="BL21" s="810"/>
      <c r="BM21" s="810"/>
      <c r="BN21" s="810"/>
      <c r="BO21" s="810"/>
      <c r="BP21" s="810"/>
      <c r="BQ21" s="810"/>
      <c r="BR21" s="810"/>
      <c r="BS21" s="810" t="s">
        <v>93</v>
      </c>
      <c r="BT21" s="810"/>
      <c r="BU21" s="810"/>
      <c r="BV21" s="810"/>
      <c r="BW21" s="810"/>
      <c r="BX21" s="810" t="s">
        <v>93</v>
      </c>
      <c r="BY21" s="810"/>
      <c r="BZ21" s="810"/>
      <c r="CA21" s="810"/>
      <c r="CB21" s="810"/>
      <c r="CC21" s="810"/>
      <c r="CD21" s="810"/>
      <c r="CE21" s="810"/>
      <c r="CF21" s="810"/>
      <c r="CG21" s="810"/>
      <c r="CH21" s="810"/>
      <c r="CI21" s="810"/>
      <c r="CJ21" s="810"/>
      <c r="CK21" s="810"/>
      <c r="CL21" s="810"/>
      <c r="CM21" s="810"/>
      <c r="CN21" s="811" t="s">
        <v>1367</v>
      </c>
      <c r="CO21" s="810"/>
      <c r="CP21" s="810"/>
      <c r="CQ21" s="810"/>
      <c r="CR21" s="810"/>
      <c r="CS21" s="810"/>
      <c r="CT21" s="810"/>
      <c r="CU21" s="810"/>
      <c r="CV21" s="810"/>
      <c r="CW21" s="810"/>
      <c r="CX21" s="810" t="s">
        <v>93</v>
      </c>
      <c r="CY21" s="810"/>
      <c r="CZ21" s="810"/>
      <c r="DA21" s="810"/>
      <c r="DB21" s="810"/>
      <c r="DC21" s="810"/>
      <c r="DD21" s="810"/>
      <c r="DE21" s="810" t="s">
        <v>1370</v>
      </c>
      <c r="DF21" s="810"/>
      <c r="DG21" s="810" t="s">
        <v>93</v>
      </c>
      <c r="DH21" s="810"/>
      <c r="DI21" s="810"/>
      <c r="DJ21" s="810"/>
      <c r="DK21" s="810"/>
      <c r="DL21" s="810"/>
      <c r="DM21" s="810"/>
      <c r="DN21" s="810"/>
      <c r="DO21" s="810"/>
      <c r="DP21" s="810"/>
      <c r="DQ21" s="810"/>
      <c r="DR21" s="810"/>
      <c r="DS21" s="810"/>
      <c r="DT21" s="810"/>
      <c r="DU21" s="810"/>
      <c r="DV21" s="810"/>
      <c r="DW21" s="810"/>
      <c r="DX21" s="810"/>
      <c r="DY21" s="810"/>
      <c r="DZ21" s="810"/>
      <c r="EA21" s="810"/>
      <c r="EB21" s="810"/>
      <c r="EC21" s="810"/>
      <c r="ED21" s="810"/>
      <c r="EE21" s="810"/>
      <c r="EF21" s="810"/>
      <c r="EG21" s="810"/>
      <c r="EH21" s="810"/>
      <c r="EI21" s="810" t="s">
        <v>93</v>
      </c>
      <c r="EJ21" s="810"/>
      <c r="EK21" s="810" t="s">
        <v>93</v>
      </c>
      <c r="EL21" s="810"/>
      <c r="EM21" s="810"/>
      <c r="EN21" s="810"/>
      <c r="EO21" s="810"/>
      <c r="EP21" s="810" t="s">
        <v>93</v>
      </c>
      <c r="EQ21" s="810"/>
      <c r="ER21" s="810" t="s">
        <v>93</v>
      </c>
      <c r="ES21" s="810" t="s">
        <v>93</v>
      </c>
      <c r="ET21" s="810"/>
      <c r="EU21" s="810"/>
      <c r="EV21" s="810"/>
      <c r="EW21" s="810"/>
      <c r="EX21" s="810"/>
      <c r="EY21" s="810"/>
      <c r="EZ21" s="810"/>
      <c r="FA21" s="810"/>
      <c r="FB21" s="810" t="s">
        <v>93</v>
      </c>
      <c r="FC21" s="810" t="s">
        <v>93</v>
      </c>
      <c r="FD21" s="810" t="s">
        <v>93</v>
      </c>
      <c r="FE21" s="810"/>
      <c r="FF21" s="810"/>
      <c r="FG21" s="810"/>
      <c r="FH21" s="810"/>
      <c r="FI21" s="810"/>
      <c r="FJ21" s="810"/>
      <c r="FK21" s="810"/>
      <c r="FL21" s="810"/>
      <c r="FM21" s="810"/>
      <c r="FN21" s="810"/>
      <c r="FO21" s="810"/>
      <c r="FP21" s="810"/>
      <c r="FQ21" s="810"/>
      <c r="FR21" s="810"/>
      <c r="FS21" s="810"/>
      <c r="FT21" s="810"/>
      <c r="FU21" s="810"/>
      <c r="FV21" s="810"/>
      <c r="FW21" s="810"/>
      <c r="FX21" s="810"/>
      <c r="FY21" s="810"/>
      <c r="FZ21" s="810"/>
      <c r="GA21" s="810"/>
      <c r="GB21" s="810"/>
      <c r="GC21" s="810"/>
      <c r="GD21" s="810"/>
      <c r="GE21" s="810"/>
      <c r="GF21" s="810"/>
      <c r="GG21" s="810"/>
      <c r="GH21" s="810"/>
      <c r="GI21" s="810"/>
      <c r="GJ21" s="810"/>
      <c r="GK21" s="810"/>
      <c r="GL21" s="810"/>
      <c r="GM21" s="810"/>
      <c r="GN21" s="810"/>
      <c r="GO21" s="810" t="s">
        <v>93</v>
      </c>
      <c r="GP21" s="810"/>
      <c r="GQ21" s="810"/>
      <c r="GR21" s="810" t="s">
        <v>93</v>
      </c>
      <c r="GS21" s="810"/>
      <c r="GT21" s="810"/>
      <c r="GU21" s="810"/>
      <c r="GV21" s="810"/>
      <c r="GW21" s="810" t="s">
        <v>1367</v>
      </c>
      <c r="GX21" s="810"/>
      <c r="GY21" s="810"/>
      <c r="GZ21" s="810"/>
      <c r="HA21" s="810"/>
      <c r="HB21" s="810"/>
      <c r="HC21" s="810"/>
      <c r="HD21" s="811" t="s">
        <v>93</v>
      </c>
      <c r="HE21" s="810"/>
      <c r="HF21" s="810"/>
      <c r="HG21" s="810"/>
      <c r="HH21" s="810"/>
      <c r="HI21" s="810"/>
      <c r="HJ21" s="810"/>
      <c r="HK21" s="810"/>
      <c r="HL21" s="810"/>
      <c r="HM21" s="810"/>
      <c r="HN21" s="810"/>
      <c r="HO21" s="811" t="s">
        <v>1370</v>
      </c>
      <c r="HP21" s="810"/>
      <c r="HQ21" s="810"/>
      <c r="HR21" s="810"/>
      <c r="HS21" s="810"/>
      <c r="HT21" s="810"/>
      <c r="HU21" s="810" t="s">
        <v>1370</v>
      </c>
      <c r="HV21" s="810"/>
      <c r="HW21" s="810"/>
      <c r="HX21" s="810"/>
      <c r="HY21" s="857"/>
      <c r="HZ21" s="857"/>
      <c r="IA21" s="857"/>
      <c r="IB21" s="857"/>
      <c r="IC21" s="857"/>
      <c r="ID21" s="857"/>
      <c r="IE21" s="857"/>
      <c r="IF21" s="857"/>
      <c r="IG21" s="857"/>
      <c r="IH21" s="857"/>
      <c r="II21" s="857"/>
      <c r="IJ21" s="857"/>
      <c r="IK21" s="857"/>
      <c r="IL21" s="857"/>
      <c r="IM21" s="857"/>
      <c r="IN21" s="857"/>
      <c r="IO21" s="857"/>
      <c r="IP21" s="857"/>
      <c r="IQ21" s="857"/>
      <c r="IR21" s="857"/>
      <c r="IS21" s="857"/>
      <c r="IT21" s="857"/>
      <c r="IU21" s="857"/>
      <c r="IV21" s="857"/>
    </row>
    <row r="22" spans="1:256" ht="20.100000000000001" customHeight="1">
      <c r="A22" s="809" t="s">
        <v>111</v>
      </c>
      <c r="B22" s="810"/>
      <c r="C22" s="810" t="str">
        <f>IF(ISTEXT(IFERROR(VLOOKUP(A22,职业列表!I3:J10,1,FALSE),0)),"★","")</f>
        <v/>
      </c>
      <c r="D22" s="810"/>
      <c r="E22" s="810"/>
      <c r="F22" s="810"/>
      <c r="G22" s="810"/>
      <c r="H22" s="810"/>
      <c r="I22" s="810"/>
      <c r="J22" s="810"/>
      <c r="K22" s="810"/>
      <c r="L22" s="810"/>
      <c r="M22" s="810"/>
      <c r="N22" s="810"/>
      <c r="O22" s="810"/>
      <c r="P22" s="810"/>
      <c r="Q22" s="810"/>
      <c r="R22" s="810"/>
      <c r="S22" s="810"/>
      <c r="T22" s="810"/>
      <c r="U22" s="810"/>
      <c r="V22" s="810" t="s">
        <v>1367</v>
      </c>
      <c r="W22" s="810"/>
      <c r="X22" s="810"/>
      <c r="Y22" s="810"/>
      <c r="Z22" s="810" t="s">
        <v>93</v>
      </c>
      <c r="AA22" s="810" t="s">
        <v>93</v>
      </c>
      <c r="AB22" s="810"/>
      <c r="AC22" s="810"/>
      <c r="AD22" s="810" t="s">
        <v>93</v>
      </c>
      <c r="AE22" s="810" t="s">
        <v>1367</v>
      </c>
      <c r="AF22" s="810"/>
      <c r="AG22" s="810" t="s">
        <v>1367</v>
      </c>
      <c r="AH22" s="810"/>
      <c r="AI22" s="810"/>
      <c r="AJ22" s="810"/>
      <c r="AK22" s="810"/>
      <c r="AL22" s="810"/>
      <c r="AM22" s="810"/>
      <c r="AN22" s="810"/>
      <c r="AO22" s="810"/>
      <c r="AP22" s="810"/>
      <c r="AQ22" s="810"/>
      <c r="AR22" s="810"/>
      <c r="AS22" s="810"/>
      <c r="AT22" s="810"/>
      <c r="AU22" s="810"/>
      <c r="AV22" s="810"/>
      <c r="AW22" s="810"/>
      <c r="AX22" s="810" t="s">
        <v>93</v>
      </c>
      <c r="AY22" s="810"/>
      <c r="AZ22" s="810"/>
      <c r="BA22" s="810" t="s">
        <v>93</v>
      </c>
      <c r="BB22" s="810"/>
      <c r="BC22" s="810"/>
      <c r="BD22" s="810"/>
      <c r="BE22" s="810"/>
      <c r="BF22" s="810"/>
      <c r="BG22" s="810"/>
      <c r="BH22" s="810"/>
      <c r="BI22" s="810"/>
      <c r="BJ22" s="810"/>
      <c r="BK22" s="810"/>
      <c r="BL22" s="810"/>
      <c r="BM22" s="810"/>
      <c r="BN22" s="810" t="s">
        <v>93</v>
      </c>
      <c r="BO22" s="810"/>
      <c r="BP22" s="810"/>
      <c r="BQ22" s="810"/>
      <c r="BR22" s="810" t="s">
        <v>93</v>
      </c>
      <c r="BS22" s="810" t="s">
        <v>93</v>
      </c>
      <c r="BT22" s="810"/>
      <c r="BU22" s="810"/>
      <c r="BV22" s="810"/>
      <c r="BW22" s="810"/>
      <c r="BX22" s="810" t="s">
        <v>93</v>
      </c>
      <c r="BY22" s="810"/>
      <c r="BZ22" s="810"/>
      <c r="CA22" s="810"/>
      <c r="CB22" s="810"/>
      <c r="CC22" s="810"/>
      <c r="CD22" s="810"/>
      <c r="CE22" s="810"/>
      <c r="CF22" s="810"/>
      <c r="CG22" s="810"/>
      <c r="CH22" s="810"/>
      <c r="CI22" s="810"/>
      <c r="CJ22" s="810"/>
      <c r="CK22" s="810" t="s">
        <v>93</v>
      </c>
      <c r="CL22" s="810" t="s">
        <v>93</v>
      </c>
      <c r="CM22" s="810"/>
      <c r="CN22" s="810"/>
      <c r="CO22" s="810"/>
      <c r="CP22" s="810"/>
      <c r="CQ22" s="810"/>
      <c r="CR22" s="810"/>
      <c r="CS22" s="810"/>
      <c r="CT22" s="810"/>
      <c r="CU22" s="810"/>
      <c r="CV22" s="810" t="s">
        <v>1367</v>
      </c>
      <c r="CW22" s="810"/>
      <c r="CX22" s="810"/>
      <c r="CY22" s="810"/>
      <c r="CZ22" s="810"/>
      <c r="DA22" s="810" t="s">
        <v>93</v>
      </c>
      <c r="DB22" s="810"/>
      <c r="DC22" s="810"/>
      <c r="DD22" s="810"/>
      <c r="DE22" s="810" t="s">
        <v>1367</v>
      </c>
      <c r="DF22" s="810"/>
      <c r="DG22" s="810"/>
      <c r="DH22" s="810"/>
      <c r="DI22" s="810"/>
      <c r="DJ22" s="810"/>
      <c r="DK22" s="810"/>
      <c r="DL22" s="810"/>
      <c r="DM22" s="810"/>
      <c r="DN22" s="810"/>
      <c r="DO22" s="810"/>
      <c r="DP22" s="810"/>
      <c r="DQ22" s="810"/>
      <c r="DR22" s="810"/>
      <c r="DS22" s="810"/>
      <c r="DT22" s="810"/>
      <c r="DU22" s="810"/>
      <c r="DV22" s="810"/>
      <c r="DW22" s="810"/>
      <c r="DX22" s="810"/>
      <c r="DY22" s="810"/>
      <c r="DZ22" s="810"/>
      <c r="EA22" s="810"/>
      <c r="EB22" s="810"/>
      <c r="EC22" s="810"/>
      <c r="ED22" s="810"/>
      <c r="EE22" s="810"/>
      <c r="EF22" s="810"/>
      <c r="EG22" s="810"/>
      <c r="EH22" s="810"/>
      <c r="EI22" s="810" t="s">
        <v>93</v>
      </c>
      <c r="EJ22" s="810"/>
      <c r="EK22" s="810" t="s">
        <v>93</v>
      </c>
      <c r="EL22" s="810"/>
      <c r="EM22" s="810"/>
      <c r="EN22" s="810" t="s">
        <v>1367</v>
      </c>
      <c r="EO22" s="810"/>
      <c r="EP22" s="810" t="s">
        <v>93</v>
      </c>
      <c r="EQ22" s="810"/>
      <c r="ER22" s="810"/>
      <c r="ES22" s="810"/>
      <c r="ET22" s="810"/>
      <c r="EU22" s="810"/>
      <c r="EV22" s="810"/>
      <c r="EW22" s="810"/>
      <c r="EX22" s="810"/>
      <c r="EY22" s="810"/>
      <c r="EZ22" s="810" t="s">
        <v>93</v>
      </c>
      <c r="FA22" s="810"/>
      <c r="FB22" s="810" t="s">
        <v>1367</v>
      </c>
      <c r="FC22" s="810"/>
      <c r="FD22" s="810"/>
      <c r="FE22" s="810"/>
      <c r="FF22" s="810"/>
      <c r="FG22" s="810"/>
      <c r="FH22" s="810"/>
      <c r="FI22" s="810"/>
      <c r="FJ22" s="810"/>
      <c r="FK22" s="810"/>
      <c r="FL22" s="810"/>
      <c r="FM22" s="810"/>
      <c r="FN22" s="810"/>
      <c r="FO22" s="810"/>
      <c r="FP22" s="810"/>
      <c r="FQ22" s="810"/>
      <c r="FR22" s="810"/>
      <c r="FS22" s="810"/>
      <c r="FT22" s="810"/>
      <c r="FU22" s="810" t="s">
        <v>93</v>
      </c>
      <c r="FV22" s="810"/>
      <c r="FW22" s="810"/>
      <c r="FX22" s="810"/>
      <c r="FY22" s="810"/>
      <c r="FZ22" s="810"/>
      <c r="GA22" s="810" t="s">
        <v>93</v>
      </c>
      <c r="GB22" s="810"/>
      <c r="GC22" s="810"/>
      <c r="GD22" s="810"/>
      <c r="GE22" s="810"/>
      <c r="GF22" s="810"/>
      <c r="GG22" s="810"/>
      <c r="GH22" s="810"/>
      <c r="GI22" s="810"/>
      <c r="GJ22" s="810"/>
      <c r="GK22" s="810"/>
      <c r="GL22" s="810"/>
      <c r="GM22" s="810"/>
      <c r="GN22" s="810" t="s">
        <v>93</v>
      </c>
      <c r="GO22" s="810"/>
      <c r="GP22" s="810" t="s">
        <v>93</v>
      </c>
      <c r="GQ22" s="810"/>
      <c r="GR22" s="810" t="s">
        <v>93</v>
      </c>
      <c r="GS22" s="810"/>
      <c r="GT22" s="810" t="s">
        <v>93</v>
      </c>
      <c r="GU22" s="810"/>
      <c r="GV22" s="810"/>
      <c r="GW22" s="810"/>
      <c r="GX22" s="810" t="s">
        <v>93</v>
      </c>
      <c r="GY22" s="810"/>
      <c r="GZ22" s="810"/>
      <c r="HA22" s="810"/>
      <c r="HB22" s="810"/>
      <c r="HC22" s="810"/>
      <c r="HD22" s="810"/>
      <c r="HE22" s="810"/>
      <c r="HF22" s="810"/>
      <c r="HG22" s="810"/>
      <c r="HH22" s="810"/>
      <c r="HI22" s="810"/>
      <c r="HJ22" s="810"/>
      <c r="HK22" s="810"/>
      <c r="HL22" s="810"/>
      <c r="HM22" s="810"/>
      <c r="HN22" s="810"/>
      <c r="HO22" s="810"/>
      <c r="HP22" s="810"/>
      <c r="HQ22" s="810"/>
      <c r="HR22" s="810"/>
      <c r="HS22" s="810"/>
      <c r="HT22" s="810"/>
      <c r="HU22" s="810"/>
      <c r="HV22" s="810"/>
      <c r="HW22" s="810"/>
      <c r="HX22" s="810"/>
      <c r="HY22" s="857"/>
      <c r="HZ22" s="857"/>
      <c r="IA22" s="857"/>
      <c r="IB22" s="857"/>
      <c r="IC22" s="857"/>
      <c r="ID22" s="857"/>
      <c r="IE22" s="857"/>
      <c r="IF22" s="857"/>
      <c r="IG22" s="857"/>
      <c r="IH22" s="857"/>
      <c r="II22" s="857"/>
      <c r="IJ22" s="857"/>
      <c r="IK22" s="857"/>
      <c r="IL22" s="857"/>
      <c r="IM22" s="857"/>
      <c r="IN22" s="857"/>
      <c r="IO22" s="857"/>
      <c r="IP22" s="857"/>
      <c r="IQ22" s="857"/>
      <c r="IR22" s="857"/>
      <c r="IS22" s="857"/>
      <c r="IT22" s="857"/>
      <c r="IU22" s="857"/>
      <c r="IV22" s="857"/>
    </row>
    <row r="23" spans="1:256" ht="20.100000000000001" customHeight="1">
      <c r="A23" s="819" t="s">
        <v>114</v>
      </c>
      <c r="B23" s="810"/>
      <c r="C23" s="811" t="str">
        <f>IF(ISTEXT(IFERROR(VLOOKUP(A23,职业列表!I3:J10,1,FALSE),0)),"★","")</f>
        <v/>
      </c>
      <c r="D23" s="810"/>
      <c r="E23" s="810"/>
      <c r="F23" s="810"/>
      <c r="G23" s="810"/>
      <c r="H23" s="810"/>
      <c r="I23" s="810"/>
      <c r="J23" s="810"/>
      <c r="K23" s="810"/>
      <c r="L23" s="810"/>
      <c r="M23" s="810"/>
      <c r="N23" s="810"/>
      <c r="O23" s="810"/>
      <c r="P23" s="810"/>
      <c r="Q23" s="810"/>
      <c r="R23" s="810"/>
      <c r="S23" s="810"/>
      <c r="T23" s="810"/>
      <c r="U23" s="810"/>
      <c r="V23" s="810" t="s">
        <v>1367</v>
      </c>
      <c r="W23" s="810"/>
      <c r="X23" s="810"/>
      <c r="Y23" s="810"/>
      <c r="Z23" s="810" t="s">
        <v>93</v>
      </c>
      <c r="AA23" s="810" t="s">
        <v>93</v>
      </c>
      <c r="AB23" s="810"/>
      <c r="AC23" s="810"/>
      <c r="AD23" s="810"/>
      <c r="AE23" s="810"/>
      <c r="AF23" s="810"/>
      <c r="AG23" s="810"/>
      <c r="AH23" s="810"/>
      <c r="AI23" s="810"/>
      <c r="AJ23" s="810"/>
      <c r="AK23" s="810"/>
      <c r="AL23" s="810"/>
      <c r="AM23" s="810"/>
      <c r="AN23" s="810"/>
      <c r="AO23" s="810"/>
      <c r="AP23" s="810"/>
      <c r="AQ23" s="810"/>
      <c r="AR23" s="810"/>
      <c r="AS23" s="810"/>
      <c r="AT23" s="810"/>
      <c r="AU23" s="810"/>
      <c r="AV23" s="810"/>
      <c r="AW23" s="810"/>
      <c r="AX23" s="810"/>
      <c r="AY23" s="810"/>
      <c r="AZ23" s="810"/>
      <c r="BA23" s="810"/>
      <c r="BB23" s="810"/>
      <c r="BC23" s="810"/>
      <c r="BD23" s="810"/>
      <c r="BE23" s="810"/>
      <c r="BF23" s="810"/>
      <c r="BG23" s="810"/>
      <c r="BH23" s="810"/>
      <c r="BI23" s="810"/>
      <c r="BJ23" s="810"/>
      <c r="BK23" s="810"/>
      <c r="BL23" s="810"/>
      <c r="BM23" s="810"/>
      <c r="BN23" s="810"/>
      <c r="BO23" s="810"/>
      <c r="BP23" s="810"/>
      <c r="BQ23" s="810"/>
      <c r="BR23" s="810"/>
      <c r="BS23" s="810"/>
      <c r="BT23" s="810"/>
      <c r="BU23" s="810"/>
      <c r="BV23" s="810"/>
      <c r="BW23" s="810"/>
      <c r="BX23" s="810"/>
      <c r="BY23" s="810"/>
      <c r="BZ23" s="810"/>
      <c r="CA23" s="810"/>
      <c r="CB23" s="810"/>
      <c r="CC23" s="810"/>
      <c r="CD23" s="810"/>
      <c r="CE23" s="810"/>
      <c r="CF23" s="810"/>
      <c r="CG23" s="810"/>
      <c r="CH23" s="810"/>
      <c r="CI23" s="810"/>
      <c r="CJ23" s="810"/>
      <c r="CK23" s="810"/>
      <c r="CL23" s="810"/>
      <c r="CM23" s="810"/>
      <c r="CN23" s="810"/>
      <c r="CO23" s="810"/>
      <c r="CP23" s="810"/>
      <c r="CQ23" s="810"/>
      <c r="CR23" s="810"/>
      <c r="CS23" s="810"/>
      <c r="CT23" s="810"/>
      <c r="CU23" s="810"/>
      <c r="CV23" s="810"/>
      <c r="CW23" s="810"/>
      <c r="CX23" s="810"/>
      <c r="CY23" s="810"/>
      <c r="CZ23" s="810"/>
      <c r="DA23" s="810"/>
      <c r="DB23" s="810"/>
      <c r="DC23" s="810"/>
      <c r="DD23" s="810"/>
      <c r="DE23" s="810"/>
      <c r="DF23" s="810"/>
      <c r="DG23" s="810"/>
      <c r="DH23" s="810"/>
      <c r="DI23" s="810"/>
      <c r="DJ23" s="810"/>
      <c r="DK23" s="810"/>
      <c r="DL23" s="810"/>
      <c r="DM23" s="810"/>
      <c r="DN23" s="810"/>
      <c r="DO23" s="810"/>
      <c r="DP23" s="810"/>
      <c r="DQ23" s="810"/>
      <c r="DR23" s="810"/>
      <c r="DS23" s="810"/>
      <c r="DT23" s="810"/>
      <c r="DU23" s="810"/>
      <c r="DV23" s="810"/>
      <c r="DW23" s="810"/>
      <c r="DX23" s="810"/>
      <c r="DY23" s="810"/>
      <c r="DZ23" s="810"/>
      <c r="EA23" s="810"/>
      <c r="EB23" s="810"/>
      <c r="EC23" s="810"/>
      <c r="ED23" s="810"/>
      <c r="EE23" s="810"/>
      <c r="EF23" s="810"/>
      <c r="EG23" s="810"/>
      <c r="EH23" s="810"/>
      <c r="EI23" s="810"/>
      <c r="EJ23" s="810"/>
      <c r="EK23" s="810"/>
      <c r="EL23" s="810"/>
      <c r="EM23" s="810"/>
      <c r="EN23" s="810"/>
      <c r="EO23" s="810"/>
      <c r="EP23" s="810"/>
      <c r="EQ23" s="810"/>
      <c r="ER23" s="810"/>
      <c r="ES23" s="810"/>
      <c r="ET23" s="810"/>
      <c r="EU23" s="810"/>
      <c r="EV23" s="810"/>
      <c r="EW23" s="810"/>
      <c r="EX23" s="810"/>
      <c r="EY23" s="810"/>
      <c r="EZ23" s="810"/>
      <c r="FA23" s="810"/>
      <c r="FB23" s="810"/>
      <c r="FC23" s="810"/>
      <c r="FD23" s="810"/>
      <c r="FE23" s="810"/>
      <c r="FF23" s="810"/>
      <c r="FG23" s="810"/>
      <c r="FH23" s="810"/>
      <c r="FI23" s="810"/>
      <c r="FJ23" s="810"/>
      <c r="FK23" s="810"/>
      <c r="FL23" s="810"/>
      <c r="FM23" s="810"/>
      <c r="FN23" s="810"/>
      <c r="FO23" s="810"/>
      <c r="FP23" s="810"/>
      <c r="FQ23" s="810"/>
      <c r="FR23" s="810"/>
      <c r="FS23" s="810"/>
      <c r="FT23" s="810"/>
      <c r="FU23" s="810"/>
      <c r="FV23" s="810"/>
      <c r="FW23" s="810"/>
      <c r="FX23" s="810"/>
      <c r="FY23" s="810"/>
      <c r="FZ23" s="810"/>
      <c r="GA23" s="810"/>
      <c r="GB23" s="810"/>
      <c r="GC23" s="810"/>
      <c r="GD23" s="810"/>
      <c r="GE23" s="810"/>
      <c r="GF23" s="810"/>
      <c r="GG23" s="810"/>
      <c r="GH23" s="810"/>
      <c r="GI23" s="810"/>
      <c r="GJ23" s="810"/>
      <c r="GK23" s="810"/>
      <c r="GL23" s="810"/>
      <c r="GM23" s="810"/>
      <c r="GN23" s="810"/>
      <c r="GO23" s="810"/>
      <c r="GP23" s="810"/>
      <c r="GQ23" s="810"/>
      <c r="GR23" s="810"/>
      <c r="GS23" s="810"/>
      <c r="GT23" s="810" t="s">
        <v>93</v>
      </c>
      <c r="GU23" s="810"/>
      <c r="GV23" s="810"/>
      <c r="GW23" s="810"/>
      <c r="GX23" s="810" t="s">
        <v>93</v>
      </c>
      <c r="GY23" s="810"/>
      <c r="GZ23" s="810"/>
      <c r="HA23" s="810"/>
      <c r="HB23" s="810"/>
      <c r="HC23" s="810"/>
      <c r="HD23" s="810"/>
      <c r="HE23" s="810"/>
      <c r="HF23" s="810"/>
      <c r="HG23" s="810"/>
      <c r="HH23" s="810"/>
      <c r="HI23" s="810"/>
      <c r="HJ23" s="810"/>
      <c r="HK23" s="810"/>
      <c r="HL23" s="810"/>
      <c r="HM23" s="810"/>
      <c r="HN23" s="810"/>
      <c r="HO23" s="810"/>
      <c r="HP23" s="810"/>
      <c r="HQ23" s="810"/>
      <c r="HR23" s="810"/>
      <c r="HS23" s="810"/>
      <c r="HT23" s="810"/>
      <c r="HU23" s="810"/>
      <c r="HV23" s="810"/>
      <c r="HW23" s="810"/>
      <c r="HX23" s="810"/>
      <c r="HY23" s="857"/>
      <c r="HZ23" s="857"/>
      <c r="IA23" s="857"/>
      <c r="IB23" s="857"/>
      <c r="IC23" s="857"/>
      <c r="ID23" s="857"/>
      <c r="IE23" s="857"/>
      <c r="IF23" s="857"/>
      <c r="IG23" s="857"/>
      <c r="IH23" s="857"/>
      <c r="II23" s="857"/>
      <c r="IJ23" s="857"/>
      <c r="IK23" s="857"/>
      <c r="IL23" s="857"/>
      <c r="IM23" s="857"/>
      <c r="IN23" s="857"/>
      <c r="IO23" s="857"/>
      <c r="IP23" s="857"/>
      <c r="IQ23" s="857"/>
      <c r="IR23" s="857"/>
      <c r="IS23" s="857"/>
      <c r="IT23" s="857"/>
      <c r="IU23" s="857"/>
      <c r="IV23" s="857"/>
    </row>
    <row r="24" spans="1:256" s="793" customFormat="1" ht="20.100000000000001" customHeight="1">
      <c r="A24" s="816" t="s">
        <v>116</v>
      </c>
      <c r="B24" s="817"/>
      <c r="C24" s="810" t="str">
        <f>IF(ISTEXT(IFERROR(VLOOKUP(A24,职业列表!I3:J10,1,FALSE),0)),"★","")</f>
        <v/>
      </c>
      <c r="D24" s="817"/>
      <c r="E24" s="817"/>
      <c r="F24" s="817" t="s">
        <v>1369</v>
      </c>
      <c r="G24" s="817" t="s">
        <v>1369</v>
      </c>
      <c r="H24" s="817" t="s">
        <v>1369</v>
      </c>
      <c r="I24" s="817"/>
      <c r="J24" s="817"/>
      <c r="K24" s="817" t="s">
        <v>1369</v>
      </c>
      <c r="L24" s="817" t="s">
        <v>1369</v>
      </c>
      <c r="M24" s="817"/>
      <c r="N24" s="817"/>
      <c r="O24" s="817" t="s">
        <v>1369</v>
      </c>
      <c r="P24" s="817" t="s">
        <v>1369</v>
      </c>
      <c r="Q24" s="817" t="s">
        <v>1369</v>
      </c>
      <c r="R24" s="817"/>
      <c r="S24" s="817" t="s">
        <v>1369</v>
      </c>
      <c r="T24" s="817"/>
      <c r="U24" s="817" t="s">
        <v>1369</v>
      </c>
      <c r="V24" s="817" t="s">
        <v>1369</v>
      </c>
      <c r="W24" s="817"/>
      <c r="X24" s="817"/>
      <c r="Y24" s="817" t="s">
        <v>1369</v>
      </c>
      <c r="Z24" s="817"/>
      <c r="AA24" s="817" t="s">
        <v>1369</v>
      </c>
      <c r="AB24" s="817"/>
      <c r="AC24" s="817"/>
      <c r="AD24" s="817"/>
      <c r="AE24" s="817"/>
      <c r="AF24" s="817" t="s">
        <v>1369</v>
      </c>
      <c r="AG24" s="817"/>
      <c r="AH24" s="817" t="s">
        <v>1369</v>
      </c>
      <c r="AI24" s="817" t="s">
        <v>1369</v>
      </c>
      <c r="AJ24" s="817" t="s">
        <v>1369</v>
      </c>
      <c r="AK24" s="817" t="s">
        <v>1369</v>
      </c>
      <c r="AL24" s="817"/>
      <c r="AM24" s="817" t="s">
        <v>1369</v>
      </c>
      <c r="AN24" s="817" t="s">
        <v>1369</v>
      </c>
      <c r="AO24" s="817" t="s">
        <v>1369</v>
      </c>
      <c r="AP24" s="817" t="s">
        <v>1369</v>
      </c>
      <c r="AQ24" s="843"/>
      <c r="AR24" s="817" t="s">
        <v>1369</v>
      </c>
      <c r="AS24" s="817"/>
      <c r="AT24" s="817"/>
      <c r="AU24" s="817" t="s">
        <v>1369</v>
      </c>
      <c r="AV24" s="817" t="s">
        <v>1369</v>
      </c>
      <c r="AW24" s="817" t="s">
        <v>1369</v>
      </c>
      <c r="AX24" s="817" t="s">
        <v>93</v>
      </c>
      <c r="AY24" s="817" t="s">
        <v>1369</v>
      </c>
      <c r="AZ24" s="817" t="s">
        <v>93</v>
      </c>
      <c r="BA24" s="817"/>
      <c r="BB24" s="817" t="s">
        <v>1369</v>
      </c>
      <c r="BC24" s="817"/>
      <c r="BD24" s="817" t="s">
        <v>1369</v>
      </c>
      <c r="BE24" s="817"/>
      <c r="BF24" s="817"/>
      <c r="BG24" s="817" t="s">
        <v>1369</v>
      </c>
      <c r="BH24" s="817"/>
      <c r="BI24" s="817" t="s">
        <v>1369</v>
      </c>
      <c r="BJ24" s="817" t="s">
        <v>1369</v>
      </c>
      <c r="BK24" s="817" t="s">
        <v>1369</v>
      </c>
      <c r="BL24" s="817" t="s">
        <v>1369</v>
      </c>
      <c r="BM24" s="817"/>
      <c r="BN24" s="817" t="s">
        <v>1369</v>
      </c>
      <c r="BO24" s="817" t="s">
        <v>1369</v>
      </c>
      <c r="BP24" s="817" t="s">
        <v>1369</v>
      </c>
      <c r="BQ24" s="817"/>
      <c r="BR24" s="817"/>
      <c r="BS24" s="817"/>
      <c r="BT24" s="817"/>
      <c r="BU24" s="843"/>
      <c r="BV24" s="817" t="s">
        <v>1369</v>
      </c>
      <c r="BW24" s="817"/>
      <c r="BX24" s="817"/>
      <c r="BY24" s="817" t="s">
        <v>1369</v>
      </c>
      <c r="BZ24" s="817" t="s">
        <v>1369</v>
      </c>
      <c r="CA24" s="817"/>
      <c r="CB24" s="817"/>
      <c r="CC24" s="817" t="s">
        <v>1369</v>
      </c>
      <c r="CD24" s="817" t="s">
        <v>1369</v>
      </c>
      <c r="CE24" s="817" t="s">
        <v>1369</v>
      </c>
      <c r="CF24" s="817"/>
      <c r="CG24" s="817"/>
      <c r="CH24" s="817" t="s">
        <v>1369</v>
      </c>
      <c r="CI24" s="817" t="s">
        <v>1369</v>
      </c>
      <c r="CJ24" s="817" t="s">
        <v>1369</v>
      </c>
      <c r="CK24" s="817"/>
      <c r="CL24" s="817"/>
      <c r="CM24" s="817" t="s">
        <v>1369</v>
      </c>
      <c r="CN24" s="817" t="s">
        <v>1369</v>
      </c>
      <c r="CO24" s="817" t="s">
        <v>1369</v>
      </c>
      <c r="CP24" s="817"/>
      <c r="CQ24" s="817"/>
      <c r="CR24" s="817" t="s">
        <v>1369</v>
      </c>
      <c r="CS24" s="817"/>
      <c r="CT24" s="817"/>
      <c r="CU24" s="817" t="s">
        <v>1369</v>
      </c>
      <c r="CV24" s="817"/>
      <c r="CW24" s="817" t="s">
        <v>1369</v>
      </c>
      <c r="CX24" s="817" t="s">
        <v>1369</v>
      </c>
      <c r="CY24" s="817" t="s">
        <v>1369</v>
      </c>
      <c r="CZ24" s="817" t="s">
        <v>1369</v>
      </c>
      <c r="DA24" s="817" t="s">
        <v>1369</v>
      </c>
      <c r="DB24" s="817"/>
      <c r="DC24" s="817" t="s">
        <v>1369</v>
      </c>
      <c r="DD24" s="817"/>
      <c r="DE24" s="817"/>
      <c r="DF24" s="817"/>
      <c r="DG24" s="817" t="s">
        <v>1369</v>
      </c>
      <c r="DH24" s="817" t="s">
        <v>1369</v>
      </c>
      <c r="DI24" s="817" t="s">
        <v>1369</v>
      </c>
      <c r="DJ24" s="817" t="s">
        <v>1369</v>
      </c>
      <c r="DK24" s="817" t="s">
        <v>1369</v>
      </c>
      <c r="DL24" s="817" t="s">
        <v>1369</v>
      </c>
      <c r="DM24" s="817"/>
      <c r="DN24" s="817" t="s">
        <v>93</v>
      </c>
      <c r="DO24" s="817" t="s">
        <v>1369</v>
      </c>
      <c r="DP24" s="817" t="s">
        <v>1369</v>
      </c>
      <c r="DQ24" s="817" t="s">
        <v>1369</v>
      </c>
      <c r="DR24" s="817" t="s">
        <v>1369</v>
      </c>
      <c r="DS24" s="817" t="s">
        <v>1369</v>
      </c>
      <c r="DT24" s="817" t="s">
        <v>1369</v>
      </c>
      <c r="DU24" s="817" t="s">
        <v>1369</v>
      </c>
      <c r="DV24" s="817" t="s">
        <v>1369</v>
      </c>
      <c r="DW24" s="817" t="s">
        <v>1369</v>
      </c>
      <c r="DX24" s="817" t="s">
        <v>1369</v>
      </c>
      <c r="DY24" s="817" t="s">
        <v>1369</v>
      </c>
      <c r="DZ24" s="817" t="s">
        <v>1369</v>
      </c>
      <c r="EA24" s="817" t="s">
        <v>1369</v>
      </c>
      <c r="EB24" s="817" t="s">
        <v>1369</v>
      </c>
      <c r="EC24" s="817" t="s">
        <v>1369</v>
      </c>
      <c r="ED24" s="817"/>
      <c r="EE24" s="817" t="s">
        <v>1369</v>
      </c>
      <c r="EF24" s="817"/>
      <c r="EG24" s="817"/>
      <c r="EH24" s="817"/>
      <c r="EI24" s="817" t="s">
        <v>1369</v>
      </c>
      <c r="EJ24" s="817" t="s">
        <v>1369</v>
      </c>
      <c r="EK24" s="817" t="s">
        <v>1369</v>
      </c>
      <c r="EL24" s="817"/>
      <c r="EM24" s="817" t="s">
        <v>1369</v>
      </c>
      <c r="EN24" s="817"/>
      <c r="EO24" s="817" t="s">
        <v>1369</v>
      </c>
      <c r="EP24" s="817"/>
      <c r="EQ24" s="817" t="s">
        <v>93</v>
      </c>
      <c r="ER24" s="817" t="s">
        <v>1369</v>
      </c>
      <c r="ES24" s="817" t="s">
        <v>1369</v>
      </c>
      <c r="ET24" s="817" t="s">
        <v>1369</v>
      </c>
      <c r="EU24" s="817" t="s">
        <v>1369</v>
      </c>
      <c r="EV24" s="817" t="s">
        <v>1369</v>
      </c>
      <c r="EW24" s="817"/>
      <c r="EX24" s="817" t="s">
        <v>1369</v>
      </c>
      <c r="EY24" s="817" t="s">
        <v>1369</v>
      </c>
      <c r="EZ24" s="817"/>
      <c r="FA24" s="817" t="s">
        <v>1369</v>
      </c>
      <c r="FB24" s="817" t="s">
        <v>1369</v>
      </c>
      <c r="FC24" s="817"/>
      <c r="FD24" s="817" t="s">
        <v>93</v>
      </c>
      <c r="FE24" s="817" t="s">
        <v>1369</v>
      </c>
      <c r="FF24" s="817" t="s">
        <v>1369</v>
      </c>
      <c r="FG24" s="817" t="s">
        <v>1369</v>
      </c>
      <c r="FH24" s="817"/>
      <c r="FI24" s="817"/>
      <c r="FJ24" s="817" t="s">
        <v>1367</v>
      </c>
      <c r="FK24" s="817"/>
      <c r="FL24" s="817"/>
      <c r="FM24" s="817" t="s">
        <v>1369</v>
      </c>
      <c r="FN24" s="817" t="s">
        <v>93</v>
      </c>
      <c r="FO24" s="817"/>
      <c r="FP24" s="817"/>
      <c r="FQ24" s="817" t="s">
        <v>1369</v>
      </c>
      <c r="FR24" s="817" t="s">
        <v>1369</v>
      </c>
      <c r="FS24" s="817"/>
      <c r="FT24" s="817"/>
      <c r="FU24" s="817"/>
      <c r="FV24" s="817" t="s">
        <v>1369</v>
      </c>
      <c r="FW24" s="817"/>
      <c r="FX24" s="817"/>
      <c r="FY24" s="817" t="s">
        <v>1369</v>
      </c>
      <c r="FZ24" s="817"/>
      <c r="GA24" s="817"/>
      <c r="GB24" s="817" t="s">
        <v>1369</v>
      </c>
      <c r="GC24" s="817"/>
      <c r="GD24" s="817"/>
      <c r="GE24" s="817"/>
      <c r="GF24" s="817" t="s">
        <v>1369</v>
      </c>
      <c r="GG24" s="817" t="s">
        <v>1369</v>
      </c>
      <c r="GH24" s="817" t="s">
        <v>1369</v>
      </c>
      <c r="GI24" s="817" t="s">
        <v>1369</v>
      </c>
      <c r="GJ24" s="817"/>
      <c r="GK24" s="817" t="s">
        <v>93</v>
      </c>
      <c r="GL24" s="817" t="s">
        <v>93</v>
      </c>
      <c r="GM24" s="817" t="s">
        <v>93</v>
      </c>
      <c r="GN24" s="817" t="s">
        <v>1369</v>
      </c>
      <c r="GO24" s="817" t="s">
        <v>1369</v>
      </c>
      <c r="GP24" s="817" t="s">
        <v>1369</v>
      </c>
      <c r="GQ24" s="817" t="s">
        <v>1369</v>
      </c>
      <c r="GR24" s="817"/>
      <c r="GS24" s="817"/>
      <c r="GT24" s="817" t="s">
        <v>1369</v>
      </c>
      <c r="GU24" s="817"/>
      <c r="GV24" s="817"/>
      <c r="GW24" s="817" t="s">
        <v>1369</v>
      </c>
      <c r="GX24" s="817" t="s">
        <v>1369</v>
      </c>
      <c r="GY24" s="817" t="s">
        <v>1369</v>
      </c>
      <c r="GZ24" s="817" t="s">
        <v>1369</v>
      </c>
      <c r="HA24" s="817" t="s">
        <v>1369</v>
      </c>
      <c r="HB24" s="817"/>
      <c r="HC24" s="817" t="s">
        <v>1369</v>
      </c>
      <c r="HD24" s="817"/>
      <c r="HE24" s="817" t="s">
        <v>1369</v>
      </c>
      <c r="HF24" s="817"/>
      <c r="HG24" s="817" t="s">
        <v>1369</v>
      </c>
      <c r="HH24" s="818" t="s">
        <v>1369</v>
      </c>
      <c r="HI24" s="817"/>
      <c r="HJ24" s="818" t="s">
        <v>1369</v>
      </c>
      <c r="HK24" s="817" t="s">
        <v>1369</v>
      </c>
      <c r="HL24" s="817"/>
      <c r="HM24" s="818" t="s">
        <v>1369</v>
      </c>
      <c r="HN24" s="817" t="s">
        <v>1369</v>
      </c>
      <c r="HO24" s="817" t="s">
        <v>1369</v>
      </c>
      <c r="HP24" s="817" t="s">
        <v>1369</v>
      </c>
      <c r="HQ24" s="817"/>
      <c r="HR24" s="818" t="s">
        <v>1369</v>
      </c>
      <c r="HS24" s="818" t="s">
        <v>1369</v>
      </c>
      <c r="HT24" s="818" t="s">
        <v>1369</v>
      </c>
      <c r="HU24" s="817"/>
      <c r="HV24" s="817" t="s">
        <v>1369</v>
      </c>
      <c r="HW24" s="817"/>
      <c r="HX24" s="817" t="s">
        <v>1369</v>
      </c>
      <c r="HY24" s="861"/>
      <c r="HZ24" s="861"/>
      <c r="IA24" s="861"/>
      <c r="IB24" s="861"/>
      <c r="IC24" s="861"/>
      <c r="ID24" s="861"/>
      <c r="IE24" s="861"/>
      <c r="IF24" s="861"/>
      <c r="IG24" s="861"/>
      <c r="IH24" s="861"/>
      <c r="II24" s="861"/>
      <c r="IJ24" s="861"/>
      <c r="IK24" s="861"/>
      <c r="IL24" s="861"/>
      <c r="IM24" s="861"/>
      <c r="IN24" s="861"/>
      <c r="IO24" s="861"/>
      <c r="IP24" s="861"/>
      <c r="IQ24" s="861"/>
      <c r="IR24" s="861"/>
      <c r="IS24" s="861"/>
      <c r="IT24" s="861"/>
      <c r="IU24" s="861"/>
      <c r="IV24" s="861"/>
    </row>
    <row r="25" spans="1:256" s="795" customFormat="1" ht="20.100000000000001" customHeight="1">
      <c r="A25" s="822" t="s">
        <v>119</v>
      </c>
      <c r="B25" s="823"/>
      <c r="C25" s="810" t="str">
        <f>IF(ISTEXT(IFERROR(VLOOKUP(A25,职业列表!I3:J10,1,FALSE),0)),"★","")</f>
        <v/>
      </c>
      <c r="D25" s="823"/>
      <c r="E25" s="823"/>
      <c r="F25" s="823" t="s">
        <v>93</v>
      </c>
      <c r="G25" s="823"/>
      <c r="H25" s="823" t="s">
        <v>93</v>
      </c>
      <c r="I25" s="823"/>
      <c r="J25" s="823"/>
      <c r="K25" s="823"/>
      <c r="L25" s="823"/>
      <c r="M25" s="823"/>
      <c r="N25" s="823"/>
      <c r="O25" s="823"/>
      <c r="P25" s="823" t="s">
        <v>93</v>
      </c>
      <c r="Q25" s="823" t="s">
        <v>93</v>
      </c>
      <c r="R25" s="823"/>
      <c r="S25" s="823" t="s">
        <v>93</v>
      </c>
      <c r="T25" s="823"/>
      <c r="U25" s="823"/>
      <c r="V25" s="840" t="s">
        <v>1368</v>
      </c>
      <c r="W25" s="823" t="s">
        <v>93</v>
      </c>
      <c r="X25" s="823"/>
      <c r="Y25" s="823"/>
      <c r="Z25" s="823"/>
      <c r="AA25" s="823"/>
      <c r="AB25" s="823" t="s">
        <v>1368</v>
      </c>
      <c r="AC25" s="823"/>
      <c r="AD25" s="823" t="s">
        <v>93</v>
      </c>
      <c r="AE25" s="823" t="s">
        <v>93</v>
      </c>
      <c r="AF25" s="823" t="s">
        <v>93</v>
      </c>
      <c r="AG25" s="823"/>
      <c r="AH25" s="823"/>
      <c r="AI25" s="823" t="s">
        <v>1368</v>
      </c>
      <c r="AJ25" s="823" t="s">
        <v>1367</v>
      </c>
      <c r="AK25" s="823"/>
      <c r="AL25" s="823"/>
      <c r="AM25" s="823"/>
      <c r="AN25" s="823" t="s">
        <v>93</v>
      </c>
      <c r="AO25" s="823"/>
      <c r="AP25" s="823" t="s">
        <v>1367</v>
      </c>
      <c r="AQ25" s="823"/>
      <c r="AR25" s="823"/>
      <c r="AS25" s="823"/>
      <c r="AT25" s="823"/>
      <c r="AU25" s="823"/>
      <c r="AV25" s="823"/>
      <c r="AW25" s="823"/>
      <c r="AX25" s="823"/>
      <c r="AY25" s="823"/>
      <c r="AZ25" s="823"/>
      <c r="BA25" s="823"/>
      <c r="BB25" s="823"/>
      <c r="BC25" s="823"/>
      <c r="BD25" s="823"/>
      <c r="BE25" s="823" t="s">
        <v>93</v>
      </c>
      <c r="BF25" s="823"/>
      <c r="BG25" s="823"/>
      <c r="BH25" s="823"/>
      <c r="BI25" s="823"/>
      <c r="BJ25" s="823" t="s">
        <v>93</v>
      </c>
      <c r="BK25" s="823" t="s">
        <v>93</v>
      </c>
      <c r="BL25" s="823"/>
      <c r="BM25" s="823"/>
      <c r="BN25" s="823" t="s">
        <v>93</v>
      </c>
      <c r="BO25" s="823"/>
      <c r="BP25" s="823"/>
      <c r="BQ25" s="823"/>
      <c r="BR25" s="823"/>
      <c r="BS25" s="823" t="s">
        <v>93</v>
      </c>
      <c r="BT25" s="823"/>
      <c r="BU25" s="823"/>
      <c r="BV25" s="823"/>
      <c r="BW25" s="823"/>
      <c r="BX25" s="823"/>
      <c r="BY25" s="823"/>
      <c r="BZ25" s="823"/>
      <c r="CA25" s="823"/>
      <c r="CB25" s="823"/>
      <c r="CC25" s="823"/>
      <c r="CD25" s="823"/>
      <c r="CE25" s="823"/>
      <c r="CF25" s="823"/>
      <c r="CG25" s="823"/>
      <c r="CH25" s="823"/>
      <c r="CI25" s="823"/>
      <c r="CJ25" s="823"/>
      <c r="CK25" s="823"/>
      <c r="CL25" s="823"/>
      <c r="CM25" s="823"/>
      <c r="CN25" s="840" t="s">
        <v>93</v>
      </c>
      <c r="CO25" s="823"/>
      <c r="CP25" s="823"/>
      <c r="CQ25" s="823"/>
      <c r="CR25" s="823"/>
      <c r="CS25" s="823"/>
      <c r="CT25" s="823"/>
      <c r="CU25" s="823"/>
      <c r="CV25" s="823" t="s">
        <v>93</v>
      </c>
      <c r="CW25" s="823"/>
      <c r="CX25" s="823"/>
      <c r="CY25" s="823"/>
      <c r="CZ25" s="823"/>
      <c r="DA25" s="823"/>
      <c r="DB25" s="823" t="s">
        <v>93</v>
      </c>
      <c r="DC25" s="823"/>
      <c r="DD25" s="823"/>
      <c r="DE25" s="823" t="s">
        <v>93</v>
      </c>
      <c r="DF25" s="823" t="s">
        <v>1367</v>
      </c>
      <c r="DG25" s="823"/>
      <c r="DH25" s="823" t="s">
        <v>93</v>
      </c>
      <c r="DI25" s="823"/>
      <c r="DJ25" s="823"/>
      <c r="DK25" s="823"/>
      <c r="DL25" s="823"/>
      <c r="DM25" s="823"/>
      <c r="DN25" s="823"/>
      <c r="DO25" s="823" t="s">
        <v>93</v>
      </c>
      <c r="DP25" s="823" t="s">
        <v>93</v>
      </c>
      <c r="DQ25" s="823" t="s">
        <v>93</v>
      </c>
      <c r="DR25" s="823" t="s">
        <v>93</v>
      </c>
      <c r="DS25" s="823"/>
      <c r="DT25" s="823"/>
      <c r="DU25" s="823"/>
      <c r="DV25" s="823"/>
      <c r="DW25" s="823"/>
      <c r="DX25" s="823"/>
      <c r="DY25" s="823" t="s">
        <v>93</v>
      </c>
      <c r="DZ25" s="823"/>
      <c r="EA25" s="823"/>
      <c r="EB25" s="823"/>
      <c r="EC25" s="823"/>
      <c r="ED25" s="823"/>
      <c r="EE25" s="823"/>
      <c r="EF25" s="823"/>
      <c r="EG25" s="823"/>
      <c r="EH25" s="823"/>
      <c r="EI25" s="823"/>
      <c r="EJ25" s="823"/>
      <c r="EK25" s="823"/>
      <c r="EL25" s="823"/>
      <c r="EM25" s="823" t="s">
        <v>93</v>
      </c>
      <c r="EN25" s="823"/>
      <c r="EO25" s="823"/>
      <c r="EP25" s="823"/>
      <c r="EQ25" s="823"/>
      <c r="ER25" s="823"/>
      <c r="ES25" s="823"/>
      <c r="ET25" s="823"/>
      <c r="EU25" s="823"/>
      <c r="EV25" s="823"/>
      <c r="EW25" s="823"/>
      <c r="EX25" s="823"/>
      <c r="EY25" s="823"/>
      <c r="EZ25" s="823"/>
      <c r="FA25" s="823"/>
      <c r="FB25" s="823"/>
      <c r="FC25" s="823" t="s">
        <v>93</v>
      </c>
      <c r="FD25" s="823" t="s">
        <v>93</v>
      </c>
      <c r="FE25" s="823"/>
      <c r="FF25" s="823"/>
      <c r="FG25" s="823"/>
      <c r="FH25" s="823" t="s">
        <v>93</v>
      </c>
      <c r="FI25" s="823" t="s">
        <v>93</v>
      </c>
      <c r="FJ25" s="823"/>
      <c r="FK25" s="823"/>
      <c r="FL25" s="823"/>
      <c r="FM25" s="823"/>
      <c r="FN25" s="823"/>
      <c r="FO25" s="823" t="s">
        <v>93</v>
      </c>
      <c r="FP25" s="823"/>
      <c r="FQ25" s="823"/>
      <c r="FR25" s="823"/>
      <c r="FS25" s="823"/>
      <c r="FT25" s="823"/>
      <c r="FU25" s="823"/>
      <c r="FV25" s="823"/>
      <c r="FW25" s="823"/>
      <c r="FX25" s="823"/>
      <c r="FY25" s="823"/>
      <c r="FZ25" s="823"/>
      <c r="GA25" s="823" t="s">
        <v>93</v>
      </c>
      <c r="GB25" s="823"/>
      <c r="GC25" s="823" t="s">
        <v>93</v>
      </c>
      <c r="GD25" s="823" t="s">
        <v>93</v>
      </c>
      <c r="GE25" s="823"/>
      <c r="GF25" s="823"/>
      <c r="GG25" s="823"/>
      <c r="GH25" s="823"/>
      <c r="GI25" s="823"/>
      <c r="GJ25" s="823"/>
      <c r="GK25" s="823"/>
      <c r="GL25" s="823"/>
      <c r="GM25" s="823"/>
      <c r="GN25" s="823"/>
      <c r="GO25" s="823"/>
      <c r="GP25" s="823"/>
      <c r="GQ25" s="823"/>
      <c r="GR25" s="823"/>
      <c r="GS25" s="823" t="s">
        <v>93</v>
      </c>
      <c r="GT25" s="823"/>
      <c r="GU25" s="823" t="s">
        <v>93</v>
      </c>
      <c r="GV25" s="823"/>
      <c r="GW25" s="823" t="s">
        <v>93</v>
      </c>
      <c r="GX25" s="823"/>
      <c r="GY25" s="823"/>
      <c r="GZ25" s="823"/>
      <c r="HA25" s="823"/>
      <c r="HB25" s="823"/>
      <c r="HC25" s="823"/>
      <c r="HD25" s="840" t="s">
        <v>1398</v>
      </c>
      <c r="HE25" s="823"/>
      <c r="HF25" s="823"/>
      <c r="HG25" s="823"/>
      <c r="HH25" s="823" t="s">
        <v>93</v>
      </c>
      <c r="HI25" s="823"/>
      <c r="HJ25" s="823"/>
      <c r="HK25" s="823"/>
      <c r="HL25" s="823" t="s">
        <v>93</v>
      </c>
      <c r="HM25" s="823"/>
      <c r="HN25" s="823"/>
      <c r="HO25" s="840" t="s">
        <v>1370</v>
      </c>
      <c r="HP25" s="823"/>
      <c r="HQ25" s="823"/>
      <c r="HR25" s="840" t="s">
        <v>93</v>
      </c>
      <c r="HS25" s="823"/>
      <c r="HT25" s="823"/>
      <c r="HU25" s="823"/>
      <c r="HV25" s="823"/>
      <c r="HW25" s="823"/>
      <c r="HX25" s="823" t="s">
        <v>93</v>
      </c>
      <c r="HY25" s="863"/>
      <c r="HZ25" s="863"/>
      <c r="IA25" s="863"/>
      <c r="IB25" s="863"/>
      <c r="IC25" s="863"/>
      <c r="ID25" s="863"/>
      <c r="IE25" s="863"/>
      <c r="IF25" s="863"/>
      <c r="IG25" s="863"/>
      <c r="IH25" s="863"/>
      <c r="II25" s="863"/>
      <c r="IJ25" s="863"/>
      <c r="IK25" s="863"/>
      <c r="IL25" s="863"/>
      <c r="IM25" s="863"/>
      <c r="IN25" s="863"/>
      <c r="IO25" s="863"/>
      <c r="IP25" s="863"/>
      <c r="IQ25" s="863"/>
      <c r="IR25" s="863"/>
      <c r="IS25" s="863"/>
      <c r="IT25" s="863"/>
      <c r="IU25" s="863"/>
      <c r="IV25" s="863"/>
    </row>
    <row r="26" spans="1:256" ht="20.100000000000001" customHeight="1">
      <c r="A26" s="814" t="s">
        <v>122</v>
      </c>
      <c r="B26" s="810"/>
      <c r="C26" s="810" t="str">
        <f>IF(ISTEXT(IFERROR(VLOOKUP(A26,职业列表!I3:J10,1,FALSE),0)),"★","")</f>
        <v/>
      </c>
      <c r="D26" s="810"/>
      <c r="E26" s="810"/>
      <c r="F26" s="810" t="s">
        <v>93</v>
      </c>
      <c r="G26" s="810"/>
      <c r="H26" s="810"/>
      <c r="I26" s="810"/>
      <c r="J26" s="810"/>
      <c r="K26" s="810"/>
      <c r="L26" s="810"/>
      <c r="M26" s="810"/>
      <c r="N26" s="810"/>
      <c r="O26" s="810"/>
      <c r="P26" s="810"/>
      <c r="Q26" s="810"/>
      <c r="R26" s="810"/>
      <c r="S26" s="810"/>
      <c r="T26" s="810"/>
      <c r="U26" s="810"/>
      <c r="V26" s="810" t="s">
        <v>1368</v>
      </c>
      <c r="W26" s="810"/>
      <c r="X26" s="810"/>
      <c r="Y26" s="810"/>
      <c r="Z26" s="810"/>
      <c r="AA26" s="810"/>
      <c r="AB26" s="810" t="s">
        <v>1368</v>
      </c>
      <c r="AC26" s="810"/>
      <c r="AD26" s="810" t="s">
        <v>93</v>
      </c>
      <c r="AE26" s="810" t="s">
        <v>93</v>
      </c>
      <c r="AF26" s="810" t="s">
        <v>93</v>
      </c>
      <c r="AG26" s="810"/>
      <c r="AH26" s="810"/>
      <c r="AI26" s="810" t="s">
        <v>1368</v>
      </c>
      <c r="AJ26" s="810"/>
      <c r="AK26" s="810"/>
      <c r="AL26" s="810"/>
      <c r="AM26" s="810"/>
      <c r="AN26" s="810" t="s">
        <v>93</v>
      </c>
      <c r="AO26" s="810"/>
      <c r="AP26" s="810"/>
      <c r="AQ26" s="810"/>
      <c r="AR26" s="810"/>
      <c r="AS26" s="810"/>
      <c r="AT26" s="810"/>
      <c r="AU26" s="810"/>
      <c r="AV26" s="810"/>
      <c r="AW26" s="810"/>
      <c r="AX26" s="810"/>
      <c r="AY26" s="810"/>
      <c r="AZ26" s="810"/>
      <c r="BA26" s="810"/>
      <c r="BB26" s="810"/>
      <c r="BC26" s="810"/>
      <c r="BD26" s="810"/>
      <c r="BE26" s="810"/>
      <c r="BF26" s="810"/>
      <c r="BG26" s="810"/>
      <c r="BH26" s="810"/>
      <c r="BI26" s="810"/>
      <c r="BJ26" s="810" t="s">
        <v>93</v>
      </c>
      <c r="BK26" s="810" t="s">
        <v>93</v>
      </c>
      <c r="BL26" s="810"/>
      <c r="BM26" s="810"/>
      <c r="BN26" s="810"/>
      <c r="BO26" s="810"/>
      <c r="BP26" s="810"/>
      <c r="BQ26" s="810"/>
      <c r="BR26" s="810"/>
      <c r="BS26" s="810" t="s">
        <v>93</v>
      </c>
      <c r="BT26" s="811" t="s">
        <v>1399</v>
      </c>
      <c r="BU26" s="810"/>
      <c r="BV26" s="810"/>
      <c r="BW26" s="810"/>
      <c r="BX26" s="810"/>
      <c r="BY26" s="810"/>
      <c r="BZ26" s="810"/>
      <c r="CA26" s="810"/>
      <c r="CB26" s="810"/>
      <c r="CC26" s="810"/>
      <c r="CD26" s="810"/>
      <c r="CE26" s="810"/>
      <c r="CF26" s="810"/>
      <c r="CG26" s="810"/>
      <c r="CH26" s="810"/>
      <c r="CI26" s="810"/>
      <c r="CJ26" s="810"/>
      <c r="CK26" s="810"/>
      <c r="CL26" s="810"/>
      <c r="CM26" s="810"/>
      <c r="CN26" s="810"/>
      <c r="CO26" s="810"/>
      <c r="CP26" s="810"/>
      <c r="CQ26" s="810"/>
      <c r="CR26" s="810"/>
      <c r="CS26" s="810"/>
      <c r="CT26" s="810"/>
      <c r="CU26" s="810"/>
      <c r="CV26" s="810" t="s">
        <v>93</v>
      </c>
      <c r="CW26" s="810"/>
      <c r="CX26" s="810"/>
      <c r="CY26" s="810"/>
      <c r="CZ26" s="810"/>
      <c r="DA26" s="810"/>
      <c r="DB26" s="810" t="s">
        <v>93</v>
      </c>
      <c r="DC26" s="810"/>
      <c r="DD26" s="810"/>
      <c r="DE26" s="810" t="s">
        <v>93</v>
      </c>
      <c r="DF26" s="810" t="s">
        <v>1367</v>
      </c>
      <c r="DG26" s="810"/>
      <c r="DH26" s="810"/>
      <c r="DI26" s="810"/>
      <c r="DJ26" s="810"/>
      <c r="DK26" s="810"/>
      <c r="DL26" s="810"/>
      <c r="DM26" s="810"/>
      <c r="DN26" s="810"/>
      <c r="DO26" s="810"/>
      <c r="DP26" s="810"/>
      <c r="DQ26" s="810"/>
      <c r="DR26" s="810"/>
      <c r="DS26" s="810"/>
      <c r="DT26" s="810"/>
      <c r="DU26" s="810"/>
      <c r="DV26" s="810"/>
      <c r="DW26" s="810"/>
      <c r="DX26" s="810"/>
      <c r="DY26" s="810"/>
      <c r="DZ26" s="810"/>
      <c r="EA26" s="810"/>
      <c r="EB26" s="810"/>
      <c r="EC26" s="810"/>
      <c r="ED26" s="810"/>
      <c r="EE26" s="810"/>
      <c r="EF26" s="810"/>
      <c r="EG26" s="810"/>
      <c r="EH26" s="810"/>
      <c r="EI26" s="810"/>
      <c r="EJ26" s="810"/>
      <c r="EK26" s="810"/>
      <c r="EL26" s="810"/>
      <c r="EM26" s="810"/>
      <c r="EN26" s="810"/>
      <c r="EO26" s="810"/>
      <c r="EP26" s="810"/>
      <c r="EQ26" s="810"/>
      <c r="ER26" s="810"/>
      <c r="ES26" s="810"/>
      <c r="ET26" s="810"/>
      <c r="EU26" s="810"/>
      <c r="EV26" s="810"/>
      <c r="EW26" s="810"/>
      <c r="EX26" s="810"/>
      <c r="EY26" s="810"/>
      <c r="EZ26" s="810"/>
      <c r="FA26" s="810"/>
      <c r="FB26" s="810"/>
      <c r="FC26" s="810" t="s">
        <v>1398</v>
      </c>
      <c r="FD26" s="810"/>
      <c r="FE26" s="810"/>
      <c r="FF26" s="810"/>
      <c r="FG26" s="810"/>
      <c r="FH26" s="810"/>
      <c r="FI26" s="810"/>
      <c r="FJ26" s="810"/>
      <c r="FK26" s="810"/>
      <c r="FL26" s="810"/>
      <c r="FM26" s="810"/>
      <c r="FN26" s="810"/>
      <c r="FO26" s="810"/>
      <c r="FP26" s="810"/>
      <c r="FQ26" s="810"/>
      <c r="FR26" s="810" t="s">
        <v>1400</v>
      </c>
      <c r="FS26" s="810"/>
      <c r="FT26" s="810"/>
      <c r="FU26" s="810"/>
      <c r="FV26" s="810"/>
      <c r="FW26" s="810"/>
      <c r="FX26" s="810"/>
      <c r="FY26" s="810"/>
      <c r="FZ26" s="810"/>
      <c r="GA26" s="810" t="s">
        <v>93</v>
      </c>
      <c r="GB26" s="810"/>
      <c r="GC26" s="810" t="s">
        <v>93</v>
      </c>
      <c r="GD26" s="810" t="s">
        <v>93</v>
      </c>
      <c r="GE26" s="810"/>
      <c r="GF26" s="810"/>
      <c r="GG26" s="810"/>
      <c r="GH26" s="810"/>
      <c r="GI26" s="810"/>
      <c r="GJ26" s="810"/>
      <c r="GK26" s="810"/>
      <c r="GL26" s="810"/>
      <c r="GM26" s="810"/>
      <c r="GN26" s="810"/>
      <c r="GO26" s="810"/>
      <c r="GP26" s="810"/>
      <c r="GQ26" s="810"/>
      <c r="GR26" s="810"/>
      <c r="GS26" s="810"/>
      <c r="GT26" s="810"/>
      <c r="GU26" s="810" t="s">
        <v>93</v>
      </c>
      <c r="GV26" s="810"/>
      <c r="GW26" s="810"/>
      <c r="GX26" s="810"/>
      <c r="GY26" s="810"/>
      <c r="GZ26" s="810"/>
      <c r="HA26" s="810"/>
      <c r="HB26" s="810"/>
      <c r="HC26" s="810"/>
      <c r="HD26" s="810"/>
      <c r="HE26" s="810"/>
      <c r="HF26" s="810"/>
      <c r="HG26" s="810"/>
      <c r="HH26" s="810" t="s">
        <v>93</v>
      </c>
      <c r="HI26" s="810"/>
      <c r="HJ26" s="810"/>
      <c r="HK26" s="811" t="s">
        <v>1401</v>
      </c>
      <c r="HL26" s="810"/>
      <c r="HM26" s="810"/>
      <c r="HN26" s="810"/>
      <c r="HO26" s="810"/>
      <c r="HP26" s="810"/>
      <c r="HQ26" s="810"/>
      <c r="HR26" s="810"/>
      <c r="HS26" s="810"/>
      <c r="HT26" s="810"/>
      <c r="HU26" s="810"/>
      <c r="HV26" s="810"/>
      <c r="HW26" s="810"/>
      <c r="HX26" s="810"/>
      <c r="HY26" s="857"/>
      <c r="HZ26" s="857"/>
      <c r="IA26" s="857"/>
      <c r="IB26" s="857"/>
      <c r="IC26" s="857"/>
      <c r="ID26" s="857"/>
      <c r="IE26" s="857"/>
      <c r="IF26" s="857"/>
      <c r="IG26" s="857"/>
      <c r="IH26" s="857"/>
      <c r="II26" s="857"/>
      <c r="IJ26" s="857"/>
      <c r="IK26" s="857"/>
      <c r="IL26" s="857"/>
      <c r="IM26" s="857"/>
      <c r="IN26" s="857"/>
      <c r="IO26" s="857"/>
      <c r="IP26" s="857"/>
      <c r="IQ26" s="857"/>
      <c r="IR26" s="857"/>
      <c r="IS26" s="857"/>
      <c r="IT26" s="857"/>
      <c r="IU26" s="857"/>
      <c r="IV26" s="857"/>
    </row>
    <row r="27" spans="1:256" ht="20.100000000000001" customHeight="1">
      <c r="A27" s="814" t="s">
        <v>126</v>
      </c>
      <c r="B27" s="810"/>
      <c r="C27" s="810" t="str">
        <f>IF(ISTEXT(IFERROR(VLOOKUP(A27,职业列表!I3:P12,1,FALSE),0)),"★","")</f>
        <v/>
      </c>
      <c r="D27" s="810"/>
      <c r="E27" s="810"/>
      <c r="F27" s="810" t="s">
        <v>93</v>
      </c>
      <c r="G27" s="810"/>
      <c r="H27" s="810"/>
      <c r="I27" s="810"/>
      <c r="J27" s="810"/>
      <c r="K27" s="810"/>
      <c r="L27" s="810"/>
      <c r="M27" s="810"/>
      <c r="N27" s="810"/>
      <c r="O27" s="810"/>
      <c r="P27" s="810"/>
      <c r="Q27" s="810"/>
      <c r="R27" s="810"/>
      <c r="S27" s="810"/>
      <c r="T27" s="810"/>
      <c r="U27" s="810"/>
      <c r="V27" s="810" t="s">
        <v>1368</v>
      </c>
      <c r="W27" s="810"/>
      <c r="X27" s="810"/>
      <c r="Y27" s="810"/>
      <c r="Z27" s="810"/>
      <c r="AA27" s="810"/>
      <c r="AB27" s="810" t="s">
        <v>1368</v>
      </c>
      <c r="AC27" s="810"/>
      <c r="AD27" s="810" t="s">
        <v>93</v>
      </c>
      <c r="AE27" s="810" t="s">
        <v>93</v>
      </c>
      <c r="AF27" s="810" t="s">
        <v>93</v>
      </c>
      <c r="AG27" s="810"/>
      <c r="AH27" s="810"/>
      <c r="AI27" s="810" t="s">
        <v>1368</v>
      </c>
      <c r="AJ27" s="810"/>
      <c r="AK27" s="810"/>
      <c r="AL27" s="810"/>
      <c r="AM27" s="810"/>
      <c r="AN27" s="810" t="s">
        <v>93</v>
      </c>
      <c r="AO27" s="810"/>
      <c r="AP27" s="810"/>
      <c r="AQ27" s="810"/>
      <c r="AR27" s="810"/>
      <c r="AS27" s="810"/>
      <c r="AT27" s="810"/>
      <c r="AU27" s="810"/>
      <c r="AV27" s="810"/>
      <c r="AW27" s="810"/>
      <c r="AX27" s="810"/>
      <c r="AY27" s="810"/>
      <c r="AZ27" s="810"/>
      <c r="BA27" s="810"/>
      <c r="BB27" s="810"/>
      <c r="BC27" s="810"/>
      <c r="BD27" s="810"/>
      <c r="BE27" s="810"/>
      <c r="BF27" s="810"/>
      <c r="BG27" s="810"/>
      <c r="BH27" s="810"/>
      <c r="BI27" s="810"/>
      <c r="BJ27" s="810" t="s">
        <v>93</v>
      </c>
      <c r="BK27" s="810" t="s">
        <v>93</v>
      </c>
      <c r="BL27" s="810"/>
      <c r="BM27" s="810"/>
      <c r="BN27" s="810"/>
      <c r="BO27" s="810"/>
      <c r="BP27" s="810"/>
      <c r="BQ27" s="810"/>
      <c r="BR27" s="810"/>
      <c r="BS27" s="810" t="s">
        <v>93</v>
      </c>
      <c r="BT27" s="811"/>
      <c r="BU27" s="810"/>
      <c r="BV27" s="810"/>
      <c r="BW27" s="810"/>
      <c r="BX27" s="810"/>
      <c r="BY27" s="810"/>
      <c r="BZ27" s="810"/>
      <c r="CA27" s="810"/>
      <c r="CB27" s="810"/>
      <c r="CC27" s="810"/>
      <c r="CD27" s="810"/>
      <c r="CE27" s="810"/>
      <c r="CF27" s="810"/>
      <c r="CG27" s="810"/>
      <c r="CH27" s="810"/>
      <c r="CI27" s="810"/>
      <c r="CJ27" s="810"/>
      <c r="CK27" s="810"/>
      <c r="CL27" s="810"/>
      <c r="CM27" s="810"/>
      <c r="CN27" s="810"/>
      <c r="CO27" s="810"/>
      <c r="CP27" s="810"/>
      <c r="CQ27" s="810"/>
      <c r="CR27" s="810"/>
      <c r="CS27" s="810"/>
      <c r="CT27" s="810"/>
      <c r="CU27" s="810"/>
      <c r="CV27" s="810" t="s">
        <v>93</v>
      </c>
      <c r="CW27" s="810"/>
      <c r="CX27" s="810"/>
      <c r="CY27" s="810"/>
      <c r="CZ27" s="810"/>
      <c r="DA27" s="810"/>
      <c r="DB27" s="810" t="s">
        <v>93</v>
      </c>
      <c r="DC27" s="810"/>
      <c r="DD27" s="810"/>
      <c r="DE27" s="810" t="s">
        <v>93</v>
      </c>
      <c r="DF27" s="810" t="s">
        <v>1367</v>
      </c>
      <c r="DG27" s="810"/>
      <c r="DH27" s="810"/>
      <c r="DI27" s="810"/>
      <c r="DJ27" s="810"/>
      <c r="DK27" s="810"/>
      <c r="DL27" s="810"/>
      <c r="DM27" s="810"/>
      <c r="DN27" s="810"/>
      <c r="DO27" s="810"/>
      <c r="DP27" s="810"/>
      <c r="DQ27" s="810"/>
      <c r="DR27" s="810"/>
      <c r="DS27" s="810"/>
      <c r="DT27" s="810"/>
      <c r="DU27" s="810"/>
      <c r="DV27" s="810"/>
      <c r="DW27" s="810"/>
      <c r="DX27" s="810"/>
      <c r="DY27" s="810"/>
      <c r="DZ27" s="810"/>
      <c r="EA27" s="810"/>
      <c r="EB27" s="810"/>
      <c r="EC27" s="810"/>
      <c r="ED27" s="810"/>
      <c r="EE27" s="810"/>
      <c r="EF27" s="810"/>
      <c r="EG27" s="810"/>
      <c r="EH27" s="810"/>
      <c r="EI27" s="810"/>
      <c r="EJ27" s="810"/>
      <c r="EK27" s="810"/>
      <c r="EL27" s="810"/>
      <c r="EM27" s="810"/>
      <c r="EN27" s="810"/>
      <c r="EO27" s="810"/>
      <c r="EP27" s="810"/>
      <c r="EQ27" s="810"/>
      <c r="ER27" s="810"/>
      <c r="ES27" s="810"/>
      <c r="ET27" s="810"/>
      <c r="EU27" s="810"/>
      <c r="EV27" s="810"/>
      <c r="EW27" s="810"/>
      <c r="EX27" s="810"/>
      <c r="EY27" s="810"/>
      <c r="EZ27" s="810"/>
      <c r="FA27" s="810"/>
      <c r="FB27" s="810"/>
      <c r="FC27" s="810"/>
      <c r="FD27" s="810"/>
      <c r="FE27" s="810"/>
      <c r="FF27" s="810"/>
      <c r="FG27" s="810"/>
      <c r="FH27" s="810"/>
      <c r="FI27" s="810"/>
      <c r="FJ27" s="810"/>
      <c r="FK27" s="810"/>
      <c r="FL27" s="810"/>
      <c r="FM27" s="810"/>
      <c r="FN27" s="810"/>
      <c r="FO27" s="810"/>
      <c r="FP27" s="810"/>
      <c r="FQ27" s="810"/>
      <c r="FR27" s="810"/>
      <c r="FS27" s="810"/>
      <c r="FT27" s="810"/>
      <c r="FU27" s="810"/>
      <c r="FV27" s="810"/>
      <c r="FW27" s="810"/>
      <c r="FX27" s="810"/>
      <c r="FY27" s="810"/>
      <c r="FZ27" s="810"/>
      <c r="GA27" s="810" t="s">
        <v>93</v>
      </c>
      <c r="GB27" s="810"/>
      <c r="GC27" s="810" t="s">
        <v>93</v>
      </c>
      <c r="GD27" s="810" t="s">
        <v>93</v>
      </c>
      <c r="GE27" s="810"/>
      <c r="GF27" s="810"/>
      <c r="GG27" s="810"/>
      <c r="GH27" s="810"/>
      <c r="GI27" s="810"/>
      <c r="GJ27" s="810"/>
      <c r="GK27" s="810"/>
      <c r="GL27" s="810"/>
      <c r="GM27" s="810"/>
      <c r="GN27" s="810"/>
      <c r="GO27" s="810"/>
      <c r="GP27" s="810"/>
      <c r="GQ27" s="810"/>
      <c r="GR27" s="810"/>
      <c r="GS27" s="810"/>
      <c r="GT27" s="810"/>
      <c r="GU27" s="810" t="s">
        <v>93</v>
      </c>
      <c r="GV27" s="810"/>
      <c r="GW27" s="810"/>
      <c r="GX27" s="810"/>
      <c r="GY27" s="810"/>
      <c r="GZ27" s="810"/>
      <c r="HA27" s="810"/>
      <c r="HB27" s="810"/>
      <c r="HC27" s="810"/>
      <c r="HD27" s="810"/>
      <c r="HE27" s="810"/>
      <c r="HF27" s="810"/>
      <c r="HG27" s="810"/>
      <c r="HH27" s="810" t="s">
        <v>93</v>
      </c>
      <c r="HI27" s="810"/>
      <c r="HJ27" s="810"/>
      <c r="HK27" s="811"/>
      <c r="HL27" s="810"/>
      <c r="HM27" s="810"/>
      <c r="HN27" s="810"/>
      <c r="HO27" s="810"/>
      <c r="HP27" s="810"/>
      <c r="HQ27" s="810"/>
      <c r="HR27" s="810"/>
      <c r="HS27" s="810"/>
      <c r="HT27" s="810"/>
      <c r="HU27" s="810"/>
      <c r="HV27" s="810"/>
      <c r="HW27" s="810"/>
      <c r="HX27" s="810"/>
      <c r="HY27" s="857"/>
      <c r="HZ27" s="857"/>
      <c r="IA27" s="857"/>
      <c r="IB27" s="857"/>
      <c r="IC27" s="857"/>
      <c r="ID27" s="857"/>
      <c r="IE27" s="857"/>
      <c r="IF27" s="857"/>
      <c r="IG27" s="857"/>
      <c r="IH27" s="857"/>
      <c r="II27" s="857"/>
      <c r="IJ27" s="857"/>
      <c r="IK27" s="857"/>
      <c r="IL27" s="857"/>
      <c r="IM27" s="857"/>
      <c r="IN27" s="857"/>
      <c r="IO27" s="857"/>
      <c r="IP27" s="857"/>
      <c r="IQ27" s="857"/>
      <c r="IR27" s="857"/>
      <c r="IS27" s="857"/>
      <c r="IT27" s="857"/>
      <c r="IU27" s="857"/>
      <c r="IV27" s="857"/>
    </row>
    <row r="28" spans="1:256" ht="20.100000000000001" customHeight="1">
      <c r="A28" s="819" t="s">
        <v>131</v>
      </c>
      <c r="B28" s="810"/>
      <c r="C28" s="810" t="str">
        <f>IF(ISTEXT(IFERROR(VLOOKUP(A28,职业列表!I3:J10,1,FALSE),0)),"★","")</f>
        <v/>
      </c>
      <c r="D28" s="810"/>
      <c r="E28" s="810"/>
      <c r="F28" s="810" t="s">
        <v>93</v>
      </c>
      <c r="G28" s="810"/>
      <c r="H28" s="810"/>
      <c r="I28" s="810"/>
      <c r="J28" s="810"/>
      <c r="K28" s="810"/>
      <c r="L28" s="810"/>
      <c r="M28" s="810"/>
      <c r="N28" s="810"/>
      <c r="O28" s="810"/>
      <c r="P28" s="810"/>
      <c r="Q28" s="810"/>
      <c r="R28" s="810"/>
      <c r="S28" s="810"/>
      <c r="T28" s="810"/>
      <c r="U28" s="810"/>
      <c r="V28" s="810" t="s">
        <v>1368</v>
      </c>
      <c r="W28" s="810"/>
      <c r="X28" s="810"/>
      <c r="Y28" s="810"/>
      <c r="Z28" s="810"/>
      <c r="AA28" s="810"/>
      <c r="AB28" s="810" t="s">
        <v>1368</v>
      </c>
      <c r="AC28" s="810"/>
      <c r="AD28" s="810" t="s">
        <v>93</v>
      </c>
      <c r="AE28" s="810" t="s">
        <v>93</v>
      </c>
      <c r="AF28" s="810" t="s">
        <v>93</v>
      </c>
      <c r="AG28" s="810"/>
      <c r="AH28" s="810"/>
      <c r="AI28" s="810" t="s">
        <v>1368</v>
      </c>
      <c r="AJ28" s="810"/>
      <c r="AK28" s="810"/>
      <c r="AL28" s="810"/>
      <c r="AM28" s="810"/>
      <c r="AN28" s="810" t="s">
        <v>93</v>
      </c>
      <c r="AO28" s="810"/>
      <c r="AP28" s="810"/>
      <c r="AQ28" s="810"/>
      <c r="AR28" s="810"/>
      <c r="AS28" s="810"/>
      <c r="AT28" s="810"/>
      <c r="AU28" s="810"/>
      <c r="AV28" s="810"/>
      <c r="AW28" s="810"/>
      <c r="AX28" s="810"/>
      <c r="AY28" s="810"/>
      <c r="AZ28" s="810"/>
      <c r="BA28" s="810"/>
      <c r="BB28" s="810"/>
      <c r="BC28" s="810"/>
      <c r="BD28" s="810"/>
      <c r="BE28" s="810"/>
      <c r="BF28" s="810"/>
      <c r="BG28" s="810"/>
      <c r="BH28" s="810"/>
      <c r="BI28" s="810"/>
      <c r="BJ28" s="810" t="s">
        <v>93</v>
      </c>
      <c r="BK28" s="810" t="s">
        <v>93</v>
      </c>
      <c r="BL28" s="810"/>
      <c r="BM28" s="810"/>
      <c r="BN28" s="810"/>
      <c r="BO28" s="810"/>
      <c r="BP28" s="810"/>
      <c r="BQ28" s="810"/>
      <c r="BR28" s="810"/>
      <c r="BS28" s="810" t="s">
        <v>93</v>
      </c>
      <c r="BT28" s="811"/>
      <c r="BU28" s="810"/>
      <c r="BV28" s="810"/>
      <c r="BW28" s="810"/>
      <c r="BX28" s="810"/>
      <c r="BY28" s="810"/>
      <c r="BZ28" s="810"/>
      <c r="CA28" s="810"/>
      <c r="CB28" s="810"/>
      <c r="CC28" s="810"/>
      <c r="CD28" s="810"/>
      <c r="CE28" s="810"/>
      <c r="CF28" s="810"/>
      <c r="CG28" s="810"/>
      <c r="CH28" s="810"/>
      <c r="CI28" s="810"/>
      <c r="CJ28" s="810"/>
      <c r="CK28" s="810"/>
      <c r="CL28" s="810"/>
      <c r="CM28" s="810"/>
      <c r="CN28" s="810"/>
      <c r="CO28" s="810"/>
      <c r="CP28" s="810"/>
      <c r="CQ28" s="810"/>
      <c r="CR28" s="810"/>
      <c r="CS28" s="810"/>
      <c r="CT28" s="810"/>
      <c r="CU28" s="810"/>
      <c r="CV28" s="810" t="s">
        <v>93</v>
      </c>
      <c r="CW28" s="810"/>
      <c r="CX28" s="810"/>
      <c r="CY28" s="810"/>
      <c r="CZ28" s="810"/>
      <c r="DA28" s="810"/>
      <c r="DB28" s="810" t="s">
        <v>93</v>
      </c>
      <c r="DC28" s="810"/>
      <c r="DD28" s="810"/>
      <c r="DE28" s="810" t="s">
        <v>93</v>
      </c>
      <c r="DF28" s="810" t="s">
        <v>1367</v>
      </c>
      <c r="DG28" s="810"/>
      <c r="DH28" s="810"/>
      <c r="DI28" s="810"/>
      <c r="DJ28" s="810"/>
      <c r="DK28" s="810"/>
      <c r="DL28" s="810"/>
      <c r="DM28" s="810"/>
      <c r="DN28" s="810"/>
      <c r="DO28" s="810"/>
      <c r="DP28" s="810"/>
      <c r="DQ28" s="810"/>
      <c r="DR28" s="810"/>
      <c r="DS28" s="810"/>
      <c r="DT28" s="810"/>
      <c r="DU28" s="810"/>
      <c r="DV28" s="810"/>
      <c r="DW28" s="810"/>
      <c r="DX28" s="810"/>
      <c r="DY28" s="810"/>
      <c r="DZ28" s="810"/>
      <c r="EA28" s="810"/>
      <c r="EB28" s="810"/>
      <c r="EC28" s="810"/>
      <c r="ED28" s="810"/>
      <c r="EE28" s="810"/>
      <c r="EF28" s="810"/>
      <c r="EG28" s="810"/>
      <c r="EH28" s="810"/>
      <c r="EI28" s="810"/>
      <c r="EJ28" s="810"/>
      <c r="EK28" s="810"/>
      <c r="EL28" s="810"/>
      <c r="EM28" s="810"/>
      <c r="EN28" s="810"/>
      <c r="EO28" s="810"/>
      <c r="EP28" s="810"/>
      <c r="EQ28" s="810"/>
      <c r="ER28" s="810"/>
      <c r="ES28" s="810"/>
      <c r="ET28" s="810"/>
      <c r="EU28" s="810"/>
      <c r="EV28" s="810"/>
      <c r="EW28" s="810"/>
      <c r="EX28" s="810"/>
      <c r="EY28" s="810"/>
      <c r="EZ28" s="810"/>
      <c r="FA28" s="810"/>
      <c r="FB28" s="810"/>
      <c r="FC28" s="810"/>
      <c r="FD28" s="810"/>
      <c r="FE28" s="810"/>
      <c r="FF28" s="810"/>
      <c r="FG28" s="810"/>
      <c r="FH28" s="810"/>
      <c r="FI28" s="810"/>
      <c r="FJ28" s="810"/>
      <c r="FK28" s="810"/>
      <c r="FL28" s="810"/>
      <c r="FM28" s="810"/>
      <c r="FN28" s="810"/>
      <c r="FO28" s="810"/>
      <c r="FP28" s="810"/>
      <c r="FQ28" s="810"/>
      <c r="FR28" s="810"/>
      <c r="FS28" s="810"/>
      <c r="FT28" s="810"/>
      <c r="FU28" s="810"/>
      <c r="FV28" s="810"/>
      <c r="FW28" s="810"/>
      <c r="FX28" s="810"/>
      <c r="FY28" s="810"/>
      <c r="FZ28" s="810"/>
      <c r="GA28" s="810" t="s">
        <v>93</v>
      </c>
      <c r="GB28" s="810"/>
      <c r="GC28" s="810" t="s">
        <v>93</v>
      </c>
      <c r="GD28" s="810" t="s">
        <v>93</v>
      </c>
      <c r="GE28" s="810"/>
      <c r="GF28" s="810"/>
      <c r="GG28" s="810"/>
      <c r="GH28" s="810"/>
      <c r="GI28" s="810"/>
      <c r="GJ28" s="810"/>
      <c r="GK28" s="810"/>
      <c r="GL28" s="810"/>
      <c r="GM28" s="810"/>
      <c r="GN28" s="810"/>
      <c r="GO28" s="810"/>
      <c r="GP28" s="810"/>
      <c r="GQ28" s="810"/>
      <c r="GR28" s="810"/>
      <c r="GS28" s="810"/>
      <c r="GT28" s="810"/>
      <c r="GU28" s="810" t="s">
        <v>93</v>
      </c>
      <c r="GV28" s="810"/>
      <c r="GW28" s="810"/>
      <c r="GX28" s="810"/>
      <c r="GY28" s="810"/>
      <c r="GZ28" s="810"/>
      <c r="HA28" s="810"/>
      <c r="HB28" s="810"/>
      <c r="HC28" s="810"/>
      <c r="HD28" s="810"/>
      <c r="HE28" s="810"/>
      <c r="HF28" s="810"/>
      <c r="HG28" s="810"/>
      <c r="HH28" s="810" t="s">
        <v>93</v>
      </c>
      <c r="HI28" s="810"/>
      <c r="HJ28" s="810"/>
      <c r="HK28" s="811"/>
      <c r="HL28" s="810"/>
      <c r="HM28" s="810"/>
      <c r="HN28" s="810"/>
      <c r="HO28" s="810"/>
      <c r="HP28" s="810"/>
      <c r="HQ28" s="810"/>
      <c r="HR28" s="810"/>
      <c r="HS28" s="810"/>
      <c r="HT28" s="810"/>
      <c r="HU28" s="810"/>
      <c r="HV28" s="810"/>
      <c r="HW28" s="810"/>
      <c r="HX28" s="810"/>
      <c r="HY28" s="857"/>
      <c r="HZ28" s="857"/>
      <c r="IA28" s="857"/>
      <c r="IB28" s="857"/>
      <c r="IC28" s="857"/>
      <c r="ID28" s="857"/>
      <c r="IE28" s="857"/>
      <c r="IF28" s="857"/>
      <c r="IG28" s="857"/>
      <c r="IH28" s="857"/>
      <c r="II28" s="857"/>
      <c r="IJ28" s="857"/>
      <c r="IK28" s="857"/>
      <c r="IL28" s="857"/>
      <c r="IM28" s="857"/>
      <c r="IN28" s="857"/>
      <c r="IO28" s="857"/>
      <c r="IP28" s="857"/>
      <c r="IQ28" s="857"/>
      <c r="IR28" s="857"/>
      <c r="IS28" s="857"/>
      <c r="IT28" s="857"/>
      <c r="IU28" s="857"/>
      <c r="IV28" s="857"/>
    </row>
    <row r="29" spans="1:256" s="796" customFormat="1" ht="20.100000000000001" customHeight="1">
      <c r="A29" s="824" t="s">
        <v>133</v>
      </c>
      <c r="B29" s="825"/>
      <c r="C29" s="810" t="str">
        <f>IF(ISTEXT(IFERROR(VLOOKUP(A29,职业列表!I3:J10,1,FALSE),0)),"★","")</f>
        <v/>
      </c>
      <c r="D29" s="825"/>
      <c r="E29" s="825"/>
      <c r="F29" s="825"/>
      <c r="G29" s="825"/>
      <c r="H29" s="825" t="s">
        <v>93</v>
      </c>
      <c r="I29" s="825"/>
      <c r="J29" s="825"/>
      <c r="K29" s="825"/>
      <c r="L29" s="825"/>
      <c r="M29" s="825"/>
      <c r="N29" s="825"/>
      <c r="O29" s="825"/>
      <c r="P29" s="825"/>
      <c r="Q29" s="825"/>
      <c r="R29" s="825"/>
      <c r="S29" s="825"/>
      <c r="T29" s="825" t="s">
        <v>93</v>
      </c>
      <c r="U29" s="825"/>
      <c r="V29" s="825" t="s">
        <v>1368</v>
      </c>
      <c r="W29" s="825"/>
      <c r="X29" s="825"/>
      <c r="Y29" s="825"/>
      <c r="Z29" s="825"/>
      <c r="AA29" s="825"/>
      <c r="AB29" s="825" t="s">
        <v>1368</v>
      </c>
      <c r="AC29" s="825"/>
      <c r="AD29" s="825" t="s">
        <v>93</v>
      </c>
      <c r="AE29" s="825" t="s">
        <v>93</v>
      </c>
      <c r="AF29" s="825" t="s">
        <v>93</v>
      </c>
      <c r="AG29" s="825"/>
      <c r="AH29" s="825"/>
      <c r="AI29" s="825" t="s">
        <v>1368</v>
      </c>
      <c r="AJ29" s="825" t="s">
        <v>1367</v>
      </c>
      <c r="AK29" s="825"/>
      <c r="AL29" s="825"/>
      <c r="AM29" s="825" t="s">
        <v>93</v>
      </c>
      <c r="AN29" s="825" t="s">
        <v>93</v>
      </c>
      <c r="AO29" s="825"/>
      <c r="AP29" s="825" t="s">
        <v>1367</v>
      </c>
      <c r="AQ29" s="844"/>
      <c r="AR29" s="825" t="s">
        <v>93</v>
      </c>
      <c r="AS29" s="825"/>
      <c r="AT29" s="825"/>
      <c r="AU29" s="825"/>
      <c r="AV29" s="825"/>
      <c r="AW29" s="825"/>
      <c r="AX29" s="825"/>
      <c r="AY29" s="825"/>
      <c r="AZ29" s="825"/>
      <c r="BA29" s="825"/>
      <c r="BB29" s="825"/>
      <c r="BC29" s="825" t="s">
        <v>93</v>
      </c>
      <c r="BD29" s="825"/>
      <c r="BE29" s="825" t="s">
        <v>93</v>
      </c>
      <c r="BF29" s="825"/>
      <c r="BG29" s="825"/>
      <c r="BH29" s="825"/>
      <c r="BI29" s="825"/>
      <c r="BJ29" s="825" t="s">
        <v>93</v>
      </c>
      <c r="BK29" s="825" t="s">
        <v>93</v>
      </c>
      <c r="BL29" s="847"/>
      <c r="BM29" s="825"/>
      <c r="BN29" s="825"/>
      <c r="BO29" s="825"/>
      <c r="BP29" s="825"/>
      <c r="BQ29" s="825"/>
      <c r="BR29" s="825"/>
      <c r="BS29" s="825"/>
      <c r="BT29" s="825"/>
      <c r="BU29" s="825"/>
      <c r="BV29" s="825"/>
      <c r="BW29" s="825"/>
      <c r="BX29" s="825"/>
      <c r="BY29" s="825" t="s">
        <v>93</v>
      </c>
      <c r="BZ29" s="825"/>
      <c r="CA29" s="825"/>
      <c r="CB29" s="825"/>
      <c r="CC29" s="825"/>
      <c r="CD29" s="825"/>
      <c r="CE29" s="825"/>
      <c r="CF29" s="825" t="s">
        <v>93</v>
      </c>
      <c r="CG29" s="825"/>
      <c r="CH29" s="825"/>
      <c r="CI29" s="825"/>
      <c r="CJ29" s="825"/>
      <c r="CK29" s="825"/>
      <c r="CL29" s="825"/>
      <c r="CM29" s="825" t="s">
        <v>93</v>
      </c>
      <c r="CN29" s="847" t="s">
        <v>93</v>
      </c>
      <c r="CO29" s="825"/>
      <c r="CP29" s="825"/>
      <c r="CQ29" s="825"/>
      <c r="CR29" s="825"/>
      <c r="CS29" s="825"/>
      <c r="CT29" s="825"/>
      <c r="CU29" s="825"/>
      <c r="CV29" s="825" t="s">
        <v>93</v>
      </c>
      <c r="CW29" s="825"/>
      <c r="CX29" s="825"/>
      <c r="CY29" s="825"/>
      <c r="CZ29" s="825"/>
      <c r="DA29" s="825"/>
      <c r="DB29" s="825" t="s">
        <v>93</v>
      </c>
      <c r="DC29" s="825" t="s">
        <v>93</v>
      </c>
      <c r="DD29" s="825"/>
      <c r="DE29" s="825"/>
      <c r="DF29" s="825"/>
      <c r="DG29" s="825"/>
      <c r="DH29" s="825"/>
      <c r="DI29" s="825"/>
      <c r="DJ29" s="825"/>
      <c r="DK29" s="825"/>
      <c r="DL29" s="825"/>
      <c r="DM29" s="825"/>
      <c r="DN29" s="825"/>
      <c r="DO29" s="825"/>
      <c r="DP29" s="825"/>
      <c r="DQ29" s="825"/>
      <c r="DR29" s="825"/>
      <c r="DS29" s="825"/>
      <c r="DT29" s="825"/>
      <c r="DU29" s="825"/>
      <c r="DV29" s="825"/>
      <c r="DW29" s="825"/>
      <c r="DX29" s="825"/>
      <c r="DY29" s="825" t="s">
        <v>93</v>
      </c>
      <c r="DZ29" s="825"/>
      <c r="EA29" s="825"/>
      <c r="EB29" s="825"/>
      <c r="EC29" s="825"/>
      <c r="ED29" s="825"/>
      <c r="EE29" s="825"/>
      <c r="EF29" s="825"/>
      <c r="EG29" s="825"/>
      <c r="EH29" s="825"/>
      <c r="EI29" s="825"/>
      <c r="EJ29" s="825"/>
      <c r="EK29" s="825"/>
      <c r="EL29" s="825"/>
      <c r="EM29" s="825"/>
      <c r="EN29" s="825"/>
      <c r="EO29" s="825"/>
      <c r="EP29" s="825"/>
      <c r="EQ29" s="825"/>
      <c r="ER29" s="825"/>
      <c r="ES29" s="825"/>
      <c r="ET29" s="825"/>
      <c r="EU29" s="825"/>
      <c r="EV29" s="825"/>
      <c r="EW29" s="825"/>
      <c r="EX29" s="825"/>
      <c r="EY29" s="825"/>
      <c r="EZ29" s="825"/>
      <c r="FA29" s="825"/>
      <c r="FB29" s="825"/>
      <c r="FC29" s="825" t="s">
        <v>93</v>
      </c>
      <c r="FD29" s="825"/>
      <c r="FE29" s="825"/>
      <c r="FF29" s="825"/>
      <c r="FG29" s="825"/>
      <c r="FH29" s="825"/>
      <c r="FI29" s="825"/>
      <c r="FJ29" s="825"/>
      <c r="FK29" s="825"/>
      <c r="FL29" s="825"/>
      <c r="FM29" s="825"/>
      <c r="FN29" s="825"/>
      <c r="FO29" s="825"/>
      <c r="FP29" s="825"/>
      <c r="FQ29" s="825"/>
      <c r="FR29" s="825"/>
      <c r="FS29" s="825"/>
      <c r="FT29" s="825"/>
      <c r="FU29" s="825"/>
      <c r="FV29" s="825"/>
      <c r="FW29" s="825"/>
      <c r="FX29" s="825"/>
      <c r="FY29" s="825"/>
      <c r="FZ29" s="825"/>
      <c r="GA29" s="825" t="s">
        <v>93</v>
      </c>
      <c r="GB29" s="825"/>
      <c r="GC29" s="825" t="s">
        <v>93</v>
      </c>
      <c r="GD29" s="825" t="s">
        <v>93</v>
      </c>
      <c r="GE29" s="825" t="s">
        <v>93</v>
      </c>
      <c r="GF29" s="825"/>
      <c r="GG29" s="825"/>
      <c r="GH29" s="825"/>
      <c r="GI29" s="825"/>
      <c r="GJ29" s="825"/>
      <c r="GK29" s="825"/>
      <c r="GL29" s="825"/>
      <c r="GM29" s="825"/>
      <c r="GN29" s="825"/>
      <c r="GO29" s="825"/>
      <c r="GP29" s="825"/>
      <c r="GQ29" s="825"/>
      <c r="GR29" s="825"/>
      <c r="GS29" s="825"/>
      <c r="GT29" s="825"/>
      <c r="GU29" s="825" t="s">
        <v>93</v>
      </c>
      <c r="GV29" s="825"/>
      <c r="GW29" s="825" t="s">
        <v>93</v>
      </c>
      <c r="GX29" s="825"/>
      <c r="GY29" s="825"/>
      <c r="GZ29" s="825"/>
      <c r="HA29" s="825"/>
      <c r="HB29" s="825"/>
      <c r="HC29" s="825"/>
      <c r="HD29" s="825"/>
      <c r="HE29" s="825"/>
      <c r="HF29" s="825"/>
      <c r="HG29" s="825"/>
      <c r="HH29" s="825"/>
      <c r="HI29" s="825"/>
      <c r="HJ29" s="825"/>
      <c r="HK29" s="847" t="s">
        <v>93</v>
      </c>
      <c r="HL29" s="847" t="s">
        <v>93</v>
      </c>
      <c r="HM29" s="825"/>
      <c r="HN29" s="825"/>
      <c r="HO29" s="825"/>
      <c r="HP29" s="825"/>
      <c r="HQ29" s="825"/>
      <c r="HR29" s="825" t="s">
        <v>93</v>
      </c>
      <c r="HS29" s="825"/>
      <c r="HT29" s="825"/>
      <c r="HU29" s="825"/>
      <c r="HV29" s="825"/>
      <c r="HW29" s="825"/>
      <c r="HX29" s="825"/>
      <c r="HY29" s="864"/>
      <c r="HZ29" s="864"/>
      <c r="IA29" s="864"/>
      <c r="IB29" s="864"/>
      <c r="IC29" s="864"/>
      <c r="ID29" s="864"/>
      <c r="IE29" s="864"/>
      <c r="IF29" s="864"/>
      <c r="IG29" s="864"/>
      <c r="IH29" s="864"/>
      <c r="II29" s="864"/>
      <c r="IJ29" s="864"/>
      <c r="IK29" s="864"/>
      <c r="IL29" s="864"/>
      <c r="IM29" s="864"/>
      <c r="IN29" s="864"/>
      <c r="IO29" s="864"/>
      <c r="IP29" s="864"/>
      <c r="IQ29" s="864"/>
      <c r="IR29" s="864"/>
      <c r="IS29" s="864"/>
      <c r="IT29" s="864"/>
      <c r="IU29" s="864"/>
      <c r="IV29" s="864"/>
    </row>
    <row r="30" spans="1:256" ht="20.100000000000001" customHeight="1">
      <c r="A30" s="814" t="s">
        <v>137</v>
      </c>
      <c r="B30" s="810"/>
      <c r="C30" s="810" t="str">
        <f>IF(ISTEXT(IFERROR(VLOOKUP(A30,职业列表!I3:J10,1,FALSE),0)),"★","")</f>
        <v/>
      </c>
      <c r="D30" s="810"/>
      <c r="E30" s="810"/>
      <c r="F30" s="810"/>
      <c r="G30" s="810"/>
      <c r="H30" s="810" t="s">
        <v>93</v>
      </c>
      <c r="I30" s="810"/>
      <c r="J30" s="810"/>
      <c r="K30" s="810"/>
      <c r="L30" s="810"/>
      <c r="M30" s="810"/>
      <c r="N30" s="810"/>
      <c r="O30" s="810"/>
      <c r="P30" s="810"/>
      <c r="Q30" s="810"/>
      <c r="R30" s="810"/>
      <c r="S30" s="810"/>
      <c r="T30" s="810" t="s">
        <v>93</v>
      </c>
      <c r="U30" s="810"/>
      <c r="V30" s="810" t="s">
        <v>1368</v>
      </c>
      <c r="W30" s="810"/>
      <c r="X30" s="810"/>
      <c r="Y30" s="810"/>
      <c r="Z30" s="810"/>
      <c r="AA30" s="810"/>
      <c r="AB30" s="810" t="s">
        <v>1368</v>
      </c>
      <c r="AC30" s="810"/>
      <c r="AD30" s="810" t="s">
        <v>93</v>
      </c>
      <c r="AE30" s="810" t="s">
        <v>93</v>
      </c>
      <c r="AF30" s="810" t="s">
        <v>93</v>
      </c>
      <c r="AG30" s="810"/>
      <c r="AH30" s="810"/>
      <c r="AI30" s="810" t="s">
        <v>1368</v>
      </c>
      <c r="AJ30" s="810"/>
      <c r="AK30" s="810"/>
      <c r="AL30" s="810"/>
      <c r="AM30" s="810" t="s">
        <v>93</v>
      </c>
      <c r="AN30" s="810" t="s">
        <v>93</v>
      </c>
      <c r="AO30" s="810"/>
      <c r="AP30" s="810" t="s">
        <v>1367</v>
      </c>
      <c r="AQ30" s="845"/>
      <c r="AR30" s="810" t="s">
        <v>93</v>
      </c>
      <c r="AS30" s="810"/>
      <c r="AT30" s="810"/>
      <c r="AU30" s="810"/>
      <c r="AV30" s="810"/>
      <c r="AW30" s="810"/>
      <c r="AX30" s="810"/>
      <c r="AY30" s="810"/>
      <c r="AZ30" s="810"/>
      <c r="BA30" s="810"/>
      <c r="BB30" s="810"/>
      <c r="BC30" s="810" t="s">
        <v>93</v>
      </c>
      <c r="BD30" s="810"/>
      <c r="BE30" s="810" t="s">
        <v>93</v>
      </c>
      <c r="BF30" s="810"/>
      <c r="BG30" s="810"/>
      <c r="BH30" s="810"/>
      <c r="BI30" s="810"/>
      <c r="BJ30" s="810" t="s">
        <v>93</v>
      </c>
      <c r="BK30" s="810" t="s">
        <v>93</v>
      </c>
      <c r="BL30" s="810" t="s">
        <v>1402</v>
      </c>
      <c r="BM30" s="810"/>
      <c r="BN30" s="810"/>
      <c r="BO30" s="810"/>
      <c r="BP30" s="810"/>
      <c r="BQ30" s="810"/>
      <c r="BR30" s="810"/>
      <c r="BS30" s="810"/>
      <c r="BT30" s="810"/>
      <c r="BU30" s="810"/>
      <c r="BV30" s="810"/>
      <c r="BW30" s="810"/>
      <c r="BX30" s="810"/>
      <c r="BY30" s="810" t="s">
        <v>93</v>
      </c>
      <c r="BZ30" s="810"/>
      <c r="CA30" s="810"/>
      <c r="CB30" s="810"/>
      <c r="CC30" s="810"/>
      <c r="CD30" s="810"/>
      <c r="CE30" s="810"/>
      <c r="CF30" s="810" t="s">
        <v>93</v>
      </c>
      <c r="CG30" s="810"/>
      <c r="CH30" s="810"/>
      <c r="CI30" s="810"/>
      <c r="CJ30" s="810"/>
      <c r="CK30" s="810"/>
      <c r="CL30" s="810"/>
      <c r="CM30" s="810" t="s">
        <v>93</v>
      </c>
      <c r="CN30" s="810" t="s">
        <v>93</v>
      </c>
      <c r="CO30" s="810"/>
      <c r="CP30" s="810"/>
      <c r="CQ30" s="810"/>
      <c r="CR30" s="810"/>
      <c r="CS30" s="810"/>
      <c r="CT30" s="810"/>
      <c r="CU30" s="810"/>
      <c r="CV30" s="810" t="s">
        <v>93</v>
      </c>
      <c r="CW30" s="810"/>
      <c r="CX30" s="810"/>
      <c r="CY30" s="810"/>
      <c r="CZ30" s="810"/>
      <c r="DA30" s="810"/>
      <c r="DB30" s="810" t="s">
        <v>93</v>
      </c>
      <c r="DC30" s="810" t="s">
        <v>93</v>
      </c>
      <c r="DD30" s="810"/>
      <c r="DE30" s="810"/>
      <c r="DF30" s="810"/>
      <c r="DG30" s="810"/>
      <c r="DH30" s="810"/>
      <c r="DI30" s="810"/>
      <c r="DJ30" s="810"/>
      <c r="DK30" s="810"/>
      <c r="DL30" s="810"/>
      <c r="DM30" s="810"/>
      <c r="DN30" s="810"/>
      <c r="DO30" s="810"/>
      <c r="DP30" s="810"/>
      <c r="DQ30" s="810"/>
      <c r="DR30" s="810"/>
      <c r="DS30" s="810"/>
      <c r="DT30" s="810"/>
      <c r="DU30" s="810"/>
      <c r="DV30" s="810"/>
      <c r="DW30" s="810"/>
      <c r="DX30" s="810"/>
      <c r="DY30" s="810"/>
      <c r="DZ30" s="810"/>
      <c r="EA30" s="810"/>
      <c r="EB30" s="810"/>
      <c r="EC30" s="810"/>
      <c r="ED30" s="810"/>
      <c r="EE30" s="810"/>
      <c r="EF30" s="810"/>
      <c r="EG30" s="810"/>
      <c r="EH30" s="810"/>
      <c r="EI30" s="810"/>
      <c r="EJ30" s="810"/>
      <c r="EK30" s="810"/>
      <c r="EL30" s="810"/>
      <c r="EM30" s="810"/>
      <c r="EN30" s="810"/>
      <c r="EO30" s="810"/>
      <c r="EP30" s="810"/>
      <c r="EQ30" s="810"/>
      <c r="ER30" s="810"/>
      <c r="ES30" s="810"/>
      <c r="ET30" s="810"/>
      <c r="EU30" s="810"/>
      <c r="EV30" s="810"/>
      <c r="EW30" s="810"/>
      <c r="EX30" s="810"/>
      <c r="EY30" s="810"/>
      <c r="EZ30" s="810"/>
      <c r="FA30" s="810"/>
      <c r="FB30" s="810"/>
      <c r="FC30" s="810" t="s">
        <v>93</v>
      </c>
      <c r="FD30" s="810"/>
      <c r="FE30" s="810"/>
      <c r="FF30" s="810"/>
      <c r="FG30" s="810"/>
      <c r="FH30" s="810"/>
      <c r="FI30" s="810"/>
      <c r="FJ30" s="810"/>
      <c r="FK30" s="810"/>
      <c r="FL30" s="810"/>
      <c r="FM30" s="810"/>
      <c r="FN30" s="810"/>
      <c r="FO30" s="810"/>
      <c r="FP30" s="810"/>
      <c r="FQ30" s="810"/>
      <c r="FR30" s="810" t="s">
        <v>1403</v>
      </c>
      <c r="FS30" s="810"/>
      <c r="FT30" s="810"/>
      <c r="FU30" s="810"/>
      <c r="FV30" s="810"/>
      <c r="FW30" s="810"/>
      <c r="FX30" s="810"/>
      <c r="FY30" s="810"/>
      <c r="FZ30" s="810"/>
      <c r="GA30" s="810" t="s">
        <v>93</v>
      </c>
      <c r="GB30" s="810"/>
      <c r="GC30" s="810" t="s">
        <v>93</v>
      </c>
      <c r="GD30" s="810" t="s">
        <v>93</v>
      </c>
      <c r="GE30" s="810" t="s">
        <v>93</v>
      </c>
      <c r="GF30" s="810"/>
      <c r="GG30" s="810"/>
      <c r="GH30" s="810"/>
      <c r="GI30" s="810"/>
      <c r="GJ30" s="810"/>
      <c r="GK30" s="810"/>
      <c r="GL30" s="810"/>
      <c r="GM30" s="810"/>
      <c r="GN30" s="810"/>
      <c r="GO30" s="810"/>
      <c r="GP30" s="810"/>
      <c r="GQ30" s="810"/>
      <c r="GR30" s="810"/>
      <c r="GS30" s="810"/>
      <c r="GT30" s="810"/>
      <c r="GU30" s="810" t="s">
        <v>93</v>
      </c>
      <c r="GV30" s="810"/>
      <c r="GW30" s="810" t="s">
        <v>93</v>
      </c>
      <c r="GX30" s="810"/>
      <c r="GY30" s="810"/>
      <c r="GZ30" s="811"/>
      <c r="HA30" s="811" t="s">
        <v>1404</v>
      </c>
      <c r="HB30" s="810"/>
      <c r="HC30" s="810"/>
      <c r="HD30" s="810"/>
      <c r="HE30" s="810"/>
      <c r="HF30" s="810"/>
      <c r="HG30" s="810"/>
      <c r="HH30" s="810"/>
      <c r="HI30" s="810"/>
      <c r="HJ30" s="810"/>
      <c r="HK30" s="811" t="s">
        <v>1405</v>
      </c>
      <c r="HL30" s="811" t="s">
        <v>1405</v>
      </c>
      <c r="HM30" s="810"/>
      <c r="HN30" s="810"/>
      <c r="HO30" s="810"/>
      <c r="HP30" s="810"/>
      <c r="HQ30" s="810"/>
      <c r="HR30" s="810"/>
      <c r="HS30" s="810"/>
      <c r="HT30" s="810"/>
      <c r="HU30" s="810"/>
      <c r="HV30" s="810"/>
      <c r="HW30" s="811" t="s">
        <v>1405</v>
      </c>
      <c r="HX30" s="810"/>
      <c r="HY30" s="857"/>
      <c r="HZ30" s="857"/>
      <c r="IA30" s="857"/>
      <c r="IB30" s="857"/>
      <c r="IC30" s="857"/>
      <c r="ID30" s="857"/>
      <c r="IE30" s="857"/>
      <c r="IF30" s="857"/>
      <c r="IG30" s="857"/>
      <c r="IH30" s="857"/>
      <c r="II30" s="857"/>
      <c r="IJ30" s="857"/>
      <c r="IK30" s="857"/>
      <c r="IL30" s="857"/>
      <c r="IM30" s="857"/>
      <c r="IN30" s="857"/>
      <c r="IO30" s="857"/>
      <c r="IP30" s="857"/>
      <c r="IQ30" s="857"/>
      <c r="IR30" s="857"/>
      <c r="IS30" s="857"/>
      <c r="IT30" s="857"/>
      <c r="IU30" s="857"/>
      <c r="IV30" s="857"/>
    </row>
    <row r="31" spans="1:256" ht="20.100000000000001" customHeight="1">
      <c r="A31" s="814" t="s">
        <v>139</v>
      </c>
      <c r="B31" s="810"/>
      <c r="C31" s="810" t="str">
        <f>IF(ISTEXT(IFERROR(VLOOKUP(A31,职业列表!I3:J10,1,FALSE),0)),"★","")</f>
        <v/>
      </c>
      <c r="D31" s="810"/>
      <c r="E31" s="810"/>
      <c r="F31" s="810"/>
      <c r="G31" s="810"/>
      <c r="H31" s="810" t="s">
        <v>93</v>
      </c>
      <c r="I31" s="810"/>
      <c r="J31" s="810"/>
      <c r="K31" s="810"/>
      <c r="L31" s="810"/>
      <c r="M31" s="810"/>
      <c r="N31" s="810"/>
      <c r="O31" s="810"/>
      <c r="P31" s="810"/>
      <c r="Q31" s="810"/>
      <c r="R31" s="810"/>
      <c r="S31" s="810"/>
      <c r="T31" s="810" t="s">
        <v>93</v>
      </c>
      <c r="U31" s="810"/>
      <c r="V31" s="810" t="s">
        <v>1368</v>
      </c>
      <c r="W31" s="810"/>
      <c r="X31" s="810"/>
      <c r="Y31" s="810"/>
      <c r="Z31" s="810"/>
      <c r="AA31" s="810"/>
      <c r="AB31" s="810" t="s">
        <v>1368</v>
      </c>
      <c r="AC31" s="810"/>
      <c r="AD31" s="810" t="s">
        <v>93</v>
      </c>
      <c r="AE31" s="810" t="s">
        <v>93</v>
      </c>
      <c r="AF31" s="810" t="s">
        <v>93</v>
      </c>
      <c r="AG31" s="810"/>
      <c r="AH31" s="810"/>
      <c r="AI31" s="810" t="s">
        <v>1368</v>
      </c>
      <c r="AJ31" s="810"/>
      <c r="AK31" s="810"/>
      <c r="AL31" s="810"/>
      <c r="AM31" s="810" t="s">
        <v>93</v>
      </c>
      <c r="AN31" s="810" t="s">
        <v>93</v>
      </c>
      <c r="AO31" s="810"/>
      <c r="AP31" s="810" t="s">
        <v>1367</v>
      </c>
      <c r="AQ31" s="845"/>
      <c r="AR31" s="810" t="s">
        <v>93</v>
      </c>
      <c r="AS31" s="810"/>
      <c r="AT31" s="810"/>
      <c r="AU31" s="810"/>
      <c r="AV31" s="810"/>
      <c r="AW31" s="810"/>
      <c r="AX31" s="810"/>
      <c r="AY31" s="810"/>
      <c r="AZ31" s="810"/>
      <c r="BA31" s="810"/>
      <c r="BB31" s="810"/>
      <c r="BC31" s="810" t="s">
        <v>93</v>
      </c>
      <c r="BD31" s="810"/>
      <c r="BE31" s="810" t="s">
        <v>93</v>
      </c>
      <c r="BF31" s="810"/>
      <c r="BG31" s="810"/>
      <c r="BH31" s="810"/>
      <c r="BI31" s="810"/>
      <c r="BJ31" s="810" t="s">
        <v>93</v>
      </c>
      <c r="BK31" s="810" t="s">
        <v>93</v>
      </c>
      <c r="BL31" s="810"/>
      <c r="BM31" s="810"/>
      <c r="BN31" s="810"/>
      <c r="BO31" s="810"/>
      <c r="BP31" s="810"/>
      <c r="BQ31" s="810"/>
      <c r="BR31" s="810"/>
      <c r="BS31" s="810"/>
      <c r="BT31" s="810"/>
      <c r="BU31" s="810"/>
      <c r="BV31" s="810"/>
      <c r="BW31" s="810"/>
      <c r="BX31" s="810"/>
      <c r="BY31" s="810" t="s">
        <v>93</v>
      </c>
      <c r="BZ31" s="810"/>
      <c r="CA31" s="810"/>
      <c r="CB31" s="810"/>
      <c r="CC31" s="810"/>
      <c r="CD31" s="810"/>
      <c r="CE31" s="810"/>
      <c r="CF31" s="810" t="s">
        <v>93</v>
      </c>
      <c r="CG31" s="810"/>
      <c r="CH31" s="810"/>
      <c r="CI31" s="810"/>
      <c r="CJ31" s="810"/>
      <c r="CK31" s="810"/>
      <c r="CL31" s="810"/>
      <c r="CM31" s="810" t="s">
        <v>93</v>
      </c>
      <c r="CN31" s="810" t="s">
        <v>93</v>
      </c>
      <c r="CO31" s="810"/>
      <c r="CP31" s="810"/>
      <c r="CQ31" s="810"/>
      <c r="CR31" s="810"/>
      <c r="CS31" s="810"/>
      <c r="CT31" s="810"/>
      <c r="CU31" s="810"/>
      <c r="CV31" s="810" t="s">
        <v>93</v>
      </c>
      <c r="CW31" s="810"/>
      <c r="CX31" s="810"/>
      <c r="CY31" s="810"/>
      <c r="CZ31" s="810"/>
      <c r="DA31" s="810"/>
      <c r="DB31" s="810" t="s">
        <v>93</v>
      </c>
      <c r="DC31" s="810" t="s">
        <v>93</v>
      </c>
      <c r="DD31" s="810"/>
      <c r="DE31" s="810"/>
      <c r="DF31" s="810"/>
      <c r="DG31" s="810"/>
      <c r="DH31" s="810"/>
      <c r="DI31" s="810"/>
      <c r="DJ31" s="810"/>
      <c r="DK31" s="810"/>
      <c r="DL31" s="810"/>
      <c r="DM31" s="810"/>
      <c r="DN31" s="810"/>
      <c r="DO31" s="810"/>
      <c r="DP31" s="810"/>
      <c r="DQ31" s="810"/>
      <c r="DR31" s="810"/>
      <c r="DS31" s="810"/>
      <c r="DT31" s="810"/>
      <c r="DU31" s="810"/>
      <c r="DV31" s="810"/>
      <c r="DW31" s="810"/>
      <c r="DX31" s="810"/>
      <c r="DY31" s="810"/>
      <c r="DZ31" s="810"/>
      <c r="EA31" s="810"/>
      <c r="EB31" s="810"/>
      <c r="EC31" s="810"/>
      <c r="ED31" s="810"/>
      <c r="EE31" s="810"/>
      <c r="EF31" s="810"/>
      <c r="EG31" s="810"/>
      <c r="EH31" s="810"/>
      <c r="EI31" s="810"/>
      <c r="EJ31" s="810"/>
      <c r="EK31" s="810"/>
      <c r="EL31" s="810"/>
      <c r="EM31" s="810"/>
      <c r="EN31" s="810"/>
      <c r="EO31" s="810"/>
      <c r="EP31" s="810"/>
      <c r="EQ31" s="810"/>
      <c r="ER31" s="810"/>
      <c r="ES31" s="810"/>
      <c r="ET31" s="810"/>
      <c r="EU31" s="810"/>
      <c r="EV31" s="810"/>
      <c r="EW31" s="810"/>
      <c r="EX31" s="810"/>
      <c r="EY31" s="810"/>
      <c r="EZ31" s="810"/>
      <c r="FA31" s="810"/>
      <c r="FB31" s="810"/>
      <c r="FC31" s="810" t="s">
        <v>93</v>
      </c>
      <c r="FD31" s="810"/>
      <c r="FE31" s="810"/>
      <c r="FF31" s="810"/>
      <c r="FG31" s="810"/>
      <c r="FH31" s="810"/>
      <c r="FI31" s="810"/>
      <c r="FJ31" s="810"/>
      <c r="FK31" s="810"/>
      <c r="FL31" s="810"/>
      <c r="FM31" s="810"/>
      <c r="FN31" s="810"/>
      <c r="FO31" s="810"/>
      <c r="FP31" s="810"/>
      <c r="FQ31" s="810"/>
      <c r="FR31" s="810"/>
      <c r="FS31" s="810"/>
      <c r="FT31" s="810"/>
      <c r="FU31" s="810"/>
      <c r="FV31" s="810"/>
      <c r="FW31" s="810"/>
      <c r="FX31" s="810"/>
      <c r="FY31" s="810"/>
      <c r="FZ31" s="810"/>
      <c r="GA31" s="810" t="s">
        <v>93</v>
      </c>
      <c r="GB31" s="810"/>
      <c r="GC31" s="810" t="s">
        <v>93</v>
      </c>
      <c r="GD31" s="810" t="s">
        <v>93</v>
      </c>
      <c r="GE31" s="810" t="s">
        <v>93</v>
      </c>
      <c r="GF31" s="810"/>
      <c r="GG31" s="810"/>
      <c r="GH31" s="810"/>
      <c r="GI31" s="810"/>
      <c r="GJ31" s="810"/>
      <c r="GK31" s="810"/>
      <c r="GL31" s="810"/>
      <c r="GM31" s="810"/>
      <c r="GN31" s="810"/>
      <c r="GO31" s="810"/>
      <c r="GP31" s="810"/>
      <c r="GQ31" s="810"/>
      <c r="GR31" s="810"/>
      <c r="GS31" s="810"/>
      <c r="GT31" s="810"/>
      <c r="GU31" s="810" t="s">
        <v>93</v>
      </c>
      <c r="GV31" s="810"/>
      <c r="GW31" s="810" t="s">
        <v>93</v>
      </c>
      <c r="GX31" s="810"/>
      <c r="GY31" s="810"/>
      <c r="GZ31" s="811"/>
      <c r="HA31" s="811"/>
      <c r="HB31" s="810"/>
      <c r="HC31" s="810"/>
      <c r="HD31" s="810"/>
      <c r="HE31" s="810"/>
      <c r="HF31" s="810"/>
      <c r="HG31" s="810"/>
      <c r="HH31" s="810"/>
      <c r="HI31" s="810"/>
      <c r="HJ31" s="810"/>
      <c r="HK31" s="811"/>
      <c r="HL31" s="811"/>
      <c r="HM31" s="810"/>
      <c r="HN31" s="810"/>
      <c r="HO31" s="810"/>
      <c r="HP31" s="810"/>
      <c r="HQ31" s="810"/>
      <c r="HR31" s="810"/>
      <c r="HS31" s="810"/>
      <c r="HT31" s="810"/>
      <c r="HU31" s="810"/>
      <c r="HV31" s="810"/>
      <c r="HW31" s="811"/>
      <c r="HX31" s="810"/>
      <c r="HY31" s="857"/>
      <c r="HZ31" s="857"/>
      <c r="IA31" s="857"/>
      <c r="IB31" s="857"/>
      <c r="IC31" s="857"/>
      <c r="ID31" s="857"/>
      <c r="IE31" s="857"/>
      <c r="IF31" s="857"/>
      <c r="IG31" s="857"/>
      <c r="IH31" s="857"/>
      <c r="II31" s="857"/>
      <c r="IJ31" s="857"/>
      <c r="IK31" s="857"/>
      <c r="IL31" s="857"/>
      <c r="IM31" s="857"/>
      <c r="IN31" s="857"/>
      <c r="IO31" s="857"/>
      <c r="IP31" s="857"/>
      <c r="IQ31" s="857"/>
      <c r="IR31" s="857"/>
      <c r="IS31" s="857"/>
      <c r="IT31" s="857"/>
      <c r="IU31" s="857"/>
      <c r="IV31" s="857"/>
    </row>
    <row r="32" spans="1:256" ht="20.100000000000001" customHeight="1">
      <c r="A32" s="826" t="s">
        <v>141</v>
      </c>
      <c r="B32" s="827"/>
      <c r="C32" s="827" t="str">
        <f>IF(ISTEXT(IFERROR(VLOOKUP(A32,职业列表!I3:J10,1,FALSE),0)),"★","")</f>
        <v/>
      </c>
      <c r="D32" s="810"/>
      <c r="E32" s="810"/>
      <c r="F32" s="810"/>
      <c r="G32" s="810"/>
      <c r="H32" s="810" t="s">
        <v>93</v>
      </c>
      <c r="I32" s="810"/>
      <c r="J32" s="810"/>
      <c r="K32" s="810"/>
      <c r="L32" s="810"/>
      <c r="M32" s="810"/>
      <c r="N32" s="810"/>
      <c r="O32" s="810"/>
      <c r="P32" s="810"/>
      <c r="Q32" s="810"/>
      <c r="R32" s="810"/>
      <c r="S32" s="810"/>
      <c r="T32" s="810" t="s">
        <v>93</v>
      </c>
      <c r="U32" s="810"/>
      <c r="V32" s="810" t="s">
        <v>1368</v>
      </c>
      <c r="W32" s="810"/>
      <c r="X32" s="810"/>
      <c r="Y32" s="810"/>
      <c r="Z32" s="810"/>
      <c r="AA32" s="810"/>
      <c r="AB32" s="810" t="s">
        <v>1368</v>
      </c>
      <c r="AC32" s="810"/>
      <c r="AD32" s="810" t="s">
        <v>93</v>
      </c>
      <c r="AE32" s="810" t="s">
        <v>93</v>
      </c>
      <c r="AF32" s="810" t="s">
        <v>93</v>
      </c>
      <c r="AG32" s="810"/>
      <c r="AH32" s="810"/>
      <c r="AI32" s="810" t="s">
        <v>1368</v>
      </c>
      <c r="AJ32" s="810"/>
      <c r="AK32" s="810"/>
      <c r="AL32" s="810"/>
      <c r="AM32" s="810" t="s">
        <v>93</v>
      </c>
      <c r="AN32" s="810" t="s">
        <v>93</v>
      </c>
      <c r="AO32" s="810"/>
      <c r="AP32" s="810" t="s">
        <v>1367</v>
      </c>
      <c r="AQ32" s="845"/>
      <c r="AR32" s="810" t="s">
        <v>93</v>
      </c>
      <c r="AS32" s="810"/>
      <c r="AT32" s="810"/>
      <c r="AU32" s="810"/>
      <c r="AV32" s="810"/>
      <c r="AW32" s="810"/>
      <c r="AX32" s="810"/>
      <c r="AY32" s="810"/>
      <c r="AZ32" s="810"/>
      <c r="BA32" s="810"/>
      <c r="BB32" s="810"/>
      <c r="BC32" s="810" t="s">
        <v>93</v>
      </c>
      <c r="BD32" s="810"/>
      <c r="BE32" s="810" t="s">
        <v>93</v>
      </c>
      <c r="BF32" s="810"/>
      <c r="BG32" s="810"/>
      <c r="BH32" s="810"/>
      <c r="BI32" s="810"/>
      <c r="BJ32" s="810" t="s">
        <v>93</v>
      </c>
      <c r="BK32" s="810" t="s">
        <v>93</v>
      </c>
      <c r="BL32" s="810"/>
      <c r="BM32" s="810"/>
      <c r="BN32" s="810"/>
      <c r="BO32" s="810"/>
      <c r="BP32" s="810"/>
      <c r="BQ32" s="810"/>
      <c r="BR32" s="810"/>
      <c r="BS32" s="810"/>
      <c r="BT32" s="810"/>
      <c r="BU32" s="810"/>
      <c r="BV32" s="810"/>
      <c r="BW32" s="810"/>
      <c r="BX32" s="810"/>
      <c r="BY32" s="810" t="s">
        <v>93</v>
      </c>
      <c r="BZ32" s="810"/>
      <c r="CA32" s="810"/>
      <c r="CB32" s="810"/>
      <c r="CC32" s="810"/>
      <c r="CD32" s="810"/>
      <c r="CE32" s="810"/>
      <c r="CF32" s="810" t="s">
        <v>93</v>
      </c>
      <c r="CG32" s="810"/>
      <c r="CH32" s="810"/>
      <c r="CI32" s="810"/>
      <c r="CJ32" s="810"/>
      <c r="CK32" s="810"/>
      <c r="CL32" s="810"/>
      <c r="CM32" s="810" t="s">
        <v>93</v>
      </c>
      <c r="CN32" s="810" t="s">
        <v>93</v>
      </c>
      <c r="CO32" s="810"/>
      <c r="CP32" s="810"/>
      <c r="CQ32" s="810"/>
      <c r="CR32" s="810"/>
      <c r="CS32" s="810"/>
      <c r="CT32" s="810"/>
      <c r="CU32" s="810"/>
      <c r="CV32" s="810" t="s">
        <v>93</v>
      </c>
      <c r="CW32" s="810"/>
      <c r="CX32" s="810"/>
      <c r="CY32" s="810"/>
      <c r="CZ32" s="810"/>
      <c r="DA32" s="810"/>
      <c r="DB32" s="810" t="s">
        <v>93</v>
      </c>
      <c r="DC32" s="810" t="s">
        <v>93</v>
      </c>
      <c r="DD32" s="810"/>
      <c r="DE32" s="810"/>
      <c r="DF32" s="810"/>
      <c r="DG32" s="810"/>
      <c r="DH32" s="810"/>
      <c r="DI32" s="810"/>
      <c r="DJ32" s="810"/>
      <c r="DK32" s="810"/>
      <c r="DL32" s="810"/>
      <c r="DM32" s="810"/>
      <c r="DN32" s="810"/>
      <c r="DO32" s="810"/>
      <c r="DP32" s="810"/>
      <c r="DQ32" s="810"/>
      <c r="DR32" s="810"/>
      <c r="DS32" s="810"/>
      <c r="DT32" s="810"/>
      <c r="DU32" s="810"/>
      <c r="DV32" s="810"/>
      <c r="DW32" s="810"/>
      <c r="DX32" s="810"/>
      <c r="DY32" s="810"/>
      <c r="DZ32" s="810"/>
      <c r="EA32" s="810"/>
      <c r="EB32" s="810"/>
      <c r="EC32" s="810"/>
      <c r="ED32" s="810"/>
      <c r="EE32" s="810"/>
      <c r="EF32" s="810"/>
      <c r="EG32" s="810"/>
      <c r="EH32" s="810"/>
      <c r="EI32" s="810"/>
      <c r="EJ32" s="810"/>
      <c r="EK32" s="810"/>
      <c r="EL32" s="810"/>
      <c r="EM32" s="810"/>
      <c r="EN32" s="810"/>
      <c r="EO32" s="810"/>
      <c r="EP32" s="810"/>
      <c r="EQ32" s="810"/>
      <c r="ER32" s="810"/>
      <c r="ES32" s="810"/>
      <c r="ET32" s="810"/>
      <c r="EU32" s="810"/>
      <c r="EV32" s="810"/>
      <c r="EW32" s="810"/>
      <c r="EX32" s="810"/>
      <c r="EY32" s="810"/>
      <c r="EZ32" s="810"/>
      <c r="FA32" s="810"/>
      <c r="FB32" s="810"/>
      <c r="FC32" s="810" t="s">
        <v>93</v>
      </c>
      <c r="FD32" s="810"/>
      <c r="FE32" s="810"/>
      <c r="FF32" s="810"/>
      <c r="FG32" s="810"/>
      <c r="FH32" s="810"/>
      <c r="FI32" s="810"/>
      <c r="FJ32" s="810"/>
      <c r="FK32" s="810"/>
      <c r="FL32" s="810"/>
      <c r="FM32" s="810"/>
      <c r="FN32" s="810"/>
      <c r="FO32" s="810"/>
      <c r="FP32" s="810"/>
      <c r="FQ32" s="810"/>
      <c r="FR32" s="810"/>
      <c r="FS32" s="810"/>
      <c r="FT32" s="810"/>
      <c r="FU32" s="810"/>
      <c r="FV32" s="810"/>
      <c r="FW32" s="810"/>
      <c r="FX32" s="810"/>
      <c r="FY32" s="810"/>
      <c r="FZ32" s="810"/>
      <c r="GA32" s="810" t="s">
        <v>93</v>
      </c>
      <c r="GB32" s="810"/>
      <c r="GC32" s="810" t="s">
        <v>93</v>
      </c>
      <c r="GD32" s="810" t="s">
        <v>93</v>
      </c>
      <c r="GE32" s="810" t="s">
        <v>93</v>
      </c>
      <c r="GF32" s="810"/>
      <c r="GG32" s="810"/>
      <c r="GH32" s="810"/>
      <c r="GI32" s="810"/>
      <c r="GJ32" s="810"/>
      <c r="GK32" s="810"/>
      <c r="GL32" s="810"/>
      <c r="GM32" s="810"/>
      <c r="GN32" s="810"/>
      <c r="GO32" s="810"/>
      <c r="GP32" s="810"/>
      <c r="GQ32" s="810"/>
      <c r="GR32" s="810"/>
      <c r="GS32" s="810"/>
      <c r="GT32" s="810"/>
      <c r="GU32" s="810" t="s">
        <v>93</v>
      </c>
      <c r="GV32" s="810"/>
      <c r="GW32" s="810" t="s">
        <v>93</v>
      </c>
      <c r="GX32" s="810"/>
      <c r="GY32" s="810"/>
      <c r="GZ32" s="811"/>
      <c r="HA32" s="811"/>
      <c r="HB32" s="810"/>
      <c r="HC32" s="810"/>
      <c r="HD32" s="810"/>
      <c r="HE32" s="810"/>
      <c r="HF32" s="810"/>
      <c r="HG32" s="810"/>
      <c r="HH32" s="810"/>
      <c r="HI32" s="810"/>
      <c r="HJ32" s="810"/>
      <c r="HK32" s="811"/>
      <c r="HL32" s="811"/>
      <c r="HM32" s="810"/>
      <c r="HN32" s="810"/>
      <c r="HO32" s="810"/>
      <c r="HP32" s="810"/>
      <c r="HQ32" s="810"/>
      <c r="HR32" s="810"/>
      <c r="HS32" s="810"/>
      <c r="HT32" s="810"/>
      <c r="HU32" s="810"/>
      <c r="HV32" s="810"/>
      <c r="HW32" s="811"/>
      <c r="HX32" s="810"/>
      <c r="HY32" s="857"/>
      <c r="HZ32" s="857"/>
      <c r="IA32" s="857"/>
      <c r="IB32" s="857"/>
      <c r="IC32" s="857"/>
      <c r="ID32" s="857"/>
      <c r="IE32" s="857"/>
      <c r="IF32" s="857"/>
      <c r="IG32" s="857"/>
      <c r="IH32" s="857"/>
      <c r="II32" s="857"/>
    </row>
    <row r="33" spans="1:256" ht="20.100000000000001" customHeight="1">
      <c r="A33" s="809" t="s">
        <v>143</v>
      </c>
      <c r="B33" s="810"/>
      <c r="C33" s="810" t="str">
        <f>IF(ISTEXT(IFERROR(VLOOKUP(A33,职业列表!I3:J10,1,FALSE),0)),"★","")</f>
        <v/>
      </c>
      <c r="D33" s="810"/>
      <c r="E33" s="810"/>
      <c r="F33" s="810"/>
      <c r="G33" s="810"/>
      <c r="H33" s="810"/>
      <c r="I33" s="810"/>
      <c r="J33" s="810"/>
      <c r="K33" s="810"/>
      <c r="L33" s="810"/>
      <c r="M33" s="810"/>
      <c r="N33" s="810"/>
      <c r="O33" s="810"/>
      <c r="P33" s="810" t="s">
        <v>93</v>
      </c>
      <c r="Q33" s="810"/>
      <c r="R33" s="810"/>
      <c r="S33" s="810"/>
      <c r="T33" s="810"/>
      <c r="U33" s="810"/>
      <c r="V33" s="810"/>
      <c r="W33" s="810"/>
      <c r="X33" s="810" t="s">
        <v>93</v>
      </c>
      <c r="Y33" s="810"/>
      <c r="Z33" s="810"/>
      <c r="AA33" s="810"/>
      <c r="AB33" s="810" t="s">
        <v>1367</v>
      </c>
      <c r="AC33" s="810"/>
      <c r="AD33" s="810"/>
      <c r="AE33" s="810"/>
      <c r="AF33" s="810"/>
      <c r="AG33" s="810"/>
      <c r="AH33" s="810"/>
      <c r="AI33" s="810"/>
      <c r="AJ33" s="810"/>
      <c r="AK33" s="810"/>
      <c r="AL33" s="810"/>
      <c r="AM33" s="810"/>
      <c r="AN33" s="810"/>
      <c r="AO33" s="810"/>
      <c r="AP33" s="810"/>
      <c r="AQ33" s="810"/>
      <c r="AR33" s="810"/>
      <c r="AS33" s="810" t="s">
        <v>93</v>
      </c>
      <c r="AT33" s="810" t="s">
        <v>93</v>
      </c>
      <c r="AU33" s="810"/>
      <c r="AV33" s="810"/>
      <c r="AW33" s="810"/>
      <c r="AX33" s="810"/>
      <c r="AY33" s="810"/>
      <c r="AZ33" s="810"/>
      <c r="BA33" s="810"/>
      <c r="BB33" s="810"/>
      <c r="BC33" s="810"/>
      <c r="BD33" s="810"/>
      <c r="BE33" s="810"/>
      <c r="BF33" s="810" t="s">
        <v>93</v>
      </c>
      <c r="BG33" s="810"/>
      <c r="BH33" s="810"/>
      <c r="BI33" s="810"/>
      <c r="BJ33" s="810"/>
      <c r="BK33" s="810"/>
      <c r="BL33" s="810"/>
      <c r="BM33" s="810"/>
      <c r="BN33" s="810" t="s">
        <v>93</v>
      </c>
      <c r="BO33" s="810"/>
      <c r="BP33" s="810"/>
      <c r="BQ33" s="810"/>
      <c r="BR33" s="810"/>
      <c r="BS33" s="810" t="s">
        <v>93</v>
      </c>
      <c r="BT33" s="810" t="s">
        <v>93</v>
      </c>
      <c r="BU33" s="810"/>
      <c r="BV33" s="810"/>
      <c r="BW33" s="810"/>
      <c r="BX33" s="810"/>
      <c r="BY33" s="810" t="s">
        <v>93</v>
      </c>
      <c r="BZ33" s="810" t="s">
        <v>93</v>
      </c>
      <c r="CA33" s="810" t="s">
        <v>93</v>
      </c>
      <c r="CB33" s="810"/>
      <c r="CC33" s="810"/>
      <c r="CD33" s="810" t="s">
        <v>93</v>
      </c>
      <c r="CE33" s="810"/>
      <c r="CF33" s="810" t="s">
        <v>93</v>
      </c>
      <c r="CG33" s="810"/>
      <c r="CH33" s="810" t="s">
        <v>93</v>
      </c>
      <c r="CI33" s="810"/>
      <c r="CJ33" s="810"/>
      <c r="CK33" s="810"/>
      <c r="CL33" s="810"/>
      <c r="CM33" s="810"/>
      <c r="CN33" s="810" t="s">
        <v>93</v>
      </c>
      <c r="CO33" s="810"/>
      <c r="CP33" s="810"/>
      <c r="CQ33" s="810" t="s">
        <v>93</v>
      </c>
      <c r="CR33" s="810"/>
      <c r="CS33" s="810"/>
      <c r="CT33" s="810"/>
      <c r="CU33" s="810"/>
      <c r="CV33" s="810" t="s">
        <v>93</v>
      </c>
      <c r="CW33" s="810" t="s">
        <v>93</v>
      </c>
      <c r="CX33" s="810"/>
      <c r="CY33" s="810"/>
      <c r="CZ33" s="810"/>
      <c r="DA33" s="810"/>
      <c r="DB33" s="811" t="s">
        <v>1370</v>
      </c>
      <c r="DC33" s="810"/>
      <c r="DD33" s="810"/>
      <c r="DE33" s="810" t="s">
        <v>93</v>
      </c>
      <c r="DF33" s="810"/>
      <c r="DG33" s="810"/>
      <c r="DH33" s="810"/>
      <c r="DI33" s="810"/>
      <c r="DJ33" s="810"/>
      <c r="DK33" s="810"/>
      <c r="DL33" s="810"/>
      <c r="DM33" s="810" t="s">
        <v>93</v>
      </c>
      <c r="DN33" s="810"/>
      <c r="DO33" s="810"/>
      <c r="DP33" s="810"/>
      <c r="DQ33" s="810"/>
      <c r="DR33" s="810"/>
      <c r="DS33" s="810"/>
      <c r="DT33" s="810"/>
      <c r="DU33" s="810"/>
      <c r="DV33" s="810"/>
      <c r="DW33" s="810"/>
      <c r="DX33" s="810"/>
      <c r="DY33" s="810"/>
      <c r="DZ33" s="810"/>
      <c r="EA33" s="810"/>
      <c r="EB33" s="810"/>
      <c r="EC33" s="810"/>
      <c r="ED33" s="810"/>
      <c r="EE33" s="810"/>
      <c r="EF33" s="810" t="s">
        <v>93</v>
      </c>
      <c r="EG33" s="810" t="s">
        <v>93</v>
      </c>
      <c r="EH33" s="810" t="s">
        <v>93</v>
      </c>
      <c r="EI33" s="810"/>
      <c r="EJ33" s="810" t="s">
        <v>93</v>
      </c>
      <c r="EK33" s="810"/>
      <c r="EL33" s="810"/>
      <c r="EM33" s="810" t="s">
        <v>93</v>
      </c>
      <c r="EN33" s="810"/>
      <c r="EO33" s="810"/>
      <c r="EP33" s="810"/>
      <c r="EQ33" s="810"/>
      <c r="ER33" s="810"/>
      <c r="ES33" s="810"/>
      <c r="ET33" s="810"/>
      <c r="EU33" s="810"/>
      <c r="EV33" s="810"/>
      <c r="EW33" s="810"/>
      <c r="EX33" s="810"/>
      <c r="EY33" s="810"/>
      <c r="EZ33" s="810"/>
      <c r="FA33" s="810" t="s">
        <v>93</v>
      </c>
      <c r="FB33" s="810"/>
      <c r="FC33" s="810"/>
      <c r="FD33" s="810"/>
      <c r="FE33" s="810"/>
      <c r="FF33" s="810"/>
      <c r="FG33" s="810"/>
      <c r="FH33" s="810"/>
      <c r="FI33" s="810"/>
      <c r="FJ33" s="810"/>
      <c r="FK33" s="810"/>
      <c r="FL33" s="810" t="s">
        <v>1367</v>
      </c>
      <c r="FM33" s="810"/>
      <c r="FN33" s="810"/>
      <c r="FO33" s="810"/>
      <c r="FP33" s="810"/>
      <c r="FQ33" s="810"/>
      <c r="FR33" s="810" t="s">
        <v>93</v>
      </c>
      <c r="FS33" s="810" t="s">
        <v>93</v>
      </c>
      <c r="FT33" s="810"/>
      <c r="FU33" s="810" t="s">
        <v>93</v>
      </c>
      <c r="FV33" s="810" t="s">
        <v>93</v>
      </c>
      <c r="FW33" s="810"/>
      <c r="FX33" s="810" t="s">
        <v>93</v>
      </c>
      <c r="FY33" s="810"/>
      <c r="FZ33" s="810"/>
      <c r="GA33" s="810" t="s">
        <v>93</v>
      </c>
      <c r="GB33" s="810" t="s">
        <v>93</v>
      </c>
      <c r="GC33" s="810" t="s">
        <v>1370</v>
      </c>
      <c r="GD33" s="810" t="s">
        <v>1370</v>
      </c>
      <c r="GE33" s="810"/>
      <c r="GF33" s="810"/>
      <c r="GG33" s="810"/>
      <c r="GH33" s="810"/>
      <c r="GI33" s="810"/>
      <c r="GJ33" s="810"/>
      <c r="GK33" s="810"/>
      <c r="GL33" s="810"/>
      <c r="GM33" s="810"/>
      <c r="GN33" s="810"/>
      <c r="GO33" s="810"/>
      <c r="GP33" s="810"/>
      <c r="GQ33" s="810"/>
      <c r="GR33" s="810"/>
      <c r="GS33" s="810"/>
      <c r="GT33" s="810"/>
      <c r="GU33" s="810" t="s">
        <v>1370</v>
      </c>
      <c r="GV33" s="810"/>
      <c r="GW33" s="810" t="s">
        <v>93</v>
      </c>
      <c r="GX33" s="810"/>
      <c r="GY33" s="810" t="s">
        <v>93</v>
      </c>
      <c r="GZ33" s="810"/>
      <c r="HA33" s="810"/>
      <c r="HB33" s="810"/>
      <c r="HC33" s="810"/>
      <c r="HD33" s="810"/>
      <c r="HE33" s="810"/>
      <c r="HF33" s="810" t="s">
        <v>93</v>
      </c>
      <c r="HG33" s="810"/>
      <c r="HH33" s="810"/>
      <c r="HI33" s="810"/>
      <c r="HJ33" s="810"/>
      <c r="HK33" s="811" t="s">
        <v>93</v>
      </c>
      <c r="HL33" s="810" t="s">
        <v>93</v>
      </c>
      <c r="HM33" s="810"/>
      <c r="HN33" s="810"/>
      <c r="HO33" s="811" t="s">
        <v>93</v>
      </c>
      <c r="HP33" s="810"/>
      <c r="HQ33" s="811" t="s">
        <v>93</v>
      </c>
      <c r="HR33" s="810" t="s">
        <v>93</v>
      </c>
      <c r="HS33" s="810"/>
      <c r="HT33" s="810"/>
      <c r="HU33" s="810" t="s">
        <v>1370</v>
      </c>
      <c r="HV33" s="810"/>
      <c r="HW33" s="810" t="s">
        <v>93</v>
      </c>
      <c r="HX33" s="810"/>
      <c r="HY33" s="857"/>
      <c r="HZ33" s="857"/>
      <c r="IA33" s="857"/>
      <c r="IB33" s="857"/>
      <c r="IC33" s="857"/>
      <c r="ID33" s="857"/>
      <c r="IE33" s="857"/>
      <c r="IF33" s="857"/>
      <c r="IG33" s="857"/>
      <c r="IH33" s="857"/>
      <c r="II33" s="857"/>
      <c r="IJ33" s="857"/>
      <c r="IK33" s="857"/>
      <c r="IL33" s="857"/>
      <c r="IM33" s="857"/>
      <c r="IN33" s="857"/>
      <c r="IO33" s="857"/>
      <c r="IP33" s="857"/>
      <c r="IQ33" s="857"/>
      <c r="IR33" s="857"/>
      <c r="IS33" s="857"/>
      <c r="IT33" s="857"/>
      <c r="IU33" s="857"/>
      <c r="IV33" s="857"/>
    </row>
    <row r="34" spans="1:256" ht="20.100000000000001" customHeight="1">
      <c r="A34" s="809" t="s">
        <v>145</v>
      </c>
      <c r="B34" s="810"/>
      <c r="C34" s="811" t="str">
        <f>IF(ISTEXT(IFERROR(VLOOKUP(A34,职业列表!I3:J10,1,FALSE),0)),"★","")</f>
        <v/>
      </c>
      <c r="D34" s="810"/>
      <c r="E34" s="810"/>
      <c r="F34" s="810" t="s">
        <v>93</v>
      </c>
      <c r="G34" s="810"/>
      <c r="H34" s="810"/>
      <c r="I34" s="810"/>
      <c r="J34" s="810"/>
      <c r="K34" s="810" t="s">
        <v>93</v>
      </c>
      <c r="L34" s="810" t="s">
        <v>93</v>
      </c>
      <c r="M34" s="810" t="s">
        <v>93</v>
      </c>
      <c r="N34" s="810"/>
      <c r="O34" s="810" t="s">
        <v>1367</v>
      </c>
      <c r="P34" s="810"/>
      <c r="Q34" s="810"/>
      <c r="R34" s="810" t="s">
        <v>93</v>
      </c>
      <c r="S34" s="810"/>
      <c r="T34" s="810"/>
      <c r="U34" s="810" t="s">
        <v>93</v>
      </c>
      <c r="V34" s="810"/>
      <c r="W34" s="810"/>
      <c r="X34" s="810"/>
      <c r="Y34" s="810" t="s">
        <v>93</v>
      </c>
      <c r="Z34" s="810"/>
      <c r="AA34" s="810"/>
      <c r="AB34" s="810"/>
      <c r="AC34" s="810"/>
      <c r="AD34" s="810"/>
      <c r="AE34" s="810"/>
      <c r="AF34" s="810"/>
      <c r="AG34" s="810"/>
      <c r="AH34" s="810"/>
      <c r="AI34" s="810"/>
      <c r="AJ34" s="810"/>
      <c r="AK34" s="810" t="s">
        <v>93</v>
      </c>
      <c r="AL34" s="810" t="s">
        <v>93</v>
      </c>
      <c r="AM34" s="810"/>
      <c r="AN34" s="810"/>
      <c r="AO34" s="810"/>
      <c r="AP34" s="810" t="s">
        <v>93</v>
      </c>
      <c r="AQ34" s="810"/>
      <c r="AR34" s="810"/>
      <c r="AS34" s="810"/>
      <c r="AT34" s="810"/>
      <c r="AU34" s="810"/>
      <c r="AV34" s="810"/>
      <c r="AW34" s="810"/>
      <c r="AX34" s="810"/>
      <c r="AY34" s="810" t="s">
        <v>93</v>
      </c>
      <c r="AZ34" s="810" t="s">
        <v>93</v>
      </c>
      <c r="BA34" s="810"/>
      <c r="BB34" s="810"/>
      <c r="BC34" s="810" t="s">
        <v>93</v>
      </c>
      <c r="BD34" s="810"/>
      <c r="BE34" s="810"/>
      <c r="BF34" s="810"/>
      <c r="BG34" s="810" t="s">
        <v>93</v>
      </c>
      <c r="BH34" s="810"/>
      <c r="BI34" s="810"/>
      <c r="BJ34" s="810"/>
      <c r="BK34" s="810"/>
      <c r="BL34" s="810" t="s">
        <v>93</v>
      </c>
      <c r="BM34" s="810"/>
      <c r="BN34" s="810"/>
      <c r="BO34" s="810" t="s">
        <v>93</v>
      </c>
      <c r="BP34" s="810" t="s">
        <v>93</v>
      </c>
      <c r="BQ34" s="810" t="s">
        <v>93</v>
      </c>
      <c r="BR34" s="810"/>
      <c r="BS34" s="810"/>
      <c r="BT34" s="810"/>
      <c r="BU34" s="810"/>
      <c r="BV34" s="810"/>
      <c r="BW34" s="810"/>
      <c r="BX34" s="810"/>
      <c r="BY34" s="810"/>
      <c r="BZ34" s="810"/>
      <c r="CA34" s="810"/>
      <c r="CB34" s="810" t="s">
        <v>93</v>
      </c>
      <c r="CC34" s="810"/>
      <c r="CD34" s="810"/>
      <c r="CE34" s="810" t="s">
        <v>93</v>
      </c>
      <c r="CF34" s="810"/>
      <c r="CG34" s="810" t="s">
        <v>93</v>
      </c>
      <c r="CH34" s="810"/>
      <c r="CI34" s="810"/>
      <c r="CJ34" s="810"/>
      <c r="CK34" s="810"/>
      <c r="CL34" s="810"/>
      <c r="CM34" s="810"/>
      <c r="CN34" s="810"/>
      <c r="CO34" s="810"/>
      <c r="CP34" s="810"/>
      <c r="CQ34" s="810" t="s">
        <v>93</v>
      </c>
      <c r="CR34" s="810"/>
      <c r="CS34" s="810"/>
      <c r="CT34" s="810"/>
      <c r="CU34" s="810" t="s">
        <v>93</v>
      </c>
      <c r="CV34" s="810"/>
      <c r="CW34" s="810"/>
      <c r="CX34" s="810"/>
      <c r="CY34" s="810"/>
      <c r="CZ34" s="810"/>
      <c r="DA34" s="810"/>
      <c r="DB34" s="810"/>
      <c r="DC34" s="810"/>
      <c r="DD34" s="810"/>
      <c r="DE34" s="810"/>
      <c r="DF34" s="810"/>
      <c r="DG34" s="810" t="s">
        <v>93</v>
      </c>
      <c r="DH34" s="810"/>
      <c r="DI34" s="810"/>
      <c r="DJ34" s="810"/>
      <c r="DK34" s="810"/>
      <c r="DL34" s="810" t="s">
        <v>93</v>
      </c>
      <c r="DM34" s="810"/>
      <c r="DN34" s="810" t="s">
        <v>93</v>
      </c>
      <c r="DO34" s="810"/>
      <c r="DP34" s="810"/>
      <c r="DQ34" s="810"/>
      <c r="DR34" s="810"/>
      <c r="DS34" s="810"/>
      <c r="DT34" s="810"/>
      <c r="DU34" s="810"/>
      <c r="DV34" s="810" t="s">
        <v>93</v>
      </c>
      <c r="DW34" s="810" t="s">
        <v>93</v>
      </c>
      <c r="DX34" s="810" t="s">
        <v>93</v>
      </c>
      <c r="DY34" s="810"/>
      <c r="DZ34" s="810" t="s">
        <v>93</v>
      </c>
      <c r="EA34" s="810"/>
      <c r="EB34" s="810"/>
      <c r="EC34" s="810"/>
      <c r="ED34" s="810"/>
      <c r="EE34" s="810"/>
      <c r="EF34" s="810"/>
      <c r="EG34" s="810"/>
      <c r="EH34" s="810"/>
      <c r="EI34" s="810"/>
      <c r="EJ34" s="810"/>
      <c r="EK34" s="810"/>
      <c r="EL34" s="810"/>
      <c r="EM34" s="810"/>
      <c r="EN34" s="810"/>
      <c r="EO34" s="810"/>
      <c r="EP34" s="810"/>
      <c r="EQ34" s="810"/>
      <c r="ER34" s="810"/>
      <c r="ES34" s="810"/>
      <c r="ET34" s="810"/>
      <c r="EU34" s="810"/>
      <c r="EV34" s="810"/>
      <c r="EW34" s="810"/>
      <c r="EX34" s="810"/>
      <c r="EY34" s="810"/>
      <c r="EZ34" s="810"/>
      <c r="FA34" s="810"/>
      <c r="FB34" s="810" t="s">
        <v>93</v>
      </c>
      <c r="FC34" s="810"/>
      <c r="FD34" s="810"/>
      <c r="FE34" s="810" t="s">
        <v>1367</v>
      </c>
      <c r="FF34" s="810"/>
      <c r="FG34" s="810"/>
      <c r="FH34" s="810"/>
      <c r="FI34" s="810" t="s">
        <v>1367</v>
      </c>
      <c r="FJ34" s="810" t="s">
        <v>93</v>
      </c>
      <c r="FK34" s="810" t="s">
        <v>1367</v>
      </c>
      <c r="FL34" s="810"/>
      <c r="FM34" s="810" t="s">
        <v>93</v>
      </c>
      <c r="FN34" s="810"/>
      <c r="FO34" s="810"/>
      <c r="FP34" s="810"/>
      <c r="FQ34" s="810"/>
      <c r="FR34" s="810"/>
      <c r="FS34" s="810"/>
      <c r="FT34" s="810"/>
      <c r="FU34" s="810"/>
      <c r="FV34" s="810"/>
      <c r="FW34" s="810"/>
      <c r="FX34" s="810"/>
      <c r="FY34" s="810"/>
      <c r="FZ34" s="810"/>
      <c r="GA34" s="810"/>
      <c r="GB34" s="810"/>
      <c r="GC34" s="810"/>
      <c r="GD34" s="810"/>
      <c r="GE34" s="810" t="s">
        <v>93</v>
      </c>
      <c r="GF34" s="810" t="s">
        <v>1367</v>
      </c>
      <c r="GG34" s="810"/>
      <c r="GH34" s="810"/>
      <c r="GI34" s="810"/>
      <c r="GJ34" s="810"/>
      <c r="GK34" s="810"/>
      <c r="GL34" s="810"/>
      <c r="GM34" s="810"/>
      <c r="GN34" s="810"/>
      <c r="GO34" s="810"/>
      <c r="GP34" s="810"/>
      <c r="GQ34" s="810" t="s">
        <v>93</v>
      </c>
      <c r="GR34" s="810"/>
      <c r="GS34" s="810"/>
      <c r="GT34" s="810"/>
      <c r="GU34" s="810"/>
      <c r="GV34" s="810"/>
      <c r="GW34" s="810"/>
      <c r="GX34" s="810"/>
      <c r="GY34" s="810"/>
      <c r="GZ34" s="811" t="s">
        <v>93</v>
      </c>
      <c r="HA34" s="810"/>
      <c r="HB34" s="811" t="s">
        <v>93</v>
      </c>
      <c r="HC34" s="811" t="s">
        <v>93</v>
      </c>
      <c r="HD34" s="810"/>
      <c r="HE34" s="811" t="s">
        <v>93</v>
      </c>
      <c r="HF34" s="810" t="s">
        <v>93</v>
      </c>
      <c r="HG34" s="810"/>
      <c r="HH34" s="810"/>
      <c r="HI34" s="810"/>
      <c r="HJ34" s="810"/>
      <c r="HK34" s="810"/>
      <c r="HL34" s="810"/>
      <c r="HM34" s="810"/>
      <c r="HN34" s="810"/>
      <c r="HO34" s="810"/>
      <c r="HP34" s="811" t="s">
        <v>93</v>
      </c>
      <c r="HQ34" s="810"/>
      <c r="HR34" s="810"/>
      <c r="HS34" s="810"/>
      <c r="HT34" s="810" t="s">
        <v>93</v>
      </c>
      <c r="HU34" s="810"/>
      <c r="HV34" s="810"/>
      <c r="HW34" s="810"/>
      <c r="HX34" s="810" t="s">
        <v>93</v>
      </c>
      <c r="HY34" s="857"/>
      <c r="HZ34" s="857"/>
      <c r="IA34" s="857"/>
      <c r="IB34" s="857"/>
      <c r="IC34" s="857"/>
      <c r="ID34" s="857"/>
      <c r="IE34" s="857"/>
      <c r="IF34" s="857"/>
      <c r="IG34" s="857"/>
      <c r="IH34" s="857"/>
      <c r="II34" s="857"/>
      <c r="IJ34" s="857"/>
      <c r="IK34" s="857"/>
      <c r="IL34" s="857"/>
      <c r="IM34" s="857"/>
      <c r="IN34" s="857"/>
      <c r="IO34" s="857"/>
      <c r="IP34" s="857"/>
      <c r="IQ34" s="857"/>
      <c r="IR34" s="857"/>
      <c r="IS34" s="857"/>
      <c r="IT34" s="857"/>
      <c r="IU34" s="857"/>
      <c r="IV34" s="857"/>
    </row>
    <row r="35" spans="1:256" s="793" customFormat="1" ht="20.100000000000001" customHeight="1">
      <c r="A35" s="816" t="s">
        <v>148</v>
      </c>
      <c r="B35" s="817"/>
      <c r="C35" s="811" t="str">
        <f>IF(ISTEXT(IFERROR(VLOOKUP(A35,职业列表!I3:J10,1,FALSE),0)),"★","")</f>
        <v/>
      </c>
      <c r="D35" s="817"/>
      <c r="E35" s="817"/>
      <c r="F35" s="818" t="s">
        <v>1369</v>
      </c>
      <c r="G35" s="817" t="s">
        <v>1369</v>
      </c>
      <c r="H35" s="817" t="s">
        <v>1369</v>
      </c>
      <c r="I35" s="817"/>
      <c r="J35" s="817"/>
      <c r="K35" s="817" t="s">
        <v>1369</v>
      </c>
      <c r="L35" s="817" t="s">
        <v>1369</v>
      </c>
      <c r="M35" s="817"/>
      <c r="N35" s="817"/>
      <c r="O35" s="817" t="s">
        <v>1369</v>
      </c>
      <c r="P35" s="817" t="s">
        <v>1369</v>
      </c>
      <c r="Q35" s="817" t="s">
        <v>1369</v>
      </c>
      <c r="R35" s="817"/>
      <c r="S35" s="817" t="s">
        <v>1369</v>
      </c>
      <c r="T35" s="817"/>
      <c r="U35" s="817" t="s">
        <v>1369</v>
      </c>
      <c r="V35" s="817" t="s">
        <v>1369</v>
      </c>
      <c r="W35" s="817" t="s">
        <v>93</v>
      </c>
      <c r="X35" s="817"/>
      <c r="Y35" s="817" t="s">
        <v>1369</v>
      </c>
      <c r="Z35" s="817"/>
      <c r="AA35" s="817" t="s">
        <v>1369</v>
      </c>
      <c r="AB35" s="817"/>
      <c r="AC35" s="817"/>
      <c r="AD35" s="817"/>
      <c r="AE35" s="817" t="s">
        <v>93</v>
      </c>
      <c r="AF35" s="817" t="s">
        <v>1369</v>
      </c>
      <c r="AG35" s="817"/>
      <c r="AH35" s="817" t="s">
        <v>1369</v>
      </c>
      <c r="AI35" s="817" t="s">
        <v>1369</v>
      </c>
      <c r="AJ35" s="817" t="s">
        <v>1369</v>
      </c>
      <c r="AK35" s="817" t="s">
        <v>1369</v>
      </c>
      <c r="AL35" s="817"/>
      <c r="AM35" s="817" t="s">
        <v>1369</v>
      </c>
      <c r="AN35" s="817" t="s">
        <v>1369</v>
      </c>
      <c r="AO35" s="817" t="s">
        <v>1369</v>
      </c>
      <c r="AP35" s="817" t="s">
        <v>1369</v>
      </c>
      <c r="AQ35" s="843"/>
      <c r="AR35" s="817" t="s">
        <v>1369</v>
      </c>
      <c r="AS35" s="817"/>
      <c r="AT35" s="817"/>
      <c r="AU35" s="817" t="s">
        <v>1369</v>
      </c>
      <c r="AV35" s="817" t="s">
        <v>1369</v>
      </c>
      <c r="AW35" s="817" t="s">
        <v>1369</v>
      </c>
      <c r="AX35" s="817"/>
      <c r="AY35" s="817" t="s">
        <v>1369</v>
      </c>
      <c r="AZ35" s="817" t="s">
        <v>93</v>
      </c>
      <c r="BA35" s="817"/>
      <c r="BB35" s="817" t="s">
        <v>1369</v>
      </c>
      <c r="BC35" s="817"/>
      <c r="BD35" s="817" t="s">
        <v>1369</v>
      </c>
      <c r="BE35" s="817"/>
      <c r="BF35" s="817"/>
      <c r="BG35" s="817" t="s">
        <v>1369</v>
      </c>
      <c r="BH35" s="817"/>
      <c r="BI35" s="817" t="s">
        <v>1369</v>
      </c>
      <c r="BJ35" s="817" t="s">
        <v>1369</v>
      </c>
      <c r="BK35" s="817" t="s">
        <v>1369</v>
      </c>
      <c r="BL35" s="817" t="s">
        <v>1369</v>
      </c>
      <c r="BM35" s="817"/>
      <c r="BN35" s="817" t="s">
        <v>1369</v>
      </c>
      <c r="BO35" s="817" t="s">
        <v>1369</v>
      </c>
      <c r="BP35" s="817" t="s">
        <v>1369</v>
      </c>
      <c r="BQ35" s="817" t="s">
        <v>93</v>
      </c>
      <c r="BR35" s="817"/>
      <c r="BS35" s="817"/>
      <c r="BT35" s="817"/>
      <c r="BU35" s="843"/>
      <c r="BV35" s="817" t="s">
        <v>1369</v>
      </c>
      <c r="BW35" s="817"/>
      <c r="BX35" s="817"/>
      <c r="BY35" s="817" t="s">
        <v>1369</v>
      </c>
      <c r="BZ35" s="817" t="s">
        <v>1369</v>
      </c>
      <c r="CA35" s="817"/>
      <c r="CB35" s="817"/>
      <c r="CC35" s="817" t="s">
        <v>1369</v>
      </c>
      <c r="CD35" s="817" t="s">
        <v>1369</v>
      </c>
      <c r="CE35" s="817" t="s">
        <v>1369</v>
      </c>
      <c r="CF35" s="817"/>
      <c r="CG35" s="817"/>
      <c r="CH35" s="817" t="s">
        <v>1369</v>
      </c>
      <c r="CI35" s="817" t="s">
        <v>1369</v>
      </c>
      <c r="CJ35" s="817" t="s">
        <v>1369</v>
      </c>
      <c r="CK35" s="817"/>
      <c r="CL35" s="817"/>
      <c r="CM35" s="817" t="s">
        <v>1369</v>
      </c>
      <c r="CN35" s="817" t="s">
        <v>1369</v>
      </c>
      <c r="CO35" s="817" t="s">
        <v>1369</v>
      </c>
      <c r="CP35" s="817"/>
      <c r="CQ35" s="817"/>
      <c r="CR35" s="817" t="s">
        <v>1369</v>
      </c>
      <c r="CS35" s="817"/>
      <c r="CT35" s="817"/>
      <c r="CU35" s="817" t="s">
        <v>1369</v>
      </c>
      <c r="CV35" s="817"/>
      <c r="CW35" s="817" t="s">
        <v>1369</v>
      </c>
      <c r="CX35" s="817" t="s">
        <v>1369</v>
      </c>
      <c r="CY35" s="817" t="s">
        <v>1369</v>
      </c>
      <c r="CZ35" s="817" t="s">
        <v>1369</v>
      </c>
      <c r="DA35" s="817" t="s">
        <v>1369</v>
      </c>
      <c r="DB35" s="817"/>
      <c r="DC35" s="817" t="s">
        <v>1369</v>
      </c>
      <c r="DD35" s="817"/>
      <c r="DE35" s="817"/>
      <c r="DF35" s="817"/>
      <c r="DG35" s="817" t="s">
        <v>1369</v>
      </c>
      <c r="DH35" s="817" t="s">
        <v>1369</v>
      </c>
      <c r="DI35" s="817" t="s">
        <v>1369</v>
      </c>
      <c r="DJ35" s="817" t="s">
        <v>1369</v>
      </c>
      <c r="DK35" s="817" t="s">
        <v>1369</v>
      </c>
      <c r="DL35" s="817" t="s">
        <v>1369</v>
      </c>
      <c r="DM35" s="817"/>
      <c r="DN35" s="817" t="s">
        <v>93</v>
      </c>
      <c r="DO35" s="817" t="s">
        <v>1369</v>
      </c>
      <c r="DP35" s="817" t="s">
        <v>1369</v>
      </c>
      <c r="DQ35" s="817" t="s">
        <v>1369</v>
      </c>
      <c r="DR35" s="817" t="s">
        <v>1369</v>
      </c>
      <c r="DS35" s="817" t="s">
        <v>1369</v>
      </c>
      <c r="DT35" s="817" t="s">
        <v>1369</v>
      </c>
      <c r="DU35" s="817" t="s">
        <v>1369</v>
      </c>
      <c r="DV35" s="817" t="s">
        <v>1369</v>
      </c>
      <c r="DW35" s="817" t="s">
        <v>1369</v>
      </c>
      <c r="DX35" s="817" t="s">
        <v>1369</v>
      </c>
      <c r="DY35" s="817" t="s">
        <v>1369</v>
      </c>
      <c r="DZ35" s="817" t="s">
        <v>1369</v>
      </c>
      <c r="EA35" s="817" t="s">
        <v>1369</v>
      </c>
      <c r="EB35" s="817" t="s">
        <v>1369</v>
      </c>
      <c r="EC35" s="817" t="s">
        <v>1369</v>
      </c>
      <c r="ED35" s="817"/>
      <c r="EE35" s="817" t="s">
        <v>1369</v>
      </c>
      <c r="EF35" s="817"/>
      <c r="EG35" s="817"/>
      <c r="EH35" s="817"/>
      <c r="EI35" s="817" t="s">
        <v>1369</v>
      </c>
      <c r="EJ35" s="817" t="s">
        <v>1369</v>
      </c>
      <c r="EK35" s="817" t="s">
        <v>1369</v>
      </c>
      <c r="EL35" s="817"/>
      <c r="EM35" s="817" t="s">
        <v>1369</v>
      </c>
      <c r="EN35" s="817"/>
      <c r="EO35" s="817" t="s">
        <v>1369</v>
      </c>
      <c r="EP35" s="817"/>
      <c r="EQ35" s="817"/>
      <c r="ER35" s="817" t="s">
        <v>1369</v>
      </c>
      <c r="ES35" s="817" t="s">
        <v>1369</v>
      </c>
      <c r="ET35" s="817" t="s">
        <v>1369</v>
      </c>
      <c r="EU35" s="817" t="s">
        <v>1369</v>
      </c>
      <c r="EV35" s="817" t="s">
        <v>1369</v>
      </c>
      <c r="EW35" s="817"/>
      <c r="EX35" s="817" t="s">
        <v>1369</v>
      </c>
      <c r="EY35" s="817" t="s">
        <v>1369</v>
      </c>
      <c r="EZ35" s="817"/>
      <c r="FA35" s="817" t="s">
        <v>1369</v>
      </c>
      <c r="FB35" s="817" t="s">
        <v>1369</v>
      </c>
      <c r="FC35" s="817"/>
      <c r="FD35" s="817" t="s">
        <v>93</v>
      </c>
      <c r="FE35" s="817" t="s">
        <v>1369</v>
      </c>
      <c r="FF35" s="817" t="s">
        <v>1369</v>
      </c>
      <c r="FG35" s="817" t="s">
        <v>1369</v>
      </c>
      <c r="FH35" s="817"/>
      <c r="FI35" s="817"/>
      <c r="FJ35" s="817"/>
      <c r="FK35" s="817"/>
      <c r="FL35" s="817"/>
      <c r="FM35" s="817" t="s">
        <v>1369</v>
      </c>
      <c r="FN35" s="817"/>
      <c r="FO35" s="817" t="s">
        <v>93</v>
      </c>
      <c r="FP35" s="817"/>
      <c r="FQ35" s="817" t="s">
        <v>1369</v>
      </c>
      <c r="FR35" s="817" t="s">
        <v>1369</v>
      </c>
      <c r="FS35" s="817"/>
      <c r="FT35" s="817"/>
      <c r="FU35" s="817"/>
      <c r="FV35" s="817" t="s">
        <v>1369</v>
      </c>
      <c r="FW35" s="817"/>
      <c r="FX35" s="817"/>
      <c r="FY35" s="817" t="s">
        <v>1369</v>
      </c>
      <c r="FZ35" s="817"/>
      <c r="GA35" s="817"/>
      <c r="GB35" s="817" t="s">
        <v>1369</v>
      </c>
      <c r="GC35" s="817"/>
      <c r="GD35" s="817"/>
      <c r="GE35" s="817"/>
      <c r="GF35" s="817" t="s">
        <v>1369</v>
      </c>
      <c r="GG35" s="817" t="s">
        <v>1369</v>
      </c>
      <c r="GH35" s="817" t="s">
        <v>1369</v>
      </c>
      <c r="GI35" s="817" t="s">
        <v>1369</v>
      </c>
      <c r="GJ35" s="817"/>
      <c r="GK35" s="817"/>
      <c r="GL35" s="817"/>
      <c r="GM35" s="817"/>
      <c r="GN35" s="817" t="s">
        <v>1369</v>
      </c>
      <c r="GO35" s="817" t="s">
        <v>1369</v>
      </c>
      <c r="GP35" s="817" t="s">
        <v>1369</v>
      </c>
      <c r="GQ35" s="817" t="s">
        <v>1369</v>
      </c>
      <c r="GR35" s="817"/>
      <c r="GS35" s="817"/>
      <c r="GT35" s="817" t="s">
        <v>1369</v>
      </c>
      <c r="GU35" s="817"/>
      <c r="GV35" s="817"/>
      <c r="GW35" s="817" t="s">
        <v>1369</v>
      </c>
      <c r="GX35" s="817" t="s">
        <v>1369</v>
      </c>
      <c r="GY35" s="817" t="s">
        <v>1369</v>
      </c>
      <c r="GZ35" s="818" t="s">
        <v>1369</v>
      </c>
      <c r="HA35" s="818" t="s">
        <v>1369</v>
      </c>
      <c r="HB35" s="817"/>
      <c r="HC35" s="818" t="s">
        <v>1369</v>
      </c>
      <c r="HD35" s="817"/>
      <c r="HE35" s="818" t="s">
        <v>1369</v>
      </c>
      <c r="HF35" s="817"/>
      <c r="HG35" s="817" t="s">
        <v>1369</v>
      </c>
      <c r="HH35" s="817" t="s">
        <v>1369</v>
      </c>
      <c r="HI35" s="817"/>
      <c r="HJ35" s="817" t="s">
        <v>1369</v>
      </c>
      <c r="HK35" s="817" t="s">
        <v>1369</v>
      </c>
      <c r="HL35" s="817"/>
      <c r="HM35" s="817" t="s">
        <v>1369</v>
      </c>
      <c r="HN35" s="817" t="s">
        <v>1369</v>
      </c>
      <c r="HO35" s="817" t="s">
        <v>1369</v>
      </c>
      <c r="HP35" s="817" t="s">
        <v>1369</v>
      </c>
      <c r="HQ35" s="817"/>
      <c r="HR35" s="818" t="s">
        <v>1369</v>
      </c>
      <c r="HS35" s="817" t="s">
        <v>1369</v>
      </c>
      <c r="HT35" s="817" t="s">
        <v>1369</v>
      </c>
      <c r="HU35" s="817"/>
      <c r="HV35" s="817" t="s">
        <v>1369</v>
      </c>
      <c r="HW35" s="817"/>
      <c r="HX35" s="817" t="s">
        <v>1369</v>
      </c>
      <c r="HY35" s="861"/>
      <c r="HZ35" s="861"/>
      <c r="IA35" s="861"/>
      <c r="IB35" s="861"/>
      <c r="IC35" s="861"/>
      <c r="ID35" s="861"/>
      <c r="IE35" s="861"/>
      <c r="IF35" s="861"/>
      <c r="IG35" s="861"/>
      <c r="IH35" s="861"/>
      <c r="II35" s="861"/>
      <c r="IJ35" s="861"/>
      <c r="IK35" s="861"/>
      <c r="IL35" s="861"/>
      <c r="IM35" s="861"/>
      <c r="IN35" s="861"/>
      <c r="IO35" s="861"/>
      <c r="IP35" s="861"/>
      <c r="IQ35" s="861"/>
      <c r="IR35" s="861"/>
      <c r="IS35" s="861"/>
      <c r="IT35" s="861"/>
      <c r="IU35" s="861"/>
      <c r="IV35" s="861"/>
    </row>
    <row r="36" spans="1:256" ht="20.100000000000001" customHeight="1">
      <c r="A36" s="809" t="s">
        <v>150</v>
      </c>
      <c r="B36" s="810"/>
      <c r="C36" s="811" t="str">
        <f>IF(ISTEXT(IFERROR(VLOOKUP(A36,职业列表!I3:J10,1,FALSE),0)),"★","")</f>
        <v/>
      </c>
      <c r="D36" s="810"/>
      <c r="E36" s="810" t="s">
        <v>93</v>
      </c>
      <c r="F36" s="810"/>
      <c r="G36" s="810"/>
      <c r="H36" s="810"/>
      <c r="I36" s="810"/>
      <c r="J36" s="810" t="s">
        <v>93</v>
      </c>
      <c r="K36" s="810"/>
      <c r="L36" s="810"/>
      <c r="M36" s="810"/>
      <c r="N36" s="810"/>
      <c r="O36" s="810"/>
      <c r="P36" s="810"/>
      <c r="Q36" s="810" t="s">
        <v>93</v>
      </c>
      <c r="R36" s="810"/>
      <c r="S36" s="810"/>
      <c r="T36" s="810"/>
      <c r="U36" s="810"/>
      <c r="V36" s="810"/>
      <c r="W36" s="810" t="s">
        <v>93</v>
      </c>
      <c r="X36" s="810"/>
      <c r="Y36" s="810"/>
      <c r="Z36" s="810"/>
      <c r="AA36" s="810"/>
      <c r="AB36" s="810" t="s">
        <v>93</v>
      </c>
      <c r="AC36" s="810"/>
      <c r="AD36" s="810"/>
      <c r="AE36" s="810"/>
      <c r="AF36" s="810"/>
      <c r="AG36" s="810"/>
      <c r="AH36" s="810"/>
      <c r="AI36" s="810"/>
      <c r="AJ36" s="810"/>
      <c r="AK36" s="810"/>
      <c r="AL36" s="810"/>
      <c r="AM36" s="810"/>
      <c r="AN36" s="810" t="s">
        <v>93</v>
      </c>
      <c r="AO36" s="810"/>
      <c r="AP36" s="810"/>
      <c r="AQ36" s="810"/>
      <c r="AR36" s="810"/>
      <c r="AS36" s="810"/>
      <c r="AT36" s="810"/>
      <c r="AU36" s="810" t="s">
        <v>93</v>
      </c>
      <c r="AV36" s="810"/>
      <c r="AW36" s="810"/>
      <c r="AX36" s="810"/>
      <c r="AY36" s="810"/>
      <c r="AZ36" s="810"/>
      <c r="BA36" s="810"/>
      <c r="BB36" s="810"/>
      <c r="BC36" s="810" t="s">
        <v>93</v>
      </c>
      <c r="BD36" s="815"/>
      <c r="BE36" s="810"/>
      <c r="BF36" s="810" t="s">
        <v>93</v>
      </c>
      <c r="BG36" s="810"/>
      <c r="BH36" s="810"/>
      <c r="BI36" s="810"/>
      <c r="BJ36" s="810"/>
      <c r="BK36" s="810"/>
      <c r="BL36" s="810"/>
      <c r="BM36" s="810" t="s">
        <v>93</v>
      </c>
      <c r="BN36" s="810"/>
      <c r="BO36" s="810"/>
      <c r="BP36" s="810"/>
      <c r="BQ36" s="810"/>
      <c r="BR36" s="810"/>
      <c r="BS36" s="810"/>
      <c r="BT36" s="810" t="s">
        <v>93</v>
      </c>
      <c r="BU36" s="810" t="s">
        <v>93</v>
      </c>
      <c r="BV36" s="810"/>
      <c r="BW36" s="810"/>
      <c r="BX36" s="810"/>
      <c r="BY36" s="810"/>
      <c r="BZ36" s="810"/>
      <c r="CA36" s="810" t="s">
        <v>93</v>
      </c>
      <c r="CB36" s="810"/>
      <c r="CC36" s="810"/>
      <c r="CD36" s="810"/>
      <c r="CE36" s="810"/>
      <c r="CF36" s="810"/>
      <c r="CG36" s="810"/>
      <c r="CH36" s="810"/>
      <c r="CI36" s="810"/>
      <c r="CJ36" s="810"/>
      <c r="CK36" s="810"/>
      <c r="CL36" s="810"/>
      <c r="CM36" s="810"/>
      <c r="CN36" s="810"/>
      <c r="CO36" s="810"/>
      <c r="CP36" s="810"/>
      <c r="CQ36" s="810"/>
      <c r="CR36" s="810"/>
      <c r="CS36" s="810"/>
      <c r="CT36" s="810"/>
      <c r="CU36" s="810"/>
      <c r="CV36" s="810"/>
      <c r="CW36" s="810"/>
      <c r="CX36" s="810"/>
      <c r="CY36" s="810"/>
      <c r="CZ36" s="810"/>
      <c r="DA36" s="810"/>
      <c r="DB36" s="810"/>
      <c r="DC36" s="810"/>
      <c r="DD36" s="810"/>
      <c r="DE36" s="810" t="s">
        <v>93</v>
      </c>
      <c r="DF36" s="810"/>
      <c r="DG36" s="810"/>
      <c r="DH36" s="810"/>
      <c r="DI36" s="810"/>
      <c r="DJ36" s="810"/>
      <c r="DK36" s="810"/>
      <c r="DL36" s="810"/>
      <c r="DM36" s="810"/>
      <c r="DN36" s="810"/>
      <c r="DO36" s="810" t="s">
        <v>93</v>
      </c>
      <c r="DP36" s="810" t="s">
        <v>93</v>
      </c>
      <c r="DQ36" s="810" t="s">
        <v>93</v>
      </c>
      <c r="DR36" s="810" t="s">
        <v>93</v>
      </c>
      <c r="DS36" s="810"/>
      <c r="DT36" s="810"/>
      <c r="DU36" s="810"/>
      <c r="DV36" s="810"/>
      <c r="DW36" s="810"/>
      <c r="DX36" s="810"/>
      <c r="DY36" s="810"/>
      <c r="DZ36" s="810"/>
      <c r="EA36" s="810"/>
      <c r="EB36" s="810"/>
      <c r="EC36" s="810"/>
      <c r="ED36" s="810"/>
      <c r="EE36" s="810"/>
      <c r="EF36" s="810"/>
      <c r="EG36" s="810"/>
      <c r="EH36" s="810"/>
      <c r="EI36" s="810"/>
      <c r="EJ36" s="810" t="s">
        <v>1367</v>
      </c>
      <c r="EK36" s="810"/>
      <c r="EL36" s="810"/>
      <c r="EM36" s="810"/>
      <c r="EN36" s="810" t="s">
        <v>93</v>
      </c>
      <c r="EO36" s="810"/>
      <c r="EP36" s="810"/>
      <c r="EQ36" s="810"/>
      <c r="ER36" s="810"/>
      <c r="ES36" s="810"/>
      <c r="ET36" s="810"/>
      <c r="EU36" s="810"/>
      <c r="EV36" s="810"/>
      <c r="EW36" s="810"/>
      <c r="EX36" s="810"/>
      <c r="EY36" s="810"/>
      <c r="EZ36" s="810"/>
      <c r="FA36" s="810"/>
      <c r="FB36" s="810" t="s">
        <v>93</v>
      </c>
      <c r="FC36" s="810"/>
      <c r="FD36" s="810"/>
      <c r="FE36" s="810"/>
      <c r="FF36" s="810"/>
      <c r="FG36" s="810"/>
      <c r="FH36" s="810"/>
      <c r="FI36" s="810" t="s">
        <v>93</v>
      </c>
      <c r="FJ36" s="810"/>
      <c r="FK36" s="810"/>
      <c r="FL36" s="810"/>
      <c r="FM36" s="810"/>
      <c r="FN36" s="810"/>
      <c r="FO36" s="810" t="s">
        <v>93</v>
      </c>
      <c r="FP36" s="810"/>
      <c r="FQ36" s="810"/>
      <c r="FR36" s="810"/>
      <c r="FS36" s="810"/>
      <c r="FT36" s="810" t="s">
        <v>93</v>
      </c>
      <c r="FU36" s="810" t="s">
        <v>93</v>
      </c>
      <c r="FV36" s="810"/>
      <c r="FW36" s="810"/>
      <c r="FX36" s="810" t="s">
        <v>93</v>
      </c>
      <c r="FY36" s="810"/>
      <c r="FZ36" s="810"/>
      <c r="GA36" s="810"/>
      <c r="GB36" s="810"/>
      <c r="GC36" s="810"/>
      <c r="GD36" s="810"/>
      <c r="GE36" s="810" t="s">
        <v>93</v>
      </c>
      <c r="GF36" s="810"/>
      <c r="GG36" s="810"/>
      <c r="GH36" s="810"/>
      <c r="GI36" s="810"/>
      <c r="GJ36" s="810" t="s">
        <v>93</v>
      </c>
      <c r="GK36" s="810"/>
      <c r="GL36" s="810"/>
      <c r="GM36" s="810"/>
      <c r="GN36" s="810"/>
      <c r="GO36" s="810"/>
      <c r="GP36" s="810"/>
      <c r="GQ36" s="810"/>
      <c r="GR36" s="810"/>
      <c r="GS36" s="810"/>
      <c r="GT36" s="810"/>
      <c r="GU36" s="810"/>
      <c r="GV36" s="810"/>
      <c r="GW36" s="810"/>
      <c r="GX36" s="810"/>
      <c r="GY36" s="810"/>
      <c r="GZ36" s="810"/>
      <c r="HA36" s="810"/>
      <c r="HB36" s="810"/>
      <c r="HC36" s="810"/>
      <c r="HD36" s="810" t="s">
        <v>93</v>
      </c>
      <c r="HE36" s="810"/>
      <c r="HF36" s="810"/>
      <c r="HG36" s="810"/>
      <c r="HH36" s="810"/>
      <c r="HI36" s="810"/>
      <c r="HJ36" s="810"/>
      <c r="HK36" s="810"/>
      <c r="HL36" s="810"/>
      <c r="HM36" s="810"/>
      <c r="HN36" s="810"/>
      <c r="HO36" s="810"/>
      <c r="HP36" s="810"/>
      <c r="HQ36" s="810"/>
      <c r="HR36" s="810"/>
      <c r="HS36" s="810"/>
      <c r="HT36" s="810"/>
      <c r="HU36" s="810"/>
      <c r="HV36" s="810"/>
      <c r="HW36" s="810"/>
      <c r="HX36" s="810"/>
      <c r="HY36" s="857"/>
      <c r="HZ36" s="857"/>
      <c r="IA36" s="857"/>
      <c r="IB36" s="857"/>
      <c r="IC36" s="857"/>
      <c r="ID36" s="857"/>
      <c r="IE36" s="857"/>
      <c r="IF36" s="857"/>
      <c r="IG36" s="857"/>
      <c r="IH36" s="857"/>
      <c r="II36" s="857"/>
      <c r="IJ36" s="857"/>
      <c r="IK36" s="857"/>
      <c r="IL36" s="857"/>
      <c r="IM36" s="857"/>
      <c r="IN36" s="857"/>
      <c r="IO36" s="857"/>
      <c r="IP36" s="857"/>
      <c r="IQ36" s="857"/>
      <c r="IR36" s="857"/>
      <c r="IS36" s="857"/>
      <c r="IT36" s="857"/>
      <c r="IU36" s="857"/>
      <c r="IV36" s="857"/>
    </row>
    <row r="37" spans="1:256" s="797" customFormat="1" ht="20.100000000000001" customHeight="1">
      <c r="A37" s="828" t="s">
        <v>152</v>
      </c>
      <c r="B37" s="829"/>
      <c r="C37" s="811" t="str">
        <f>IF(ISTEXT(IFERROR(VLOOKUP(A37,职业列表!I3:J10,1,FALSE),0)),"★","")</f>
        <v/>
      </c>
      <c r="D37" s="829"/>
      <c r="E37" s="829"/>
      <c r="F37" s="829"/>
      <c r="G37" s="829"/>
      <c r="H37" s="829"/>
      <c r="I37" s="829" t="s">
        <v>93</v>
      </c>
      <c r="J37" s="829"/>
      <c r="K37" s="829" t="s">
        <v>93</v>
      </c>
      <c r="L37" s="829"/>
      <c r="M37" s="829" t="s">
        <v>93</v>
      </c>
      <c r="N37" s="829"/>
      <c r="O37" s="829" t="s">
        <v>93</v>
      </c>
      <c r="P37" s="829"/>
      <c r="Q37" s="829"/>
      <c r="R37" s="829" t="s">
        <v>93</v>
      </c>
      <c r="S37" s="829"/>
      <c r="T37" s="829" t="s">
        <v>1368</v>
      </c>
      <c r="U37" s="829" t="s">
        <v>93</v>
      </c>
      <c r="V37" s="829"/>
      <c r="W37" s="829"/>
      <c r="X37" s="829" t="s">
        <v>93</v>
      </c>
      <c r="Y37" s="829" t="s">
        <v>93</v>
      </c>
      <c r="Z37" s="829"/>
      <c r="AA37" s="829"/>
      <c r="AB37" s="829"/>
      <c r="AC37" s="829"/>
      <c r="AD37" s="829"/>
      <c r="AE37" s="829"/>
      <c r="AF37" s="829"/>
      <c r="AG37" s="829"/>
      <c r="AH37" s="829" t="s">
        <v>1367</v>
      </c>
      <c r="AI37" s="829"/>
      <c r="AJ37" s="829"/>
      <c r="AK37" s="829"/>
      <c r="AL37" s="829"/>
      <c r="AM37" s="829"/>
      <c r="AN37" s="829"/>
      <c r="AO37" s="829"/>
      <c r="AP37" s="829"/>
      <c r="AQ37" s="846"/>
      <c r="AR37" s="829" t="s">
        <v>93</v>
      </c>
      <c r="AS37" s="846"/>
      <c r="AT37" s="829" t="s">
        <v>1406</v>
      </c>
      <c r="AU37" s="829"/>
      <c r="AV37" s="829"/>
      <c r="AW37" s="829"/>
      <c r="AX37" s="829"/>
      <c r="AY37" s="829"/>
      <c r="AZ37" s="829"/>
      <c r="BA37" s="829"/>
      <c r="BB37" s="829"/>
      <c r="BC37" s="829" t="s">
        <v>93</v>
      </c>
      <c r="BD37" s="846"/>
      <c r="BE37" s="829"/>
      <c r="BF37" s="829"/>
      <c r="BG37" s="829" t="s">
        <v>93</v>
      </c>
      <c r="BH37" s="829" t="s">
        <v>1406</v>
      </c>
      <c r="BI37" s="829"/>
      <c r="BJ37" s="829"/>
      <c r="BK37" s="829"/>
      <c r="BL37" s="829" t="s">
        <v>93</v>
      </c>
      <c r="BM37" s="829"/>
      <c r="BN37" s="829"/>
      <c r="BO37" s="829"/>
      <c r="BP37" s="829"/>
      <c r="BQ37" s="829"/>
      <c r="BR37" s="829" t="s">
        <v>93</v>
      </c>
      <c r="BS37" s="829"/>
      <c r="BT37" s="829"/>
      <c r="BU37" s="829"/>
      <c r="BV37" s="829"/>
      <c r="BW37" s="829" t="s">
        <v>93</v>
      </c>
      <c r="BX37" s="829"/>
      <c r="BY37" s="829"/>
      <c r="BZ37" s="829"/>
      <c r="CA37" s="829" t="s">
        <v>93</v>
      </c>
      <c r="CB37" s="829" t="s">
        <v>93</v>
      </c>
      <c r="CC37" s="829"/>
      <c r="CD37" s="829"/>
      <c r="CE37" s="829" t="s">
        <v>93</v>
      </c>
      <c r="CF37" s="829"/>
      <c r="CG37" s="829" t="s">
        <v>93</v>
      </c>
      <c r="CH37" s="829" t="s">
        <v>1406</v>
      </c>
      <c r="CI37" s="846"/>
      <c r="CJ37" s="829" t="s">
        <v>93</v>
      </c>
      <c r="CK37" s="829"/>
      <c r="CL37" s="829"/>
      <c r="CM37" s="829"/>
      <c r="CN37" s="829"/>
      <c r="CO37" s="829"/>
      <c r="CP37" s="829" t="s">
        <v>93</v>
      </c>
      <c r="CQ37" s="829"/>
      <c r="CR37" s="829"/>
      <c r="CS37" s="829" t="s">
        <v>93</v>
      </c>
      <c r="CT37" s="829"/>
      <c r="CU37" s="829" t="s">
        <v>93</v>
      </c>
      <c r="CV37" s="829"/>
      <c r="CW37" s="829"/>
      <c r="CX37" s="829"/>
      <c r="CY37" s="829" t="s">
        <v>93</v>
      </c>
      <c r="CZ37" s="829"/>
      <c r="DA37" s="829"/>
      <c r="DB37" s="851" t="s">
        <v>1370</v>
      </c>
      <c r="DC37" s="829" t="s">
        <v>93</v>
      </c>
      <c r="DD37" s="829" t="s">
        <v>1367</v>
      </c>
      <c r="DE37" s="829"/>
      <c r="DF37" s="829"/>
      <c r="DG37" s="829"/>
      <c r="DH37" s="829"/>
      <c r="DI37" s="829"/>
      <c r="DJ37" s="829" t="s">
        <v>93</v>
      </c>
      <c r="DK37" s="829" t="s">
        <v>93</v>
      </c>
      <c r="DL37" s="829"/>
      <c r="DM37" s="829"/>
      <c r="DN37" s="829" t="s">
        <v>1407</v>
      </c>
      <c r="DO37" s="829" t="s">
        <v>93</v>
      </c>
      <c r="DP37" s="829"/>
      <c r="DQ37" s="829"/>
      <c r="DR37" s="829" t="s">
        <v>93</v>
      </c>
      <c r="DS37" s="829" t="s">
        <v>93</v>
      </c>
      <c r="DT37" s="829"/>
      <c r="DU37" s="829" t="s">
        <v>1406</v>
      </c>
      <c r="DV37" s="829"/>
      <c r="DW37" s="829" t="s">
        <v>1408</v>
      </c>
      <c r="DX37" s="829" t="s">
        <v>93</v>
      </c>
      <c r="DY37" s="829" t="s">
        <v>93</v>
      </c>
      <c r="DZ37" s="829"/>
      <c r="EA37" s="829"/>
      <c r="EB37" s="829"/>
      <c r="EC37" s="829"/>
      <c r="ED37" s="829"/>
      <c r="EE37" s="829"/>
      <c r="EF37" s="829" t="s">
        <v>1406</v>
      </c>
      <c r="EG37" s="829" t="s">
        <v>1406</v>
      </c>
      <c r="EH37" s="829" t="s">
        <v>1406</v>
      </c>
      <c r="EI37" s="829"/>
      <c r="EJ37" s="829" t="s">
        <v>93</v>
      </c>
      <c r="EK37" s="829"/>
      <c r="EL37" s="829"/>
      <c r="EM37" s="829"/>
      <c r="EN37" s="829" t="s">
        <v>93</v>
      </c>
      <c r="EO37" s="829"/>
      <c r="EP37" s="829"/>
      <c r="EQ37" s="829"/>
      <c r="ER37" s="829"/>
      <c r="ES37" s="829"/>
      <c r="ET37" s="829"/>
      <c r="EU37" s="829"/>
      <c r="EV37" s="829"/>
      <c r="EW37" s="829"/>
      <c r="EX37" s="829" t="s">
        <v>93</v>
      </c>
      <c r="EY37" s="829"/>
      <c r="EZ37" s="829"/>
      <c r="FA37" s="829"/>
      <c r="FB37" s="829"/>
      <c r="FC37" s="829"/>
      <c r="FD37" s="829"/>
      <c r="FE37" s="829" t="s">
        <v>1409</v>
      </c>
      <c r="FF37" s="829"/>
      <c r="FG37" s="829"/>
      <c r="FH37" s="829"/>
      <c r="FI37" s="829" t="s">
        <v>93</v>
      </c>
      <c r="FJ37" s="829"/>
      <c r="FK37" s="829"/>
      <c r="FL37" s="829" t="s">
        <v>1409</v>
      </c>
      <c r="FM37" s="829"/>
      <c r="FN37" s="829"/>
      <c r="FO37" s="829"/>
      <c r="FP37" s="829"/>
      <c r="FQ37" s="829" t="s">
        <v>93</v>
      </c>
      <c r="FR37" s="829" t="s">
        <v>93</v>
      </c>
      <c r="FS37" s="829" t="s">
        <v>93</v>
      </c>
      <c r="FT37" s="829"/>
      <c r="FU37" s="829"/>
      <c r="FV37" s="829" t="s">
        <v>93</v>
      </c>
      <c r="FW37" s="829"/>
      <c r="FX37" s="829" t="s">
        <v>93</v>
      </c>
      <c r="FY37" s="829"/>
      <c r="FZ37" s="829"/>
      <c r="GA37" s="829"/>
      <c r="GB37" s="829"/>
      <c r="GC37" s="829" t="s">
        <v>1370</v>
      </c>
      <c r="GD37" s="829" t="s">
        <v>1370</v>
      </c>
      <c r="GE37" s="829" t="s">
        <v>93</v>
      </c>
      <c r="GF37" s="829" t="s">
        <v>93</v>
      </c>
      <c r="GG37" s="829"/>
      <c r="GH37" s="829"/>
      <c r="GI37" s="829"/>
      <c r="GJ37" s="829"/>
      <c r="GK37" s="829"/>
      <c r="GL37" s="829"/>
      <c r="GM37" s="829"/>
      <c r="GN37" s="829"/>
      <c r="GO37" s="829"/>
      <c r="GP37" s="829"/>
      <c r="GQ37" s="829"/>
      <c r="GR37" s="829"/>
      <c r="GS37" s="829" t="s">
        <v>93</v>
      </c>
      <c r="GT37" s="829"/>
      <c r="GU37" s="829" t="s">
        <v>1370</v>
      </c>
      <c r="GV37" s="829"/>
      <c r="GW37" s="829"/>
      <c r="GX37" s="829"/>
      <c r="GY37" s="829" t="s">
        <v>93</v>
      </c>
      <c r="GZ37" s="851" t="s">
        <v>1410</v>
      </c>
      <c r="HA37" s="851" t="s">
        <v>1410</v>
      </c>
      <c r="HB37" s="851" t="s">
        <v>1410</v>
      </c>
      <c r="HC37" s="851" t="s">
        <v>1410</v>
      </c>
      <c r="HD37" s="829"/>
      <c r="HE37" s="851" t="s">
        <v>1406</v>
      </c>
      <c r="HF37" s="829" t="s">
        <v>93</v>
      </c>
      <c r="HG37" s="829"/>
      <c r="HH37" s="829"/>
      <c r="HI37" s="829"/>
      <c r="HJ37" s="829"/>
      <c r="HK37" s="829" t="s">
        <v>93</v>
      </c>
      <c r="HL37" s="829" t="s">
        <v>93</v>
      </c>
      <c r="HM37" s="829"/>
      <c r="HN37" s="829" t="s">
        <v>1410</v>
      </c>
      <c r="HO37" s="829"/>
      <c r="HP37" s="851" t="s">
        <v>1406</v>
      </c>
      <c r="HQ37" s="829" t="s">
        <v>1406</v>
      </c>
      <c r="HR37" s="829"/>
      <c r="HS37" s="851" t="s">
        <v>1410</v>
      </c>
      <c r="HT37" s="829"/>
      <c r="HU37" s="851" t="s">
        <v>1370</v>
      </c>
      <c r="HV37" s="829"/>
      <c r="HW37" s="829"/>
      <c r="HX37" s="829" t="s">
        <v>1410</v>
      </c>
      <c r="HY37" s="865"/>
      <c r="HZ37" s="865"/>
      <c r="IA37" s="865"/>
      <c r="IB37" s="865"/>
      <c r="IC37" s="865"/>
      <c r="ID37" s="865"/>
      <c r="IE37" s="865"/>
      <c r="IF37" s="865"/>
      <c r="IG37" s="865"/>
      <c r="IH37" s="865"/>
      <c r="II37" s="865"/>
      <c r="IJ37" s="865"/>
      <c r="IK37" s="865"/>
      <c r="IL37" s="865"/>
      <c r="IM37" s="865"/>
      <c r="IN37" s="865"/>
      <c r="IO37" s="865"/>
      <c r="IP37" s="865"/>
      <c r="IQ37" s="865"/>
      <c r="IR37" s="865"/>
      <c r="IS37" s="865"/>
      <c r="IT37" s="865"/>
      <c r="IU37" s="865"/>
      <c r="IV37" s="865"/>
    </row>
    <row r="38" spans="1:256" ht="20.100000000000001" customHeight="1">
      <c r="A38" s="814" t="s">
        <v>154</v>
      </c>
      <c r="B38" s="810"/>
      <c r="C38" s="811" t="str">
        <f>IF(ISTEXT(IFERROR(VLOOKUP(A38,职业列表!I3:J10,1,FALSE),0)),"★","")</f>
        <v/>
      </c>
      <c r="D38" s="815"/>
      <c r="E38" s="815"/>
      <c r="F38" s="815"/>
      <c r="G38" s="815"/>
      <c r="H38" s="815"/>
      <c r="I38" s="810" t="s">
        <v>93</v>
      </c>
      <c r="J38" s="815"/>
      <c r="K38" s="810" t="s">
        <v>93</v>
      </c>
      <c r="L38" s="815"/>
      <c r="M38" s="810" t="s">
        <v>93</v>
      </c>
      <c r="N38" s="815"/>
      <c r="O38" s="810" t="s">
        <v>93</v>
      </c>
      <c r="P38" s="815"/>
      <c r="Q38" s="815"/>
      <c r="R38" s="810" t="s">
        <v>93</v>
      </c>
      <c r="S38" s="815"/>
      <c r="T38" s="810" t="s">
        <v>1368</v>
      </c>
      <c r="U38" s="810" t="s">
        <v>93</v>
      </c>
      <c r="V38" s="815"/>
      <c r="W38" s="815"/>
      <c r="X38" s="810" t="s">
        <v>93</v>
      </c>
      <c r="Y38" s="810" t="s">
        <v>93</v>
      </c>
      <c r="Z38" s="815"/>
      <c r="AA38" s="815"/>
      <c r="AB38" s="815"/>
      <c r="AC38" s="815"/>
      <c r="AD38" s="815"/>
      <c r="AE38" s="815"/>
      <c r="AF38" s="815"/>
      <c r="AG38" s="815"/>
      <c r="AH38" s="810" t="s">
        <v>1367</v>
      </c>
      <c r="AI38" s="815"/>
      <c r="AJ38" s="815"/>
      <c r="AK38" s="815"/>
      <c r="AL38" s="815"/>
      <c r="AM38" s="815"/>
      <c r="AN38" s="815"/>
      <c r="AO38" s="815"/>
      <c r="AP38" s="815"/>
      <c r="AQ38" s="815"/>
      <c r="AR38" s="810" t="s">
        <v>93</v>
      </c>
      <c r="AS38" s="815"/>
      <c r="AT38" s="815"/>
      <c r="AU38" s="815"/>
      <c r="AV38" s="815"/>
      <c r="AW38" s="815"/>
      <c r="AX38" s="815"/>
      <c r="AY38" s="815"/>
      <c r="AZ38" s="815"/>
      <c r="BA38" s="815"/>
      <c r="BB38" s="815"/>
      <c r="BC38" s="810" t="s">
        <v>93</v>
      </c>
      <c r="BD38" s="815"/>
      <c r="BE38" s="815"/>
      <c r="BF38" s="815"/>
      <c r="BG38" s="810" t="s">
        <v>93</v>
      </c>
      <c r="BH38" s="815"/>
      <c r="BI38" s="815"/>
      <c r="BJ38" s="815"/>
      <c r="BK38" s="815"/>
      <c r="BL38" s="815"/>
      <c r="BM38" s="815"/>
      <c r="BN38" s="815"/>
      <c r="BO38" s="815"/>
      <c r="BP38" s="815"/>
      <c r="BQ38" s="815"/>
      <c r="BR38" s="810"/>
      <c r="BS38" s="815"/>
      <c r="BT38" s="815"/>
      <c r="BU38" s="815"/>
      <c r="BV38" s="815"/>
      <c r="BW38" s="810" t="s">
        <v>93</v>
      </c>
      <c r="BX38" s="815"/>
      <c r="BY38" s="815"/>
      <c r="BZ38" s="815"/>
      <c r="CA38" s="810" t="s">
        <v>93</v>
      </c>
      <c r="CB38" s="810" t="s">
        <v>93</v>
      </c>
      <c r="CC38" s="815"/>
      <c r="CD38" s="815"/>
      <c r="CE38" s="810" t="s">
        <v>93</v>
      </c>
      <c r="CF38" s="815"/>
      <c r="CG38" s="810" t="s">
        <v>93</v>
      </c>
      <c r="CH38" s="815"/>
      <c r="CI38" s="815"/>
      <c r="CJ38" s="810" t="s">
        <v>93</v>
      </c>
      <c r="CK38" s="815"/>
      <c r="CL38" s="815"/>
      <c r="CM38" s="815"/>
      <c r="CN38" s="815"/>
      <c r="CO38" s="815"/>
      <c r="CP38" s="810" t="s">
        <v>93</v>
      </c>
      <c r="CQ38" s="815"/>
      <c r="CR38" s="815"/>
      <c r="CS38" s="810" t="s">
        <v>93</v>
      </c>
      <c r="CT38" s="815"/>
      <c r="CU38" s="810" t="s">
        <v>93</v>
      </c>
      <c r="CV38" s="815"/>
      <c r="CW38" s="815"/>
      <c r="CX38" s="815"/>
      <c r="CY38" s="810" t="s">
        <v>93</v>
      </c>
      <c r="CZ38" s="815"/>
      <c r="DA38" s="815"/>
      <c r="DB38" s="811"/>
      <c r="DC38" s="810" t="s">
        <v>93</v>
      </c>
      <c r="DD38" s="810" t="s">
        <v>1367</v>
      </c>
      <c r="DE38" s="815"/>
      <c r="DF38" s="815"/>
      <c r="DG38" s="815"/>
      <c r="DH38" s="815"/>
      <c r="DI38" s="815"/>
      <c r="DJ38" s="810" t="s">
        <v>93</v>
      </c>
      <c r="DK38" s="810" t="s">
        <v>93</v>
      </c>
      <c r="DL38" s="815"/>
      <c r="DM38" s="815"/>
      <c r="DN38" s="810" t="s">
        <v>1407</v>
      </c>
      <c r="DO38" s="810"/>
      <c r="DP38" s="810"/>
      <c r="DQ38" s="810"/>
      <c r="DR38" s="810"/>
      <c r="DS38" s="810" t="s">
        <v>93</v>
      </c>
      <c r="DT38" s="810"/>
      <c r="DU38" s="810"/>
      <c r="DV38" s="810"/>
      <c r="DW38" s="810"/>
      <c r="DX38" s="810" t="s">
        <v>93</v>
      </c>
      <c r="DY38" s="810" t="s">
        <v>93</v>
      </c>
      <c r="DZ38" s="810"/>
      <c r="EA38" s="810"/>
      <c r="EB38" s="810"/>
      <c r="EC38" s="810"/>
      <c r="ED38" s="810"/>
      <c r="EE38" s="810"/>
      <c r="EF38" s="810"/>
      <c r="EG38" s="810"/>
      <c r="EH38" s="810"/>
      <c r="EI38" s="810"/>
      <c r="EJ38" s="810" t="s">
        <v>93</v>
      </c>
      <c r="EK38" s="810"/>
      <c r="EL38" s="810"/>
      <c r="EM38" s="810"/>
      <c r="EN38" s="810" t="s">
        <v>93</v>
      </c>
      <c r="EO38" s="810"/>
      <c r="EP38" s="810"/>
      <c r="EQ38" s="810"/>
      <c r="ER38" s="810"/>
      <c r="ES38" s="810"/>
      <c r="ET38" s="810"/>
      <c r="EU38" s="810"/>
      <c r="EV38" s="810"/>
      <c r="EW38" s="810"/>
      <c r="EX38" s="810" t="s">
        <v>93</v>
      </c>
      <c r="EY38" s="810"/>
      <c r="EZ38" s="810"/>
      <c r="FA38" s="810"/>
      <c r="FB38" s="810"/>
      <c r="FC38" s="810"/>
      <c r="FD38" s="810"/>
      <c r="FE38" s="810" t="s">
        <v>1411</v>
      </c>
      <c r="FF38" s="810"/>
      <c r="FG38" s="810"/>
      <c r="FH38" s="810"/>
      <c r="FI38" s="810"/>
      <c r="FJ38" s="810"/>
      <c r="FK38" s="810"/>
      <c r="FL38" s="810"/>
      <c r="FM38" s="810"/>
      <c r="FN38" s="810"/>
      <c r="FO38" s="810"/>
      <c r="FP38" s="810"/>
      <c r="FQ38" s="810" t="s">
        <v>93</v>
      </c>
      <c r="FR38" s="810" t="s">
        <v>93</v>
      </c>
      <c r="FS38" s="810"/>
      <c r="FT38" s="810"/>
      <c r="FU38" s="810"/>
      <c r="FV38" s="810" t="s">
        <v>93</v>
      </c>
      <c r="FW38" s="810"/>
      <c r="FX38" s="810" t="s">
        <v>93</v>
      </c>
      <c r="FY38" s="810"/>
      <c r="FZ38" s="810"/>
      <c r="GA38" s="810"/>
      <c r="GB38" s="810"/>
      <c r="GC38" s="810"/>
      <c r="GD38" s="810"/>
      <c r="GE38" s="810" t="s">
        <v>93</v>
      </c>
      <c r="GF38" s="810" t="s">
        <v>93</v>
      </c>
      <c r="GG38" s="810"/>
      <c r="GH38" s="810"/>
      <c r="GI38" s="810"/>
      <c r="GJ38" s="810"/>
      <c r="GK38" s="810"/>
      <c r="GL38" s="810"/>
      <c r="GM38" s="810"/>
      <c r="GN38" s="810"/>
      <c r="GO38" s="810"/>
      <c r="GP38" s="810"/>
      <c r="GQ38" s="810"/>
      <c r="GR38" s="810"/>
      <c r="GS38" s="810" t="s">
        <v>93</v>
      </c>
      <c r="GT38" s="810"/>
      <c r="GU38" s="810"/>
      <c r="GV38" s="810"/>
      <c r="GW38" s="810"/>
      <c r="GX38" s="810"/>
      <c r="GY38" s="815"/>
      <c r="GZ38" s="815"/>
      <c r="HA38" s="811" t="s">
        <v>1406</v>
      </c>
      <c r="HB38" s="815"/>
      <c r="HC38" s="810"/>
      <c r="HD38" s="815"/>
      <c r="HE38" s="810"/>
      <c r="HF38" s="815"/>
      <c r="HG38" s="810"/>
      <c r="HH38" s="815"/>
      <c r="HI38" s="815"/>
      <c r="HJ38" s="810"/>
      <c r="HK38" s="815"/>
      <c r="HL38" s="810"/>
      <c r="HM38" s="810"/>
      <c r="HN38" s="815"/>
      <c r="HO38" s="815"/>
      <c r="HP38" s="810"/>
      <c r="HQ38" s="810"/>
      <c r="HR38" s="815"/>
      <c r="HS38" s="815"/>
      <c r="HT38" s="815"/>
      <c r="HU38" s="815"/>
      <c r="HV38" s="815"/>
      <c r="HW38" s="815"/>
      <c r="HX38" s="815"/>
      <c r="HY38" s="857"/>
      <c r="HZ38" s="857"/>
      <c r="IA38" s="857"/>
      <c r="IB38" s="857"/>
      <c r="IC38" s="857"/>
      <c r="ID38" s="857"/>
      <c r="IE38" s="857"/>
      <c r="IF38" s="857"/>
      <c r="IG38" s="857"/>
      <c r="IH38" s="857"/>
      <c r="II38" s="857"/>
      <c r="IJ38" s="857"/>
      <c r="IK38" s="857"/>
      <c r="IL38" s="857"/>
      <c r="IM38" s="857"/>
      <c r="IN38" s="857"/>
      <c r="IO38" s="857"/>
      <c r="IP38" s="857"/>
      <c r="IQ38" s="857"/>
      <c r="IR38" s="857"/>
      <c r="IS38" s="857"/>
      <c r="IT38" s="857"/>
      <c r="IU38" s="857"/>
      <c r="IV38" s="857"/>
    </row>
    <row r="39" spans="1:256" ht="20.100000000000001" customHeight="1">
      <c r="A39" s="814" t="s">
        <v>156</v>
      </c>
      <c r="B39" s="810"/>
      <c r="C39" s="810" t="str">
        <f>IF(ISTEXT(IFERROR(VLOOKUP(A39,职业列表!I3:J10,1,FALSE),0)),"★","")</f>
        <v/>
      </c>
      <c r="D39" s="815"/>
      <c r="E39" s="815"/>
      <c r="F39" s="815"/>
      <c r="G39" s="815"/>
      <c r="H39" s="815"/>
      <c r="I39" s="810" t="s">
        <v>93</v>
      </c>
      <c r="J39" s="815"/>
      <c r="K39" s="810" t="s">
        <v>93</v>
      </c>
      <c r="L39" s="815"/>
      <c r="M39" s="810" t="s">
        <v>93</v>
      </c>
      <c r="N39" s="815"/>
      <c r="O39" s="810" t="s">
        <v>93</v>
      </c>
      <c r="P39" s="815"/>
      <c r="Q39" s="815"/>
      <c r="R39" s="810" t="s">
        <v>93</v>
      </c>
      <c r="S39" s="815"/>
      <c r="T39" s="810" t="s">
        <v>1368</v>
      </c>
      <c r="U39" s="810" t="s">
        <v>93</v>
      </c>
      <c r="V39" s="815"/>
      <c r="W39" s="815"/>
      <c r="X39" s="810" t="s">
        <v>93</v>
      </c>
      <c r="Y39" s="810" t="s">
        <v>93</v>
      </c>
      <c r="Z39" s="815"/>
      <c r="AA39" s="815"/>
      <c r="AB39" s="815"/>
      <c r="AC39" s="815"/>
      <c r="AD39" s="815"/>
      <c r="AE39" s="815"/>
      <c r="AF39" s="815"/>
      <c r="AG39" s="815"/>
      <c r="AH39" s="810" t="s">
        <v>1367</v>
      </c>
      <c r="AI39" s="815"/>
      <c r="AJ39" s="815"/>
      <c r="AK39" s="815"/>
      <c r="AL39" s="815"/>
      <c r="AM39" s="815"/>
      <c r="AN39" s="815"/>
      <c r="AO39" s="815"/>
      <c r="AP39" s="815"/>
      <c r="AQ39" s="815"/>
      <c r="AR39" s="810" t="s">
        <v>93</v>
      </c>
      <c r="AS39" s="815"/>
      <c r="AT39" s="815"/>
      <c r="AU39" s="815"/>
      <c r="AV39" s="815"/>
      <c r="AW39" s="815"/>
      <c r="AX39" s="815"/>
      <c r="AY39" s="815"/>
      <c r="AZ39" s="815"/>
      <c r="BA39" s="815"/>
      <c r="BB39" s="815"/>
      <c r="BC39" s="810" t="s">
        <v>93</v>
      </c>
      <c r="BD39" s="815"/>
      <c r="BE39" s="815"/>
      <c r="BF39" s="815"/>
      <c r="BG39" s="810" t="s">
        <v>93</v>
      </c>
      <c r="BH39" s="815"/>
      <c r="BI39" s="815"/>
      <c r="BJ39" s="815"/>
      <c r="BK39" s="815"/>
      <c r="BL39" s="815"/>
      <c r="BM39" s="815"/>
      <c r="BN39" s="815"/>
      <c r="BO39" s="815"/>
      <c r="BP39" s="815"/>
      <c r="BQ39" s="815"/>
      <c r="BR39" s="810"/>
      <c r="BS39" s="815"/>
      <c r="BT39" s="815"/>
      <c r="BU39" s="815"/>
      <c r="BV39" s="815"/>
      <c r="BW39" s="810" t="s">
        <v>93</v>
      </c>
      <c r="BX39" s="815"/>
      <c r="BY39" s="815"/>
      <c r="BZ39" s="815"/>
      <c r="CA39" s="810" t="s">
        <v>93</v>
      </c>
      <c r="CB39" s="810" t="s">
        <v>93</v>
      </c>
      <c r="CC39" s="815"/>
      <c r="CD39" s="815"/>
      <c r="CE39" s="810" t="s">
        <v>93</v>
      </c>
      <c r="CF39" s="815"/>
      <c r="CG39" s="810" t="s">
        <v>93</v>
      </c>
      <c r="CH39" s="815"/>
      <c r="CI39" s="815"/>
      <c r="CJ39" s="810" t="s">
        <v>93</v>
      </c>
      <c r="CK39" s="815"/>
      <c r="CL39" s="815"/>
      <c r="CM39" s="815"/>
      <c r="CN39" s="815"/>
      <c r="CO39" s="815"/>
      <c r="CP39" s="810" t="s">
        <v>93</v>
      </c>
      <c r="CQ39" s="815"/>
      <c r="CR39" s="815"/>
      <c r="CS39" s="810" t="s">
        <v>93</v>
      </c>
      <c r="CT39" s="815"/>
      <c r="CU39" s="810" t="s">
        <v>93</v>
      </c>
      <c r="CV39" s="815"/>
      <c r="CW39" s="815"/>
      <c r="CX39" s="815"/>
      <c r="CY39" s="810" t="s">
        <v>93</v>
      </c>
      <c r="CZ39" s="815"/>
      <c r="DA39" s="815"/>
      <c r="DB39" s="811"/>
      <c r="DC39" s="810" t="s">
        <v>93</v>
      </c>
      <c r="DD39" s="810" t="s">
        <v>1367</v>
      </c>
      <c r="DE39" s="815"/>
      <c r="DF39" s="815"/>
      <c r="DG39" s="815"/>
      <c r="DH39" s="815"/>
      <c r="DI39" s="815"/>
      <c r="DJ39" s="810" t="s">
        <v>93</v>
      </c>
      <c r="DK39" s="810" t="s">
        <v>93</v>
      </c>
      <c r="DL39" s="815"/>
      <c r="DM39" s="815"/>
      <c r="DN39" s="810"/>
      <c r="DO39" s="810"/>
      <c r="DP39" s="810"/>
      <c r="DQ39" s="810"/>
      <c r="DR39" s="810"/>
      <c r="DS39" s="810" t="s">
        <v>93</v>
      </c>
      <c r="DT39" s="810"/>
      <c r="DU39" s="810"/>
      <c r="DV39" s="810"/>
      <c r="DW39" s="810"/>
      <c r="DX39" s="810" t="s">
        <v>93</v>
      </c>
      <c r="DY39" s="810" t="s">
        <v>93</v>
      </c>
      <c r="DZ39" s="810"/>
      <c r="EA39" s="810"/>
      <c r="EB39" s="810"/>
      <c r="EC39" s="810"/>
      <c r="ED39" s="810"/>
      <c r="EE39" s="810"/>
      <c r="EF39" s="810"/>
      <c r="EG39" s="810"/>
      <c r="EH39" s="810"/>
      <c r="EI39" s="810"/>
      <c r="EJ39" s="810" t="s">
        <v>93</v>
      </c>
      <c r="EK39" s="810"/>
      <c r="EL39" s="810"/>
      <c r="EM39" s="810"/>
      <c r="EN39" s="810" t="s">
        <v>93</v>
      </c>
      <c r="EO39" s="810"/>
      <c r="EP39" s="810"/>
      <c r="EQ39" s="810"/>
      <c r="ER39" s="810"/>
      <c r="ES39" s="810"/>
      <c r="ET39" s="810"/>
      <c r="EU39" s="810"/>
      <c r="EV39" s="810"/>
      <c r="EW39" s="810"/>
      <c r="EX39" s="810" t="s">
        <v>93</v>
      </c>
      <c r="EY39" s="810"/>
      <c r="EZ39" s="810"/>
      <c r="FA39" s="810"/>
      <c r="FB39" s="810"/>
      <c r="FC39" s="810"/>
      <c r="FD39" s="810"/>
      <c r="FE39" s="810"/>
      <c r="FF39" s="810"/>
      <c r="FG39" s="810"/>
      <c r="FH39" s="810"/>
      <c r="FI39" s="810"/>
      <c r="FJ39" s="810"/>
      <c r="FK39" s="810"/>
      <c r="FL39" s="810"/>
      <c r="FM39" s="810"/>
      <c r="FN39" s="810"/>
      <c r="FO39" s="810"/>
      <c r="FP39" s="810"/>
      <c r="FQ39" s="810" t="s">
        <v>93</v>
      </c>
      <c r="FR39" s="810" t="s">
        <v>93</v>
      </c>
      <c r="FS39" s="810"/>
      <c r="FT39" s="810"/>
      <c r="FU39" s="810"/>
      <c r="FV39" s="810" t="s">
        <v>93</v>
      </c>
      <c r="FW39" s="810"/>
      <c r="FX39" s="810" t="s">
        <v>93</v>
      </c>
      <c r="FY39" s="810"/>
      <c r="FZ39" s="810"/>
      <c r="GA39" s="810"/>
      <c r="GB39" s="810"/>
      <c r="GC39" s="810"/>
      <c r="GD39" s="810"/>
      <c r="GE39" s="810" t="s">
        <v>93</v>
      </c>
      <c r="GF39" s="810" t="s">
        <v>93</v>
      </c>
      <c r="GG39" s="810"/>
      <c r="GH39" s="810"/>
      <c r="GI39" s="810"/>
      <c r="GJ39" s="810"/>
      <c r="GK39" s="810"/>
      <c r="GL39" s="810"/>
      <c r="GM39" s="810"/>
      <c r="GN39" s="810"/>
      <c r="GO39" s="810"/>
      <c r="GP39" s="810"/>
      <c r="GQ39" s="810"/>
      <c r="GR39" s="810"/>
      <c r="GS39" s="810" t="s">
        <v>93</v>
      </c>
      <c r="GT39" s="810"/>
      <c r="GU39" s="810"/>
      <c r="GV39" s="810"/>
      <c r="GW39" s="810"/>
      <c r="GX39" s="810"/>
      <c r="GY39" s="815"/>
      <c r="GZ39" s="815"/>
      <c r="HA39" s="811"/>
      <c r="HB39" s="815"/>
      <c r="HC39" s="810"/>
      <c r="HD39" s="815"/>
      <c r="HE39" s="810"/>
      <c r="HF39" s="815"/>
      <c r="HG39" s="810"/>
      <c r="HH39" s="815"/>
      <c r="HI39" s="815"/>
      <c r="HJ39" s="810"/>
      <c r="HK39" s="815"/>
      <c r="HL39" s="810"/>
      <c r="HM39" s="810"/>
      <c r="HN39" s="815"/>
      <c r="HO39" s="815"/>
      <c r="HP39" s="810"/>
      <c r="HQ39" s="810"/>
      <c r="HR39" s="815"/>
      <c r="HS39" s="815"/>
      <c r="HT39" s="815"/>
      <c r="HU39" s="815"/>
      <c r="HV39" s="815"/>
      <c r="HW39" s="815"/>
      <c r="HX39" s="815"/>
      <c r="HY39" s="857"/>
      <c r="HZ39" s="857"/>
      <c r="IA39" s="857"/>
      <c r="IB39" s="857"/>
      <c r="IC39" s="857"/>
      <c r="ID39" s="857"/>
      <c r="IE39" s="857"/>
      <c r="IF39" s="857"/>
      <c r="IG39" s="857"/>
      <c r="IH39" s="857"/>
      <c r="II39" s="857"/>
      <c r="IJ39" s="857"/>
      <c r="IK39" s="857"/>
      <c r="IL39" s="857"/>
      <c r="IM39" s="857"/>
      <c r="IN39" s="857"/>
      <c r="IO39" s="857"/>
      <c r="IP39" s="857"/>
      <c r="IQ39" s="857"/>
      <c r="IR39" s="857"/>
      <c r="IS39" s="857"/>
      <c r="IT39" s="857"/>
      <c r="IU39" s="857"/>
      <c r="IV39" s="857"/>
    </row>
    <row r="40" spans="1:256" s="797" customFormat="1" ht="20.100000000000001" customHeight="1">
      <c r="A40" s="828" t="s">
        <v>158</v>
      </c>
      <c r="B40" s="829"/>
      <c r="C40" s="810" t="str">
        <f>IF(ISTEXT(IFERROR(VLOOKUP(A40,职业列表!I3:J10,1,FALSE),0)),"★","")</f>
        <v/>
      </c>
      <c r="D40" s="829"/>
      <c r="E40" s="829"/>
      <c r="F40" s="829"/>
      <c r="G40" s="829"/>
      <c r="H40" s="829"/>
      <c r="I40" s="829"/>
      <c r="J40" s="829"/>
      <c r="K40" s="829"/>
      <c r="L40" s="829"/>
      <c r="M40" s="829"/>
      <c r="N40" s="829" t="s">
        <v>93</v>
      </c>
      <c r="O40" s="829"/>
      <c r="P40" s="829"/>
      <c r="Q40" s="829"/>
      <c r="R40" s="829" t="s">
        <v>93</v>
      </c>
      <c r="S40" s="829"/>
      <c r="T40" s="829"/>
      <c r="U40" s="829" t="s">
        <v>93</v>
      </c>
      <c r="V40" s="829"/>
      <c r="W40" s="829"/>
      <c r="X40" s="829"/>
      <c r="Y40" s="829"/>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t="s">
        <v>93</v>
      </c>
      <c r="AZ40" s="829" t="s">
        <v>93</v>
      </c>
      <c r="BA40" s="829"/>
      <c r="BB40" s="829"/>
      <c r="BC40" s="829"/>
      <c r="BD40" s="829"/>
      <c r="BE40" s="829"/>
      <c r="BF40" s="829"/>
      <c r="BG40" s="829" t="s">
        <v>93</v>
      </c>
      <c r="BH40" s="829"/>
      <c r="BI40" s="829"/>
      <c r="BJ40" s="829"/>
      <c r="BK40" s="829"/>
      <c r="BL40" s="829"/>
      <c r="BM40" s="829"/>
      <c r="BN40" s="829"/>
      <c r="BO40" s="829" t="s">
        <v>93</v>
      </c>
      <c r="BP40" s="846"/>
      <c r="BQ40" s="829" t="s">
        <v>93</v>
      </c>
      <c r="BR40" s="829"/>
      <c r="BS40" s="829"/>
      <c r="BT40" s="829"/>
      <c r="BU40" s="829"/>
      <c r="BV40" s="829"/>
      <c r="BW40" s="829" t="s">
        <v>93</v>
      </c>
      <c r="BX40" s="829"/>
      <c r="BY40" s="829"/>
      <c r="BZ40" s="829"/>
      <c r="CA40" s="829"/>
      <c r="CB40" s="829"/>
      <c r="CC40" s="829"/>
      <c r="CD40" s="829"/>
      <c r="CE40" s="829"/>
      <c r="CF40" s="829"/>
      <c r="CG40" s="829"/>
      <c r="CH40" s="829"/>
      <c r="CI40" s="829"/>
      <c r="CJ40" s="829"/>
      <c r="CK40" s="829"/>
      <c r="CL40" s="829"/>
      <c r="CM40" s="829"/>
      <c r="CN40" s="829"/>
      <c r="CO40" s="829"/>
      <c r="CP40" s="829" t="s">
        <v>93</v>
      </c>
      <c r="CQ40" s="829"/>
      <c r="CR40" s="829"/>
      <c r="CS40" s="829"/>
      <c r="CT40" s="829"/>
      <c r="CU40" s="829"/>
      <c r="CV40" s="829"/>
      <c r="CW40" s="829"/>
      <c r="CX40" s="829"/>
      <c r="CY40" s="829" t="s">
        <v>93</v>
      </c>
      <c r="CZ40" s="829" t="s">
        <v>93</v>
      </c>
      <c r="DA40" s="829"/>
      <c r="DB40" s="829"/>
      <c r="DC40" s="829"/>
      <c r="DD40" s="829" t="s">
        <v>1367</v>
      </c>
      <c r="DE40" s="829"/>
      <c r="DF40" s="829"/>
      <c r="DG40" s="829"/>
      <c r="DH40" s="829"/>
      <c r="DI40" s="829"/>
      <c r="DJ40" s="829" t="s">
        <v>93</v>
      </c>
      <c r="DK40" s="829"/>
      <c r="DL40" s="829"/>
      <c r="DM40" s="829"/>
      <c r="DN40" s="829" t="s">
        <v>93</v>
      </c>
      <c r="DO40" s="829"/>
      <c r="DP40" s="829"/>
      <c r="DQ40" s="829"/>
      <c r="DR40" s="829"/>
      <c r="DS40" s="829"/>
      <c r="DT40" s="829"/>
      <c r="DU40" s="829" t="s">
        <v>93</v>
      </c>
      <c r="DV40" s="829"/>
      <c r="DW40" s="829" t="s">
        <v>93</v>
      </c>
      <c r="DX40" s="829" t="s">
        <v>93</v>
      </c>
      <c r="DY40" s="829"/>
      <c r="DZ40" s="829" t="s">
        <v>93</v>
      </c>
      <c r="EA40" s="829"/>
      <c r="EB40" s="829"/>
      <c r="EC40" s="829"/>
      <c r="ED40" s="829"/>
      <c r="EE40" s="829"/>
      <c r="EF40" s="829"/>
      <c r="EG40" s="829"/>
      <c r="EH40" s="829"/>
      <c r="EI40" s="829"/>
      <c r="EJ40" s="829"/>
      <c r="EK40" s="829"/>
      <c r="EL40" s="829"/>
      <c r="EM40" s="829"/>
      <c r="EN40" s="829"/>
      <c r="EO40" s="829"/>
      <c r="EP40" s="829"/>
      <c r="EQ40" s="829" t="s">
        <v>93</v>
      </c>
      <c r="ER40" s="829"/>
      <c r="ES40" s="829"/>
      <c r="ET40" s="829"/>
      <c r="EU40" s="829" t="s">
        <v>93</v>
      </c>
      <c r="EV40" s="829" t="s">
        <v>93</v>
      </c>
      <c r="EW40" s="829"/>
      <c r="EX40" s="829" t="s">
        <v>93</v>
      </c>
      <c r="EY40" s="829"/>
      <c r="EZ40" s="829"/>
      <c r="FA40" s="829"/>
      <c r="FB40" s="829"/>
      <c r="FC40" s="829"/>
      <c r="FD40" s="829"/>
      <c r="FE40" s="829"/>
      <c r="FF40" s="829"/>
      <c r="FG40" s="829"/>
      <c r="FH40" s="829"/>
      <c r="FI40" s="829" t="s">
        <v>93</v>
      </c>
      <c r="FJ40" s="829"/>
      <c r="FK40" s="829"/>
      <c r="FL40" s="829"/>
      <c r="FM40" s="829" t="s">
        <v>93</v>
      </c>
      <c r="FN40" s="829"/>
      <c r="FO40" s="829"/>
      <c r="FP40" s="829"/>
      <c r="FQ40" s="829"/>
      <c r="FR40" s="829"/>
      <c r="FS40" s="829"/>
      <c r="FT40" s="829"/>
      <c r="FU40" s="829"/>
      <c r="FV40" s="829"/>
      <c r="FW40" s="829"/>
      <c r="FX40" s="829"/>
      <c r="FY40" s="829"/>
      <c r="FZ40" s="829"/>
      <c r="GA40" s="829"/>
      <c r="GB40" s="829"/>
      <c r="GC40" s="829"/>
      <c r="GD40" s="829"/>
      <c r="GE40" s="829"/>
      <c r="GF40" s="829" t="s">
        <v>93</v>
      </c>
      <c r="GG40" s="829"/>
      <c r="GH40" s="829"/>
      <c r="GI40" s="829"/>
      <c r="GJ40" s="829"/>
      <c r="GK40" s="829" t="s">
        <v>93</v>
      </c>
      <c r="GL40" s="829" t="s">
        <v>93</v>
      </c>
      <c r="GM40" s="829" t="s">
        <v>93</v>
      </c>
      <c r="GN40" s="829"/>
      <c r="GO40" s="829"/>
      <c r="GP40" s="829"/>
      <c r="GQ40" s="829"/>
      <c r="GR40" s="829"/>
      <c r="GS40" s="829"/>
      <c r="GT40" s="829"/>
      <c r="GU40" s="829"/>
      <c r="GV40" s="829" t="s">
        <v>93</v>
      </c>
      <c r="GW40" s="829"/>
      <c r="GX40" s="829"/>
      <c r="GY40" s="829"/>
      <c r="GZ40" s="829"/>
      <c r="HA40" s="829"/>
      <c r="HB40" s="829"/>
      <c r="HC40" s="829" t="s">
        <v>93</v>
      </c>
      <c r="HD40" s="829"/>
      <c r="HE40" s="829"/>
      <c r="HF40" s="829"/>
      <c r="HG40" s="829"/>
      <c r="HH40" s="829"/>
      <c r="HI40" s="829"/>
      <c r="HJ40" s="829" t="s">
        <v>93</v>
      </c>
      <c r="HK40" s="829"/>
      <c r="HL40" s="829"/>
      <c r="HM40" s="829"/>
      <c r="HN40" s="829" t="s">
        <v>93</v>
      </c>
      <c r="HO40" s="829"/>
      <c r="HP40" s="829"/>
      <c r="HQ40" s="829"/>
      <c r="HR40" s="829"/>
      <c r="HS40" s="829"/>
      <c r="HT40" s="829"/>
      <c r="HU40" s="829"/>
      <c r="HV40" s="829"/>
      <c r="HW40" s="829"/>
      <c r="HX40" s="829"/>
      <c r="HY40" s="865"/>
      <c r="HZ40" s="865"/>
      <c r="IA40" s="865"/>
      <c r="IB40" s="865"/>
      <c r="IC40" s="865"/>
      <c r="ID40" s="865"/>
      <c r="IE40" s="865"/>
      <c r="IF40" s="865"/>
      <c r="IG40" s="865"/>
      <c r="IH40" s="865"/>
      <c r="II40" s="865"/>
      <c r="IJ40" s="865"/>
      <c r="IK40" s="865"/>
      <c r="IL40" s="865"/>
      <c r="IM40" s="865"/>
      <c r="IN40" s="865"/>
      <c r="IO40" s="865"/>
      <c r="IP40" s="865"/>
      <c r="IQ40" s="865"/>
      <c r="IR40" s="865"/>
      <c r="IS40" s="865"/>
      <c r="IT40" s="865"/>
      <c r="IU40" s="865"/>
      <c r="IV40" s="865"/>
    </row>
    <row r="41" spans="1:256" ht="20.100000000000001" customHeight="1">
      <c r="A41" s="809" t="s">
        <v>61</v>
      </c>
      <c r="B41" s="810"/>
      <c r="C41" s="810" t="str">
        <f>IF(ISTEXT(IFERROR(VLOOKUP(A41,职业列表!I3:J10,1,FALSE),0)),"★","")</f>
        <v/>
      </c>
      <c r="D41" s="810" t="s">
        <v>93</v>
      </c>
      <c r="E41" s="810"/>
      <c r="F41" s="810"/>
      <c r="G41" s="810"/>
      <c r="H41" s="810" t="s">
        <v>93</v>
      </c>
      <c r="I41" s="810" t="s">
        <v>93</v>
      </c>
      <c r="J41" s="810"/>
      <c r="K41" s="810"/>
      <c r="L41" s="810"/>
      <c r="M41" s="810"/>
      <c r="N41" s="810" t="s">
        <v>93</v>
      </c>
      <c r="O41" s="810"/>
      <c r="P41" s="810"/>
      <c r="Q41" s="810"/>
      <c r="R41" s="810"/>
      <c r="S41" s="810"/>
      <c r="T41" s="810"/>
      <c r="U41" s="810"/>
      <c r="V41" s="810" t="s">
        <v>93</v>
      </c>
      <c r="W41" s="810"/>
      <c r="X41" s="810"/>
      <c r="Y41" s="810"/>
      <c r="Z41" s="810"/>
      <c r="AA41" s="810"/>
      <c r="AB41" s="810"/>
      <c r="AC41" s="810"/>
      <c r="AD41" s="810"/>
      <c r="AE41" s="810"/>
      <c r="AF41" s="810"/>
      <c r="AG41" s="810"/>
      <c r="AH41" s="810" t="s">
        <v>1367</v>
      </c>
      <c r="AI41" s="810"/>
      <c r="AJ41" s="810"/>
      <c r="AK41" s="810"/>
      <c r="AL41" s="810"/>
      <c r="AM41" s="810"/>
      <c r="AN41" s="810"/>
      <c r="AO41" s="810"/>
      <c r="AP41" s="810"/>
      <c r="AQ41" s="810"/>
      <c r="AR41" s="810"/>
      <c r="AS41" s="810"/>
      <c r="AT41" s="810"/>
      <c r="AU41" s="810"/>
      <c r="AV41" s="810"/>
      <c r="AW41" s="810"/>
      <c r="AX41" s="810"/>
      <c r="AY41" s="810"/>
      <c r="AZ41" s="810"/>
      <c r="BA41" s="810"/>
      <c r="BB41" s="810"/>
      <c r="BC41" s="810"/>
      <c r="BD41" s="810"/>
      <c r="BE41" s="810" t="s">
        <v>93</v>
      </c>
      <c r="BF41" s="810"/>
      <c r="BG41" s="810"/>
      <c r="BH41" s="810"/>
      <c r="BI41" s="810"/>
      <c r="BJ41" s="810" t="s">
        <v>93</v>
      </c>
      <c r="BK41" s="810"/>
      <c r="BL41" s="810"/>
      <c r="BM41" s="810"/>
      <c r="BN41" s="810"/>
      <c r="BO41" s="810"/>
      <c r="BP41" s="810"/>
      <c r="BQ41" s="810" t="s">
        <v>93</v>
      </c>
      <c r="BR41" s="810"/>
      <c r="BS41" s="810"/>
      <c r="BT41" s="810"/>
      <c r="BU41" s="810"/>
      <c r="BV41" s="810" t="s">
        <v>93</v>
      </c>
      <c r="BW41" s="810"/>
      <c r="BX41" s="810"/>
      <c r="BY41" s="810"/>
      <c r="BZ41" s="810"/>
      <c r="CA41" s="810"/>
      <c r="CB41" s="810"/>
      <c r="CC41" s="810"/>
      <c r="CD41" s="810"/>
      <c r="CE41" s="810"/>
      <c r="CF41" s="810"/>
      <c r="CG41" s="810"/>
      <c r="CH41" s="810"/>
      <c r="CI41" s="810"/>
      <c r="CJ41" s="810"/>
      <c r="CK41" s="810"/>
      <c r="CL41" s="810"/>
      <c r="CM41" s="810" t="s">
        <v>93</v>
      </c>
      <c r="CN41" s="810" t="s">
        <v>93</v>
      </c>
      <c r="CO41" s="810" t="s">
        <v>93</v>
      </c>
      <c r="CP41" s="810"/>
      <c r="CQ41" s="810"/>
      <c r="CR41" s="810"/>
      <c r="CS41" s="810"/>
      <c r="CT41" s="810"/>
      <c r="CU41" s="810"/>
      <c r="CV41" s="810"/>
      <c r="CW41" s="810"/>
      <c r="CX41" s="810"/>
      <c r="CY41" s="810"/>
      <c r="CZ41" s="810"/>
      <c r="DA41" s="810"/>
      <c r="DB41" s="810"/>
      <c r="DC41" s="810"/>
      <c r="DD41" s="810"/>
      <c r="DE41" s="810"/>
      <c r="DF41" s="810"/>
      <c r="DG41" s="810"/>
      <c r="DH41" s="810" t="s">
        <v>93</v>
      </c>
      <c r="DI41" s="810"/>
      <c r="DJ41" s="810" t="s">
        <v>93</v>
      </c>
      <c r="DK41" s="810" t="s">
        <v>93</v>
      </c>
      <c r="DL41" s="810"/>
      <c r="DM41" s="810"/>
      <c r="DN41" s="810"/>
      <c r="DO41" s="810"/>
      <c r="DP41" s="810"/>
      <c r="DQ41" s="810"/>
      <c r="DR41" s="810"/>
      <c r="DS41" s="810"/>
      <c r="DT41" s="810" t="s">
        <v>93</v>
      </c>
      <c r="DU41" s="810"/>
      <c r="DV41" s="810"/>
      <c r="DW41" s="810"/>
      <c r="DX41" s="810"/>
      <c r="DY41" s="810"/>
      <c r="DZ41" s="810"/>
      <c r="EA41" s="810"/>
      <c r="EB41" s="810"/>
      <c r="EC41" s="810"/>
      <c r="ED41" s="810" t="s">
        <v>93</v>
      </c>
      <c r="EE41" s="810" t="s">
        <v>93</v>
      </c>
      <c r="EF41" s="810"/>
      <c r="EG41" s="810"/>
      <c r="EH41" s="810"/>
      <c r="EI41" s="810"/>
      <c r="EJ41" s="810"/>
      <c r="EK41" s="810"/>
      <c r="EL41" s="810" t="s">
        <v>93</v>
      </c>
      <c r="EM41" s="810"/>
      <c r="EN41" s="810"/>
      <c r="EO41" s="810"/>
      <c r="EP41" s="810"/>
      <c r="EQ41" s="810"/>
      <c r="ER41" s="810"/>
      <c r="ES41" s="810"/>
      <c r="ET41" s="810"/>
      <c r="EU41" s="810"/>
      <c r="EV41" s="810"/>
      <c r="EW41" s="810"/>
      <c r="EX41" s="810"/>
      <c r="EY41" s="810" t="s">
        <v>93</v>
      </c>
      <c r="EZ41" s="810"/>
      <c r="FA41" s="810"/>
      <c r="FB41" s="810"/>
      <c r="FC41" s="810" t="s">
        <v>93</v>
      </c>
      <c r="FD41" s="810"/>
      <c r="FE41" s="810"/>
      <c r="FF41" s="810"/>
      <c r="FG41" s="810"/>
      <c r="FH41" s="810"/>
      <c r="FI41" s="810"/>
      <c r="FJ41" s="810"/>
      <c r="FK41" s="810"/>
      <c r="FL41" s="810"/>
      <c r="FM41" s="810"/>
      <c r="FN41" s="810"/>
      <c r="FO41" s="810"/>
      <c r="FP41" s="810"/>
      <c r="FQ41" s="810" t="s">
        <v>93</v>
      </c>
      <c r="FR41" s="810"/>
      <c r="FS41" s="810"/>
      <c r="FT41" s="810"/>
      <c r="FU41" s="810"/>
      <c r="FV41" s="810" t="s">
        <v>93</v>
      </c>
      <c r="FW41" s="810" t="s">
        <v>93</v>
      </c>
      <c r="FX41" s="810"/>
      <c r="FY41" s="810"/>
      <c r="FZ41" s="810"/>
      <c r="GA41" s="810"/>
      <c r="GB41" s="810"/>
      <c r="GC41" s="810"/>
      <c r="GD41" s="810"/>
      <c r="GE41" s="810"/>
      <c r="GF41" s="810"/>
      <c r="GG41" s="810"/>
      <c r="GH41" s="810"/>
      <c r="GI41" s="810"/>
      <c r="GJ41" s="810"/>
      <c r="GK41" s="810"/>
      <c r="GL41" s="810"/>
      <c r="GM41" s="810"/>
      <c r="GN41" s="810"/>
      <c r="GO41" s="810" t="s">
        <v>93</v>
      </c>
      <c r="GP41" s="810"/>
      <c r="GQ41" s="810"/>
      <c r="GR41" s="810"/>
      <c r="GS41" s="810"/>
      <c r="GT41" s="810"/>
      <c r="GU41" s="810"/>
      <c r="GV41" s="810"/>
      <c r="GW41" s="810" t="s">
        <v>93</v>
      </c>
      <c r="GX41" s="810"/>
      <c r="GY41" s="810"/>
      <c r="GZ41" s="810"/>
      <c r="HA41" s="811" t="s">
        <v>93</v>
      </c>
      <c r="HB41" s="810"/>
      <c r="HC41" s="810"/>
      <c r="HD41" s="810"/>
      <c r="HE41" s="810"/>
      <c r="HF41" s="810" t="s">
        <v>93</v>
      </c>
      <c r="HG41" s="810"/>
      <c r="HH41" s="810"/>
      <c r="HI41" s="810"/>
      <c r="HJ41" s="810"/>
      <c r="HK41" s="810"/>
      <c r="HL41" s="810"/>
      <c r="HM41" s="811" t="s">
        <v>93</v>
      </c>
      <c r="HN41" s="810"/>
      <c r="HO41" s="810"/>
      <c r="HP41" s="810" t="s">
        <v>93</v>
      </c>
      <c r="HQ41" s="810"/>
      <c r="HR41" s="810" t="s">
        <v>93</v>
      </c>
      <c r="HS41" s="810"/>
      <c r="HT41" s="810"/>
      <c r="HU41" s="810"/>
      <c r="HV41" s="810"/>
      <c r="HW41" s="810"/>
      <c r="HX41" s="810"/>
      <c r="HY41" s="857"/>
      <c r="HZ41" s="857"/>
      <c r="IA41" s="857"/>
      <c r="IB41" s="857"/>
      <c r="IC41" s="857"/>
      <c r="ID41" s="857"/>
      <c r="IE41" s="857"/>
      <c r="IF41" s="857"/>
      <c r="IG41" s="857"/>
      <c r="IH41" s="857"/>
      <c r="II41" s="857"/>
      <c r="IJ41" s="857"/>
      <c r="IK41" s="857"/>
      <c r="IL41" s="857"/>
      <c r="IM41" s="857"/>
      <c r="IN41" s="857"/>
      <c r="IO41" s="857"/>
      <c r="IP41" s="857"/>
      <c r="IQ41" s="857"/>
      <c r="IR41" s="857"/>
      <c r="IS41" s="857"/>
      <c r="IT41" s="857"/>
      <c r="IU41" s="857"/>
      <c r="IV41" s="857"/>
    </row>
    <row r="42" spans="1:256" s="798" customFormat="1" ht="20.100000000000001" customHeight="1">
      <c r="A42" s="830" t="s">
        <v>63</v>
      </c>
      <c r="B42" s="831"/>
      <c r="C42" s="810" t="str">
        <f>IF(ISTEXT(IFERROR(VLOOKUP(A42,职业列表!I3:J10,1,FALSE),0)),"★","")</f>
        <v/>
      </c>
      <c r="D42" s="831" t="s">
        <v>93</v>
      </c>
      <c r="E42" s="831"/>
      <c r="F42" s="831"/>
      <c r="G42" s="831"/>
      <c r="H42" s="831" t="s">
        <v>93</v>
      </c>
      <c r="I42" s="831"/>
      <c r="J42" s="831"/>
      <c r="K42" s="831" t="s">
        <v>93</v>
      </c>
      <c r="L42" s="831" t="s">
        <v>93</v>
      </c>
      <c r="M42" s="831" t="s">
        <v>93</v>
      </c>
      <c r="N42" s="831" t="s">
        <v>1367</v>
      </c>
      <c r="O42" s="831"/>
      <c r="P42" s="831"/>
      <c r="Q42" s="831"/>
      <c r="R42" s="831" t="s">
        <v>93</v>
      </c>
      <c r="S42" s="831"/>
      <c r="T42" s="831"/>
      <c r="U42" s="831" t="s">
        <v>93</v>
      </c>
      <c r="V42" s="831"/>
      <c r="W42" s="831"/>
      <c r="X42" s="831"/>
      <c r="Y42" s="831" t="s">
        <v>93</v>
      </c>
      <c r="Z42" s="831" t="s">
        <v>93</v>
      </c>
      <c r="AA42" s="831" t="s">
        <v>93</v>
      </c>
      <c r="AB42" s="831"/>
      <c r="AC42" s="831"/>
      <c r="AD42" s="831"/>
      <c r="AE42" s="831"/>
      <c r="AF42" s="831"/>
      <c r="AG42" s="831"/>
      <c r="AH42" s="831"/>
      <c r="AI42" s="831"/>
      <c r="AJ42" s="831"/>
      <c r="AK42" s="831" t="s">
        <v>93</v>
      </c>
      <c r="AL42" s="831" t="s">
        <v>93</v>
      </c>
      <c r="AM42" s="831"/>
      <c r="AN42" s="831"/>
      <c r="AO42" s="831"/>
      <c r="AP42" s="831"/>
      <c r="AQ42" s="831" t="s">
        <v>1367</v>
      </c>
      <c r="AR42" s="831"/>
      <c r="AS42" s="831"/>
      <c r="AT42" s="831"/>
      <c r="AU42" s="831"/>
      <c r="AV42" s="831"/>
      <c r="AW42" s="831"/>
      <c r="AX42" s="831"/>
      <c r="AY42" s="831"/>
      <c r="AZ42" s="831"/>
      <c r="BA42" s="831" t="s">
        <v>93</v>
      </c>
      <c r="BB42" s="831"/>
      <c r="BC42" s="831"/>
      <c r="BD42" s="831"/>
      <c r="BE42" s="831"/>
      <c r="BF42" s="831"/>
      <c r="BG42" s="831"/>
      <c r="BH42" s="831" t="s">
        <v>93</v>
      </c>
      <c r="BI42" s="831"/>
      <c r="BJ42" s="831"/>
      <c r="BK42" s="831"/>
      <c r="BL42" s="831"/>
      <c r="BM42" s="831"/>
      <c r="BN42" s="831"/>
      <c r="BO42" s="831" t="s">
        <v>93</v>
      </c>
      <c r="BP42" s="831"/>
      <c r="BQ42" s="831" t="s">
        <v>93</v>
      </c>
      <c r="BR42" s="831" t="s">
        <v>1367</v>
      </c>
      <c r="BS42" s="831"/>
      <c r="BT42" s="831"/>
      <c r="BU42" s="831"/>
      <c r="BV42" s="831" t="s">
        <v>93</v>
      </c>
      <c r="BW42" s="831" t="s">
        <v>93</v>
      </c>
      <c r="BX42" s="831"/>
      <c r="BY42" s="831"/>
      <c r="BZ42" s="831"/>
      <c r="CA42" s="831"/>
      <c r="CB42" s="831" t="s">
        <v>93</v>
      </c>
      <c r="CC42" s="831"/>
      <c r="CD42" s="831"/>
      <c r="CE42" s="831" t="s">
        <v>93</v>
      </c>
      <c r="CF42" s="831"/>
      <c r="CG42" s="831" t="s">
        <v>93</v>
      </c>
      <c r="CH42" s="831" t="s">
        <v>93</v>
      </c>
      <c r="CI42" s="831"/>
      <c r="CJ42" s="831"/>
      <c r="CK42" s="831"/>
      <c r="CL42" s="831"/>
      <c r="CM42" s="831"/>
      <c r="CN42" s="831"/>
      <c r="CO42" s="831" t="s">
        <v>93</v>
      </c>
      <c r="CP42" s="831" t="s">
        <v>93</v>
      </c>
      <c r="CQ42" s="831"/>
      <c r="CR42" s="831"/>
      <c r="CS42" s="831"/>
      <c r="CT42" s="831" t="s">
        <v>93</v>
      </c>
      <c r="CU42" s="831" t="s">
        <v>93</v>
      </c>
      <c r="CV42" s="831"/>
      <c r="CW42" s="831"/>
      <c r="CX42" s="831"/>
      <c r="CY42" s="831" t="s">
        <v>1367</v>
      </c>
      <c r="CZ42" s="831" t="s">
        <v>1368</v>
      </c>
      <c r="DA42" s="831"/>
      <c r="DB42" s="831"/>
      <c r="DC42" s="831"/>
      <c r="DD42" s="831" t="s">
        <v>93</v>
      </c>
      <c r="DE42" s="831"/>
      <c r="DF42" s="831"/>
      <c r="DG42" s="831"/>
      <c r="DH42" s="831"/>
      <c r="DI42" s="831"/>
      <c r="DJ42" s="831" t="s">
        <v>1367</v>
      </c>
      <c r="DK42" s="831"/>
      <c r="DL42" s="831"/>
      <c r="DM42" s="831"/>
      <c r="DN42" s="831"/>
      <c r="DO42" s="831"/>
      <c r="DP42" s="831"/>
      <c r="DQ42" s="831"/>
      <c r="DR42" s="831"/>
      <c r="DS42" s="831"/>
      <c r="DT42" s="831" t="s">
        <v>93</v>
      </c>
      <c r="DU42" s="831" t="s">
        <v>93</v>
      </c>
      <c r="DV42" s="831" t="s">
        <v>93</v>
      </c>
      <c r="DW42" s="831" t="s">
        <v>93</v>
      </c>
      <c r="DX42" s="831" t="s">
        <v>93</v>
      </c>
      <c r="DY42" s="831"/>
      <c r="DZ42" s="831" t="s">
        <v>93</v>
      </c>
      <c r="EA42" s="831"/>
      <c r="EB42" s="831"/>
      <c r="EC42" s="831"/>
      <c r="ED42" s="831" t="s">
        <v>93</v>
      </c>
      <c r="EE42" s="831" t="s">
        <v>93</v>
      </c>
      <c r="EF42" s="831"/>
      <c r="EG42" s="831"/>
      <c r="EH42" s="831"/>
      <c r="EI42" s="831"/>
      <c r="EJ42" s="831" t="s">
        <v>93</v>
      </c>
      <c r="EK42" s="831"/>
      <c r="EL42" s="831"/>
      <c r="EM42" s="831"/>
      <c r="EN42" s="831"/>
      <c r="EO42" s="831"/>
      <c r="EP42" s="831"/>
      <c r="EQ42" s="831"/>
      <c r="ER42" s="831"/>
      <c r="ES42" s="831"/>
      <c r="ET42" s="831"/>
      <c r="EU42" s="831"/>
      <c r="EV42" s="831"/>
      <c r="EW42" s="831" t="s">
        <v>93</v>
      </c>
      <c r="EX42" s="831"/>
      <c r="EY42" s="831"/>
      <c r="EZ42" s="831" t="s">
        <v>93</v>
      </c>
      <c r="FA42" s="831"/>
      <c r="FB42" s="831"/>
      <c r="FC42" s="831"/>
      <c r="FD42" s="831"/>
      <c r="FE42" s="831" t="s">
        <v>1367</v>
      </c>
      <c r="FF42" s="831" t="s">
        <v>93</v>
      </c>
      <c r="FG42" s="831" t="s">
        <v>93</v>
      </c>
      <c r="FH42" s="831"/>
      <c r="FI42" s="831" t="s">
        <v>93</v>
      </c>
      <c r="FJ42" s="831"/>
      <c r="FK42" s="831" t="s">
        <v>1367</v>
      </c>
      <c r="FL42" s="831" t="s">
        <v>93</v>
      </c>
      <c r="FM42" s="831"/>
      <c r="FN42" s="831"/>
      <c r="FO42" s="831"/>
      <c r="FP42" s="831"/>
      <c r="FQ42" s="831"/>
      <c r="FR42" s="831" t="s">
        <v>93</v>
      </c>
      <c r="FS42" s="831" t="s">
        <v>93</v>
      </c>
      <c r="FT42" s="831"/>
      <c r="FU42" s="831"/>
      <c r="FV42" s="831"/>
      <c r="FW42" s="831"/>
      <c r="FX42" s="831"/>
      <c r="FY42" s="831"/>
      <c r="FZ42" s="831" t="s">
        <v>1367</v>
      </c>
      <c r="GA42" s="831"/>
      <c r="GB42" s="831"/>
      <c r="GC42" s="831"/>
      <c r="GD42" s="831"/>
      <c r="GE42" s="831"/>
      <c r="GF42" s="831" t="s">
        <v>1367</v>
      </c>
      <c r="GG42" s="831"/>
      <c r="GH42" s="831"/>
      <c r="GI42" s="831"/>
      <c r="GJ42" s="831"/>
      <c r="GK42" s="831"/>
      <c r="GL42" s="831"/>
      <c r="GM42" s="831"/>
      <c r="GN42" s="831"/>
      <c r="GO42" s="831"/>
      <c r="GP42" s="831"/>
      <c r="GQ42" s="831" t="s">
        <v>93</v>
      </c>
      <c r="GR42" s="831"/>
      <c r="GS42" s="831"/>
      <c r="GT42" s="831" t="s">
        <v>93</v>
      </c>
      <c r="GU42" s="831"/>
      <c r="GV42" s="831" t="s">
        <v>93</v>
      </c>
      <c r="GW42" s="831"/>
      <c r="GX42" s="831"/>
      <c r="GY42" s="831"/>
      <c r="GZ42" s="831" t="s">
        <v>93</v>
      </c>
      <c r="HA42" s="831"/>
      <c r="HB42" s="842" t="s">
        <v>93</v>
      </c>
      <c r="HC42" s="831" t="s">
        <v>93</v>
      </c>
      <c r="HD42" s="831"/>
      <c r="HE42" s="831" t="s">
        <v>93</v>
      </c>
      <c r="HF42" s="831" t="s">
        <v>93</v>
      </c>
      <c r="HG42" s="831"/>
      <c r="HH42" s="831"/>
      <c r="HI42" s="831"/>
      <c r="HJ42" s="831"/>
      <c r="HK42" s="831"/>
      <c r="HL42" s="831"/>
      <c r="HM42" s="831" t="s">
        <v>93</v>
      </c>
      <c r="HN42" s="831" t="s">
        <v>93</v>
      </c>
      <c r="HO42" s="831"/>
      <c r="HP42" s="831" t="s">
        <v>93</v>
      </c>
      <c r="HQ42" s="831" t="s">
        <v>93</v>
      </c>
      <c r="HR42" s="831"/>
      <c r="HS42" s="842" t="s">
        <v>93</v>
      </c>
      <c r="HT42" s="842" t="s">
        <v>93</v>
      </c>
      <c r="HU42" s="831"/>
      <c r="HV42" s="831"/>
      <c r="HW42" s="831"/>
      <c r="HX42" s="831" t="s">
        <v>93</v>
      </c>
      <c r="HY42" s="866"/>
      <c r="HZ42" s="866"/>
      <c r="IA42" s="866"/>
      <c r="IB42" s="866"/>
      <c r="IC42" s="866"/>
      <c r="ID42" s="866"/>
      <c r="IE42" s="866"/>
      <c r="IF42" s="866"/>
      <c r="IG42" s="866"/>
      <c r="IH42" s="866"/>
      <c r="II42" s="866"/>
      <c r="IJ42" s="866"/>
      <c r="IK42" s="866"/>
      <c r="IL42" s="866"/>
      <c r="IM42" s="866"/>
      <c r="IN42" s="866"/>
      <c r="IO42" s="866"/>
      <c r="IP42" s="866"/>
      <c r="IQ42" s="866"/>
      <c r="IR42" s="866"/>
      <c r="IS42" s="866"/>
      <c r="IT42" s="866"/>
      <c r="IU42" s="866"/>
      <c r="IV42" s="866"/>
    </row>
    <row r="43" spans="1:256" s="798" customFormat="1" ht="20.100000000000001" customHeight="1">
      <c r="A43" s="830" t="s">
        <v>67</v>
      </c>
      <c r="B43" s="831"/>
      <c r="C43" s="810" t="str">
        <f>IF(ISTEXT(IFERROR(VLOOKUP(A43,职业列表!I3:J10,1,FALSE),0)),"★","")</f>
        <v/>
      </c>
      <c r="D43" s="831" t="s">
        <v>93</v>
      </c>
      <c r="E43" s="831"/>
      <c r="F43" s="831"/>
      <c r="G43" s="831"/>
      <c r="H43" s="831"/>
      <c r="I43" s="831" t="s">
        <v>93</v>
      </c>
      <c r="J43" s="831" t="s">
        <v>93</v>
      </c>
      <c r="K43" s="831"/>
      <c r="L43" s="831"/>
      <c r="M43" s="831"/>
      <c r="N43" s="831"/>
      <c r="O43" s="831"/>
      <c r="P43" s="831" t="s">
        <v>93</v>
      </c>
      <c r="Q43" s="831"/>
      <c r="R43" s="831"/>
      <c r="S43" s="831" t="s">
        <v>93</v>
      </c>
      <c r="T43" s="831" t="s">
        <v>1367</v>
      </c>
      <c r="U43" s="831"/>
      <c r="V43" s="831"/>
      <c r="W43" s="831"/>
      <c r="X43" s="831" t="s">
        <v>93</v>
      </c>
      <c r="Y43" s="831" t="s">
        <v>93</v>
      </c>
      <c r="Z43" s="831"/>
      <c r="AA43" s="831"/>
      <c r="AB43" s="831"/>
      <c r="AC43" s="831"/>
      <c r="AD43" s="831"/>
      <c r="AE43" s="831"/>
      <c r="AF43" s="831"/>
      <c r="AG43" s="831" t="s">
        <v>93</v>
      </c>
      <c r="AH43" s="831" t="s">
        <v>93</v>
      </c>
      <c r="AI43" s="831"/>
      <c r="AJ43" s="831" t="s">
        <v>93</v>
      </c>
      <c r="AK43" s="831"/>
      <c r="AL43" s="831"/>
      <c r="AM43" s="831" t="s">
        <v>93</v>
      </c>
      <c r="AN43" s="831"/>
      <c r="AO43" s="831"/>
      <c r="AP43" s="831"/>
      <c r="AQ43" s="831"/>
      <c r="AR43" s="831"/>
      <c r="AS43" s="831"/>
      <c r="AT43" s="831"/>
      <c r="AU43" s="831" t="s">
        <v>93</v>
      </c>
      <c r="AV43" s="831" t="s">
        <v>93</v>
      </c>
      <c r="AW43" s="831" t="s">
        <v>93</v>
      </c>
      <c r="AX43" s="831"/>
      <c r="AY43" s="831"/>
      <c r="AZ43" s="831" t="s">
        <v>93</v>
      </c>
      <c r="BA43" s="831"/>
      <c r="BB43" s="831" t="s">
        <v>93</v>
      </c>
      <c r="BC43" s="831"/>
      <c r="BD43" s="831"/>
      <c r="BE43" s="831"/>
      <c r="BF43" s="831"/>
      <c r="BG43" s="831" t="s">
        <v>93</v>
      </c>
      <c r="BH43" s="831"/>
      <c r="BI43" s="831" t="s">
        <v>93</v>
      </c>
      <c r="BJ43" s="831" t="s">
        <v>93</v>
      </c>
      <c r="BK43" s="831"/>
      <c r="BL43" s="831"/>
      <c r="BM43" s="831" t="s">
        <v>93</v>
      </c>
      <c r="BN43" s="831" t="s">
        <v>93</v>
      </c>
      <c r="BO43" s="849"/>
      <c r="BP43" s="831" t="s">
        <v>93</v>
      </c>
      <c r="BQ43" s="831" t="s">
        <v>93</v>
      </c>
      <c r="BR43" s="831"/>
      <c r="BS43" s="831"/>
      <c r="BT43" s="831"/>
      <c r="BU43" s="831"/>
      <c r="BV43" s="831"/>
      <c r="BW43" s="831"/>
      <c r="BX43" s="831"/>
      <c r="BY43" s="831"/>
      <c r="BZ43" s="831"/>
      <c r="CA43" s="831" t="s">
        <v>93</v>
      </c>
      <c r="CB43" s="831"/>
      <c r="CC43" s="831" t="s">
        <v>93</v>
      </c>
      <c r="CD43" s="831" t="s">
        <v>93</v>
      </c>
      <c r="CE43" s="831"/>
      <c r="CF43" s="831" t="s">
        <v>93</v>
      </c>
      <c r="CG43" s="831"/>
      <c r="CH43" s="831"/>
      <c r="CI43" s="831"/>
      <c r="CJ43" s="831"/>
      <c r="CK43" s="831"/>
      <c r="CL43" s="831" t="s">
        <v>93</v>
      </c>
      <c r="CM43" s="831" t="s">
        <v>93</v>
      </c>
      <c r="CN43" s="831"/>
      <c r="CO43" s="831"/>
      <c r="CP43" s="831"/>
      <c r="CQ43" s="831"/>
      <c r="CR43" s="831"/>
      <c r="CS43" s="831" t="s">
        <v>93</v>
      </c>
      <c r="CT43" s="831" t="s">
        <v>93</v>
      </c>
      <c r="CU43" s="831"/>
      <c r="CV43" s="831"/>
      <c r="CW43" s="831"/>
      <c r="CX43" s="831" t="s">
        <v>93</v>
      </c>
      <c r="CY43" s="831"/>
      <c r="CZ43" s="831"/>
      <c r="DA43" s="831" t="s">
        <v>93</v>
      </c>
      <c r="DB43" s="831"/>
      <c r="DC43" s="831" t="s">
        <v>93</v>
      </c>
      <c r="DD43" s="831" t="s">
        <v>93</v>
      </c>
      <c r="DE43" s="831"/>
      <c r="DF43" s="831" t="s">
        <v>93</v>
      </c>
      <c r="DG43" s="831"/>
      <c r="DH43" s="831" t="s">
        <v>93</v>
      </c>
      <c r="DI43" s="831" t="s">
        <v>93</v>
      </c>
      <c r="DJ43" s="831" t="s">
        <v>93</v>
      </c>
      <c r="DK43" s="831"/>
      <c r="DL43" s="831"/>
      <c r="DM43" s="831"/>
      <c r="DN43" s="831" t="s">
        <v>93</v>
      </c>
      <c r="DO43" s="831"/>
      <c r="DP43" s="831"/>
      <c r="DQ43" s="831"/>
      <c r="DR43" s="831"/>
      <c r="DS43" s="831"/>
      <c r="DT43" s="831"/>
      <c r="DU43" s="831"/>
      <c r="DV43" s="831" t="s">
        <v>93</v>
      </c>
      <c r="DW43" s="831"/>
      <c r="DX43" s="831"/>
      <c r="DY43" s="831"/>
      <c r="DZ43" s="831" t="s">
        <v>93</v>
      </c>
      <c r="EA43" s="831"/>
      <c r="EB43" s="831"/>
      <c r="EC43" s="831" t="s">
        <v>93</v>
      </c>
      <c r="ED43" s="831" t="s">
        <v>93</v>
      </c>
      <c r="EE43" s="831"/>
      <c r="EF43" s="831"/>
      <c r="EG43" s="831"/>
      <c r="EH43" s="831"/>
      <c r="EI43" s="831"/>
      <c r="EJ43" s="831"/>
      <c r="EK43" s="831"/>
      <c r="EL43" s="831"/>
      <c r="EM43" s="831"/>
      <c r="EN43" s="831"/>
      <c r="EO43" s="831" t="s">
        <v>93</v>
      </c>
      <c r="EP43" s="831"/>
      <c r="EQ43" s="831"/>
      <c r="ER43" s="831" t="s">
        <v>93</v>
      </c>
      <c r="ES43" s="831" t="s">
        <v>93</v>
      </c>
      <c r="ET43" s="831"/>
      <c r="EU43" s="831"/>
      <c r="EV43" s="831"/>
      <c r="EW43" s="831"/>
      <c r="EX43" s="831" t="s">
        <v>93</v>
      </c>
      <c r="EY43" s="831"/>
      <c r="EZ43" s="831"/>
      <c r="FA43" s="831"/>
      <c r="FB43" s="831"/>
      <c r="FC43" s="831"/>
      <c r="FD43" s="831"/>
      <c r="FE43" s="831" t="s">
        <v>93</v>
      </c>
      <c r="FF43" s="831"/>
      <c r="FG43" s="831"/>
      <c r="FH43" s="831"/>
      <c r="FI43" s="831"/>
      <c r="FJ43" s="831" t="s">
        <v>93</v>
      </c>
      <c r="FK43" s="831"/>
      <c r="FL43" s="831"/>
      <c r="FM43" s="831" t="s">
        <v>93</v>
      </c>
      <c r="FN43" s="831" t="s">
        <v>93</v>
      </c>
      <c r="FO43" s="831"/>
      <c r="FP43" s="831"/>
      <c r="FQ43" s="831"/>
      <c r="FR43" s="831" t="s">
        <v>93</v>
      </c>
      <c r="FS43" s="831"/>
      <c r="FT43" s="831" t="s">
        <v>93</v>
      </c>
      <c r="FU43" s="831"/>
      <c r="FV43" s="831"/>
      <c r="FW43" s="831"/>
      <c r="FX43" s="831" t="s">
        <v>93</v>
      </c>
      <c r="FY43" s="831" t="s">
        <v>93</v>
      </c>
      <c r="FZ43" s="831"/>
      <c r="GA43" s="831"/>
      <c r="GB43" s="831"/>
      <c r="GC43" s="831"/>
      <c r="GD43" s="831"/>
      <c r="GE43" s="831"/>
      <c r="GF43" s="831"/>
      <c r="GG43" s="831" t="s">
        <v>93</v>
      </c>
      <c r="GH43" s="831" t="s">
        <v>93</v>
      </c>
      <c r="GI43" s="831" t="s">
        <v>93</v>
      </c>
      <c r="GJ43" s="831"/>
      <c r="GK43" s="831"/>
      <c r="GL43" s="831"/>
      <c r="GM43" s="831"/>
      <c r="GN43" s="831" t="s">
        <v>93</v>
      </c>
      <c r="GO43" s="831" t="s">
        <v>93</v>
      </c>
      <c r="GP43" s="831"/>
      <c r="GQ43" s="831"/>
      <c r="GR43" s="831"/>
      <c r="GS43" s="831"/>
      <c r="GT43" s="831"/>
      <c r="GU43" s="831"/>
      <c r="GV43" s="831" t="s">
        <v>93</v>
      </c>
      <c r="GW43" s="831"/>
      <c r="GX43" s="831" t="s">
        <v>93</v>
      </c>
      <c r="GY43" s="831"/>
      <c r="GZ43" s="831"/>
      <c r="HA43" s="831"/>
      <c r="HB43" s="831"/>
      <c r="HC43" s="831"/>
      <c r="HD43" s="842" t="s">
        <v>93</v>
      </c>
      <c r="HE43" s="831"/>
      <c r="HF43" s="831" t="s">
        <v>93</v>
      </c>
      <c r="HG43" s="831"/>
      <c r="HH43" s="831"/>
      <c r="HI43" s="831"/>
      <c r="HJ43" s="831" t="s">
        <v>93</v>
      </c>
      <c r="HK43" s="831"/>
      <c r="HL43" s="831"/>
      <c r="HM43" s="831" t="s">
        <v>93</v>
      </c>
      <c r="HN43" s="842" t="s">
        <v>93</v>
      </c>
      <c r="HO43" s="831"/>
      <c r="HP43" s="831" t="s">
        <v>93</v>
      </c>
      <c r="HQ43" s="831"/>
      <c r="HR43" s="831" t="s">
        <v>93</v>
      </c>
      <c r="HS43" s="831"/>
      <c r="HT43" s="831"/>
      <c r="HU43" s="831" t="s">
        <v>93</v>
      </c>
      <c r="HV43" s="842" t="s">
        <v>93</v>
      </c>
      <c r="HW43" s="842" t="s">
        <v>93</v>
      </c>
      <c r="HX43" s="831" t="s">
        <v>93</v>
      </c>
      <c r="HY43" s="866"/>
      <c r="HZ43" s="866"/>
      <c r="IA43" s="866"/>
      <c r="IB43" s="866"/>
      <c r="IC43" s="866"/>
      <c r="ID43" s="866"/>
      <c r="IE43" s="866"/>
      <c r="IF43" s="866"/>
      <c r="IG43" s="866"/>
      <c r="IH43" s="866"/>
      <c r="II43" s="866"/>
      <c r="IJ43" s="866"/>
      <c r="IK43" s="866"/>
      <c r="IL43" s="866"/>
      <c r="IM43" s="866"/>
      <c r="IN43" s="866"/>
      <c r="IO43" s="866"/>
      <c r="IP43" s="866"/>
      <c r="IQ43" s="866"/>
      <c r="IR43" s="866"/>
      <c r="IS43" s="866"/>
      <c r="IT43" s="866"/>
      <c r="IU43" s="866"/>
      <c r="IV43" s="866"/>
    </row>
    <row r="44" spans="1:256" ht="20.100000000000001" customHeight="1">
      <c r="A44" s="809" t="s">
        <v>70</v>
      </c>
      <c r="B44" s="810"/>
      <c r="C44" s="810" t="str">
        <f>IF(ISTEXT(IFERROR(VLOOKUP(A44,职业列表!I3:J10,1,FALSE),0)),"★","")</f>
        <v/>
      </c>
      <c r="D44" s="810"/>
      <c r="E44" s="810"/>
      <c r="F44" s="810"/>
      <c r="G44" s="810"/>
      <c r="H44" s="810"/>
      <c r="I44" s="810"/>
      <c r="J44" s="810"/>
      <c r="K44" s="810"/>
      <c r="L44" s="810"/>
      <c r="M44" s="810"/>
      <c r="N44" s="810"/>
      <c r="O44" s="810"/>
      <c r="P44" s="810"/>
      <c r="Q44" s="810"/>
      <c r="R44" s="810"/>
      <c r="S44" s="810"/>
      <c r="T44" s="810"/>
      <c r="U44" s="810"/>
      <c r="V44" s="810"/>
      <c r="W44" s="810"/>
      <c r="X44" s="810"/>
      <c r="Y44" s="810"/>
      <c r="Z44" s="810"/>
      <c r="AA44" s="810"/>
      <c r="AB44" s="810"/>
      <c r="AC44" s="810"/>
      <c r="AD44" s="810" t="s">
        <v>93</v>
      </c>
      <c r="AE44" s="810" t="s">
        <v>93</v>
      </c>
      <c r="AF44" s="810"/>
      <c r="AG44" s="810" t="s">
        <v>93</v>
      </c>
      <c r="AH44" s="810"/>
      <c r="AI44" s="810" t="s">
        <v>1370</v>
      </c>
      <c r="AJ44" s="810"/>
      <c r="AK44" s="810"/>
      <c r="AL44" s="810"/>
      <c r="AM44" s="810"/>
      <c r="AN44" s="810"/>
      <c r="AO44" s="810"/>
      <c r="AP44" s="810"/>
      <c r="AQ44" s="810"/>
      <c r="AR44" s="810"/>
      <c r="AS44" s="810"/>
      <c r="AT44" s="810"/>
      <c r="AU44" s="810"/>
      <c r="AV44" s="810"/>
      <c r="AW44" s="810"/>
      <c r="AX44" s="810"/>
      <c r="AY44" s="810"/>
      <c r="AZ44" s="810"/>
      <c r="BA44" s="810"/>
      <c r="BB44" s="810"/>
      <c r="BC44" s="810"/>
      <c r="BD44" s="810"/>
      <c r="BE44" s="810"/>
      <c r="BF44" s="810"/>
      <c r="BG44" s="810"/>
      <c r="BH44" s="810"/>
      <c r="BI44" s="810"/>
      <c r="BJ44" s="810"/>
      <c r="BK44" s="810"/>
      <c r="BL44" s="810"/>
      <c r="BM44" s="810" t="s">
        <v>1367</v>
      </c>
      <c r="BN44" s="810"/>
      <c r="BO44" s="810"/>
      <c r="BP44" s="810"/>
      <c r="BQ44" s="810"/>
      <c r="BR44" s="810"/>
      <c r="BS44" s="810"/>
      <c r="BT44" s="810"/>
      <c r="BU44" s="810"/>
      <c r="BV44" s="810"/>
      <c r="BW44" s="810"/>
      <c r="BX44" s="810"/>
      <c r="BY44" s="810"/>
      <c r="BZ44" s="810"/>
      <c r="CA44" s="810"/>
      <c r="CB44" s="810"/>
      <c r="CC44" s="810"/>
      <c r="CD44" s="810"/>
      <c r="CE44" s="810"/>
      <c r="CF44" s="810"/>
      <c r="CG44" s="810"/>
      <c r="CH44" s="810"/>
      <c r="CI44" s="810"/>
      <c r="CJ44" s="810"/>
      <c r="CK44" s="810"/>
      <c r="CL44" s="810"/>
      <c r="CM44" s="810"/>
      <c r="CN44" s="810"/>
      <c r="CO44" s="810"/>
      <c r="CP44" s="810"/>
      <c r="CQ44" s="810"/>
      <c r="CR44" s="810"/>
      <c r="CS44" s="810"/>
      <c r="CT44" s="810"/>
      <c r="CU44" s="810"/>
      <c r="CV44" s="810"/>
      <c r="CW44" s="810"/>
      <c r="CX44" s="810"/>
      <c r="CY44" s="810"/>
      <c r="CZ44" s="810"/>
      <c r="DA44" s="810"/>
      <c r="DB44" s="810"/>
      <c r="DC44" s="810"/>
      <c r="DD44" s="810"/>
      <c r="DE44" s="810"/>
      <c r="DF44" s="810"/>
      <c r="DG44" s="810"/>
      <c r="DH44" s="810"/>
      <c r="DI44" s="810"/>
      <c r="DJ44" s="810"/>
      <c r="DK44" s="810"/>
      <c r="DL44" s="810"/>
      <c r="DM44" s="810"/>
      <c r="DN44" s="810"/>
      <c r="DO44" s="810"/>
      <c r="DP44" s="810"/>
      <c r="DQ44" s="810"/>
      <c r="DR44" s="810"/>
      <c r="DS44" s="810"/>
      <c r="DT44" s="810"/>
      <c r="DU44" s="810"/>
      <c r="DV44" s="810"/>
      <c r="DW44" s="810"/>
      <c r="DX44" s="810"/>
      <c r="DY44" s="810"/>
      <c r="DZ44" s="810"/>
      <c r="EA44" s="810"/>
      <c r="EB44" s="810"/>
      <c r="EC44" s="810"/>
      <c r="ED44" s="810"/>
      <c r="EE44" s="810"/>
      <c r="EF44" s="810"/>
      <c r="EG44" s="810"/>
      <c r="EH44" s="810"/>
      <c r="EI44" s="810"/>
      <c r="EJ44" s="810"/>
      <c r="EK44" s="810"/>
      <c r="EL44" s="810"/>
      <c r="EM44" s="810"/>
      <c r="EN44" s="810"/>
      <c r="EO44" s="810"/>
      <c r="EP44" s="810"/>
      <c r="EQ44" s="810"/>
      <c r="ER44" s="810"/>
      <c r="ES44" s="810"/>
      <c r="ET44" s="810"/>
      <c r="EU44" s="810"/>
      <c r="EV44" s="810"/>
      <c r="EW44" s="810"/>
      <c r="EX44" s="810"/>
      <c r="EY44" s="810"/>
      <c r="EZ44" s="810"/>
      <c r="FA44" s="810"/>
      <c r="FB44" s="810"/>
      <c r="FC44" s="810"/>
      <c r="FD44" s="810"/>
      <c r="FE44" s="810"/>
      <c r="FF44" s="810"/>
      <c r="FG44" s="810"/>
      <c r="FH44" s="810"/>
      <c r="FI44" s="810"/>
      <c r="FJ44" s="810"/>
      <c r="FK44" s="810"/>
      <c r="FL44" s="810"/>
      <c r="FM44" s="810"/>
      <c r="FN44" s="810"/>
      <c r="FO44" s="810"/>
      <c r="FP44" s="810"/>
      <c r="FQ44" s="810"/>
      <c r="FR44" s="810"/>
      <c r="FS44" s="810"/>
      <c r="FT44" s="810"/>
      <c r="FU44" s="810" t="s">
        <v>93</v>
      </c>
      <c r="FV44" s="810"/>
      <c r="FW44" s="810"/>
      <c r="FX44" s="810"/>
      <c r="FY44" s="810"/>
      <c r="FZ44" s="810"/>
      <c r="GA44" s="810"/>
      <c r="GB44" s="810"/>
      <c r="GC44" s="810"/>
      <c r="GD44" s="810"/>
      <c r="GE44" s="810"/>
      <c r="GF44" s="810"/>
      <c r="GG44" s="810"/>
      <c r="GH44" s="810"/>
      <c r="GI44" s="810"/>
      <c r="GJ44" s="810"/>
      <c r="GK44" s="810"/>
      <c r="GL44" s="810"/>
      <c r="GM44" s="810"/>
      <c r="GN44" s="810"/>
      <c r="GO44" s="810"/>
      <c r="GP44" s="810"/>
      <c r="GQ44" s="810"/>
      <c r="GR44" s="810"/>
      <c r="GS44" s="810"/>
      <c r="GT44" s="810"/>
      <c r="GU44" s="810"/>
      <c r="GV44" s="810"/>
      <c r="GW44" s="810"/>
      <c r="GX44" s="810"/>
      <c r="GY44" s="810" t="s">
        <v>1367</v>
      </c>
      <c r="GZ44" s="810"/>
      <c r="HA44" s="810"/>
      <c r="HB44" s="810"/>
      <c r="HC44" s="810"/>
      <c r="HD44" s="810"/>
      <c r="HE44" s="810"/>
      <c r="HF44" s="810"/>
      <c r="HG44" s="810"/>
      <c r="HH44" s="810" t="s">
        <v>93</v>
      </c>
      <c r="HI44" s="810"/>
      <c r="HJ44" s="810"/>
      <c r="HK44" s="810"/>
      <c r="HL44" s="810"/>
      <c r="HM44" s="811" t="s">
        <v>93</v>
      </c>
      <c r="HN44" s="810"/>
      <c r="HO44" s="810"/>
      <c r="HP44" s="810"/>
      <c r="HQ44" s="810"/>
      <c r="HR44" s="810"/>
      <c r="HS44" s="810"/>
      <c r="HT44" s="810"/>
      <c r="HU44" s="810"/>
      <c r="HV44" s="810"/>
      <c r="HW44" s="810"/>
      <c r="HX44" s="810" t="s">
        <v>93</v>
      </c>
      <c r="HY44" s="857"/>
      <c r="HZ44" s="857"/>
      <c r="IA44" s="857"/>
      <c r="IB44" s="857"/>
      <c r="IC44" s="857"/>
      <c r="ID44" s="857"/>
      <c r="IE44" s="857"/>
      <c r="IF44" s="857"/>
      <c r="IG44" s="857"/>
      <c r="IH44" s="857"/>
      <c r="II44" s="857"/>
      <c r="IJ44" s="857"/>
      <c r="IK44" s="857"/>
      <c r="IL44" s="857"/>
      <c r="IM44" s="857"/>
      <c r="IN44" s="857"/>
      <c r="IO44" s="857"/>
      <c r="IP44" s="857"/>
      <c r="IQ44" s="857"/>
      <c r="IR44" s="857"/>
      <c r="IS44" s="857"/>
      <c r="IT44" s="857"/>
      <c r="IU44" s="857"/>
      <c r="IV44" s="857"/>
    </row>
    <row r="45" spans="1:256" ht="20.100000000000001" customHeight="1">
      <c r="A45" s="809" t="s">
        <v>72</v>
      </c>
      <c r="B45" s="810"/>
      <c r="C45" s="810" t="str">
        <f>IF(ISTEXT(IFERROR(VLOOKUP(A45,职业列表!I3:J10,1,FALSE),0)),"★","")</f>
        <v/>
      </c>
      <c r="D45" s="810"/>
      <c r="E45" s="810"/>
      <c r="F45" s="810"/>
      <c r="G45" s="810"/>
      <c r="H45" s="810"/>
      <c r="I45" s="810"/>
      <c r="J45" s="810"/>
      <c r="K45" s="810"/>
      <c r="L45" s="810"/>
      <c r="M45" s="810" t="s">
        <v>93</v>
      </c>
      <c r="N45" s="810"/>
      <c r="O45" s="810"/>
      <c r="P45" s="810"/>
      <c r="Q45" s="810"/>
      <c r="R45" s="810"/>
      <c r="S45" s="810"/>
      <c r="T45" s="810"/>
      <c r="U45" s="810"/>
      <c r="V45" s="810"/>
      <c r="W45" s="810"/>
      <c r="X45" s="810"/>
      <c r="Y45" s="810"/>
      <c r="Z45" s="810"/>
      <c r="AA45" s="810"/>
      <c r="AB45" s="810"/>
      <c r="AC45" s="810" t="s">
        <v>93</v>
      </c>
      <c r="AD45" s="810" t="s">
        <v>93</v>
      </c>
      <c r="AE45" s="810" t="s">
        <v>1367</v>
      </c>
      <c r="AF45" s="810"/>
      <c r="AG45" s="810" t="s">
        <v>1367</v>
      </c>
      <c r="AH45" s="810"/>
      <c r="AI45" s="811" t="s">
        <v>1370</v>
      </c>
      <c r="AJ45" s="810"/>
      <c r="AK45" s="810"/>
      <c r="AL45" s="810"/>
      <c r="AM45" s="810"/>
      <c r="AN45" s="810"/>
      <c r="AO45" s="810"/>
      <c r="AP45" s="810"/>
      <c r="AQ45" s="810" t="s">
        <v>93</v>
      </c>
      <c r="AR45" s="810"/>
      <c r="AS45" s="810" t="s">
        <v>93</v>
      </c>
      <c r="AT45" s="810"/>
      <c r="AU45" s="810"/>
      <c r="AV45" s="810" t="s">
        <v>93</v>
      </c>
      <c r="AW45" s="810" t="s">
        <v>93</v>
      </c>
      <c r="AX45" s="810" t="s">
        <v>93</v>
      </c>
      <c r="AY45" s="810"/>
      <c r="AZ45" s="810"/>
      <c r="BA45" s="810" t="s">
        <v>93</v>
      </c>
      <c r="BB45" s="810"/>
      <c r="BC45" s="810"/>
      <c r="BD45" s="810" t="s">
        <v>93</v>
      </c>
      <c r="BE45" s="810"/>
      <c r="BF45" s="810" t="s">
        <v>93</v>
      </c>
      <c r="BG45" s="810"/>
      <c r="BH45" s="810"/>
      <c r="BI45" s="810"/>
      <c r="BJ45" s="810"/>
      <c r="BK45" s="810"/>
      <c r="BL45" s="810"/>
      <c r="BM45" s="810"/>
      <c r="BN45" s="810" t="s">
        <v>93</v>
      </c>
      <c r="BO45" s="810"/>
      <c r="BP45" s="810"/>
      <c r="BQ45" s="810"/>
      <c r="BR45" s="810"/>
      <c r="BS45" s="810" t="s">
        <v>93</v>
      </c>
      <c r="BT45" s="810" t="s">
        <v>93</v>
      </c>
      <c r="BU45" s="810" t="s">
        <v>93</v>
      </c>
      <c r="BV45" s="810"/>
      <c r="BW45" s="810"/>
      <c r="BX45" s="810" t="s">
        <v>93</v>
      </c>
      <c r="BY45" s="810"/>
      <c r="BZ45" s="810" t="s">
        <v>93</v>
      </c>
      <c r="CA45" s="810"/>
      <c r="CB45" s="810"/>
      <c r="CC45" s="810"/>
      <c r="CD45" s="810"/>
      <c r="CE45" s="810"/>
      <c r="CF45" s="810"/>
      <c r="CG45" s="810"/>
      <c r="CH45" s="810"/>
      <c r="CI45" s="810"/>
      <c r="CJ45" s="810"/>
      <c r="CK45" s="810" t="s">
        <v>93</v>
      </c>
      <c r="CL45" s="810" t="s">
        <v>93</v>
      </c>
      <c r="CM45" s="810"/>
      <c r="CN45" s="810"/>
      <c r="CO45" s="810"/>
      <c r="CP45" s="810"/>
      <c r="CQ45" s="810" t="s">
        <v>93</v>
      </c>
      <c r="CR45" s="810"/>
      <c r="CS45" s="810"/>
      <c r="CT45" s="810"/>
      <c r="CU45" s="810"/>
      <c r="CV45" s="810" t="s">
        <v>1367</v>
      </c>
      <c r="CW45" s="810" t="s">
        <v>93</v>
      </c>
      <c r="CX45" s="810"/>
      <c r="CY45" s="810"/>
      <c r="CZ45" s="810"/>
      <c r="DA45" s="810" t="s">
        <v>93</v>
      </c>
      <c r="DB45" s="811" t="s">
        <v>1370</v>
      </c>
      <c r="DC45" s="810"/>
      <c r="DD45" s="810"/>
      <c r="DE45" s="810" t="s">
        <v>1367</v>
      </c>
      <c r="DF45" s="810"/>
      <c r="DG45" s="810"/>
      <c r="DH45" s="810"/>
      <c r="DI45" s="810"/>
      <c r="DJ45" s="810"/>
      <c r="DK45" s="810"/>
      <c r="DL45" s="810"/>
      <c r="DM45" s="810"/>
      <c r="DN45" s="810"/>
      <c r="DO45" s="810"/>
      <c r="DP45" s="810"/>
      <c r="DQ45" s="810"/>
      <c r="DR45" s="810"/>
      <c r="DS45" s="810"/>
      <c r="DT45" s="810"/>
      <c r="DU45" s="810"/>
      <c r="DV45" s="810"/>
      <c r="DW45" s="810"/>
      <c r="DX45" s="810"/>
      <c r="DY45" s="810"/>
      <c r="DZ45" s="810"/>
      <c r="EA45" s="810"/>
      <c r="EB45" s="810"/>
      <c r="EC45" s="810"/>
      <c r="ED45" s="810"/>
      <c r="EE45" s="810"/>
      <c r="EF45" s="810"/>
      <c r="EG45" s="810"/>
      <c r="EH45" s="810"/>
      <c r="EI45" s="810" t="s">
        <v>93</v>
      </c>
      <c r="EJ45" s="810"/>
      <c r="EK45" s="810" t="s">
        <v>93</v>
      </c>
      <c r="EL45" s="810"/>
      <c r="EM45" s="810"/>
      <c r="EN45" s="810" t="s">
        <v>1367</v>
      </c>
      <c r="EO45" s="810"/>
      <c r="EP45" s="810" t="s">
        <v>93</v>
      </c>
      <c r="EQ45" s="810"/>
      <c r="ER45" s="810"/>
      <c r="ES45" s="810"/>
      <c r="ET45" s="810"/>
      <c r="EU45" s="810"/>
      <c r="EV45" s="810"/>
      <c r="EW45" s="810"/>
      <c r="EX45" s="810"/>
      <c r="EY45" s="810"/>
      <c r="EZ45" s="810" t="s">
        <v>93</v>
      </c>
      <c r="FA45" s="810"/>
      <c r="FB45" s="810" t="s">
        <v>1367</v>
      </c>
      <c r="FC45" s="810"/>
      <c r="FD45" s="810" t="s">
        <v>93</v>
      </c>
      <c r="FE45" s="810"/>
      <c r="FF45" s="810"/>
      <c r="FG45" s="810"/>
      <c r="FH45" s="810"/>
      <c r="FI45" s="810"/>
      <c r="FJ45" s="810"/>
      <c r="FK45" s="810"/>
      <c r="FL45" s="810"/>
      <c r="FM45" s="810"/>
      <c r="FN45" s="810"/>
      <c r="FO45" s="810"/>
      <c r="FP45" s="810" t="s">
        <v>93</v>
      </c>
      <c r="FQ45" s="810"/>
      <c r="FR45" s="810"/>
      <c r="FS45" s="810"/>
      <c r="FT45" s="810"/>
      <c r="FU45" s="810" t="s">
        <v>93</v>
      </c>
      <c r="FV45" s="810"/>
      <c r="FW45" s="810"/>
      <c r="FX45" s="810"/>
      <c r="FY45" s="810"/>
      <c r="FZ45" s="810"/>
      <c r="GA45" s="810" t="s">
        <v>93</v>
      </c>
      <c r="GB45" s="810" t="s">
        <v>93</v>
      </c>
      <c r="GC45" s="810" t="s">
        <v>1370</v>
      </c>
      <c r="GD45" s="810" t="s">
        <v>1370</v>
      </c>
      <c r="GE45" s="810"/>
      <c r="GF45" s="810"/>
      <c r="GG45" s="810"/>
      <c r="GH45" s="810"/>
      <c r="GI45" s="810"/>
      <c r="GJ45" s="810"/>
      <c r="GK45" s="810"/>
      <c r="GL45" s="810"/>
      <c r="GM45" s="810"/>
      <c r="GN45" s="810"/>
      <c r="GO45" s="810"/>
      <c r="GP45" s="810" t="s">
        <v>93</v>
      </c>
      <c r="GQ45" s="810"/>
      <c r="GR45" s="810" t="s">
        <v>93</v>
      </c>
      <c r="GS45" s="810"/>
      <c r="GT45" s="810"/>
      <c r="GU45" s="810" t="s">
        <v>1370</v>
      </c>
      <c r="GV45" s="810"/>
      <c r="GW45" s="810"/>
      <c r="GX45" s="810"/>
      <c r="GY45" s="810"/>
      <c r="GZ45" s="810"/>
      <c r="HA45" s="810"/>
      <c r="HB45" s="810"/>
      <c r="HC45" s="810"/>
      <c r="HD45" s="810" t="s">
        <v>93</v>
      </c>
      <c r="HE45" s="810"/>
      <c r="HF45" s="810"/>
      <c r="HG45" s="811" t="s">
        <v>93</v>
      </c>
      <c r="HH45" s="810"/>
      <c r="HI45" s="810"/>
      <c r="HJ45" s="810"/>
      <c r="HK45" s="810"/>
      <c r="HL45" s="810"/>
      <c r="HM45" s="810"/>
      <c r="HN45" s="810"/>
      <c r="HO45" s="810" t="s">
        <v>93</v>
      </c>
      <c r="HP45" s="810"/>
      <c r="HQ45" s="810"/>
      <c r="HR45" s="810"/>
      <c r="HS45" s="810"/>
      <c r="HT45" s="810" t="s">
        <v>93</v>
      </c>
      <c r="HU45" s="810"/>
      <c r="HV45" s="810"/>
      <c r="HW45" s="810" t="s">
        <v>93</v>
      </c>
      <c r="HX45" s="810"/>
      <c r="HY45" s="857"/>
      <c r="HZ45" s="857"/>
      <c r="IA45" s="857"/>
      <c r="IB45" s="857"/>
      <c r="IC45" s="857"/>
      <c r="ID45" s="857"/>
      <c r="IE45" s="857"/>
      <c r="IF45" s="857"/>
      <c r="IG45" s="857"/>
      <c r="IH45" s="857"/>
      <c r="II45" s="857"/>
      <c r="IJ45" s="857"/>
      <c r="IK45" s="857"/>
      <c r="IL45" s="857"/>
      <c r="IM45" s="857"/>
      <c r="IN45" s="857"/>
      <c r="IO45" s="857"/>
      <c r="IP45" s="857"/>
      <c r="IQ45" s="857"/>
      <c r="IR45" s="857"/>
      <c r="IS45" s="857"/>
      <c r="IT45" s="857"/>
      <c r="IU45" s="857"/>
      <c r="IV45" s="857"/>
    </row>
    <row r="46" spans="1:256" ht="20.100000000000001" customHeight="1">
      <c r="A46" s="809" t="s">
        <v>74</v>
      </c>
      <c r="B46" s="810"/>
      <c r="C46" s="810" t="str">
        <f>IF(ISTEXT(IFERROR(VLOOKUP(A46,职业列表!I3:J10,1,FALSE),0)),"★","")</f>
        <v/>
      </c>
      <c r="D46" s="810"/>
      <c r="E46" s="810"/>
      <c r="F46" s="810"/>
      <c r="G46" s="810"/>
      <c r="H46" s="810"/>
      <c r="I46" s="810" t="s">
        <v>93</v>
      </c>
      <c r="J46" s="810"/>
      <c r="K46" s="810"/>
      <c r="L46" s="810"/>
      <c r="M46" s="810"/>
      <c r="N46" s="810"/>
      <c r="O46" s="810"/>
      <c r="P46" s="810"/>
      <c r="Q46" s="810"/>
      <c r="R46" s="810"/>
      <c r="S46" s="810"/>
      <c r="T46" s="810"/>
      <c r="U46" s="810"/>
      <c r="V46" s="810"/>
      <c r="W46" s="810"/>
      <c r="X46" s="810"/>
      <c r="Y46" s="810"/>
      <c r="Z46" s="810"/>
      <c r="AA46" s="810"/>
      <c r="AB46" s="810"/>
      <c r="AC46" s="810"/>
      <c r="AD46" s="810"/>
      <c r="AE46" s="810"/>
      <c r="AF46" s="810"/>
      <c r="AG46" s="810"/>
      <c r="AH46" s="810"/>
      <c r="AI46" s="810"/>
      <c r="AJ46" s="810"/>
      <c r="AK46" s="810"/>
      <c r="AL46" s="810"/>
      <c r="AM46" s="810"/>
      <c r="AN46" s="810"/>
      <c r="AO46" s="810"/>
      <c r="AP46" s="810"/>
      <c r="AQ46" s="810"/>
      <c r="AR46" s="810"/>
      <c r="AS46" s="810"/>
      <c r="AT46" s="810" t="s">
        <v>93</v>
      </c>
      <c r="AU46" s="810"/>
      <c r="AV46" s="810"/>
      <c r="AW46" s="810"/>
      <c r="AX46" s="810"/>
      <c r="AY46" s="810"/>
      <c r="AZ46" s="810"/>
      <c r="BA46" s="810"/>
      <c r="BB46" s="810"/>
      <c r="BC46" s="810"/>
      <c r="BD46" s="810"/>
      <c r="BE46" s="810"/>
      <c r="BF46" s="810"/>
      <c r="BG46" s="810"/>
      <c r="BH46" s="810" t="s">
        <v>93</v>
      </c>
      <c r="BI46" s="810"/>
      <c r="BJ46" s="810"/>
      <c r="BK46" s="810"/>
      <c r="BL46" s="810"/>
      <c r="BM46" s="810"/>
      <c r="BN46" s="810"/>
      <c r="BO46" s="810"/>
      <c r="BP46" s="810"/>
      <c r="BQ46" s="810"/>
      <c r="BR46" s="810"/>
      <c r="BS46" s="810"/>
      <c r="BT46" s="810"/>
      <c r="BU46" s="810"/>
      <c r="BV46" s="810"/>
      <c r="BW46" s="810"/>
      <c r="BX46" s="810"/>
      <c r="BY46" s="810"/>
      <c r="BZ46" s="810" t="s">
        <v>93</v>
      </c>
      <c r="CA46" s="810"/>
      <c r="CB46" s="810"/>
      <c r="CC46" s="810"/>
      <c r="CD46" s="810" t="s">
        <v>93</v>
      </c>
      <c r="CE46" s="810"/>
      <c r="CF46" s="810"/>
      <c r="CG46" s="810"/>
      <c r="CH46" s="810"/>
      <c r="CI46" s="810"/>
      <c r="CJ46" s="810"/>
      <c r="CK46" s="810"/>
      <c r="CL46" s="810"/>
      <c r="CM46" s="810"/>
      <c r="CN46" s="810"/>
      <c r="CO46" s="810"/>
      <c r="CP46" s="810"/>
      <c r="CQ46" s="810"/>
      <c r="CR46" s="810"/>
      <c r="CS46" s="810" t="s">
        <v>93</v>
      </c>
      <c r="CT46" s="810"/>
      <c r="CU46" s="810"/>
      <c r="CV46" s="810"/>
      <c r="CW46" s="810"/>
      <c r="CX46" s="810"/>
      <c r="CY46" s="810"/>
      <c r="CZ46" s="810"/>
      <c r="DA46" s="810"/>
      <c r="DB46" s="810"/>
      <c r="DC46" s="810"/>
      <c r="DD46" s="810"/>
      <c r="DE46" s="810"/>
      <c r="DF46" s="810"/>
      <c r="DG46" s="810"/>
      <c r="DH46" s="810"/>
      <c r="DI46" s="810"/>
      <c r="DJ46" s="810"/>
      <c r="DK46" s="810"/>
      <c r="DL46" s="810"/>
      <c r="DM46" s="810" t="s">
        <v>93</v>
      </c>
      <c r="DN46" s="810"/>
      <c r="DO46" s="810"/>
      <c r="DP46" s="810"/>
      <c r="DQ46" s="810"/>
      <c r="DR46" s="810"/>
      <c r="DS46" s="810"/>
      <c r="DT46" s="810"/>
      <c r="DU46" s="810"/>
      <c r="DV46" s="810"/>
      <c r="DW46" s="810"/>
      <c r="DX46" s="810"/>
      <c r="DY46" s="810"/>
      <c r="DZ46" s="810"/>
      <c r="EA46" s="810"/>
      <c r="EB46" s="810"/>
      <c r="EC46" s="810"/>
      <c r="ED46" s="810"/>
      <c r="EE46" s="810"/>
      <c r="EF46" s="810" t="s">
        <v>93</v>
      </c>
      <c r="EG46" s="810" t="s">
        <v>93</v>
      </c>
      <c r="EH46" s="810" t="s">
        <v>93</v>
      </c>
      <c r="EI46" s="810"/>
      <c r="EJ46" s="810"/>
      <c r="EK46" s="810"/>
      <c r="EL46" s="810" t="s">
        <v>93</v>
      </c>
      <c r="EM46" s="810"/>
      <c r="EN46" s="810"/>
      <c r="EO46" s="810"/>
      <c r="EP46" s="810"/>
      <c r="EQ46" s="810"/>
      <c r="ER46" s="810"/>
      <c r="ES46" s="810"/>
      <c r="ET46" s="810"/>
      <c r="EU46" s="810"/>
      <c r="EV46" s="810"/>
      <c r="EW46" s="810"/>
      <c r="EX46" s="810"/>
      <c r="EY46" s="810"/>
      <c r="EZ46" s="810" t="s">
        <v>93</v>
      </c>
      <c r="FA46" s="810" t="s">
        <v>93</v>
      </c>
      <c r="FB46" s="810"/>
      <c r="FC46" s="810"/>
      <c r="FD46" s="810"/>
      <c r="FE46" s="810"/>
      <c r="FF46" s="810"/>
      <c r="FG46" s="810"/>
      <c r="FH46" s="810"/>
      <c r="FI46" s="810"/>
      <c r="FJ46" s="810"/>
      <c r="FK46" s="810"/>
      <c r="FL46" s="810" t="s">
        <v>93</v>
      </c>
      <c r="FM46" s="810"/>
      <c r="FN46" s="810"/>
      <c r="FO46" s="810"/>
      <c r="FP46" s="810"/>
      <c r="FQ46" s="810"/>
      <c r="FR46" s="810"/>
      <c r="FS46" s="810"/>
      <c r="FT46" s="810"/>
      <c r="FU46" s="810" t="s">
        <v>93</v>
      </c>
      <c r="FV46" s="810" t="s">
        <v>93</v>
      </c>
      <c r="FW46" s="810" t="s">
        <v>93</v>
      </c>
      <c r="FX46" s="810"/>
      <c r="FY46" s="810"/>
      <c r="FZ46" s="810"/>
      <c r="GA46" s="810"/>
      <c r="GB46" s="810"/>
      <c r="GC46" s="810"/>
      <c r="GD46" s="810"/>
      <c r="GE46" s="810"/>
      <c r="GF46" s="810"/>
      <c r="GG46" s="810"/>
      <c r="GH46" s="810"/>
      <c r="GI46" s="810"/>
      <c r="GJ46" s="810"/>
      <c r="GK46" s="810"/>
      <c r="GL46" s="810"/>
      <c r="GM46" s="810"/>
      <c r="GN46" s="810"/>
      <c r="GO46" s="810"/>
      <c r="GP46" s="810"/>
      <c r="GQ46" s="810"/>
      <c r="GR46" s="810"/>
      <c r="GS46" s="810"/>
      <c r="GT46" s="810"/>
      <c r="GU46" s="810"/>
      <c r="GV46" s="810"/>
      <c r="GW46" s="810"/>
      <c r="GX46" s="810"/>
      <c r="GY46" s="810"/>
      <c r="GZ46" s="810"/>
      <c r="HA46" s="810"/>
      <c r="HB46" s="810"/>
      <c r="HC46" s="810"/>
      <c r="HD46" s="810"/>
      <c r="HE46" s="810"/>
      <c r="HF46" s="810"/>
      <c r="HG46" s="810"/>
      <c r="HH46" s="810"/>
      <c r="HI46" s="810"/>
      <c r="HJ46" s="810"/>
      <c r="HK46" s="810"/>
      <c r="HL46" s="810"/>
      <c r="HM46" s="810"/>
      <c r="HN46" s="810"/>
      <c r="HO46" s="810"/>
      <c r="HP46" s="810"/>
      <c r="HQ46" s="810" t="s">
        <v>93</v>
      </c>
      <c r="HR46" s="810"/>
      <c r="HS46" s="810"/>
      <c r="HT46" s="810"/>
      <c r="HU46" s="810"/>
      <c r="HV46" s="810"/>
      <c r="HW46" s="810"/>
      <c r="HX46" s="810"/>
      <c r="HY46" s="857"/>
      <c r="HZ46" s="857"/>
      <c r="IA46" s="857"/>
      <c r="IB46" s="857"/>
      <c r="IC46" s="857"/>
      <c r="ID46" s="857"/>
      <c r="IE46" s="857"/>
      <c r="IF46" s="857"/>
      <c r="IG46" s="857"/>
      <c r="IH46" s="857"/>
      <c r="II46" s="857"/>
      <c r="IJ46" s="857"/>
      <c r="IK46" s="857"/>
      <c r="IL46" s="857"/>
      <c r="IM46" s="857"/>
      <c r="IN46" s="857"/>
      <c r="IO46" s="857"/>
      <c r="IP46" s="857"/>
      <c r="IQ46" s="857"/>
      <c r="IR46" s="857"/>
      <c r="IS46" s="857"/>
      <c r="IT46" s="857"/>
      <c r="IU46" s="857"/>
      <c r="IV46" s="857"/>
    </row>
    <row r="47" spans="1:256" ht="20.100000000000001" customHeight="1">
      <c r="A47" s="809" t="s">
        <v>76</v>
      </c>
      <c r="B47" s="810"/>
      <c r="C47" s="811" t="str">
        <f>IF(ISTEXT(IFERROR(VLOOKUP(A47,职业列表!I3:J10,1,FALSE),0)),"★","")</f>
        <v/>
      </c>
      <c r="D47" s="810"/>
      <c r="E47" s="810"/>
      <c r="F47" s="810"/>
      <c r="G47" s="810"/>
      <c r="H47" s="810"/>
      <c r="I47" s="810"/>
      <c r="J47" s="810" t="s">
        <v>93</v>
      </c>
      <c r="K47" s="810"/>
      <c r="L47" s="810"/>
      <c r="M47" s="810"/>
      <c r="N47" s="810"/>
      <c r="O47" s="810" t="s">
        <v>1367</v>
      </c>
      <c r="P47" s="810"/>
      <c r="Q47" s="810"/>
      <c r="R47" s="810" t="s">
        <v>1367</v>
      </c>
      <c r="S47" s="810"/>
      <c r="T47" s="810" t="s">
        <v>93</v>
      </c>
      <c r="U47" s="810"/>
      <c r="V47" s="810"/>
      <c r="W47" s="810"/>
      <c r="X47" s="810"/>
      <c r="Y47" s="810"/>
      <c r="Z47" s="810"/>
      <c r="AA47" s="810"/>
      <c r="AB47" s="810" t="s">
        <v>1367</v>
      </c>
      <c r="AC47" s="810" t="s">
        <v>93</v>
      </c>
      <c r="AD47" s="810"/>
      <c r="AE47" s="810"/>
      <c r="AF47" s="810"/>
      <c r="AG47" s="810"/>
      <c r="AH47" s="810"/>
      <c r="AI47" s="810"/>
      <c r="AJ47" s="810"/>
      <c r="AK47" s="810"/>
      <c r="AL47" s="810"/>
      <c r="AM47" s="810"/>
      <c r="AN47" s="810"/>
      <c r="AO47" s="810"/>
      <c r="AP47" s="810"/>
      <c r="AQ47" s="810"/>
      <c r="AR47" s="810"/>
      <c r="AS47" s="810"/>
      <c r="AT47" s="810"/>
      <c r="AU47" s="810"/>
      <c r="AV47" s="810"/>
      <c r="AW47" s="810"/>
      <c r="AX47" s="810"/>
      <c r="AY47" s="810"/>
      <c r="AZ47" s="810"/>
      <c r="BA47" s="810"/>
      <c r="BB47" s="810"/>
      <c r="BC47" s="810" t="s">
        <v>93</v>
      </c>
      <c r="BD47" s="810" t="s">
        <v>93</v>
      </c>
      <c r="BE47" s="810"/>
      <c r="BF47" s="810"/>
      <c r="BG47" s="810"/>
      <c r="BH47" s="810"/>
      <c r="BI47" s="810"/>
      <c r="BJ47" s="810"/>
      <c r="BK47" s="810"/>
      <c r="BL47" s="810"/>
      <c r="BM47" s="810"/>
      <c r="BN47" s="810"/>
      <c r="BO47" s="810"/>
      <c r="BP47" s="810"/>
      <c r="BQ47" s="810"/>
      <c r="BR47" s="810"/>
      <c r="BS47" s="815"/>
      <c r="BT47" s="810" t="s">
        <v>1367</v>
      </c>
      <c r="BU47" s="810"/>
      <c r="BV47" s="810"/>
      <c r="BW47" s="810"/>
      <c r="BX47" s="810"/>
      <c r="BY47" s="810"/>
      <c r="BZ47" s="810" t="s">
        <v>93</v>
      </c>
      <c r="CA47" s="810"/>
      <c r="CB47" s="810"/>
      <c r="CC47" s="810"/>
      <c r="CD47" s="810"/>
      <c r="CE47" s="810"/>
      <c r="CF47" s="810" t="s">
        <v>93</v>
      </c>
      <c r="CG47" s="810"/>
      <c r="CH47" s="810"/>
      <c r="CI47" s="810"/>
      <c r="CJ47" s="810"/>
      <c r="CK47" s="810"/>
      <c r="CL47" s="810"/>
      <c r="CM47" s="810"/>
      <c r="CN47" s="810"/>
      <c r="CO47" s="810"/>
      <c r="CP47" s="810"/>
      <c r="CQ47" s="810"/>
      <c r="CR47" s="810"/>
      <c r="CS47" s="810"/>
      <c r="CT47" s="810"/>
      <c r="CU47" s="810"/>
      <c r="CV47" s="810"/>
      <c r="CW47" s="810" t="s">
        <v>93</v>
      </c>
      <c r="CX47" s="810"/>
      <c r="CY47" s="810"/>
      <c r="CZ47" s="810"/>
      <c r="DA47" s="810"/>
      <c r="DB47" s="810"/>
      <c r="DC47" s="810"/>
      <c r="DD47" s="810"/>
      <c r="DE47" s="810"/>
      <c r="DF47" s="810" t="s">
        <v>93</v>
      </c>
      <c r="DG47" s="810"/>
      <c r="DH47" s="810"/>
      <c r="DI47" s="810"/>
      <c r="DJ47" s="810"/>
      <c r="DK47" s="810"/>
      <c r="DL47" s="810"/>
      <c r="DM47" s="810" t="s">
        <v>93</v>
      </c>
      <c r="DN47" s="810"/>
      <c r="DO47" s="810"/>
      <c r="DP47" s="810"/>
      <c r="DQ47" s="810"/>
      <c r="DR47" s="810"/>
      <c r="DS47" s="810"/>
      <c r="DT47" s="810"/>
      <c r="DU47" s="810"/>
      <c r="DV47" s="810"/>
      <c r="DW47" s="810"/>
      <c r="DX47" s="810"/>
      <c r="DY47" s="810"/>
      <c r="DZ47" s="810"/>
      <c r="EA47" s="810"/>
      <c r="EB47" s="810"/>
      <c r="EC47" s="810"/>
      <c r="ED47" s="810"/>
      <c r="EE47" s="810"/>
      <c r="EF47" s="810"/>
      <c r="EG47" s="810"/>
      <c r="EH47" s="810"/>
      <c r="EI47" s="810"/>
      <c r="EJ47" s="810"/>
      <c r="EK47" s="810"/>
      <c r="EL47" s="810"/>
      <c r="EM47" s="810"/>
      <c r="EN47" s="810"/>
      <c r="EO47" s="810"/>
      <c r="EP47" s="810"/>
      <c r="EQ47" s="810"/>
      <c r="ER47" s="810"/>
      <c r="ES47" s="810"/>
      <c r="ET47" s="810"/>
      <c r="EU47" s="810"/>
      <c r="EV47" s="810"/>
      <c r="EW47" s="810" t="s">
        <v>93</v>
      </c>
      <c r="EX47" s="810"/>
      <c r="EY47" s="810"/>
      <c r="EZ47" s="810"/>
      <c r="FA47" s="810"/>
      <c r="FB47" s="810"/>
      <c r="FC47" s="810"/>
      <c r="FD47" s="810"/>
      <c r="FE47" s="810"/>
      <c r="FF47" s="810"/>
      <c r="FG47" s="810"/>
      <c r="FH47" s="810" t="s">
        <v>93</v>
      </c>
      <c r="FI47" s="810"/>
      <c r="FJ47" s="810"/>
      <c r="FK47" s="810"/>
      <c r="FL47" s="810" t="s">
        <v>93</v>
      </c>
      <c r="FM47" s="810"/>
      <c r="FN47" s="810"/>
      <c r="FO47" s="810"/>
      <c r="FP47" s="810" t="s">
        <v>93</v>
      </c>
      <c r="FQ47" s="810"/>
      <c r="FR47" s="810"/>
      <c r="FS47" s="810"/>
      <c r="FT47" s="810" t="s">
        <v>93</v>
      </c>
      <c r="FU47" s="810"/>
      <c r="FV47" s="810"/>
      <c r="FW47" s="810"/>
      <c r="FX47" s="810"/>
      <c r="FY47" s="810"/>
      <c r="FZ47" s="810"/>
      <c r="GA47" s="810"/>
      <c r="GB47" s="810" t="s">
        <v>93</v>
      </c>
      <c r="GC47" s="810"/>
      <c r="GD47" s="810"/>
      <c r="GE47" s="810" t="s">
        <v>93</v>
      </c>
      <c r="GF47" s="810"/>
      <c r="GG47" s="810"/>
      <c r="GH47" s="810"/>
      <c r="GI47" s="810"/>
      <c r="GJ47" s="810"/>
      <c r="GK47" s="810"/>
      <c r="GL47" s="810"/>
      <c r="GM47" s="810"/>
      <c r="GN47" s="810"/>
      <c r="GO47" s="810"/>
      <c r="GP47" s="810"/>
      <c r="GQ47" s="810"/>
      <c r="GR47" s="810"/>
      <c r="GS47" s="810" t="s">
        <v>93</v>
      </c>
      <c r="GT47" s="810"/>
      <c r="GU47" s="810"/>
      <c r="GV47" s="810"/>
      <c r="GW47" s="810"/>
      <c r="GX47" s="810"/>
      <c r="GY47" s="810"/>
      <c r="GZ47" s="810"/>
      <c r="HA47" s="810"/>
      <c r="HB47" s="810"/>
      <c r="HC47" s="810"/>
      <c r="HD47" s="810" t="s">
        <v>93</v>
      </c>
      <c r="HE47" s="810"/>
      <c r="HF47" s="810"/>
      <c r="HG47" s="810"/>
      <c r="HH47" s="810"/>
      <c r="HI47" s="810"/>
      <c r="HJ47" s="810"/>
      <c r="HK47" s="810"/>
      <c r="HL47" s="810" t="s">
        <v>93</v>
      </c>
      <c r="HM47" s="810"/>
      <c r="HN47" s="810"/>
      <c r="HO47" s="810"/>
      <c r="HP47" s="810"/>
      <c r="HQ47" s="810"/>
      <c r="HR47" s="810"/>
      <c r="HS47" s="810"/>
      <c r="HT47" s="810"/>
      <c r="HU47" s="810"/>
      <c r="HV47" s="810"/>
      <c r="HW47" s="810"/>
      <c r="HX47" s="810"/>
      <c r="HY47" s="857"/>
      <c r="HZ47" s="857"/>
      <c r="IA47" s="857"/>
      <c r="IB47" s="857"/>
      <c r="IC47" s="857"/>
      <c r="ID47" s="857"/>
      <c r="IE47" s="857"/>
      <c r="IF47" s="857"/>
      <c r="IG47" s="857"/>
      <c r="IH47" s="857"/>
      <c r="II47" s="857"/>
      <c r="IJ47" s="857"/>
      <c r="IK47" s="857"/>
      <c r="IL47" s="857"/>
      <c r="IM47" s="857"/>
      <c r="IN47" s="857"/>
      <c r="IO47" s="857"/>
      <c r="IP47" s="857"/>
      <c r="IQ47" s="857"/>
      <c r="IR47" s="857"/>
      <c r="IS47" s="857"/>
      <c r="IT47" s="857"/>
      <c r="IU47" s="857"/>
      <c r="IV47" s="857"/>
    </row>
    <row r="48" spans="1:256" ht="20.100000000000001" customHeight="1">
      <c r="A48" s="809" t="s">
        <v>79</v>
      </c>
      <c r="B48" s="810"/>
      <c r="C48" s="810" t="str">
        <f>IF(ISTEXT(IFERROR(VLOOKUP(A48,职业列表!I3:J10,1,FALSE),0)),"★","")</f>
        <v/>
      </c>
      <c r="D48" s="810"/>
      <c r="E48" s="810"/>
      <c r="F48" s="810"/>
      <c r="G48" s="810"/>
      <c r="H48" s="810"/>
      <c r="I48" s="810"/>
      <c r="J48" s="810"/>
      <c r="K48" s="810"/>
      <c r="L48" s="810" t="s">
        <v>93</v>
      </c>
      <c r="M48" s="810" t="s">
        <v>1367</v>
      </c>
      <c r="N48" s="810"/>
      <c r="O48" s="810"/>
      <c r="P48" s="810"/>
      <c r="Q48" s="810"/>
      <c r="R48" s="810"/>
      <c r="S48" s="810"/>
      <c r="T48" s="810" t="s">
        <v>93</v>
      </c>
      <c r="U48" s="810"/>
      <c r="V48" s="810"/>
      <c r="W48" s="810"/>
      <c r="X48" s="810"/>
      <c r="Y48" s="810"/>
      <c r="Z48" s="810"/>
      <c r="AA48" s="810"/>
      <c r="AB48" s="810"/>
      <c r="AC48" s="810"/>
      <c r="AD48" s="810"/>
      <c r="AE48" s="810"/>
      <c r="AF48" s="810"/>
      <c r="AG48" s="810"/>
      <c r="AH48" s="810"/>
      <c r="AI48" s="810"/>
      <c r="AJ48" s="810"/>
      <c r="AK48" s="810"/>
      <c r="AL48" s="810"/>
      <c r="AM48" s="810" t="s">
        <v>93</v>
      </c>
      <c r="AN48" s="810"/>
      <c r="AO48" s="810"/>
      <c r="AP48" s="810"/>
      <c r="AQ48" s="810"/>
      <c r="AR48" s="810"/>
      <c r="AS48" s="810"/>
      <c r="AT48" s="810"/>
      <c r="AU48" s="810" t="s">
        <v>93</v>
      </c>
      <c r="AV48" s="810" t="s">
        <v>93</v>
      </c>
      <c r="AW48" s="810" t="s">
        <v>93</v>
      </c>
      <c r="AX48" s="810" t="s">
        <v>93</v>
      </c>
      <c r="AY48" s="810"/>
      <c r="AZ48" s="810"/>
      <c r="BA48" s="810"/>
      <c r="BB48" s="810"/>
      <c r="BC48" s="810" t="s">
        <v>93</v>
      </c>
      <c r="BD48" s="815"/>
      <c r="BE48" s="810"/>
      <c r="BF48" s="810"/>
      <c r="BG48" s="810"/>
      <c r="BH48" s="810"/>
      <c r="BI48" s="810"/>
      <c r="BJ48" s="810"/>
      <c r="BK48" s="810"/>
      <c r="BL48" s="810" t="s">
        <v>93</v>
      </c>
      <c r="BM48" s="810" t="s">
        <v>93</v>
      </c>
      <c r="BN48" s="810"/>
      <c r="BO48" s="810"/>
      <c r="BP48" s="810"/>
      <c r="BQ48" s="810"/>
      <c r="BR48" s="810"/>
      <c r="BS48" s="810"/>
      <c r="BT48" s="810"/>
      <c r="BU48" s="810"/>
      <c r="BV48" s="810"/>
      <c r="BW48" s="810"/>
      <c r="BX48" s="810"/>
      <c r="BY48" s="810" t="s">
        <v>93</v>
      </c>
      <c r="BZ48" s="810"/>
      <c r="CA48" s="810" t="s">
        <v>93</v>
      </c>
      <c r="CB48" s="810"/>
      <c r="CC48" s="810"/>
      <c r="CD48" s="810"/>
      <c r="CE48" s="810"/>
      <c r="CF48" s="810" t="s">
        <v>93</v>
      </c>
      <c r="CG48" s="810"/>
      <c r="CH48" s="810"/>
      <c r="CI48" s="810"/>
      <c r="CJ48" s="810"/>
      <c r="CK48" s="810" t="s">
        <v>93</v>
      </c>
      <c r="CL48" s="810" t="s">
        <v>93</v>
      </c>
      <c r="CM48" s="810"/>
      <c r="CN48" s="810"/>
      <c r="CO48" s="810"/>
      <c r="CP48" s="810"/>
      <c r="CQ48" s="810" t="s">
        <v>93</v>
      </c>
      <c r="CR48" s="810"/>
      <c r="CS48" s="810"/>
      <c r="CT48" s="810"/>
      <c r="CU48" s="810"/>
      <c r="CV48" s="810" t="s">
        <v>93</v>
      </c>
      <c r="CW48" s="810" t="s">
        <v>93</v>
      </c>
      <c r="CX48" s="810"/>
      <c r="CY48" s="810"/>
      <c r="CZ48" s="810"/>
      <c r="DA48" s="810"/>
      <c r="DB48" s="810"/>
      <c r="DC48" s="810"/>
      <c r="DD48" s="810"/>
      <c r="DE48" s="810"/>
      <c r="DF48" s="810"/>
      <c r="DG48" s="810"/>
      <c r="DH48" s="810"/>
      <c r="DI48" s="810"/>
      <c r="DJ48" s="810"/>
      <c r="DK48" s="810"/>
      <c r="DL48" s="810"/>
      <c r="DM48" s="810"/>
      <c r="DN48" s="810"/>
      <c r="DO48" s="810"/>
      <c r="DP48" s="810"/>
      <c r="DQ48" s="810"/>
      <c r="DR48" s="810"/>
      <c r="DS48" s="810"/>
      <c r="DT48" s="810"/>
      <c r="DU48" s="810"/>
      <c r="DV48" s="810"/>
      <c r="DW48" s="810"/>
      <c r="DX48" s="810"/>
      <c r="DY48" s="810"/>
      <c r="DZ48" s="810"/>
      <c r="EA48" s="810"/>
      <c r="EB48" s="810"/>
      <c r="EC48" s="810"/>
      <c r="ED48" s="810"/>
      <c r="EE48" s="810"/>
      <c r="EF48" s="810"/>
      <c r="EG48" s="810"/>
      <c r="EH48" s="810"/>
      <c r="EI48" s="810" t="s">
        <v>93</v>
      </c>
      <c r="EJ48" s="810"/>
      <c r="EK48" s="810"/>
      <c r="EL48" s="810"/>
      <c r="EM48" s="810"/>
      <c r="EN48" s="810"/>
      <c r="EO48" s="810"/>
      <c r="EP48" s="810"/>
      <c r="EQ48" s="810"/>
      <c r="ER48" s="810"/>
      <c r="ES48" s="810" t="s">
        <v>93</v>
      </c>
      <c r="ET48" s="810"/>
      <c r="EU48" s="810"/>
      <c r="EV48" s="810"/>
      <c r="EW48" s="810" t="s">
        <v>93</v>
      </c>
      <c r="EX48" s="810"/>
      <c r="EY48" s="810"/>
      <c r="EZ48" s="810"/>
      <c r="FA48" s="810"/>
      <c r="FB48" s="810"/>
      <c r="FC48" s="810"/>
      <c r="FD48" s="810"/>
      <c r="FE48" s="810"/>
      <c r="FF48" s="810"/>
      <c r="FG48" s="810"/>
      <c r="FH48" s="810"/>
      <c r="FI48" s="810"/>
      <c r="FJ48" s="810"/>
      <c r="FK48" s="810"/>
      <c r="FL48" s="810"/>
      <c r="FM48" s="810"/>
      <c r="FN48" s="810"/>
      <c r="FO48" s="810"/>
      <c r="FP48" s="810" t="s">
        <v>93</v>
      </c>
      <c r="FQ48" s="810"/>
      <c r="FR48" s="810"/>
      <c r="FS48" s="810"/>
      <c r="FT48" s="810"/>
      <c r="FU48" s="810"/>
      <c r="FV48" s="810"/>
      <c r="FW48" s="810"/>
      <c r="FX48" s="810" t="s">
        <v>93</v>
      </c>
      <c r="FY48" s="810"/>
      <c r="FZ48" s="810"/>
      <c r="GA48" s="810" t="s">
        <v>93</v>
      </c>
      <c r="GB48" s="810" t="s">
        <v>93</v>
      </c>
      <c r="GC48" s="810"/>
      <c r="GD48" s="810"/>
      <c r="GE48" s="810" t="s">
        <v>93</v>
      </c>
      <c r="GF48" s="810"/>
      <c r="GG48" s="810"/>
      <c r="GH48" s="810"/>
      <c r="GI48" s="810"/>
      <c r="GJ48" s="810"/>
      <c r="GK48" s="810"/>
      <c r="GL48" s="810"/>
      <c r="GM48" s="810"/>
      <c r="GN48" s="810"/>
      <c r="GO48" s="810"/>
      <c r="GP48" s="810"/>
      <c r="GQ48" s="810"/>
      <c r="GR48" s="810"/>
      <c r="GS48" s="810"/>
      <c r="GT48" s="810"/>
      <c r="GU48" s="810"/>
      <c r="GV48" s="810"/>
      <c r="GW48" s="810"/>
      <c r="GX48" s="810"/>
      <c r="GY48" s="810"/>
      <c r="GZ48" s="810"/>
      <c r="HA48" s="810"/>
      <c r="HB48" s="810"/>
      <c r="HC48" s="810"/>
      <c r="HD48" s="810" t="s">
        <v>93</v>
      </c>
      <c r="HE48" s="810"/>
      <c r="HF48" s="810"/>
      <c r="HG48" s="810"/>
      <c r="HH48" s="810"/>
      <c r="HI48" s="810"/>
      <c r="HJ48" s="810"/>
      <c r="HK48" s="811" t="s">
        <v>93</v>
      </c>
      <c r="HL48" s="810" t="s">
        <v>93</v>
      </c>
      <c r="HM48" s="810"/>
      <c r="HN48" s="810"/>
      <c r="HO48" s="810"/>
      <c r="HP48" s="810"/>
      <c r="HQ48" s="810"/>
      <c r="HR48" s="810"/>
      <c r="HS48" s="810"/>
      <c r="HT48" s="810"/>
      <c r="HU48" s="810"/>
      <c r="HV48" s="810"/>
      <c r="HW48" s="810"/>
      <c r="HX48" s="811" t="s">
        <v>93</v>
      </c>
      <c r="HY48" s="857"/>
      <c r="HZ48" s="857"/>
      <c r="IA48" s="857"/>
      <c r="IB48" s="857"/>
      <c r="IC48" s="857"/>
      <c r="ID48" s="857"/>
      <c r="IE48" s="857"/>
      <c r="IF48" s="857"/>
      <c r="IG48" s="857"/>
      <c r="IH48" s="857"/>
      <c r="II48" s="857"/>
      <c r="IJ48" s="857"/>
      <c r="IK48" s="857"/>
      <c r="IL48" s="857"/>
      <c r="IM48" s="857"/>
      <c r="IN48" s="857"/>
      <c r="IO48" s="857"/>
      <c r="IP48" s="857"/>
      <c r="IQ48" s="857"/>
      <c r="IR48" s="857"/>
      <c r="IS48" s="857"/>
      <c r="IT48" s="857"/>
      <c r="IU48" s="857"/>
      <c r="IV48" s="857"/>
    </row>
    <row r="49" spans="1:256" ht="20.100000000000001" customHeight="1">
      <c r="A49" s="809" t="s">
        <v>82</v>
      </c>
      <c r="B49" s="810"/>
      <c r="C49" s="810" t="str">
        <f>IF(ISTEXT(IFERROR(VLOOKUP(A49,职业列表!I3:J10,1,FALSE),0)),"★","")</f>
        <v/>
      </c>
      <c r="D49" s="810"/>
      <c r="E49" s="810"/>
      <c r="F49" s="810"/>
      <c r="G49" s="810"/>
      <c r="H49" s="810"/>
      <c r="I49" s="810"/>
      <c r="J49" s="810"/>
      <c r="K49" s="810"/>
      <c r="L49" s="810"/>
      <c r="M49" s="810"/>
      <c r="N49" s="810"/>
      <c r="O49" s="810"/>
      <c r="P49" s="810"/>
      <c r="Q49" s="810"/>
      <c r="R49" s="810" t="s">
        <v>1367</v>
      </c>
      <c r="S49" s="810"/>
      <c r="T49" s="810"/>
      <c r="U49" s="810"/>
      <c r="V49" s="810"/>
      <c r="W49" s="810"/>
      <c r="X49" s="810"/>
      <c r="Y49" s="810"/>
      <c r="Z49" s="810"/>
      <c r="AA49" s="810"/>
      <c r="AB49" s="810"/>
      <c r="AC49" s="810"/>
      <c r="AD49" s="810"/>
      <c r="AE49" s="810"/>
      <c r="AF49" s="810"/>
      <c r="AG49" s="810"/>
      <c r="AH49" s="810"/>
      <c r="AI49" s="810"/>
      <c r="AJ49" s="810"/>
      <c r="AK49" s="810"/>
      <c r="AL49" s="810"/>
      <c r="AM49" s="810"/>
      <c r="AN49" s="810"/>
      <c r="AO49" s="810" t="s">
        <v>93</v>
      </c>
      <c r="AP49" s="810" t="s">
        <v>93</v>
      </c>
      <c r="AQ49" s="810"/>
      <c r="AR49" s="810"/>
      <c r="AS49" s="810"/>
      <c r="AT49" s="810"/>
      <c r="AU49" s="810"/>
      <c r="AV49" s="810"/>
      <c r="AW49" s="810"/>
      <c r="AX49" s="810"/>
      <c r="AY49" s="810"/>
      <c r="AZ49" s="810"/>
      <c r="BA49" s="810"/>
      <c r="BB49" s="810"/>
      <c r="BC49" s="810"/>
      <c r="BD49" s="810"/>
      <c r="BE49" s="810"/>
      <c r="BF49" s="810"/>
      <c r="BG49" s="810"/>
      <c r="BH49" s="810"/>
      <c r="BI49" s="810"/>
      <c r="BJ49" s="810"/>
      <c r="BK49" s="810"/>
      <c r="BL49" s="810"/>
      <c r="BM49" s="810"/>
      <c r="BN49" s="810"/>
      <c r="BO49" s="810"/>
      <c r="BP49" s="810"/>
      <c r="BQ49" s="810"/>
      <c r="BR49" s="810"/>
      <c r="BS49" s="810"/>
      <c r="BT49" s="810"/>
      <c r="BU49" s="810"/>
      <c r="BV49" s="810"/>
      <c r="BW49" s="810"/>
      <c r="BX49" s="810"/>
      <c r="BY49" s="810"/>
      <c r="BZ49" s="810"/>
      <c r="CA49" s="810"/>
      <c r="CB49" s="810" t="s">
        <v>93</v>
      </c>
      <c r="CC49" s="810"/>
      <c r="CD49" s="810"/>
      <c r="CE49" s="810" t="s">
        <v>93</v>
      </c>
      <c r="CF49" s="810"/>
      <c r="CG49" s="810" t="s">
        <v>93</v>
      </c>
      <c r="CH49" s="810"/>
      <c r="CI49" s="810"/>
      <c r="CJ49" s="810"/>
      <c r="CK49" s="810"/>
      <c r="CL49" s="810"/>
      <c r="CM49" s="810"/>
      <c r="CN49" s="810"/>
      <c r="CO49" s="810"/>
      <c r="CP49" s="810"/>
      <c r="CQ49" s="810"/>
      <c r="CR49" s="810"/>
      <c r="CS49" s="810"/>
      <c r="CT49" s="810"/>
      <c r="CU49" s="810"/>
      <c r="CV49" s="810"/>
      <c r="CW49" s="810"/>
      <c r="CX49" s="810"/>
      <c r="CY49" s="810"/>
      <c r="CZ49" s="810"/>
      <c r="DA49" s="810"/>
      <c r="DB49" s="810"/>
      <c r="DC49" s="810"/>
      <c r="DD49" s="810"/>
      <c r="DE49" s="810"/>
      <c r="DF49" s="810" t="s">
        <v>93</v>
      </c>
      <c r="DG49" s="810" t="s">
        <v>93</v>
      </c>
      <c r="DH49" s="810"/>
      <c r="DI49" s="810"/>
      <c r="DJ49" s="810"/>
      <c r="DK49" s="810"/>
      <c r="DL49" s="810"/>
      <c r="DM49" s="810"/>
      <c r="DN49" s="810"/>
      <c r="DO49" s="810"/>
      <c r="DP49" s="810"/>
      <c r="DQ49" s="810"/>
      <c r="DR49" s="810"/>
      <c r="DS49" s="810"/>
      <c r="DT49" s="810"/>
      <c r="DU49" s="810" t="s">
        <v>93</v>
      </c>
      <c r="DV49" s="810"/>
      <c r="DW49" s="810" t="s">
        <v>93</v>
      </c>
      <c r="DX49" s="810"/>
      <c r="DY49" s="810"/>
      <c r="DZ49" s="810"/>
      <c r="EA49" s="810"/>
      <c r="EB49" s="810"/>
      <c r="EC49" s="810"/>
      <c r="ED49" s="810"/>
      <c r="EE49" s="810"/>
      <c r="EF49" s="810"/>
      <c r="EG49" s="810"/>
      <c r="EH49" s="810"/>
      <c r="EI49" s="810"/>
      <c r="EJ49" s="810"/>
      <c r="EK49" s="810"/>
      <c r="EL49" s="810"/>
      <c r="EM49" s="810"/>
      <c r="EN49" s="810"/>
      <c r="EO49" s="810"/>
      <c r="EP49" s="810"/>
      <c r="EQ49" s="810"/>
      <c r="ER49" s="810"/>
      <c r="ES49" s="810"/>
      <c r="ET49" s="810"/>
      <c r="EU49" s="810"/>
      <c r="EV49" s="810"/>
      <c r="EW49" s="810"/>
      <c r="EX49" s="810"/>
      <c r="EY49" s="810"/>
      <c r="EZ49" s="810"/>
      <c r="FA49" s="810"/>
      <c r="FB49" s="810"/>
      <c r="FC49" s="810"/>
      <c r="FD49" s="810"/>
      <c r="FE49" s="810"/>
      <c r="FF49" s="810" t="s">
        <v>93</v>
      </c>
      <c r="FG49" s="810" t="s">
        <v>93</v>
      </c>
      <c r="FH49" s="810" t="s">
        <v>93</v>
      </c>
      <c r="FI49" s="810"/>
      <c r="FJ49" s="810" t="s">
        <v>93</v>
      </c>
      <c r="FK49" s="810" t="s">
        <v>93</v>
      </c>
      <c r="FL49" s="810" t="s">
        <v>93</v>
      </c>
      <c r="FM49" s="810"/>
      <c r="FN49" s="810"/>
      <c r="FO49" s="810"/>
      <c r="FP49" s="810"/>
      <c r="FQ49" s="810"/>
      <c r="FR49" s="810"/>
      <c r="FS49" s="810"/>
      <c r="FT49" s="810"/>
      <c r="FU49" s="810"/>
      <c r="FV49" s="810"/>
      <c r="FW49" s="810"/>
      <c r="FX49" s="810"/>
      <c r="FY49" s="810"/>
      <c r="FZ49" s="810"/>
      <c r="GA49" s="810"/>
      <c r="GB49" s="810"/>
      <c r="GC49" s="810"/>
      <c r="GD49" s="810"/>
      <c r="GE49" s="810"/>
      <c r="GF49" s="810"/>
      <c r="GG49" s="810"/>
      <c r="GH49" s="810"/>
      <c r="GI49" s="810"/>
      <c r="GJ49" s="810"/>
      <c r="GK49" s="810"/>
      <c r="GL49" s="810"/>
      <c r="GM49" s="810"/>
      <c r="GN49" s="810"/>
      <c r="GO49" s="810"/>
      <c r="GP49" s="810" t="s">
        <v>93</v>
      </c>
      <c r="GQ49" s="810" t="s">
        <v>93</v>
      </c>
      <c r="GR49" s="810"/>
      <c r="GS49" s="810"/>
      <c r="GT49" s="810"/>
      <c r="GU49" s="810"/>
      <c r="GV49" s="810"/>
      <c r="GW49" s="810"/>
      <c r="GX49" s="810"/>
      <c r="GY49" s="810"/>
      <c r="GZ49" s="810"/>
      <c r="HA49" s="810"/>
      <c r="HB49" s="810"/>
      <c r="HC49" s="810"/>
      <c r="HD49" s="810"/>
      <c r="HE49" s="810"/>
      <c r="HF49" s="810"/>
      <c r="HG49" s="810"/>
      <c r="HH49" s="810"/>
      <c r="HI49" s="810"/>
      <c r="HJ49" s="810"/>
      <c r="HK49" s="810"/>
      <c r="HL49" s="810"/>
      <c r="HM49" s="810"/>
      <c r="HN49" s="810"/>
      <c r="HO49" s="810"/>
      <c r="HP49" s="810"/>
      <c r="HQ49" s="810"/>
      <c r="HR49" s="810"/>
      <c r="HS49" s="810"/>
      <c r="HT49" s="810"/>
      <c r="HU49" s="810"/>
      <c r="HV49" s="810"/>
      <c r="HW49" s="810"/>
      <c r="HX49" s="810"/>
      <c r="HY49" s="857"/>
      <c r="HZ49" s="857"/>
      <c r="IA49" s="857"/>
      <c r="IB49" s="857"/>
      <c r="IC49" s="857"/>
      <c r="ID49" s="857"/>
      <c r="IE49" s="857"/>
      <c r="IF49" s="857"/>
      <c r="IG49" s="857"/>
      <c r="IH49" s="857"/>
      <c r="II49" s="857"/>
      <c r="IJ49" s="857"/>
      <c r="IK49" s="857"/>
      <c r="IL49" s="857"/>
      <c r="IM49" s="857"/>
      <c r="IN49" s="857"/>
      <c r="IO49" s="857"/>
      <c r="IP49" s="857"/>
      <c r="IQ49" s="857"/>
      <c r="IR49" s="857"/>
      <c r="IS49" s="857"/>
      <c r="IT49" s="857"/>
      <c r="IU49" s="857"/>
      <c r="IV49" s="857"/>
    </row>
    <row r="50" spans="1:256" ht="20.100000000000001" customHeight="1">
      <c r="A50" s="809" t="s">
        <v>87</v>
      </c>
      <c r="B50" s="810"/>
      <c r="C50" s="810" t="str">
        <f>IF(ISTEXT(IFERROR(VLOOKUP(A50,职业列表!I3:J10,1,FALSE),0)),"★","")</f>
        <v/>
      </c>
      <c r="D50" s="810"/>
      <c r="E50" s="810"/>
      <c r="F50" s="810"/>
      <c r="G50" s="810"/>
      <c r="H50" s="810"/>
      <c r="I50" s="810"/>
      <c r="J50" s="810"/>
      <c r="K50" s="810"/>
      <c r="L50" s="810"/>
      <c r="M50" s="810"/>
      <c r="N50" s="810"/>
      <c r="O50" s="810"/>
      <c r="P50" s="810"/>
      <c r="Q50" s="810"/>
      <c r="R50" s="810"/>
      <c r="S50" s="810"/>
      <c r="T50" s="810"/>
      <c r="U50" s="810"/>
      <c r="V50" s="810"/>
      <c r="W50" s="810"/>
      <c r="X50" s="810"/>
      <c r="Y50" s="810"/>
      <c r="Z50" s="810"/>
      <c r="AA50" s="810"/>
      <c r="AB50" s="810"/>
      <c r="AC50" s="810"/>
      <c r="AD50" s="810"/>
      <c r="AE50" s="810" t="s">
        <v>93</v>
      </c>
      <c r="AF50" s="810"/>
      <c r="AG50" s="810"/>
      <c r="AH50" s="810"/>
      <c r="AI50" s="810"/>
      <c r="AJ50" s="810"/>
      <c r="AK50" s="810"/>
      <c r="AL50" s="810"/>
      <c r="AM50" s="810"/>
      <c r="AN50" s="810"/>
      <c r="AO50" s="810"/>
      <c r="AP50" s="810"/>
      <c r="AQ50" s="810"/>
      <c r="AR50" s="810"/>
      <c r="AS50" s="810"/>
      <c r="AT50" s="810"/>
      <c r="AU50" s="810"/>
      <c r="AV50" s="810"/>
      <c r="AW50" s="810"/>
      <c r="AX50" s="810"/>
      <c r="AY50" s="810"/>
      <c r="AZ50" s="810"/>
      <c r="BA50" s="810" t="s">
        <v>93</v>
      </c>
      <c r="BB50" s="810"/>
      <c r="BC50" s="810"/>
      <c r="BD50" s="810" t="s">
        <v>93</v>
      </c>
      <c r="BE50" s="810"/>
      <c r="BF50" s="810" t="s">
        <v>93</v>
      </c>
      <c r="BG50" s="810"/>
      <c r="BH50" s="810"/>
      <c r="BI50" s="810"/>
      <c r="BJ50" s="810"/>
      <c r="BK50" s="810"/>
      <c r="BL50" s="810"/>
      <c r="BM50" s="810"/>
      <c r="BN50" s="810"/>
      <c r="BO50" s="810"/>
      <c r="BP50" s="810"/>
      <c r="BQ50" s="810"/>
      <c r="BR50" s="810"/>
      <c r="BS50" s="810" t="s">
        <v>93</v>
      </c>
      <c r="BT50" s="810"/>
      <c r="BU50" s="810" t="s">
        <v>93</v>
      </c>
      <c r="BV50" s="810"/>
      <c r="BW50" s="810"/>
      <c r="BX50" s="810" t="s">
        <v>93</v>
      </c>
      <c r="BY50" s="810"/>
      <c r="BZ50" s="810"/>
      <c r="CA50" s="810"/>
      <c r="CB50" s="810"/>
      <c r="CC50" s="810"/>
      <c r="CD50" s="810"/>
      <c r="CE50" s="810"/>
      <c r="CF50" s="810"/>
      <c r="CG50" s="810"/>
      <c r="CH50" s="810"/>
      <c r="CI50" s="810"/>
      <c r="CJ50" s="810"/>
      <c r="CK50" s="810" t="s">
        <v>93</v>
      </c>
      <c r="CL50" s="810"/>
      <c r="CM50" s="810"/>
      <c r="CN50" s="810"/>
      <c r="CO50" s="810"/>
      <c r="CP50" s="810"/>
      <c r="CQ50" s="810"/>
      <c r="CR50" s="810"/>
      <c r="CS50" s="810"/>
      <c r="CT50" s="810"/>
      <c r="CU50" s="810"/>
      <c r="CV50" s="810"/>
      <c r="CW50" s="810"/>
      <c r="CX50" s="810"/>
      <c r="CY50" s="810"/>
      <c r="CZ50" s="810"/>
      <c r="DA50" s="810"/>
      <c r="DB50" s="810"/>
      <c r="DC50" s="810"/>
      <c r="DD50" s="810"/>
      <c r="DE50" s="810"/>
      <c r="DF50" s="810"/>
      <c r="DG50" s="810"/>
      <c r="DH50" s="810" t="s">
        <v>93</v>
      </c>
      <c r="DI50" s="810"/>
      <c r="DJ50" s="810"/>
      <c r="DK50" s="810"/>
      <c r="DL50" s="810"/>
      <c r="DM50" s="810"/>
      <c r="DN50" s="810"/>
      <c r="DO50" s="810"/>
      <c r="DP50" s="810"/>
      <c r="DQ50" s="810"/>
      <c r="DR50" s="810"/>
      <c r="DS50" s="810"/>
      <c r="DT50" s="810"/>
      <c r="DU50" s="810"/>
      <c r="DV50" s="810"/>
      <c r="DW50" s="810"/>
      <c r="DX50" s="810"/>
      <c r="DY50" s="810"/>
      <c r="DZ50" s="810"/>
      <c r="EA50" s="810"/>
      <c r="EB50" s="810"/>
      <c r="EC50" s="810"/>
      <c r="ED50" s="810"/>
      <c r="EE50" s="810"/>
      <c r="EF50" s="810"/>
      <c r="EG50" s="810"/>
      <c r="EH50" s="810"/>
      <c r="EI50" s="810"/>
      <c r="EJ50" s="810"/>
      <c r="EK50" s="810"/>
      <c r="EL50" s="810"/>
      <c r="EM50" s="810"/>
      <c r="EN50" s="810" t="s">
        <v>93</v>
      </c>
      <c r="EO50" s="810"/>
      <c r="EP50" s="810"/>
      <c r="EQ50" s="810"/>
      <c r="ER50" s="810"/>
      <c r="ES50" s="810"/>
      <c r="ET50" s="810"/>
      <c r="EU50" s="810"/>
      <c r="EV50" s="810"/>
      <c r="EW50" s="810"/>
      <c r="EX50" s="810"/>
      <c r="EY50" s="810"/>
      <c r="EZ50" s="810"/>
      <c r="FA50" s="810"/>
      <c r="FB50" s="810"/>
      <c r="FC50" s="810"/>
      <c r="FD50" s="810"/>
      <c r="FE50" s="810"/>
      <c r="FF50" s="810"/>
      <c r="FG50" s="810"/>
      <c r="FH50" s="810"/>
      <c r="FI50" s="810"/>
      <c r="FJ50" s="810"/>
      <c r="FK50" s="810"/>
      <c r="FL50" s="810"/>
      <c r="FM50" s="810"/>
      <c r="FN50" s="810"/>
      <c r="FO50" s="810"/>
      <c r="FP50" s="810" t="s">
        <v>93</v>
      </c>
      <c r="FQ50" s="810"/>
      <c r="FR50" s="810"/>
      <c r="FS50" s="810"/>
      <c r="FT50" s="810"/>
      <c r="FU50" s="810"/>
      <c r="FV50" s="810"/>
      <c r="FW50" s="810"/>
      <c r="FX50" s="810"/>
      <c r="FY50" s="810"/>
      <c r="FZ50" s="810"/>
      <c r="GA50" s="810"/>
      <c r="GB50" s="810"/>
      <c r="GC50" s="810"/>
      <c r="GD50" s="810"/>
      <c r="GE50" s="810"/>
      <c r="GF50" s="810"/>
      <c r="GG50" s="810"/>
      <c r="GH50" s="810"/>
      <c r="GI50" s="810"/>
      <c r="GJ50" s="810"/>
      <c r="GK50" s="810"/>
      <c r="GL50" s="810"/>
      <c r="GM50" s="810"/>
      <c r="GN50" s="810"/>
      <c r="GO50" s="810"/>
      <c r="GP50" s="810"/>
      <c r="GQ50" s="810"/>
      <c r="GR50" s="810" t="s">
        <v>93</v>
      </c>
      <c r="GS50" s="810"/>
      <c r="GT50" s="810"/>
      <c r="GU50" s="810"/>
      <c r="GV50" s="810"/>
      <c r="GW50" s="810"/>
      <c r="GX50" s="810"/>
      <c r="GY50" s="810"/>
      <c r="GZ50" s="810"/>
      <c r="HA50" s="810"/>
      <c r="HB50" s="810"/>
      <c r="HC50" s="810"/>
      <c r="HD50" s="810"/>
      <c r="HE50" s="810"/>
      <c r="HF50" s="810"/>
      <c r="HG50" s="810"/>
      <c r="HH50" s="810"/>
      <c r="HI50" s="810"/>
      <c r="HJ50" s="810"/>
      <c r="HK50" s="810"/>
      <c r="HL50" s="810"/>
      <c r="HM50" s="810"/>
      <c r="HN50" s="810"/>
      <c r="HO50" s="811" t="s">
        <v>93</v>
      </c>
      <c r="HP50" s="810"/>
      <c r="HQ50" s="810"/>
      <c r="HR50" s="810"/>
      <c r="HS50" s="810"/>
      <c r="HT50" s="810"/>
      <c r="HU50" s="810"/>
      <c r="HV50" s="810"/>
      <c r="HW50" s="810"/>
      <c r="HX50" s="810"/>
      <c r="HY50" s="857"/>
      <c r="HZ50" s="857"/>
      <c r="IA50" s="857"/>
      <c r="IB50" s="857"/>
      <c r="IC50" s="857"/>
      <c r="ID50" s="857"/>
      <c r="IE50" s="857"/>
      <c r="IF50" s="857"/>
      <c r="IG50" s="857"/>
      <c r="IH50" s="857"/>
      <c r="II50" s="857"/>
      <c r="IJ50" s="857"/>
      <c r="IK50" s="857"/>
      <c r="IL50" s="857"/>
      <c r="IM50" s="857"/>
      <c r="IN50" s="857"/>
      <c r="IO50" s="857"/>
      <c r="IP50" s="857"/>
      <c r="IQ50" s="857"/>
      <c r="IR50" s="857"/>
      <c r="IS50" s="857"/>
      <c r="IT50" s="857"/>
      <c r="IU50" s="857"/>
      <c r="IV50" s="857"/>
    </row>
    <row r="51" spans="1:256" s="793" customFormat="1" ht="20.100000000000001" customHeight="1">
      <c r="A51" s="816" t="s">
        <v>95</v>
      </c>
      <c r="B51" s="817"/>
      <c r="C51" s="810" t="str">
        <f>IF(ISTEXT(IFERROR(VLOOKUP(A51,职业列表!I3:J10,1,FALSE),0)),"★","")</f>
        <v/>
      </c>
      <c r="D51" s="817" t="s">
        <v>93</v>
      </c>
      <c r="E51" s="817"/>
      <c r="F51" s="817" t="s">
        <v>1369</v>
      </c>
      <c r="G51" s="817" t="s">
        <v>1369</v>
      </c>
      <c r="H51" s="817" t="s">
        <v>1369</v>
      </c>
      <c r="I51" s="817"/>
      <c r="J51" s="817"/>
      <c r="K51" s="817" t="s">
        <v>1369</v>
      </c>
      <c r="L51" s="817" t="s">
        <v>1369</v>
      </c>
      <c r="M51" s="817"/>
      <c r="N51" s="817" t="s">
        <v>93</v>
      </c>
      <c r="O51" s="817" t="s">
        <v>1369</v>
      </c>
      <c r="P51" s="817" t="s">
        <v>1369</v>
      </c>
      <c r="Q51" s="817" t="s">
        <v>1369</v>
      </c>
      <c r="R51" s="817"/>
      <c r="S51" s="817" t="s">
        <v>1369</v>
      </c>
      <c r="T51" s="817"/>
      <c r="U51" s="817" t="s">
        <v>1369</v>
      </c>
      <c r="V51" s="817" t="s">
        <v>1369</v>
      </c>
      <c r="W51" s="817"/>
      <c r="X51" s="817"/>
      <c r="Y51" s="817" t="s">
        <v>1369</v>
      </c>
      <c r="Z51" s="817"/>
      <c r="AA51" s="818" t="s">
        <v>1369</v>
      </c>
      <c r="AB51" s="817"/>
      <c r="AC51" s="817"/>
      <c r="AD51" s="817"/>
      <c r="AE51" s="817"/>
      <c r="AF51" s="817" t="s">
        <v>1369</v>
      </c>
      <c r="AG51" s="817"/>
      <c r="AH51" s="817" t="s">
        <v>1369</v>
      </c>
      <c r="AI51" s="817" t="s">
        <v>1369</v>
      </c>
      <c r="AJ51" s="817" t="s">
        <v>1369</v>
      </c>
      <c r="AK51" s="817" t="s">
        <v>1369</v>
      </c>
      <c r="AL51" s="817"/>
      <c r="AM51" s="817" t="s">
        <v>1369</v>
      </c>
      <c r="AN51" s="817" t="s">
        <v>1369</v>
      </c>
      <c r="AO51" s="817" t="s">
        <v>1369</v>
      </c>
      <c r="AP51" s="817" t="s">
        <v>1369</v>
      </c>
      <c r="AQ51" s="843"/>
      <c r="AR51" s="817" t="s">
        <v>1369</v>
      </c>
      <c r="AS51" s="817"/>
      <c r="AT51" s="817"/>
      <c r="AU51" s="817" t="s">
        <v>1369</v>
      </c>
      <c r="AV51" s="817" t="s">
        <v>1369</v>
      </c>
      <c r="AW51" s="817" t="s">
        <v>1369</v>
      </c>
      <c r="AX51" s="817"/>
      <c r="AY51" s="817" t="s">
        <v>1369</v>
      </c>
      <c r="AZ51" s="817" t="s">
        <v>93</v>
      </c>
      <c r="BA51" s="817"/>
      <c r="BB51" s="817" t="s">
        <v>1369</v>
      </c>
      <c r="BC51" s="817"/>
      <c r="BD51" s="817" t="s">
        <v>1369</v>
      </c>
      <c r="BE51" s="817" t="s">
        <v>93</v>
      </c>
      <c r="BF51" s="817"/>
      <c r="BG51" s="817" t="s">
        <v>1369</v>
      </c>
      <c r="BH51" s="817" t="s">
        <v>93</v>
      </c>
      <c r="BI51" s="817" t="s">
        <v>1369</v>
      </c>
      <c r="BJ51" s="817" t="s">
        <v>1369</v>
      </c>
      <c r="BK51" s="817" t="s">
        <v>1369</v>
      </c>
      <c r="BL51" s="817" t="s">
        <v>1369</v>
      </c>
      <c r="BM51" s="817"/>
      <c r="BN51" s="817" t="s">
        <v>1369</v>
      </c>
      <c r="BO51" s="817" t="s">
        <v>1369</v>
      </c>
      <c r="BP51" s="817" t="s">
        <v>1369</v>
      </c>
      <c r="BQ51" s="817" t="s">
        <v>93</v>
      </c>
      <c r="BR51" s="817"/>
      <c r="BS51" s="817"/>
      <c r="BT51" s="817"/>
      <c r="BU51" s="843"/>
      <c r="BV51" s="817" t="s">
        <v>1369</v>
      </c>
      <c r="BW51" s="817"/>
      <c r="BX51" s="817"/>
      <c r="BY51" s="817" t="s">
        <v>1369</v>
      </c>
      <c r="BZ51" s="817" t="s">
        <v>1369</v>
      </c>
      <c r="CA51" s="817"/>
      <c r="CB51" s="817"/>
      <c r="CC51" s="817" t="s">
        <v>1369</v>
      </c>
      <c r="CD51" s="817" t="s">
        <v>1369</v>
      </c>
      <c r="CE51" s="817" t="s">
        <v>1369</v>
      </c>
      <c r="CF51" s="817"/>
      <c r="CG51" s="817"/>
      <c r="CH51" s="817" t="s">
        <v>1369</v>
      </c>
      <c r="CI51" s="817" t="s">
        <v>1369</v>
      </c>
      <c r="CJ51" s="817" t="s">
        <v>1369</v>
      </c>
      <c r="CK51" s="817"/>
      <c r="CL51" s="817"/>
      <c r="CM51" s="817" t="s">
        <v>1369</v>
      </c>
      <c r="CN51" s="817" t="s">
        <v>1369</v>
      </c>
      <c r="CO51" s="817" t="s">
        <v>1369</v>
      </c>
      <c r="CP51" s="817"/>
      <c r="CQ51" s="817"/>
      <c r="CR51" s="817" t="s">
        <v>1369</v>
      </c>
      <c r="CS51" s="817" t="s">
        <v>93</v>
      </c>
      <c r="CT51" s="817" t="s">
        <v>93</v>
      </c>
      <c r="CU51" s="817" t="s">
        <v>1369</v>
      </c>
      <c r="CV51" s="817"/>
      <c r="CW51" s="817" t="s">
        <v>1369</v>
      </c>
      <c r="CX51" s="817" t="s">
        <v>1369</v>
      </c>
      <c r="CY51" s="817" t="s">
        <v>1369</v>
      </c>
      <c r="CZ51" s="817" t="s">
        <v>1369</v>
      </c>
      <c r="DA51" s="817" t="s">
        <v>1369</v>
      </c>
      <c r="DB51" s="817"/>
      <c r="DC51" s="817" t="s">
        <v>1369</v>
      </c>
      <c r="DD51" s="817"/>
      <c r="DE51" s="817"/>
      <c r="DF51" s="817"/>
      <c r="DG51" s="817" t="s">
        <v>1369</v>
      </c>
      <c r="DH51" s="817" t="s">
        <v>1369</v>
      </c>
      <c r="DI51" s="817" t="s">
        <v>1369</v>
      </c>
      <c r="DJ51" s="817" t="s">
        <v>1369</v>
      </c>
      <c r="DK51" s="817" t="s">
        <v>1369</v>
      </c>
      <c r="DL51" s="817" t="s">
        <v>1369</v>
      </c>
      <c r="DM51" s="817"/>
      <c r="DN51" s="817" t="s">
        <v>93</v>
      </c>
      <c r="DO51" s="817" t="s">
        <v>1369</v>
      </c>
      <c r="DP51" s="817" t="s">
        <v>1369</v>
      </c>
      <c r="DQ51" s="817" t="s">
        <v>1369</v>
      </c>
      <c r="DR51" s="817" t="s">
        <v>1369</v>
      </c>
      <c r="DS51" s="817" t="s">
        <v>1369</v>
      </c>
      <c r="DT51" s="817" t="s">
        <v>1369</v>
      </c>
      <c r="DU51" s="817" t="s">
        <v>1369</v>
      </c>
      <c r="DV51" s="817" t="s">
        <v>1369</v>
      </c>
      <c r="DW51" s="817" t="s">
        <v>1369</v>
      </c>
      <c r="DX51" s="817" t="s">
        <v>1369</v>
      </c>
      <c r="DY51" s="817" t="s">
        <v>1369</v>
      </c>
      <c r="DZ51" s="817" t="s">
        <v>1369</v>
      </c>
      <c r="EA51" s="817" t="s">
        <v>1369</v>
      </c>
      <c r="EB51" s="817" t="s">
        <v>1369</v>
      </c>
      <c r="EC51" s="817" t="s">
        <v>1369</v>
      </c>
      <c r="ED51" s="817" t="s">
        <v>93</v>
      </c>
      <c r="EE51" s="817" t="s">
        <v>1369</v>
      </c>
      <c r="EF51" s="817"/>
      <c r="EG51" s="817"/>
      <c r="EH51" s="817"/>
      <c r="EI51" s="817" t="s">
        <v>1369</v>
      </c>
      <c r="EJ51" s="817" t="s">
        <v>1369</v>
      </c>
      <c r="EK51" s="817" t="s">
        <v>1369</v>
      </c>
      <c r="EL51" s="817"/>
      <c r="EM51" s="817" t="s">
        <v>1369</v>
      </c>
      <c r="EN51" s="817"/>
      <c r="EO51" s="817" t="s">
        <v>1369</v>
      </c>
      <c r="EP51" s="817"/>
      <c r="EQ51" s="817" t="s">
        <v>93</v>
      </c>
      <c r="ER51" s="817" t="s">
        <v>1369</v>
      </c>
      <c r="ES51" s="817" t="s">
        <v>1369</v>
      </c>
      <c r="ET51" s="817" t="s">
        <v>1369</v>
      </c>
      <c r="EU51" s="817" t="s">
        <v>1369</v>
      </c>
      <c r="EV51" s="817" t="s">
        <v>1369</v>
      </c>
      <c r="EW51" s="817"/>
      <c r="EX51" s="817" t="s">
        <v>1369</v>
      </c>
      <c r="EY51" s="817" t="s">
        <v>1369</v>
      </c>
      <c r="EZ51" s="817"/>
      <c r="FA51" s="817" t="s">
        <v>1369</v>
      </c>
      <c r="FB51" s="817" t="s">
        <v>1369</v>
      </c>
      <c r="FC51" s="817" t="s">
        <v>1367</v>
      </c>
      <c r="FD51" s="817"/>
      <c r="FE51" s="817" t="s">
        <v>1369</v>
      </c>
      <c r="FF51" s="817" t="s">
        <v>1369</v>
      </c>
      <c r="FG51" s="817" t="s">
        <v>1369</v>
      </c>
      <c r="FH51" s="817"/>
      <c r="FI51" s="817"/>
      <c r="FJ51" s="817" t="s">
        <v>1367</v>
      </c>
      <c r="FK51" s="817"/>
      <c r="FL51" s="817"/>
      <c r="FM51" s="817" t="s">
        <v>1369</v>
      </c>
      <c r="FN51" s="817"/>
      <c r="FO51" s="817"/>
      <c r="FP51" s="817"/>
      <c r="FQ51" s="817" t="s">
        <v>1369</v>
      </c>
      <c r="FR51" s="817" t="s">
        <v>1369</v>
      </c>
      <c r="FS51" s="817" t="s">
        <v>93</v>
      </c>
      <c r="FT51" s="817"/>
      <c r="FU51" s="817"/>
      <c r="FV51" s="817" t="s">
        <v>1369</v>
      </c>
      <c r="FW51" s="817"/>
      <c r="FX51" s="817"/>
      <c r="FY51" s="817" t="s">
        <v>1369</v>
      </c>
      <c r="FZ51" s="817"/>
      <c r="GA51" s="817"/>
      <c r="GB51" s="817" t="s">
        <v>1369</v>
      </c>
      <c r="GC51" s="817"/>
      <c r="GD51" s="817"/>
      <c r="GE51" s="817"/>
      <c r="GF51" s="817" t="s">
        <v>1369</v>
      </c>
      <c r="GG51" s="817" t="s">
        <v>1369</v>
      </c>
      <c r="GH51" s="817" t="s">
        <v>1369</v>
      </c>
      <c r="GI51" s="817" t="s">
        <v>1369</v>
      </c>
      <c r="GJ51" s="817"/>
      <c r="GK51" s="817" t="s">
        <v>93</v>
      </c>
      <c r="GL51" s="817" t="s">
        <v>93</v>
      </c>
      <c r="GM51" s="817" t="s">
        <v>93</v>
      </c>
      <c r="GN51" s="817" t="s">
        <v>1369</v>
      </c>
      <c r="GO51" s="817" t="s">
        <v>1369</v>
      </c>
      <c r="GP51" s="817" t="s">
        <v>1369</v>
      </c>
      <c r="GQ51" s="817" t="s">
        <v>1369</v>
      </c>
      <c r="GR51" s="817"/>
      <c r="GS51" s="817"/>
      <c r="GT51" s="817" t="s">
        <v>1369</v>
      </c>
      <c r="GU51" s="817"/>
      <c r="GV51" s="817"/>
      <c r="GW51" s="817" t="s">
        <v>1369</v>
      </c>
      <c r="GX51" s="817" t="s">
        <v>1369</v>
      </c>
      <c r="GY51" s="817" t="s">
        <v>1369</v>
      </c>
      <c r="GZ51" s="817" t="s">
        <v>1369</v>
      </c>
      <c r="HA51" s="817" t="s">
        <v>1369</v>
      </c>
      <c r="HB51" s="817"/>
      <c r="HC51" s="817" t="s">
        <v>1369</v>
      </c>
      <c r="HD51" s="817"/>
      <c r="HE51" s="817" t="s">
        <v>1369</v>
      </c>
      <c r="HF51" s="817"/>
      <c r="HG51" s="817" t="s">
        <v>1369</v>
      </c>
      <c r="HH51" s="817" t="s">
        <v>1369</v>
      </c>
      <c r="HI51" s="817"/>
      <c r="HJ51" s="818" t="s">
        <v>1369</v>
      </c>
      <c r="HK51" s="817" t="s">
        <v>1369</v>
      </c>
      <c r="HL51" s="817"/>
      <c r="HM51" s="817" t="s">
        <v>1369</v>
      </c>
      <c r="HN51" s="817" t="s">
        <v>1369</v>
      </c>
      <c r="HO51" s="817" t="s">
        <v>1369</v>
      </c>
      <c r="HP51" s="817" t="s">
        <v>1369</v>
      </c>
      <c r="HQ51" s="817"/>
      <c r="HR51" s="818" t="s">
        <v>1369</v>
      </c>
      <c r="HS51" s="817" t="s">
        <v>1369</v>
      </c>
      <c r="HT51" s="817" t="s">
        <v>1369</v>
      </c>
      <c r="HU51" s="817" t="s">
        <v>1370</v>
      </c>
      <c r="HV51" s="817" t="s">
        <v>1369</v>
      </c>
      <c r="HW51" s="817"/>
      <c r="HX51" s="817" t="s">
        <v>1369</v>
      </c>
      <c r="HY51" s="861"/>
      <c r="HZ51" s="861"/>
      <c r="IA51" s="861"/>
      <c r="IB51" s="861"/>
      <c r="IC51" s="861"/>
      <c r="ID51" s="861"/>
      <c r="IE51" s="861"/>
      <c r="IF51" s="861"/>
      <c r="IG51" s="861"/>
      <c r="IH51" s="861"/>
      <c r="II51" s="861"/>
      <c r="IJ51" s="861"/>
      <c r="IK51" s="861"/>
      <c r="IL51" s="861"/>
      <c r="IM51" s="861"/>
      <c r="IN51" s="861"/>
      <c r="IO51" s="861"/>
      <c r="IP51" s="861"/>
      <c r="IQ51" s="861"/>
      <c r="IR51" s="861"/>
      <c r="IS51" s="861"/>
      <c r="IT51" s="861"/>
      <c r="IU51" s="861"/>
      <c r="IV51" s="861"/>
    </row>
    <row r="52" spans="1:256" ht="20.100000000000001" customHeight="1">
      <c r="A52" s="832" t="s">
        <v>97</v>
      </c>
      <c r="B52" s="810"/>
      <c r="C52" s="810" t="str">
        <f>IF(ISTEXT(IFERROR(VLOOKUP(A52,职业列表!I3:J10,1,FALSE),0)),"★","")</f>
        <v/>
      </c>
      <c r="D52" s="810"/>
      <c r="E52" s="810"/>
      <c r="F52" s="810"/>
      <c r="G52" s="810"/>
      <c r="H52" s="810"/>
      <c r="I52" s="810"/>
      <c r="J52" s="810"/>
      <c r="K52" s="810"/>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t="s">
        <v>1367</v>
      </c>
      <c r="AN52" s="810"/>
      <c r="AO52" s="810"/>
      <c r="AP52" s="810"/>
      <c r="AQ52" s="810"/>
      <c r="AR52" s="810"/>
      <c r="AS52" s="810" t="s">
        <v>1412</v>
      </c>
      <c r="AT52" s="810"/>
      <c r="AU52" s="810"/>
      <c r="AV52" s="810"/>
      <c r="AW52" s="810"/>
      <c r="AX52" s="810"/>
      <c r="AY52" s="810"/>
      <c r="AZ52" s="810"/>
      <c r="BA52" s="810"/>
      <c r="BB52" s="810"/>
      <c r="BC52" s="810"/>
      <c r="BD52" s="810"/>
      <c r="BE52" s="810"/>
      <c r="BF52" s="810"/>
      <c r="BG52" s="810"/>
      <c r="BH52" s="810"/>
      <c r="BI52" s="810"/>
      <c r="BJ52" s="810"/>
      <c r="BK52" s="810"/>
      <c r="BL52" s="810"/>
      <c r="BM52" s="810"/>
      <c r="BN52" s="810"/>
      <c r="BO52" s="810"/>
      <c r="BP52" s="810"/>
      <c r="BQ52" s="810"/>
      <c r="BR52" s="810"/>
      <c r="BS52" s="810"/>
      <c r="BT52" s="810"/>
      <c r="BU52" s="810"/>
      <c r="BV52" s="810"/>
      <c r="BW52" s="810"/>
      <c r="BX52" s="810"/>
      <c r="BY52" s="810"/>
      <c r="BZ52" s="810"/>
      <c r="CA52" s="810"/>
      <c r="CB52" s="810"/>
      <c r="CC52" s="810"/>
      <c r="CD52" s="810"/>
      <c r="CE52" s="810"/>
      <c r="CF52" s="810"/>
      <c r="CG52" s="810"/>
      <c r="CH52" s="810"/>
      <c r="CI52" s="810"/>
      <c r="CJ52" s="810"/>
      <c r="CK52" s="811" t="s">
        <v>1413</v>
      </c>
      <c r="CL52" s="811" t="s">
        <v>1413</v>
      </c>
      <c r="CM52" s="810"/>
      <c r="CN52" s="810"/>
      <c r="CO52" s="810"/>
      <c r="CP52" s="810"/>
      <c r="CQ52" s="810"/>
      <c r="CR52" s="810"/>
      <c r="CS52" s="810"/>
      <c r="CT52" s="810"/>
      <c r="CU52" s="810"/>
      <c r="CV52" s="810" t="s">
        <v>1412</v>
      </c>
      <c r="CW52" s="810" t="s">
        <v>1412</v>
      </c>
      <c r="CX52" s="810"/>
      <c r="CY52" s="810"/>
      <c r="CZ52" s="810"/>
      <c r="DA52" s="810"/>
      <c r="DB52" s="810"/>
      <c r="DC52" s="810"/>
      <c r="DD52" s="810"/>
      <c r="DE52" s="810" t="s">
        <v>1370</v>
      </c>
      <c r="DF52" s="810"/>
      <c r="DG52" s="810"/>
      <c r="DH52" s="810"/>
      <c r="DI52" s="810"/>
      <c r="DJ52" s="810"/>
      <c r="DK52" s="810"/>
      <c r="DL52" s="810"/>
      <c r="DM52" s="810"/>
      <c r="DN52" s="810"/>
      <c r="DO52" s="810"/>
      <c r="DP52" s="810"/>
      <c r="DQ52" s="810"/>
      <c r="DR52" s="810"/>
      <c r="DS52" s="810"/>
      <c r="DT52" s="810"/>
      <c r="DU52" s="810"/>
      <c r="DV52" s="810"/>
      <c r="DW52" s="810"/>
      <c r="DX52" s="810"/>
      <c r="DY52" s="810"/>
      <c r="DZ52" s="810"/>
      <c r="EA52" s="810"/>
      <c r="EB52" s="810"/>
      <c r="EC52" s="810"/>
      <c r="ED52" s="810"/>
      <c r="EE52" s="810"/>
      <c r="EF52" s="810"/>
      <c r="EG52" s="810"/>
      <c r="EH52" s="810"/>
      <c r="EI52" s="810"/>
      <c r="EJ52" s="810"/>
      <c r="EK52" s="810"/>
      <c r="EL52" s="810"/>
      <c r="EM52" s="810"/>
      <c r="EN52" s="810"/>
      <c r="EO52" s="810"/>
      <c r="EP52" s="810" t="s">
        <v>1412</v>
      </c>
      <c r="EQ52" s="810"/>
      <c r="ER52" s="810"/>
      <c r="ES52" s="810"/>
      <c r="ET52" s="810"/>
      <c r="EU52" s="810"/>
      <c r="EV52" s="810"/>
      <c r="EW52" s="810"/>
      <c r="EX52" s="810"/>
      <c r="EY52" s="810"/>
      <c r="EZ52" s="810"/>
      <c r="FA52" s="810"/>
      <c r="FB52" s="810" t="s">
        <v>93</v>
      </c>
      <c r="FC52" s="810"/>
      <c r="FD52" s="810"/>
      <c r="FE52" s="810"/>
      <c r="FF52" s="810"/>
      <c r="FG52" s="810"/>
      <c r="FH52" s="810"/>
      <c r="FI52" s="810"/>
      <c r="FJ52" s="810"/>
      <c r="FK52" s="810"/>
      <c r="FL52" s="810"/>
      <c r="FM52" s="810"/>
      <c r="FN52" s="810"/>
      <c r="FO52" s="810"/>
      <c r="FP52" s="810" t="s">
        <v>1412</v>
      </c>
      <c r="FQ52" s="810"/>
      <c r="FR52" s="810"/>
      <c r="FS52" s="810"/>
      <c r="FT52" s="810"/>
      <c r="FU52" s="810"/>
      <c r="FV52" s="810"/>
      <c r="FW52" s="810"/>
      <c r="FX52" s="810"/>
      <c r="FY52" s="810"/>
      <c r="FZ52" s="810"/>
      <c r="GA52" s="810" t="s">
        <v>1412</v>
      </c>
      <c r="GB52" s="810" t="s">
        <v>1412</v>
      </c>
      <c r="GC52" s="810"/>
      <c r="GD52" s="810"/>
      <c r="GE52" s="810"/>
      <c r="GF52" s="810"/>
      <c r="GG52" s="810"/>
      <c r="GH52" s="810"/>
      <c r="GI52" s="810"/>
      <c r="GJ52" s="810"/>
      <c r="GK52" s="810"/>
      <c r="GL52" s="810"/>
      <c r="GM52" s="810"/>
      <c r="GN52" s="810"/>
      <c r="GO52" s="810"/>
      <c r="GP52" s="810"/>
      <c r="GQ52" s="810"/>
      <c r="GR52" s="810"/>
      <c r="GS52" s="810"/>
      <c r="GT52" s="810"/>
      <c r="GU52" s="810"/>
      <c r="GV52" s="810"/>
      <c r="GW52" s="810"/>
      <c r="GX52" s="810"/>
      <c r="GY52" s="810"/>
      <c r="GZ52" s="810"/>
      <c r="HA52" s="810"/>
      <c r="HB52" s="810"/>
      <c r="HC52" s="810"/>
      <c r="HD52" s="810"/>
      <c r="HE52" s="810"/>
      <c r="HF52" s="810"/>
      <c r="HG52" s="810"/>
      <c r="HH52" s="810"/>
      <c r="HI52" s="810"/>
      <c r="HJ52" s="810"/>
      <c r="HK52" s="810"/>
      <c r="HL52" s="811" t="s">
        <v>1414</v>
      </c>
      <c r="HM52" s="810"/>
      <c r="HN52" s="810"/>
      <c r="HO52" s="811" t="s">
        <v>1370</v>
      </c>
      <c r="HP52" s="810"/>
      <c r="HQ52" s="810"/>
      <c r="HR52" s="810"/>
      <c r="HS52" s="810"/>
      <c r="HT52" s="810"/>
      <c r="HU52" s="810"/>
      <c r="HV52" s="810"/>
      <c r="HW52" s="810"/>
      <c r="HX52" s="810"/>
      <c r="HY52" s="857"/>
      <c r="HZ52" s="857"/>
      <c r="IA52" s="857"/>
      <c r="IB52" s="857"/>
      <c r="IC52" s="857"/>
      <c r="ID52" s="857"/>
      <c r="IE52" s="857"/>
      <c r="IF52" s="857"/>
      <c r="IG52" s="857"/>
      <c r="IH52" s="857"/>
      <c r="II52" s="857"/>
      <c r="IJ52" s="857"/>
      <c r="IK52" s="857"/>
      <c r="IL52" s="857"/>
      <c r="IM52" s="857"/>
      <c r="IN52" s="857"/>
      <c r="IO52" s="857"/>
      <c r="IP52" s="857"/>
      <c r="IQ52" s="857"/>
      <c r="IR52" s="857"/>
      <c r="IS52" s="857"/>
      <c r="IT52" s="857"/>
      <c r="IU52" s="857"/>
      <c r="IV52" s="857"/>
    </row>
    <row r="53" spans="1:256" ht="20.100000000000001" customHeight="1">
      <c r="A53" s="833" t="s">
        <v>104</v>
      </c>
      <c r="B53" s="810"/>
      <c r="C53" s="810" t="str">
        <f>IF(ISTEXT(IFERROR(VLOOKUP(A53,职业列表!I3:J10,1,FALSE),0)),"★","")</f>
        <v/>
      </c>
      <c r="D53" s="810"/>
      <c r="E53" s="810"/>
      <c r="F53" s="810"/>
      <c r="G53" s="810"/>
      <c r="H53" s="810"/>
      <c r="I53" s="810" t="s">
        <v>93</v>
      </c>
      <c r="J53" s="810"/>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c r="BC53" s="810"/>
      <c r="BD53" s="810"/>
      <c r="BE53" s="810"/>
      <c r="BF53" s="810"/>
      <c r="BG53" s="810"/>
      <c r="BH53" s="810"/>
      <c r="BI53" s="810"/>
      <c r="BJ53" s="810"/>
      <c r="BK53" s="810"/>
      <c r="BL53" s="810"/>
      <c r="BM53" s="810"/>
      <c r="BN53" s="810"/>
      <c r="BO53" s="810"/>
      <c r="BP53" s="810"/>
      <c r="BQ53" s="810"/>
      <c r="BR53" s="810"/>
      <c r="BS53" s="810"/>
      <c r="BT53" s="810"/>
      <c r="BU53" s="810"/>
      <c r="BV53" s="810"/>
      <c r="BW53" s="810"/>
      <c r="BX53" s="810"/>
      <c r="BY53" s="810"/>
      <c r="BZ53" s="810"/>
      <c r="CA53" s="810"/>
      <c r="CB53" s="810"/>
      <c r="CC53" s="810"/>
      <c r="CD53" s="810"/>
      <c r="CE53" s="810"/>
      <c r="CF53" s="810"/>
      <c r="CG53" s="810"/>
      <c r="CH53" s="810"/>
      <c r="CI53" s="810"/>
      <c r="CJ53" s="810"/>
      <c r="CK53" s="810"/>
      <c r="CL53" s="810"/>
      <c r="CM53" s="810"/>
      <c r="CN53" s="810"/>
      <c r="CO53" s="810"/>
      <c r="CP53" s="810"/>
      <c r="CQ53" s="810"/>
      <c r="CR53" s="810"/>
      <c r="CS53" s="810" t="s">
        <v>93</v>
      </c>
      <c r="CT53" s="810" t="s">
        <v>93</v>
      </c>
      <c r="CU53" s="810"/>
      <c r="CV53" s="810"/>
      <c r="CW53" s="810"/>
      <c r="CX53" s="810"/>
      <c r="CY53" s="810"/>
      <c r="CZ53" s="810"/>
      <c r="DA53" s="810"/>
      <c r="DB53" s="810"/>
      <c r="DC53" s="810"/>
      <c r="DD53" s="810"/>
      <c r="DE53" s="810"/>
      <c r="DF53" s="810"/>
      <c r="DG53" s="810"/>
      <c r="DH53" s="810"/>
      <c r="DI53" s="810"/>
      <c r="DJ53" s="810"/>
      <c r="DK53" s="810"/>
      <c r="DL53" s="810"/>
      <c r="DM53" s="810"/>
      <c r="DN53" s="810"/>
      <c r="DO53" s="810"/>
      <c r="DP53" s="810"/>
      <c r="DQ53" s="810"/>
      <c r="DR53" s="810"/>
      <c r="DS53" s="810"/>
      <c r="DT53" s="810"/>
      <c r="DU53" s="810"/>
      <c r="DV53" s="810"/>
      <c r="DW53" s="810"/>
      <c r="DX53" s="810"/>
      <c r="DY53" s="810"/>
      <c r="DZ53" s="810"/>
      <c r="EA53" s="810"/>
      <c r="EB53" s="810"/>
      <c r="EC53" s="810"/>
      <c r="ED53" s="810"/>
      <c r="EE53" s="810"/>
      <c r="EF53" s="810"/>
      <c r="EG53" s="810"/>
      <c r="EH53" s="810"/>
      <c r="EI53" s="810"/>
      <c r="EJ53" s="810"/>
      <c r="EK53" s="810"/>
      <c r="EL53" s="810"/>
      <c r="EM53" s="810"/>
      <c r="EN53" s="810"/>
      <c r="EO53" s="810"/>
      <c r="EP53" s="810"/>
      <c r="EQ53" s="810"/>
      <c r="ER53" s="810"/>
      <c r="ES53" s="810"/>
      <c r="ET53" s="810"/>
      <c r="EU53" s="810"/>
      <c r="EV53" s="810"/>
      <c r="EW53" s="810"/>
      <c r="EX53" s="810"/>
      <c r="EY53" s="810"/>
      <c r="EZ53" s="810"/>
      <c r="FA53" s="810"/>
      <c r="FB53" s="810"/>
      <c r="FC53" s="810"/>
      <c r="FD53" s="810"/>
      <c r="FE53" s="810"/>
      <c r="FF53" s="810"/>
      <c r="FG53" s="810"/>
      <c r="FH53" s="810"/>
      <c r="FI53" s="810"/>
      <c r="FJ53" s="810"/>
      <c r="FK53" s="810"/>
      <c r="FL53" s="810" t="s">
        <v>1367</v>
      </c>
      <c r="FM53" s="810"/>
      <c r="FN53" s="810"/>
      <c r="FO53" s="810"/>
      <c r="FP53" s="810"/>
      <c r="FQ53" s="810" t="s">
        <v>93</v>
      </c>
      <c r="FR53" s="810"/>
      <c r="FS53" s="810"/>
      <c r="FT53" s="810" t="s">
        <v>93</v>
      </c>
      <c r="FU53" s="810"/>
      <c r="FV53" s="810"/>
      <c r="FW53" s="810"/>
      <c r="FX53" s="810"/>
      <c r="FY53" s="810"/>
      <c r="FZ53" s="810"/>
      <c r="GA53" s="810"/>
      <c r="GB53" s="810"/>
      <c r="GC53" s="810"/>
      <c r="GD53" s="810"/>
      <c r="GE53" s="810"/>
      <c r="GF53" s="810"/>
      <c r="GG53" s="810"/>
      <c r="GH53" s="810"/>
      <c r="GI53" s="810"/>
      <c r="GJ53" s="810"/>
      <c r="GK53" s="810"/>
      <c r="GL53" s="810"/>
      <c r="GM53" s="810"/>
      <c r="GN53" s="810"/>
      <c r="GO53" s="810"/>
      <c r="GP53" s="810"/>
      <c r="GQ53" s="810"/>
      <c r="GR53" s="810"/>
      <c r="GS53" s="810"/>
      <c r="GT53" s="810"/>
      <c r="GU53" s="810"/>
      <c r="GV53" s="810"/>
      <c r="GW53" s="810"/>
      <c r="GX53" s="810"/>
      <c r="GY53" s="810"/>
      <c r="GZ53" s="810"/>
      <c r="HA53" s="810"/>
      <c r="HB53" s="810"/>
      <c r="HC53" s="810"/>
      <c r="HD53" s="810"/>
      <c r="HE53" s="810"/>
      <c r="HF53" s="810"/>
      <c r="HG53" s="810"/>
      <c r="HH53" s="810"/>
      <c r="HI53" s="810"/>
      <c r="HJ53" s="810"/>
      <c r="HK53" s="810"/>
      <c r="HL53" s="810"/>
      <c r="HM53" s="810"/>
      <c r="HN53" s="810"/>
      <c r="HO53" s="810"/>
      <c r="HP53" s="810"/>
      <c r="HQ53" s="810"/>
      <c r="HR53" s="810"/>
      <c r="HS53" s="810"/>
      <c r="HT53" s="810"/>
      <c r="HU53" s="810"/>
      <c r="HV53" s="810"/>
      <c r="HW53" s="810"/>
      <c r="HX53" s="810"/>
      <c r="HY53" s="857"/>
      <c r="HZ53" s="857"/>
      <c r="IA53" s="857"/>
      <c r="IB53" s="857"/>
      <c r="IC53" s="857"/>
      <c r="ID53" s="857"/>
      <c r="IE53" s="857"/>
      <c r="IF53" s="857"/>
      <c r="IG53" s="857"/>
      <c r="IH53" s="857"/>
      <c r="II53" s="857"/>
      <c r="IJ53" s="857"/>
      <c r="IK53" s="857"/>
      <c r="IL53" s="857"/>
      <c r="IM53" s="857"/>
      <c r="IN53" s="857"/>
      <c r="IO53" s="857"/>
      <c r="IP53" s="857"/>
      <c r="IQ53" s="857"/>
      <c r="IR53" s="857"/>
      <c r="IS53" s="857"/>
      <c r="IT53" s="857"/>
      <c r="IU53" s="857"/>
      <c r="IV53" s="857"/>
    </row>
    <row r="54" spans="1:256" s="799" customFormat="1" ht="20.100000000000001" customHeight="1">
      <c r="A54" s="834" t="s">
        <v>106</v>
      </c>
      <c r="B54" s="835"/>
      <c r="C54" s="810" t="str">
        <f>IF(ISTEXT(IFERROR(VLOOKUP(A54,职业列表!I3:J10,1,FALSE),0)),"★","")</f>
        <v/>
      </c>
      <c r="D54" s="835"/>
      <c r="E54" s="835"/>
      <c r="F54" s="835" t="s">
        <v>93</v>
      </c>
      <c r="G54" s="835" t="s">
        <v>93</v>
      </c>
      <c r="H54" s="835" t="s">
        <v>93</v>
      </c>
      <c r="I54" s="835" t="s">
        <v>93</v>
      </c>
      <c r="J54" s="835" t="s">
        <v>93</v>
      </c>
      <c r="K54" s="835"/>
      <c r="L54" s="835"/>
      <c r="M54" s="835"/>
      <c r="N54" s="835" t="s">
        <v>93</v>
      </c>
      <c r="O54" s="835" t="s">
        <v>93</v>
      </c>
      <c r="P54" s="835" t="s">
        <v>93</v>
      </c>
      <c r="Q54" s="835"/>
      <c r="R54" s="835" t="s">
        <v>93</v>
      </c>
      <c r="S54" s="835" t="s">
        <v>93</v>
      </c>
      <c r="T54" s="835"/>
      <c r="U54" s="835"/>
      <c r="V54" s="835" t="s">
        <v>93</v>
      </c>
      <c r="W54" s="835" t="s">
        <v>93</v>
      </c>
      <c r="X54" s="835" t="s">
        <v>93</v>
      </c>
      <c r="Y54" s="835" t="s">
        <v>93</v>
      </c>
      <c r="Z54" s="835"/>
      <c r="AA54" s="835"/>
      <c r="AB54" s="835"/>
      <c r="AC54" s="835"/>
      <c r="AD54" s="835" t="s">
        <v>93</v>
      </c>
      <c r="AE54" s="835"/>
      <c r="AF54" s="835" t="s">
        <v>93</v>
      </c>
      <c r="AG54" s="835"/>
      <c r="AH54" s="835" t="s">
        <v>93</v>
      </c>
      <c r="AI54" s="835" t="s">
        <v>93</v>
      </c>
      <c r="AJ54" s="835"/>
      <c r="AK54" s="835"/>
      <c r="AL54" s="835"/>
      <c r="AM54" s="835" t="s">
        <v>93</v>
      </c>
      <c r="AN54" s="835"/>
      <c r="AO54" s="835" t="s">
        <v>93</v>
      </c>
      <c r="AP54" s="835" t="s">
        <v>93</v>
      </c>
      <c r="AQ54" s="835" t="s">
        <v>93</v>
      </c>
      <c r="AR54" s="835"/>
      <c r="AS54" s="835"/>
      <c r="AT54" s="835" t="s">
        <v>93</v>
      </c>
      <c r="AU54" s="835"/>
      <c r="AV54" s="835"/>
      <c r="AW54" s="835" t="s">
        <v>93</v>
      </c>
      <c r="AX54" s="835"/>
      <c r="AY54" s="835" t="s">
        <v>93</v>
      </c>
      <c r="AZ54" s="835" t="s">
        <v>93</v>
      </c>
      <c r="BA54" s="835"/>
      <c r="BB54" s="835" t="s">
        <v>93</v>
      </c>
      <c r="BC54" s="835"/>
      <c r="BD54" s="835"/>
      <c r="BE54" s="835"/>
      <c r="BF54" s="835"/>
      <c r="BG54" s="835" t="s">
        <v>93</v>
      </c>
      <c r="BH54" s="835"/>
      <c r="BI54" s="835" t="s">
        <v>93</v>
      </c>
      <c r="BJ54" s="835" t="s">
        <v>93</v>
      </c>
      <c r="BK54" s="835" t="s">
        <v>93</v>
      </c>
      <c r="BL54" s="835"/>
      <c r="BM54" s="835"/>
      <c r="BN54" s="835" t="s">
        <v>93</v>
      </c>
      <c r="BO54" s="835" t="s">
        <v>93</v>
      </c>
      <c r="BP54" s="835" t="s">
        <v>93</v>
      </c>
      <c r="BQ54" s="835" t="s">
        <v>93</v>
      </c>
      <c r="BR54" s="835"/>
      <c r="BS54" s="835"/>
      <c r="BT54" s="835"/>
      <c r="BU54" s="835"/>
      <c r="BV54" s="835" t="s">
        <v>93</v>
      </c>
      <c r="BW54" s="835"/>
      <c r="BX54" s="835"/>
      <c r="BY54" s="835" t="s">
        <v>93</v>
      </c>
      <c r="BZ54" s="835"/>
      <c r="CA54" s="835"/>
      <c r="CB54" s="835"/>
      <c r="CC54" s="835" t="s">
        <v>93</v>
      </c>
      <c r="CD54" s="835" t="s">
        <v>93</v>
      </c>
      <c r="CE54" s="835"/>
      <c r="CF54" s="835"/>
      <c r="CG54" s="835" t="s">
        <v>93</v>
      </c>
      <c r="CH54" s="835" t="s">
        <v>93</v>
      </c>
      <c r="CI54" s="835" t="s">
        <v>93</v>
      </c>
      <c r="CJ54" s="835" t="s">
        <v>93</v>
      </c>
      <c r="CK54" s="835"/>
      <c r="CL54" s="835"/>
      <c r="CM54" s="835" t="s">
        <v>93</v>
      </c>
      <c r="CN54" s="835" t="s">
        <v>93</v>
      </c>
      <c r="CO54" s="835" t="s">
        <v>93</v>
      </c>
      <c r="CP54" s="835" t="s">
        <v>93</v>
      </c>
      <c r="CQ54" s="835"/>
      <c r="CR54" s="835" t="s">
        <v>93</v>
      </c>
      <c r="CS54" s="835" t="s">
        <v>93</v>
      </c>
      <c r="CT54" s="835" t="s">
        <v>93</v>
      </c>
      <c r="CU54" s="835"/>
      <c r="CV54" s="835"/>
      <c r="CW54" s="835"/>
      <c r="CX54" s="835" t="s">
        <v>93</v>
      </c>
      <c r="CY54" s="835"/>
      <c r="CZ54" s="835" t="s">
        <v>93</v>
      </c>
      <c r="DA54" s="835" t="s">
        <v>93</v>
      </c>
      <c r="DB54" s="835"/>
      <c r="DC54" s="835" t="s">
        <v>93</v>
      </c>
      <c r="DD54" s="835"/>
      <c r="DE54" s="835"/>
      <c r="DF54" s="835"/>
      <c r="DG54" s="835" t="s">
        <v>93</v>
      </c>
      <c r="DH54" s="835" t="s">
        <v>93</v>
      </c>
      <c r="DI54" s="835" t="s">
        <v>93</v>
      </c>
      <c r="DJ54" s="835"/>
      <c r="DK54" s="835" t="s">
        <v>93</v>
      </c>
      <c r="DL54" s="835" t="s">
        <v>93</v>
      </c>
      <c r="DM54" s="835"/>
      <c r="DN54" s="835" t="s">
        <v>93</v>
      </c>
      <c r="DO54" s="835"/>
      <c r="DP54" s="835"/>
      <c r="DQ54" s="835" t="s">
        <v>93</v>
      </c>
      <c r="DR54" s="835"/>
      <c r="DS54" s="835" t="s">
        <v>93</v>
      </c>
      <c r="DT54" s="835" t="s">
        <v>93</v>
      </c>
      <c r="DU54" s="835" t="s">
        <v>93</v>
      </c>
      <c r="DV54" s="835" t="s">
        <v>93</v>
      </c>
      <c r="DW54" s="835" t="s">
        <v>93</v>
      </c>
      <c r="DX54" s="835" t="s">
        <v>93</v>
      </c>
      <c r="DY54" s="835" t="s">
        <v>93</v>
      </c>
      <c r="DZ54" s="835" t="s">
        <v>93</v>
      </c>
      <c r="EA54" s="835" t="s">
        <v>93</v>
      </c>
      <c r="EB54" s="835" t="s">
        <v>93</v>
      </c>
      <c r="EC54" s="835" t="s">
        <v>93</v>
      </c>
      <c r="ED54" s="835"/>
      <c r="EE54" s="835" t="s">
        <v>93</v>
      </c>
      <c r="EF54" s="835" t="s">
        <v>93</v>
      </c>
      <c r="EG54" s="835" t="s">
        <v>93</v>
      </c>
      <c r="EH54" s="835" t="s">
        <v>93</v>
      </c>
      <c r="EI54" s="835" t="s">
        <v>93</v>
      </c>
      <c r="EJ54" s="835"/>
      <c r="EK54" s="835"/>
      <c r="EL54" s="835"/>
      <c r="EM54" s="835" t="s">
        <v>93</v>
      </c>
      <c r="EN54" s="835"/>
      <c r="EO54" s="835" t="s">
        <v>93</v>
      </c>
      <c r="EP54" s="835" t="s">
        <v>93</v>
      </c>
      <c r="EQ54" s="835" t="s">
        <v>93</v>
      </c>
      <c r="ER54" s="835" t="s">
        <v>93</v>
      </c>
      <c r="ES54" s="835" t="s">
        <v>93</v>
      </c>
      <c r="ET54" s="835" t="s">
        <v>93</v>
      </c>
      <c r="EU54" s="835" t="s">
        <v>93</v>
      </c>
      <c r="EV54" s="835" t="s">
        <v>93</v>
      </c>
      <c r="EW54" s="835"/>
      <c r="EX54" s="835" t="s">
        <v>93</v>
      </c>
      <c r="EY54" s="835" t="s">
        <v>93</v>
      </c>
      <c r="EZ54" s="835"/>
      <c r="FA54" s="835" t="s">
        <v>93</v>
      </c>
      <c r="FB54" s="835"/>
      <c r="FC54" s="835" t="s">
        <v>1367</v>
      </c>
      <c r="FD54" s="835"/>
      <c r="FE54" s="835" t="s">
        <v>93</v>
      </c>
      <c r="FF54" s="835" t="s">
        <v>93</v>
      </c>
      <c r="FG54" s="835"/>
      <c r="FH54" s="835" t="s">
        <v>93</v>
      </c>
      <c r="FI54" s="835"/>
      <c r="FJ54" s="835" t="s">
        <v>93</v>
      </c>
      <c r="FK54" s="835"/>
      <c r="FL54" s="835"/>
      <c r="FM54" s="835" t="s">
        <v>93</v>
      </c>
      <c r="FN54" s="835" t="s">
        <v>93</v>
      </c>
      <c r="FO54" s="835" t="s">
        <v>93</v>
      </c>
      <c r="FP54" s="835"/>
      <c r="FQ54" s="835" t="s">
        <v>93</v>
      </c>
      <c r="FR54" s="835"/>
      <c r="FS54" s="835"/>
      <c r="FT54" s="835" t="s">
        <v>93</v>
      </c>
      <c r="FU54" s="835"/>
      <c r="FV54" s="835"/>
      <c r="FW54" s="835"/>
      <c r="FX54" s="835"/>
      <c r="FY54" s="835" t="s">
        <v>93</v>
      </c>
      <c r="FZ54" s="835" t="s">
        <v>93</v>
      </c>
      <c r="GA54" s="835"/>
      <c r="GB54" s="835"/>
      <c r="GC54" s="835"/>
      <c r="GD54" s="835"/>
      <c r="GE54" s="835"/>
      <c r="GF54" s="835" t="s">
        <v>93</v>
      </c>
      <c r="GG54" s="835" t="s">
        <v>93</v>
      </c>
      <c r="GH54" s="835" t="s">
        <v>93</v>
      </c>
      <c r="GI54" s="835" t="s">
        <v>93</v>
      </c>
      <c r="GJ54" s="835"/>
      <c r="GK54" s="835" t="s">
        <v>93</v>
      </c>
      <c r="GL54" s="835" t="s">
        <v>93</v>
      </c>
      <c r="GM54" s="835" t="s">
        <v>93</v>
      </c>
      <c r="GN54" s="835" t="s">
        <v>93</v>
      </c>
      <c r="GO54" s="835"/>
      <c r="GP54" s="835"/>
      <c r="GQ54" s="835" t="s">
        <v>93</v>
      </c>
      <c r="GR54" s="835"/>
      <c r="GS54" s="835"/>
      <c r="GT54" s="835"/>
      <c r="GU54" s="835"/>
      <c r="GV54" s="835"/>
      <c r="GW54" s="835" t="s">
        <v>93</v>
      </c>
      <c r="GX54" s="835"/>
      <c r="GY54" s="835" t="s">
        <v>93</v>
      </c>
      <c r="GZ54" s="835" t="s">
        <v>93</v>
      </c>
      <c r="HA54" s="835"/>
      <c r="HB54" s="835"/>
      <c r="HC54" s="835" t="s">
        <v>93</v>
      </c>
      <c r="HD54" s="853" t="s">
        <v>93</v>
      </c>
      <c r="HE54" s="854" t="s">
        <v>93</v>
      </c>
      <c r="HF54" s="835" t="s">
        <v>93</v>
      </c>
      <c r="HG54" s="835"/>
      <c r="HH54" s="835"/>
      <c r="HI54" s="835"/>
      <c r="HJ54" s="835" t="s">
        <v>93</v>
      </c>
      <c r="HK54" s="854" t="s">
        <v>93</v>
      </c>
      <c r="HL54" s="835"/>
      <c r="HM54" s="835"/>
      <c r="HN54" s="854" t="s">
        <v>93</v>
      </c>
      <c r="HO54" s="835"/>
      <c r="HP54" s="854" t="s">
        <v>93</v>
      </c>
      <c r="HQ54" s="835" t="s">
        <v>93</v>
      </c>
      <c r="HR54" s="835" t="s">
        <v>93</v>
      </c>
      <c r="HS54" s="835" t="s">
        <v>93</v>
      </c>
      <c r="HT54" s="835"/>
      <c r="HU54" s="835"/>
      <c r="HV54" s="835" t="s">
        <v>93</v>
      </c>
      <c r="HW54" s="835"/>
      <c r="HX54" s="835" t="s">
        <v>93</v>
      </c>
      <c r="HY54" s="867"/>
      <c r="HZ54" s="867"/>
      <c r="IA54" s="867"/>
      <c r="IB54" s="867"/>
      <c r="IC54" s="867"/>
      <c r="ID54" s="867"/>
      <c r="IE54" s="867"/>
      <c r="IF54" s="867"/>
      <c r="IG54" s="867"/>
      <c r="IH54" s="867"/>
      <c r="II54" s="867"/>
      <c r="IJ54" s="867"/>
      <c r="IK54" s="867"/>
      <c r="IL54" s="867"/>
      <c r="IM54" s="867"/>
      <c r="IN54" s="867"/>
      <c r="IO54" s="867"/>
      <c r="IP54" s="867"/>
      <c r="IQ54" s="867"/>
      <c r="IR54" s="867"/>
      <c r="IS54" s="867"/>
      <c r="IT54" s="867"/>
      <c r="IU54" s="867"/>
      <c r="IV54" s="867"/>
    </row>
    <row r="55" spans="1:256" ht="20.100000000000001" customHeight="1">
      <c r="A55" s="833" t="s">
        <v>110</v>
      </c>
      <c r="B55" s="810"/>
      <c r="C55" s="811" t="str">
        <f>IF(ISTEXT(IFERROR(VLOOKUP(A55,职业列表!I3:J10,1,FALSE),0)),"★","")</f>
        <v/>
      </c>
      <c r="D55" s="810"/>
      <c r="E55" s="810"/>
      <c r="F55" s="810"/>
      <c r="G55" s="810"/>
      <c r="H55" s="810"/>
      <c r="I55" s="810"/>
      <c r="J55" s="810"/>
      <c r="K55" s="810"/>
      <c r="L55" s="810"/>
      <c r="M55" s="810"/>
      <c r="N55" s="810"/>
      <c r="O55" s="810"/>
      <c r="P55" s="810"/>
      <c r="Q55" s="810" t="s">
        <v>93</v>
      </c>
      <c r="R55" s="810"/>
      <c r="S55" s="810"/>
      <c r="T55" s="810"/>
      <c r="U55" s="810"/>
      <c r="V55" s="810"/>
      <c r="W55" s="810"/>
      <c r="X55" s="810"/>
      <c r="Y55" s="810"/>
      <c r="Z55" s="810"/>
      <c r="AA55" s="810"/>
      <c r="AB55" s="810" t="s">
        <v>93</v>
      </c>
      <c r="AC55" s="810"/>
      <c r="AD55" s="810"/>
      <c r="AE55" s="810"/>
      <c r="AF55" s="810"/>
      <c r="AG55" s="810"/>
      <c r="AH55" s="810"/>
      <c r="AI55" s="810"/>
      <c r="AJ55" s="810"/>
      <c r="AK55" s="810"/>
      <c r="AL55" s="810"/>
      <c r="AM55" s="810"/>
      <c r="AN55" s="810"/>
      <c r="AO55" s="810"/>
      <c r="AP55" s="810"/>
      <c r="AQ55" s="815"/>
      <c r="AR55" s="810" t="s">
        <v>93</v>
      </c>
      <c r="AS55" s="810"/>
      <c r="AT55" s="810"/>
      <c r="AU55" s="810"/>
      <c r="AV55" s="810"/>
      <c r="AW55" s="810"/>
      <c r="AX55" s="810"/>
      <c r="AY55" s="810"/>
      <c r="AZ55" s="810"/>
      <c r="BA55" s="810"/>
      <c r="BB55" s="810"/>
      <c r="BC55" s="810"/>
      <c r="BD55" s="810"/>
      <c r="BE55" s="810"/>
      <c r="BF55" s="810"/>
      <c r="BG55" s="810"/>
      <c r="BH55" s="810"/>
      <c r="BI55" s="810"/>
      <c r="BJ55" s="810"/>
      <c r="BK55" s="810"/>
      <c r="BL55" s="810" t="s">
        <v>93</v>
      </c>
      <c r="BM55" s="810"/>
      <c r="BN55" s="810"/>
      <c r="BO55" s="810"/>
      <c r="BP55" s="810"/>
      <c r="BQ55" s="810"/>
      <c r="BR55" s="810"/>
      <c r="BS55" s="810"/>
      <c r="BT55" s="810"/>
      <c r="BU55" s="810"/>
      <c r="BV55" s="810"/>
      <c r="BW55" s="810"/>
      <c r="BX55" s="810"/>
      <c r="BY55" s="810"/>
      <c r="BZ55" s="810"/>
      <c r="CA55" s="810"/>
      <c r="CB55" s="810"/>
      <c r="CC55" s="810"/>
      <c r="CD55" s="810"/>
      <c r="CE55" s="810"/>
      <c r="CF55" s="810"/>
      <c r="CG55" s="810"/>
      <c r="CH55" s="810"/>
      <c r="CI55" s="810"/>
      <c r="CJ55" s="810"/>
      <c r="CK55" s="810"/>
      <c r="CL55" s="810"/>
      <c r="CM55" s="810"/>
      <c r="CN55" s="810" t="s">
        <v>1367</v>
      </c>
      <c r="CO55" s="810"/>
      <c r="CP55" s="810"/>
      <c r="CQ55" s="810"/>
      <c r="CR55" s="810"/>
      <c r="CS55" s="810"/>
      <c r="CT55" s="810"/>
      <c r="CU55" s="810"/>
      <c r="CV55" s="810"/>
      <c r="CW55" s="810"/>
      <c r="CX55" s="810"/>
      <c r="CY55" s="810"/>
      <c r="CZ55" s="810"/>
      <c r="DA55" s="810"/>
      <c r="DB55" s="810"/>
      <c r="DC55" s="810"/>
      <c r="DD55" s="810"/>
      <c r="DE55" s="810" t="s">
        <v>1370</v>
      </c>
      <c r="DF55" s="810"/>
      <c r="DG55" s="810"/>
      <c r="DH55" s="810"/>
      <c r="DI55" s="810"/>
      <c r="DJ55" s="810"/>
      <c r="DK55" s="810"/>
      <c r="DL55" s="810"/>
      <c r="DM55" s="810"/>
      <c r="DN55" s="810"/>
      <c r="DO55" s="810"/>
      <c r="DP55" s="810" t="s">
        <v>93</v>
      </c>
      <c r="DQ55" s="810"/>
      <c r="DR55" s="810"/>
      <c r="DS55" s="810"/>
      <c r="DT55" s="810"/>
      <c r="DU55" s="810"/>
      <c r="DV55" s="810"/>
      <c r="DW55" s="810"/>
      <c r="DX55" s="810"/>
      <c r="DY55" s="810"/>
      <c r="DZ55" s="810"/>
      <c r="EA55" s="810"/>
      <c r="EB55" s="810"/>
      <c r="EC55" s="810"/>
      <c r="ED55" s="810"/>
      <c r="EE55" s="810"/>
      <c r="EF55" s="810"/>
      <c r="EG55" s="810"/>
      <c r="EH55" s="810"/>
      <c r="EI55" s="810"/>
      <c r="EJ55" s="810"/>
      <c r="EK55" s="810"/>
      <c r="EL55" s="810"/>
      <c r="EM55" s="810"/>
      <c r="EN55" s="810"/>
      <c r="EO55" s="810"/>
      <c r="EP55" s="810"/>
      <c r="EQ55" s="810"/>
      <c r="ER55" s="810"/>
      <c r="ES55" s="810"/>
      <c r="ET55" s="810"/>
      <c r="EU55" s="810"/>
      <c r="EV55" s="810"/>
      <c r="EW55" s="810"/>
      <c r="EX55" s="810"/>
      <c r="EY55" s="810"/>
      <c r="EZ55" s="810"/>
      <c r="FA55" s="810"/>
      <c r="FB55" s="810"/>
      <c r="FC55" s="810" t="s">
        <v>93</v>
      </c>
      <c r="FD55" s="810"/>
      <c r="FE55" s="810"/>
      <c r="FF55" s="810"/>
      <c r="FG55" s="810"/>
      <c r="FH55" s="810"/>
      <c r="FI55" s="810"/>
      <c r="FJ55" s="810"/>
      <c r="FK55" s="810"/>
      <c r="FL55" s="810"/>
      <c r="FM55" s="810"/>
      <c r="FN55" s="810"/>
      <c r="FO55" s="810"/>
      <c r="FP55" s="810"/>
      <c r="FQ55" s="810"/>
      <c r="FR55" s="810" t="s">
        <v>93</v>
      </c>
      <c r="FS55" s="810"/>
      <c r="FT55" s="810"/>
      <c r="FU55" s="810"/>
      <c r="FV55" s="810"/>
      <c r="FW55" s="810"/>
      <c r="FX55" s="810"/>
      <c r="FY55" s="810"/>
      <c r="FZ55" s="810"/>
      <c r="GA55" s="810"/>
      <c r="GB55" s="810"/>
      <c r="GC55" s="810"/>
      <c r="GD55" s="810"/>
      <c r="GE55" s="810"/>
      <c r="GF55" s="810"/>
      <c r="GG55" s="810"/>
      <c r="GH55" s="810"/>
      <c r="GI55" s="810"/>
      <c r="GJ55" s="810"/>
      <c r="GK55" s="810"/>
      <c r="GL55" s="810"/>
      <c r="GM55" s="810"/>
      <c r="GN55" s="810"/>
      <c r="GO55" s="810"/>
      <c r="GP55" s="810"/>
      <c r="GQ55" s="810"/>
      <c r="GR55" s="810"/>
      <c r="GS55" s="810"/>
      <c r="GT55" s="810"/>
      <c r="GU55" s="810"/>
      <c r="GV55" s="810"/>
      <c r="GW55" s="810" t="s">
        <v>1367</v>
      </c>
      <c r="GX55" s="810"/>
      <c r="GY55" s="810" t="s">
        <v>93</v>
      </c>
      <c r="GZ55" s="810"/>
      <c r="HA55" s="810" t="s">
        <v>93</v>
      </c>
      <c r="HB55" s="810"/>
      <c r="HC55" s="810"/>
      <c r="HD55" s="810"/>
      <c r="HE55" s="810"/>
      <c r="HF55" s="810"/>
      <c r="HG55" s="810"/>
      <c r="HH55" s="810"/>
      <c r="HI55" s="810"/>
      <c r="HJ55" s="810"/>
      <c r="HK55" s="810" t="s">
        <v>93</v>
      </c>
      <c r="HL55" s="810" t="s">
        <v>93</v>
      </c>
      <c r="HM55" s="810"/>
      <c r="HN55" s="810"/>
      <c r="HO55" s="810"/>
      <c r="HP55" s="810"/>
      <c r="HQ55" s="810"/>
      <c r="HR55" s="810"/>
      <c r="HS55" s="810"/>
      <c r="HT55" s="810"/>
      <c r="HU55" s="810"/>
      <c r="HV55" s="810"/>
      <c r="HW55" s="810"/>
      <c r="HX55" s="810"/>
      <c r="HY55" s="857"/>
      <c r="HZ55" s="857"/>
      <c r="IA55" s="857"/>
      <c r="IB55" s="857"/>
      <c r="IC55" s="857"/>
      <c r="ID55" s="857"/>
      <c r="IE55" s="857"/>
      <c r="IF55" s="857"/>
      <c r="IG55" s="857"/>
      <c r="IH55" s="857"/>
      <c r="II55" s="857"/>
      <c r="IJ55" s="857"/>
      <c r="IK55" s="857"/>
      <c r="IL55" s="857"/>
      <c r="IM55" s="857"/>
      <c r="IN55" s="857"/>
      <c r="IO55" s="857"/>
      <c r="IP55" s="857"/>
      <c r="IQ55" s="857"/>
      <c r="IR55" s="857"/>
      <c r="IS55" s="857"/>
      <c r="IT55" s="857"/>
      <c r="IU55" s="857"/>
      <c r="IV55" s="857"/>
    </row>
    <row r="56" spans="1:256" s="800" customFormat="1" ht="20.100000000000001" customHeight="1">
      <c r="A56" s="836" t="s">
        <v>112</v>
      </c>
      <c r="B56" s="837"/>
      <c r="C56" s="810" t="str">
        <f>IF(ISTEXT(IFERROR(VLOOKUP(A56,职业列表!I3:J10,1,FALSE),0)),"★","")</f>
        <v/>
      </c>
      <c r="D56" s="837"/>
      <c r="E56" s="837"/>
      <c r="F56" s="837"/>
      <c r="G56" s="837"/>
      <c r="H56" s="837"/>
      <c r="I56" s="837" t="s">
        <v>1415</v>
      </c>
      <c r="J56" s="837" t="s">
        <v>1416</v>
      </c>
      <c r="K56" s="837"/>
      <c r="L56" s="837"/>
      <c r="M56" s="839" t="s">
        <v>1367</v>
      </c>
      <c r="N56" s="837" t="s">
        <v>1417</v>
      </c>
      <c r="O56" s="837"/>
      <c r="P56" s="837"/>
      <c r="Q56" s="837"/>
      <c r="R56" s="837"/>
      <c r="S56" s="837"/>
      <c r="T56" s="837" t="s">
        <v>1415</v>
      </c>
      <c r="U56" s="837"/>
      <c r="V56" s="837"/>
      <c r="W56" s="837"/>
      <c r="X56" s="837"/>
      <c r="Y56" s="837"/>
      <c r="Z56" s="837" t="s">
        <v>1417</v>
      </c>
      <c r="AA56" s="837"/>
      <c r="AB56" s="837"/>
      <c r="AC56" s="837"/>
      <c r="AD56" s="837"/>
      <c r="AE56" s="837"/>
      <c r="AF56" s="837"/>
      <c r="AG56" s="837"/>
      <c r="AH56" s="837"/>
      <c r="AI56" s="837"/>
      <c r="AJ56" s="837"/>
      <c r="AK56" s="837"/>
      <c r="AL56" s="837"/>
      <c r="AM56" s="837"/>
      <c r="AN56" s="837"/>
      <c r="AO56" s="837"/>
      <c r="AP56" s="837"/>
      <c r="AQ56" s="837"/>
      <c r="AR56" s="837"/>
      <c r="AS56" s="837" t="s">
        <v>1415</v>
      </c>
      <c r="AT56" s="837" t="s">
        <v>1415</v>
      </c>
      <c r="AU56" s="837"/>
      <c r="AV56" s="837"/>
      <c r="AW56" s="837"/>
      <c r="AX56" s="837"/>
      <c r="AY56" s="837"/>
      <c r="AZ56" s="837"/>
      <c r="BA56" s="837" t="s">
        <v>1418</v>
      </c>
      <c r="BB56" s="837"/>
      <c r="BC56" s="837"/>
      <c r="BD56" s="837"/>
      <c r="BE56" s="837"/>
      <c r="BF56" s="837"/>
      <c r="BG56" s="837"/>
      <c r="BH56" s="837" t="s">
        <v>1415</v>
      </c>
      <c r="BI56" s="837"/>
      <c r="BJ56" s="837"/>
      <c r="BK56" s="837"/>
      <c r="BL56" s="837"/>
      <c r="BM56" s="837"/>
      <c r="BN56" s="837"/>
      <c r="BO56" s="837"/>
      <c r="BP56" s="837"/>
      <c r="BQ56" s="837"/>
      <c r="BR56" s="837" t="s">
        <v>1419</v>
      </c>
      <c r="BS56" s="850"/>
      <c r="BT56" s="837" t="s">
        <v>1420</v>
      </c>
      <c r="BU56" s="837" t="s">
        <v>1421</v>
      </c>
      <c r="BV56" s="837"/>
      <c r="BW56" s="837"/>
      <c r="BX56" s="837"/>
      <c r="BY56" s="837"/>
      <c r="BZ56" s="837"/>
      <c r="CA56" s="837"/>
      <c r="CB56" s="837"/>
      <c r="CC56" s="837"/>
      <c r="CD56" s="837" t="s">
        <v>1415</v>
      </c>
      <c r="CE56" s="839" t="s">
        <v>1422</v>
      </c>
      <c r="CF56" s="837"/>
      <c r="CG56" s="837"/>
      <c r="CH56" s="837" t="s">
        <v>1419</v>
      </c>
      <c r="CI56" s="837" t="s">
        <v>1419</v>
      </c>
      <c r="CJ56" s="837" t="s">
        <v>1419</v>
      </c>
      <c r="CK56" s="837" t="s">
        <v>1423</v>
      </c>
      <c r="CL56" s="837"/>
      <c r="CM56" s="837"/>
      <c r="CN56" s="837"/>
      <c r="CO56" s="837"/>
      <c r="CP56" s="837"/>
      <c r="CQ56" s="837" t="s">
        <v>1421</v>
      </c>
      <c r="CR56" s="837"/>
      <c r="CS56" s="837" t="s">
        <v>1415</v>
      </c>
      <c r="CT56" s="837"/>
      <c r="CU56" s="837"/>
      <c r="CV56" s="837"/>
      <c r="CW56" s="837"/>
      <c r="CX56" s="837"/>
      <c r="CY56" s="837" t="s">
        <v>93</v>
      </c>
      <c r="CZ56" s="837"/>
      <c r="DA56" s="837"/>
      <c r="DB56" s="837"/>
      <c r="DC56" s="837"/>
      <c r="DD56" s="837"/>
      <c r="DE56" s="837"/>
      <c r="DF56" s="837"/>
      <c r="DG56" s="837" t="s">
        <v>1415</v>
      </c>
      <c r="DH56" s="837"/>
      <c r="DI56" s="837"/>
      <c r="DJ56" s="837"/>
      <c r="DK56" s="837"/>
      <c r="DL56" s="837"/>
      <c r="DM56" s="837" t="s">
        <v>1424</v>
      </c>
      <c r="DN56" s="837"/>
      <c r="DO56" s="837"/>
      <c r="DP56" s="837"/>
      <c r="DQ56" s="837"/>
      <c r="DR56" s="837"/>
      <c r="DS56" s="837"/>
      <c r="DT56" s="837"/>
      <c r="DU56" s="837"/>
      <c r="DV56" s="837"/>
      <c r="DW56" s="837"/>
      <c r="DX56" s="837"/>
      <c r="DY56" s="837"/>
      <c r="DZ56" s="837"/>
      <c r="EA56" s="837"/>
      <c r="EB56" s="837"/>
      <c r="EC56" s="837"/>
      <c r="ED56" s="837"/>
      <c r="EE56" s="837"/>
      <c r="EF56" s="837" t="s">
        <v>1415</v>
      </c>
      <c r="EG56" s="837" t="s">
        <v>1415</v>
      </c>
      <c r="EH56" s="837" t="s">
        <v>1415</v>
      </c>
      <c r="EI56" s="837"/>
      <c r="EJ56" s="837"/>
      <c r="EK56" s="837"/>
      <c r="EL56" s="837" t="s">
        <v>1419</v>
      </c>
      <c r="EM56" s="837"/>
      <c r="EN56" s="837"/>
      <c r="EO56" s="837"/>
      <c r="EP56" s="837"/>
      <c r="EQ56" s="837"/>
      <c r="ER56" s="837"/>
      <c r="ES56" s="837"/>
      <c r="ET56" s="837"/>
      <c r="EU56" s="837"/>
      <c r="EV56" s="837"/>
      <c r="EW56" s="837"/>
      <c r="EX56" s="837"/>
      <c r="EY56" s="837"/>
      <c r="EZ56" s="837" t="s">
        <v>1415</v>
      </c>
      <c r="FA56" s="837" t="s">
        <v>1424</v>
      </c>
      <c r="FB56" s="837"/>
      <c r="FC56" s="837"/>
      <c r="FD56" s="837"/>
      <c r="FE56" s="837"/>
      <c r="FF56" s="837"/>
      <c r="FG56" s="837" t="s">
        <v>1423</v>
      </c>
      <c r="FH56" s="837"/>
      <c r="FI56" s="837" t="s">
        <v>1367</v>
      </c>
      <c r="FJ56" s="837"/>
      <c r="FK56" s="837" t="s">
        <v>1423</v>
      </c>
      <c r="FL56" s="837" t="s">
        <v>1419</v>
      </c>
      <c r="FM56" s="837"/>
      <c r="FN56" s="837"/>
      <c r="FO56" s="837"/>
      <c r="FP56" s="837" t="s">
        <v>1423</v>
      </c>
      <c r="FQ56" s="837"/>
      <c r="FR56" s="837"/>
      <c r="FS56" s="837"/>
      <c r="FT56" s="837" t="s">
        <v>1416</v>
      </c>
      <c r="FU56" s="837" t="s">
        <v>1419</v>
      </c>
      <c r="FV56" s="837" t="s">
        <v>1424</v>
      </c>
      <c r="FW56" s="837" t="s">
        <v>1419</v>
      </c>
      <c r="FX56" s="837"/>
      <c r="FY56" s="837"/>
      <c r="FZ56" s="837"/>
      <c r="GA56" s="837"/>
      <c r="GB56" s="837"/>
      <c r="GC56" s="837"/>
      <c r="GD56" s="837"/>
      <c r="GE56" s="837"/>
      <c r="GF56" s="837"/>
      <c r="GG56" s="837"/>
      <c r="GH56" s="837"/>
      <c r="GI56" s="837"/>
      <c r="GJ56" s="837"/>
      <c r="GK56" s="837"/>
      <c r="GL56" s="837"/>
      <c r="GM56" s="837"/>
      <c r="GN56" s="837"/>
      <c r="GO56" s="837"/>
      <c r="GP56" s="837" t="s">
        <v>1425</v>
      </c>
      <c r="GQ56" s="837"/>
      <c r="GR56" s="837"/>
      <c r="GS56" s="837" t="s">
        <v>1415</v>
      </c>
      <c r="GT56" s="837"/>
      <c r="GU56" s="837"/>
      <c r="GV56" s="837"/>
      <c r="GW56" s="837"/>
      <c r="GX56" s="837"/>
      <c r="GY56" s="837"/>
      <c r="GZ56" s="837"/>
      <c r="HA56" s="837"/>
      <c r="HB56" s="837"/>
      <c r="HC56" s="837"/>
      <c r="HD56" s="837"/>
      <c r="HE56" s="837"/>
      <c r="HF56" s="839" t="s">
        <v>1419</v>
      </c>
      <c r="HG56" s="837"/>
      <c r="HH56" s="837"/>
      <c r="HI56" s="837"/>
      <c r="HJ56" s="837"/>
      <c r="HK56" s="837"/>
      <c r="HL56" s="837" t="s">
        <v>1415</v>
      </c>
      <c r="HM56" s="837"/>
      <c r="HN56" s="837"/>
      <c r="HO56" s="837"/>
      <c r="HP56" s="837"/>
      <c r="HQ56" s="839" t="s">
        <v>1415</v>
      </c>
      <c r="HR56" s="837"/>
      <c r="HS56" s="837"/>
      <c r="HT56" s="837"/>
      <c r="HU56" s="837"/>
      <c r="HV56" s="837"/>
      <c r="HW56" s="837"/>
      <c r="HX56" s="837"/>
      <c r="HY56" s="868"/>
      <c r="HZ56" s="868"/>
      <c r="IA56" s="868"/>
      <c r="IB56" s="868"/>
      <c r="IC56" s="868"/>
      <c r="ID56" s="868"/>
      <c r="IE56" s="868"/>
      <c r="IF56" s="868"/>
      <c r="IG56" s="868"/>
      <c r="IH56" s="868"/>
      <c r="II56" s="868"/>
      <c r="IJ56" s="868"/>
      <c r="IK56" s="868"/>
      <c r="IL56" s="868"/>
      <c r="IM56" s="868"/>
      <c r="IN56" s="868"/>
      <c r="IO56" s="868"/>
      <c r="IP56" s="868"/>
      <c r="IQ56" s="868"/>
      <c r="IR56" s="868"/>
      <c r="IS56" s="868"/>
      <c r="IT56" s="868"/>
      <c r="IU56" s="868"/>
      <c r="IV56" s="868"/>
    </row>
    <row r="57" spans="1:256" ht="20.100000000000001" customHeight="1">
      <c r="A57" s="814" t="s">
        <v>115</v>
      </c>
      <c r="B57" s="810"/>
      <c r="C57" s="810" t="str">
        <f>IF(ISTEXT(IFERROR(VLOOKUP(A57,职业列表!I3:J10,1,FALSE),0)),"★","")</f>
        <v/>
      </c>
      <c r="D57" s="815"/>
      <c r="E57" s="815"/>
      <c r="F57" s="815"/>
      <c r="G57" s="815"/>
      <c r="H57" s="815"/>
      <c r="I57" s="815" t="s">
        <v>1419</v>
      </c>
      <c r="J57" s="815"/>
      <c r="K57" s="815"/>
      <c r="L57" s="815"/>
      <c r="M57" s="815"/>
      <c r="N57" s="815"/>
      <c r="O57" s="815"/>
      <c r="P57" s="815"/>
      <c r="Q57" s="815"/>
      <c r="R57" s="815"/>
      <c r="S57" s="815"/>
      <c r="T57" s="815" t="s">
        <v>1426</v>
      </c>
      <c r="U57" s="815"/>
      <c r="V57" s="815"/>
      <c r="W57" s="815"/>
      <c r="X57" s="815"/>
      <c r="Y57" s="815"/>
      <c r="Z57" s="815"/>
      <c r="AA57" s="815"/>
      <c r="AB57" s="815"/>
      <c r="AC57" s="815"/>
      <c r="AD57" s="815"/>
      <c r="AE57" s="815"/>
      <c r="AF57" s="815"/>
      <c r="AG57" s="815"/>
      <c r="AH57" s="815"/>
      <c r="AI57" s="815"/>
      <c r="AJ57" s="815"/>
      <c r="AK57" s="815"/>
      <c r="AL57" s="815"/>
      <c r="AM57" s="815"/>
      <c r="AN57" s="815"/>
      <c r="AO57" s="815"/>
      <c r="AP57" s="815"/>
      <c r="AQ57" s="815"/>
      <c r="AR57" s="815"/>
      <c r="AS57" s="815"/>
      <c r="AT57" s="815" t="s">
        <v>1424</v>
      </c>
      <c r="AU57" s="815"/>
      <c r="AV57" s="815"/>
      <c r="AW57" s="815"/>
      <c r="AX57" s="815"/>
      <c r="AY57" s="815"/>
      <c r="AZ57" s="815"/>
      <c r="BA57" s="815" t="s">
        <v>1425</v>
      </c>
      <c r="BB57" s="815"/>
      <c r="BC57" s="815"/>
      <c r="BD57" s="815"/>
      <c r="BE57" s="815"/>
      <c r="BF57" s="815"/>
      <c r="BG57" s="815"/>
      <c r="BH57" s="815" t="s">
        <v>1427</v>
      </c>
      <c r="BI57" s="815"/>
      <c r="BJ57" s="815"/>
      <c r="BK57" s="815"/>
      <c r="BL57" s="815"/>
      <c r="BM57" s="815"/>
      <c r="BN57" s="815"/>
      <c r="BO57" s="815"/>
      <c r="BP57" s="815"/>
      <c r="BQ57" s="815"/>
      <c r="BR57" s="810" t="s">
        <v>93</v>
      </c>
      <c r="BS57" s="815"/>
      <c r="BT57" s="841" t="s">
        <v>1428</v>
      </c>
      <c r="BU57" s="815"/>
      <c r="BV57" s="815"/>
      <c r="BW57" s="815"/>
      <c r="BX57" s="815"/>
      <c r="BY57" s="815"/>
      <c r="BZ57" s="815"/>
      <c r="CA57" s="815"/>
      <c r="CB57" s="815"/>
      <c r="CC57" s="815"/>
      <c r="CD57" s="815" t="s">
        <v>1419</v>
      </c>
      <c r="CE57" s="815"/>
      <c r="CF57" s="815"/>
      <c r="CG57" s="815"/>
      <c r="CH57" s="815" t="s">
        <v>1429</v>
      </c>
      <c r="CI57" s="815"/>
      <c r="CJ57" s="815"/>
      <c r="CK57" s="815"/>
      <c r="CL57" s="815"/>
      <c r="CM57" s="815"/>
      <c r="CN57" s="815"/>
      <c r="CO57" s="815"/>
      <c r="CP57" s="815"/>
      <c r="CQ57" s="815"/>
      <c r="CR57" s="815"/>
      <c r="CS57" s="815" t="s">
        <v>1419</v>
      </c>
      <c r="CT57" s="815"/>
      <c r="CU57" s="815"/>
      <c r="CV57" s="815"/>
      <c r="CW57" s="815"/>
      <c r="CX57" s="815"/>
      <c r="CY57" s="810" t="s">
        <v>93</v>
      </c>
      <c r="CZ57" s="815"/>
      <c r="DA57" s="815"/>
      <c r="DB57" s="815"/>
      <c r="DC57" s="815"/>
      <c r="DD57" s="815"/>
      <c r="DE57" s="815"/>
      <c r="DF57" s="815"/>
      <c r="DG57" s="815" t="s">
        <v>1419</v>
      </c>
      <c r="DH57" s="815"/>
      <c r="DI57" s="815"/>
      <c r="DJ57" s="815"/>
      <c r="DK57" s="815"/>
      <c r="DL57" s="815"/>
      <c r="DM57" s="815" t="s">
        <v>1416</v>
      </c>
      <c r="DN57" s="810"/>
      <c r="DO57" s="810"/>
      <c r="DP57" s="810"/>
      <c r="DQ57" s="810"/>
      <c r="DR57" s="810"/>
      <c r="DS57" s="810"/>
      <c r="DT57" s="810"/>
      <c r="DU57" s="810"/>
      <c r="DV57" s="810"/>
      <c r="DW57" s="810"/>
      <c r="DX57" s="810"/>
      <c r="DY57" s="810"/>
      <c r="DZ57" s="810"/>
      <c r="EA57" s="810"/>
      <c r="EB57" s="810"/>
      <c r="EC57" s="810"/>
      <c r="ED57" s="810"/>
      <c r="EE57" s="810"/>
      <c r="EF57" s="810" t="s">
        <v>1424</v>
      </c>
      <c r="EG57" s="810" t="s">
        <v>1424</v>
      </c>
      <c r="EH57" s="810" t="s">
        <v>1424</v>
      </c>
      <c r="EI57" s="810"/>
      <c r="EJ57" s="810"/>
      <c r="EK57" s="810"/>
      <c r="EL57" s="810" t="s">
        <v>1427</v>
      </c>
      <c r="EM57" s="810"/>
      <c r="EN57" s="810"/>
      <c r="EO57" s="810"/>
      <c r="EP57" s="810"/>
      <c r="EQ57" s="810"/>
      <c r="ER57" s="810"/>
      <c r="ES57" s="810"/>
      <c r="ET57" s="810"/>
      <c r="EU57" s="810"/>
      <c r="EV57" s="810"/>
      <c r="EW57" s="810"/>
      <c r="EX57" s="810"/>
      <c r="EY57" s="810"/>
      <c r="EZ57" s="810" t="s">
        <v>1419</v>
      </c>
      <c r="FA57" s="810"/>
      <c r="FB57" s="810"/>
      <c r="FC57" s="810"/>
      <c r="FD57" s="810"/>
      <c r="FE57" s="810"/>
      <c r="FF57" s="810"/>
      <c r="FG57" s="810" t="s">
        <v>1421</v>
      </c>
      <c r="FH57" s="810"/>
      <c r="FI57" s="810"/>
      <c r="FJ57" s="810"/>
      <c r="FK57" s="810"/>
      <c r="FL57" s="810"/>
      <c r="FM57" s="810"/>
      <c r="FN57" s="810"/>
      <c r="FO57" s="810"/>
      <c r="FP57" s="810"/>
      <c r="FQ57" s="810"/>
      <c r="FR57" s="810"/>
      <c r="FS57" s="810"/>
      <c r="FT57" s="810"/>
      <c r="FU57" s="810"/>
      <c r="FV57" s="810"/>
      <c r="FW57" s="810" t="s">
        <v>1427</v>
      </c>
      <c r="FX57" s="810"/>
      <c r="FY57" s="810"/>
      <c r="FZ57" s="810"/>
      <c r="GA57" s="810"/>
      <c r="GB57" s="810"/>
      <c r="GC57" s="810"/>
      <c r="GD57" s="810"/>
      <c r="GE57" s="810"/>
      <c r="GF57" s="810"/>
      <c r="GG57" s="810"/>
      <c r="GH57" s="810"/>
      <c r="GI57" s="810"/>
      <c r="GJ57" s="810"/>
      <c r="GK57" s="810"/>
      <c r="GL57" s="810"/>
      <c r="GM57" s="810"/>
      <c r="GN57" s="810"/>
      <c r="GO57" s="810"/>
      <c r="GP57" s="810" t="s">
        <v>1419</v>
      </c>
      <c r="GQ57" s="810"/>
      <c r="GR57" s="810"/>
      <c r="GS57" s="810" t="s">
        <v>1419</v>
      </c>
      <c r="GT57" s="810"/>
      <c r="GU57" s="810"/>
      <c r="GV57" s="810"/>
      <c r="GW57" s="810"/>
      <c r="GX57" s="810"/>
      <c r="GY57" s="815"/>
      <c r="GZ57" s="815"/>
      <c r="HA57" s="815"/>
      <c r="HB57" s="815"/>
      <c r="HC57" s="815"/>
      <c r="HD57" s="815"/>
      <c r="HE57" s="815"/>
      <c r="HF57" s="815"/>
      <c r="HG57" s="815"/>
      <c r="HH57" s="815"/>
      <c r="HI57" s="815"/>
      <c r="HJ57" s="815"/>
      <c r="HK57" s="815"/>
      <c r="HL57" s="815"/>
      <c r="HM57" s="815"/>
      <c r="HN57" s="815"/>
      <c r="HO57" s="815"/>
      <c r="HP57" s="815"/>
      <c r="HQ57" s="841" t="s">
        <v>1424</v>
      </c>
      <c r="HR57" s="815"/>
      <c r="HS57" s="815"/>
      <c r="HT57" s="815"/>
      <c r="HU57" s="815"/>
      <c r="HV57" s="815"/>
      <c r="HW57" s="815"/>
      <c r="HX57" s="815"/>
      <c r="HY57" s="857"/>
      <c r="HZ57" s="857"/>
      <c r="IA57" s="857"/>
      <c r="IB57" s="857"/>
      <c r="IC57" s="857"/>
      <c r="ID57" s="857"/>
      <c r="IE57" s="857"/>
      <c r="IF57" s="857"/>
      <c r="IG57" s="857"/>
      <c r="IH57" s="857"/>
      <c r="II57" s="857"/>
      <c r="IJ57" s="857"/>
      <c r="IK57" s="857"/>
      <c r="IL57" s="857"/>
      <c r="IM57" s="857"/>
      <c r="IN57" s="857"/>
      <c r="IO57" s="857"/>
      <c r="IP57" s="857"/>
      <c r="IQ57" s="857"/>
      <c r="IR57" s="857"/>
      <c r="IS57" s="857"/>
      <c r="IT57" s="857"/>
      <c r="IU57" s="857"/>
      <c r="IV57" s="857"/>
    </row>
    <row r="58" spans="1:256" ht="20.100000000000001" customHeight="1">
      <c r="A58" s="814" t="s">
        <v>117</v>
      </c>
      <c r="B58" s="810"/>
      <c r="C58" s="810" t="str">
        <f>IF(ISTEXT(IFERROR(VLOOKUP(A58,职业列表!I3:J10,1,FALSE),0)),"★","")</f>
        <v/>
      </c>
      <c r="D58" s="815"/>
      <c r="E58" s="815"/>
      <c r="F58" s="815"/>
      <c r="G58" s="815"/>
      <c r="H58" s="815"/>
      <c r="I58" s="815"/>
      <c r="J58" s="815"/>
      <c r="K58" s="815"/>
      <c r="L58" s="815"/>
      <c r="M58" s="815"/>
      <c r="N58" s="815"/>
      <c r="O58" s="815"/>
      <c r="P58" s="815"/>
      <c r="Q58" s="815"/>
      <c r="R58" s="815"/>
      <c r="S58" s="815"/>
      <c r="T58" s="815"/>
      <c r="U58" s="815"/>
      <c r="V58" s="815"/>
      <c r="W58" s="815"/>
      <c r="X58" s="815"/>
      <c r="Y58" s="815"/>
      <c r="Z58" s="815"/>
      <c r="AA58" s="815"/>
      <c r="AB58" s="815"/>
      <c r="AC58" s="815"/>
      <c r="AD58" s="815"/>
      <c r="AE58" s="815"/>
      <c r="AF58" s="815"/>
      <c r="AG58" s="815"/>
      <c r="AH58" s="815"/>
      <c r="AI58" s="815"/>
      <c r="AJ58" s="815"/>
      <c r="AK58" s="815"/>
      <c r="AL58" s="815"/>
      <c r="AM58" s="815"/>
      <c r="AN58" s="815"/>
      <c r="AO58" s="815"/>
      <c r="AP58" s="815"/>
      <c r="AQ58" s="815"/>
      <c r="AR58" s="815"/>
      <c r="AS58" s="815"/>
      <c r="AT58" s="815"/>
      <c r="AU58" s="815"/>
      <c r="AV58" s="815"/>
      <c r="AW58" s="815"/>
      <c r="AX58" s="815"/>
      <c r="AY58" s="815"/>
      <c r="AZ58" s="815"/>
      <c r="BA58" s="815"/>
      <c r="BB58" s="815"/>
      <c r="BC58" s="815"/>
      <c r="BD58" s="815"/>
      <c r="BE58" s="815"/>
      <c r="BF58" s="815"/>
      <c r="BG58" s="815"/>
      <c r="BH58" s="815" t="s">
        <v>1424</v>
      </c>
      <c r="BI58" s="815"/>
      <c r="BJ58" s="815"/>
      <c r="BK58" s="815"/>
      <c r="BL58" s="815"/>
      <c r="BM58" s="815"/>
      <c r="BN58" s="815"/>
      <c r="BO58" s="815"/>
      <c r="BP58" s="815"/>
      <c r="BQ58" s="815"/>
      <c r="BR58" s="810" t="s">
        <v>93</v>
      </c>
      <c r="BS58" s="815"/>
      <c r="BT58" s="815"/>
      <c r="BU58" s="815"/>
      <c r="BV58" s="815"/>
      <c r="BW58" s="815"/>
      <c r="BX58" s="815"/>
      <c r="BY58" s="815"/>
      <c r="BZ58" s="815"/>
      <c r="CA58" s="815"/>
      <c r="CB58" s="815"/>
      <c r="CC58" s="815"/>
      <c r="CD58" s="815"/>
      <c r="CE58" s="815"/>
      <c r="CF58" s="815"/>
      <c r="CG58" s="815"/>
      <c r="CH58" s="815"/>
      <c r="CI58" s="815"/>
      <c r="CJ58" s="815"/>
      <c r="CK58" s="815"/>
      <c r="CL58" s="815"/>
      <c r="CM58" s="815"/>
      <c r="CN58" s="815"/>
      <c r="CO58" s="815"/>
      <c r="CP58" s="815"/>
      <c r="CQ58" s="815"/>
      <c r="CR58" s="815"/>
      <c r="CS58" s="815"/>
      <c r="CT58" s="815"/>
      <c r="CU58" s="815"/>
      <c r="CV58" s="815"/>
      <c r="CW58" s="815"/>
      <c r="CX58" s="815"/>
      <c r="CY58" s="810" t="s">
        <v>93</v>
      </c>
      <c r="CZ58" s="815"/>
      <c r="DA58" s="815"/>
      <c r="DB58" s="815"/>
      <c r="DC58" s="815"/>
      <c r="DD58" s="815"/>
      <c r="DE58" s="815"/>
      <c r="DF58" s="815"/>
      <c r="DG58" s="815"/>
      <c r="DH58" s="815"/>
      <c r="DI58" s="815"/>
      <c r="DJ58" s="815"/>
      <c r="DK58" s="815"/>
      <c r="DL58" s="815"/>
      <c r="DM58" s="815"/>
      <c r="DN58" s="810"/>
      <c r="DO58" s="810"/>
      <c r="DP58" s="810"/>
      <c r="DQ58" s="810"/>
      <c r="DR58" s="810"/>
      <c r="DS58" s="810"/>
      <c r="DT58" s="810"/>
      <c r="DU58" s="810"/>
      <c r="DV58" s="810"/>
      <c r="DW58" s="810"/>
      <c r="DX58" s="810"/>
      <c r="DY58" s="810"/>
      <c r="DZ58" s="810"/>
      <c r="EA58" s="810"/>
      <c r="EB58" s="810"/>
      <c r="EC58" s="810"/>
      <c r="ED58" s="810"/>
      <c r="EE58" s="810"/>
      <c r="EF58" s="810"/>
      <c r="EG58" s="810"/>
      <c r="EH58" s="810"/>
      <c r="EI58" s="810"/>
      <c r="EJ58" s="810"/>
      <c r="EK58" s="810"/>
      <c r="EL58" s="810" t="s">
        <v>1424</v>
      </c>
      <c r="EM58" s="810"/>
      <c r="EN58" s="810"/>
      <c r="EO58" s="810"/>
      <c r="EP58" s="810"/>
      <c r="EQ58" s="810"/>
      <c r="ER58" s="810"/>
      <c r="ES58" s="810"/>
      <c r="ET58" s="810"/>
      <c r="EU58" s="810"/>
      <c r="EV58" s="810"/>
      <c r="EW58" s="810"/>
      <c r="EX58" s="810"/>
      <c r="EY58" s="810"/>
      <c r="EZ58" s="810" t="s">
        <v>1424</v>
      </c>
      <c r="FA58" s="810"/>
      <c r="FB58" s="810"/>
      <c r="FC58" s="810"/>
      <c r="FD58" s="810"/>
      <c r="FE58" s="810"/>
      <c r="FF58" s="810"/>
      <c r="FG58" s="810"/>
      <c r="FH58" s="810"/>
      <c r="FI58" s="810"/>
      <c r="FJ58" s="810"/>
      <c r="FK58" s="810"/>
      <c r="FL58" s="810"/>
      <c r="FM58" s="810"/>
      <c r="FN58" s="810"/>
      <c r="FO58" s="810"/>
      <c r="FP58" s="810"/>
      <c r="FQ58" s="810"/>
      <c r="FR58" s="810"/>
      <c r="FS58" s="810"/>
      <c r="FT58" s="810"/>
      <c r="FU58" s="810"/>
      <c r="FV58" s="810"/>
      <c r="FW58" s="810" t="s">
        <v>1424</v>
      </c>
      <c r="FX58" s="810"/>
      <c r="FY58" s="810"/>
      <c r="FZ58" s="810"/>
      <c r="GA58" s="810"/>
      <c r="GB58" s="810"/>
      <c r="GC58" s="810"/>
      <c r="GD58" s="810"/>
      <c r="GE58" s="810"/>
      <c r="GF58" s="810"/>
      <c r="GG58" s="810"/>
      <c r="GH58" s="810"/>
      <c r="GI58" s="810"/>
      <c r="GJ58" s="810"/>
      <c r="GK58" s="810"/>
      <c r="GL58" s="810"/>
      <c r="GM58" s="810"/>
      <c r="GN58" s="810"/>
      <c r="GO58" s="810"/>
      <c r="GP58" s="810" t="s">
        <v>1415</v>
      </c>
      <c r="GQ58" s="810"/>
      <c r="GR58" s="810"/>
      <c r="GS58" s="810"/>
      <c r="GT58" s="810"/>
      <c r="GU58" s="810"/>
      <c r="GV58" s="810"/>
      <c r="GW58" s="810"/>
      <c r="GX58" s="810"/>
      <c r="GY58" s="815"/>
      <c r="GZ58" s="815"/>
      <c r="HA58" s="815"/>
      <c r="HB58" s="815"/>
      <c r="HC58" s="815"/>
      <c r="HD58" s="815"/>
      <c r="HE58" s="815"/>
      <c r="HF58" s="815"/>
      <c r="HG58" s="815"/>
      <c r="HH58" s="815"/>
      <c r="HI58" s="815"/>
      <c r="HJ58" s="815"/>
      <c r="HK58" s="815"/>
      <c r="HL58" s="815"/>
      <c r="HM58" s="815"/>
      <c r="HN58" s="815"/>
      <c r="HO58" s="815"/>
      <c r="HP58" s="815"/>
      <c r="HQ58" s="815"/>
      <c r="HR58" s="815"/>
      <c r="HS58" s="815"/>
      <c r="HT58" s="815"/>
      <c r="HU58" s="815"/>
      <c r="HV58" s="815"/>
      <c r="HW58" s="815"/>
      <c r="HX58" s="815"/>
      <c r="HY58" s="857"/>
      <c r="HZ58" s="857"/>
      <c r="IA58" s="857"/>
      <c r="IB58" s="857"/>
      <c r="IC58" s="857"/>
      <c r="ID58" s="857"/>
      <c r="IE58" s="857"/>
      <c r="IF58" s="857"/>
      <c r="IG58" s="857"/>
      <c r="IH58" s="857"/>
      <c r="II58" s="857"/>
      <c r="IJ58" s="857"/>
      <c r="IK58" s="857"/>
      <c r="IL58" s="857"/>
      <c r="IM58" s="857"/>
      <c r="IN58" s="857"/>
      <c r="IO58" s="857"/>
      <c r="IP58" s="857"/>
      <c r="IQ58" s="857"/>
      <c r="IR58" s="857"/>
      <c r="IS58" s="857"/>
      <c r="IT58" s="857"/>
      <c r="IU58" s="857"/>
      <c r="IV58" s="857"/>
    </row>
    <row r="59" spans="1:256" ht="20.100000000000001" customHeight="1">
      <c r="A59" s="833" t="s">
        <v>121</v>
      </c>
      <c r="B59" s="810"/>
      <c r="C59" s="810" t="str">
        <f>IF(ISTEXT(IFERROR(VLOOKUP(A59,职业列表!I3:J10,1,FALSE),0)),"★","")</f>
        <v/>
      </c>
      <c r="D59" s="810"/>
      <c r="E59" s="810"/>
      <c r="F59" s="810"/>
      <c r="G59" s="810"/>
      <c r="H59" s="810"/>
      <c r="I59" s="810"/>
      <c r="J59" s="810"/>
      <c r="K59" s="810"/>
      <c r="L59" s="810"/>
      <c r="M59" s="810"/>
      <c r="N59" s="810"/>
      <c r="O59" s="810"/>
      <c r="P59" s="810"/>
      <c r="Q59" s="810"/>
      <c r="R59" s="810"/>
      <c r="S59" s="810"/>
      <c r="T59" s="810"/>
      <c r="U59" s="810"/>
      <c r="V59" s="810"/>
      <c r="W59" s="810"/>
      <c r="X59" s="810"/>
      <c r="Y59" s="810"/>
      <c r="Z59" s="810"/>
      <c r="AA59" s="810"/>
      <c r="AB59" s="810"/>
      <c r="AC59" s="810"/>
      <c r="AD59" s="810"/>
      <c r="AE59" s="810"/>
      <c r="AF59" s="810"/>
      <c r="AG59" s="810" t="s">
        <v>93</v>
      </c>
      <c r="AH59" s="810" t="s">
        <v>93</v>
      </c>
      <c r="AI59" s="810"/>
      <c r="AJ59" s="810"/>
      <c r="AK59" s="810"/>
      <c r="AL59" s="810" t="s">
        <v>93</v>
      </c>
      <c r="AM59" s="810" t="s">
        <v>93</v>
      </c>
      <c r="AN59" s="810" t="s">
        <v>93</v>
      </c>
      <c r="AO59" s="810"/>
      <c r="AP59" s="810"/>
      <c r="AQ59" s="810"/>
      <c r="AR59" s="810"/>
      <c r="AS59" s="810"/>
      <c r="AT59" s="810"/>
      <c r="AU59" s="810"/>
      <c r="AV59" s="810"/>
      <c r="AW59" s="810"/>
      <c r="AX59" s="810"/>
      <c r="AY59" s="810"/>
      <c r="AZ59" s="810"/>
      <c r="BA59" s="810"/>
      <c r="BB59" s="810"/>
      <c r="BC59" s="810"/>
      <c r="BD59" s="810"/>
      <c r="BE59" s="810"/>
      <c r="BF59" s="810"/>
      <c r="BG59" s="810"/>
      <c r="BH59" s="810"/>
      <c r="BI59" s="810" t="s">
        <v>93</v>
      </c>
      <c r="BJ59" s="810"/>
      <c r="BK59" s="810"/>
      <c r="BL59" s="810"/>
      <c r="BM59" s="811" t="s">
        <v>1367</v>
      </c>
      <c r="BN59" s="810"/>
      <c r="BO59" s="810"/>
      <c r="BP59" s="810"/>
      <c r="BQ59" s="810"/>
      <c r="BR59" s="810"/>
      <c r="BS59" s="810"/>
      <c r="BT59" s="810"/>
      <c r="BU59" s="810"/>
      <c r="BV59" s="810"/>
      <c r="BW59" s="810"/>
      <c r="BX59" s="810"/>
      <c r="BY59" s="810"/>
      <c r="BZ59" s="810"/>
      <c r="CA59" s="810"/>
      <c r="CB59" s="810"/>
      <c r="CC59" s="810"/>
      <c r="CD59" s="810"/>
      <c r="CE59" s="810"/>
      <c r="CF59" s="810"/>
      <c r="CG59" s="810"/>
      <c r="CH59" s="810"/>
      <c r="CI59" s="810"/>
      <c r="CJ59" s="810"/>
      <c r="CK59" s="810"/>
      <c r="CL59" s="810"/>
      <c r="CM59" s="810"/>
      <c r="CN59" s="810"/>
      <c r="CO59" s="810"/>
      <c r="CP59" s="810"/>
      <c r="CQ59" s="810"/>
      <c r="CR59" s="810" t="s">
        <v>93</v>
      </c>
      <c r="CS59" s="810"/>
      <c r="CT59" s="810"/>
      <c r="CU59" s="810"/>
      <c r="CV59" s="810"/>
      <c r="CW59" s="810"/>
      <c r="CX59" s="810" t="s">
        <v>1367</v>
      </c>
      <c r="CY59" s="810"/>
      <c r="CZ59" s="810"/>
      <c r="DA59" s="810"/>
      <c r="DB59" s="810"/>
      <c r="DC59" s="810" t="s">
        <v>93</v>
      </c>
      <c r="DD59" s="810"/>
      <c r="DE59" s="810"/>
      <c r="DF59" s="810"/>
      <c r="DG59" s="810"/>
      <c r="DH59" s="810"/>
      <c r="DI59" s="810"/>
      <c r="DJ59" s="810"/>
      <c r="DK59" s="810"/>
      <c r="DL59" s="810"/>
      <c r="DM59" s="810"/>
      <c r="DN59" s="810"/>
      <c r="DO59" s="810"/>
      <c r="DP59" s="810"/>
      <c r="DQ59" s="810"/>
      <c r="DR59" s="810"/>
      <c r="DS59" s="810"/>
      <c r="DT59" s="810"/>
      <c r="DU59" s="810"/>
      <c r="DV59" s="810"/>
      <c r="DW59" s="810"/>
      <c r="DX59" s="810"/>
      <c r="DY59" s="810"/>
      <c r="DZ59" s="810"/>
      <c r="EA59" s="810" t="s">
        <v>93</v>
      </c>
      <c r="EB59" s="810"/>
      <c r="EC59" s="810" t="s">
        <v>93</v>
      </c>
      <c r="ED59" s="810"/>
      <c r="EE59" s="810"/>
      <c r="EF59" s="810"/>
      <c r="EG59" s="810"/>
      <c r="EH59" s="810"/>
      <c r="EI59" s="810"/>
      <c r="EJ59" s="810"/>
      <c r="EK59" s="810"/>
      <c r="EL59" s="810"/>
      <c r="EM59" s="810"/>
      <c r="EN59" s="810"/>
      <c r="EO59" s="810"/>
      <c r="EP59" s="810"/>
      <c r="EQ59" s="810"/>
      <c r="ER59" s="810" t="s">
        <v>1367</v>
      </c>
      <c r="ES59" s="810"/>
      <c r="ET59" s="810"/>
      <c r="EU59" s="810"/>
      <c r="EV59" s="810"/>
      <c r="EW59" s="810"/>
      <c r="EX59" s="810"/>
      <c r="EY59" s="810"/>
      <c r="EZ59" s="810"/>
      <c r="FA59" s="810"/>
      <c r="FB59" s="810"/>
      <c r="FC59" s="810"/>
      <c r="FD59" s="810"/>
      <c r="FE59" s="810"/>
      <c r="FF59" s="810"/>
      <c r="FG59" s="810"/>
      <c r="FH59" s="810"/>
      <c r="FI59" s="810"/>
      <c r="FJ59" s="811"/>
      <c r="FK59" s="810"/>
      <c r="FL59" s="810"/>
      <c r="FM59" s="810"/>
      <c r="FN59" s="810" t="s">
        <v>93</v>
      </c>
      <c r="FO59" s="810"/>
      <c r="FP59" s="810"/>
      <c r="FQ59" s="810"/>
      <c r="FR59" s="810"/>
      <c r="FS59" s="810"/>
      <c r="FT59" s="810"/>
      <c r="FU59" s="810"/>
      <c r="FV59" s="810"/>
      <c r="FW59" s="810"/>
      <c r="FX59" s="810"/>
      <c r="FY59" s="810"/>
      <c r="FZ59" s="810"/>
      <c r="GA59" s="810"/>
      <c r="GB59" s="810"/>
      <c r="GC59" s="810"/>
      <c r="GD59" s="810"/>
      <c r="GE59" s="810"/>
      <c r="GF59" s="810"/>
      <c r="GG59" s="810"/>
      <c r="GH59" s="810"/>
      <c r="GI59" s="810"/>
      <c r="GJ59" s="810"/>
      <c r="GK59" s="810"/>
      <c r="GL59" s="810"/>
      <c r="GM59" s="810"/>
      <c r="GN59" s="810"/>
      <c r="GO59" s="810"/>
      <c r="GP59" s="810"/>
      <c r="GQ59" s="810"/>
      <c r="GR59" s="810"/>
      <c r="GS59" s="810"/>
      <c r="GT59" s="810"/>
      <c r="GU59" s="810"/>
      <c r="GV59" s="810"/>
      <c r="GW59" s="810"/>
      <c r="GX59" s="810"/>
      <c r="GY59" s="810"/>
      <c r="GZ59" s="810"/>
      <c r="HA59" s="810"/>
      <c r="HB59" s="810"/>
      <c r="HC59" s="810"/>
      <c r="HD59" s="810"/>
      <c r="HE59" s="810"/>
      <c r="HF59" s="810"/>
      <c r="HG59" s="810"/>
      <c r="HH59" s="810"/>
      <c r="HI59" s="810"/>
      <c r="HJ59" s="810"/>
      <c r="HK59" s="810"/>
      <c r="HL59" s="810"/>
      <c r="HM59" s="810"/>
      <c r="HN59" s="810"/>
      <c r="HO59" s="810"/>
      <c r="HP59" s="810"/>
      <c r="HQ59" s="810"/>
      <c r="HR59" s="810"/>
      <c r="HS59" s="810"/>
      <c r="HT59" s="810"/>
      <c r="HU59" s="810"/>
      <c r="HV59" s="810"/>
      <c r="HW59" s="810"/>
      <c r="HX59" s="810"/>
      <c r="HY59" s="857"/>
      <c r="HZ59" s="857"/>
      <c r="IA59" s="857"/>
      <c r="IB59" s="857"/>
      <c r="IC59" s="857"/>
      <c r="ID59" s="857"/>
      <c r="IE59" s="857"/>
      <c r="IF59" s="857"/>
      <c r="IG59" s="857"/>
      <c r="IH59" s="857"/>
      <c r="II59" s="857"/>
      <c r="IJ59" s="857"/>
      <c r="IK59" s="857"/>
      <c r="IL59" s="857"/>
      <c r="IM59" s="857"/>
      <c r="IN59" s="857"/>
      <c r="IO59" s="857"/>
      <c r="IP59" s="857"/>
      <c r="IQ59" s="857"/>
      <c r="IR59" s="857"/>
      <c r="IS59" s="857"/>
      <c r="IT59" s="857"/>
      <c r="IU59" s="857"/>
      <c r="IV59" s="857"/>
    </row>
    <row r="60" spans="1:256" s="798" customFormat="1" ht="20.100000000000001" customHeight="1">
      <c r="A60" s="838" t="s">
        <v>123</v>
      </c>
      <c r="B60" s="831"/>
      <c r="C60" s="810" t="str">
        <f>IF(ISTEXT(IFERROR(VLOOKUP(A60,职业列表!I3:J10,1,FALSE),0)),"★","")</f>
        <v/>
      </c>
      <c r="D60" s="831" t="s">
        <v>93</v>
      </c>
      <c r="E60" s="831" t="s">
        <v>93</v>
      </c>
      <c r="F60" s="831"/>
      <c r="G60" s="831"/>
      <c r="H60" s="831"/>
      <c r="I60" s="831"/>
      <c r="J60" s="831"/>
      <c r="K60" s="831" t="s">
        <v>93</v>
      </c>
      <c r="L60" s="831"/>
      <c r="M60" s="831" t="s">
        <v>93</v>
      </c>
      <c r="N60" s="831"/>
      <c r="O60" s="831" t="s">
        <v>93</v>
      </c>
      <c r="P60" s="831"/>
      <c r="Q60" s="831"/>
      <c r="R60" s="831"/>
      <c r="S60" s="831" t="s">
        <v>93</v>
      </c>
      <c r="T60" s="831" t="s">
        <v>1367</v>
      </c>
      <c r="U60" s="831"/>
      <c r="V60" s="831"/>
      <c r="W60" s="831" t="s">
        <v>93</v>
      </c>
      <c r="X60" s="831" t="s">
        <v>93</v>
      </c>
      <c r="Y60" s="831"/>
      <c r="Z60" s="831" t="s">
        <v>93</v>
      </c>
      <c r="AA60" s="831" t="s">
        <v>93</v>
      </c>
      <c r="AB60" s="831"/>
      <c r="AC60" s="842" t="s">
        <v>93</v>
      </c>
      <c r="AD60" s="831"/>
      <c r="AE60" s="831"/>
      <c r="AF60" s="831" t="s">
        <v>93</v>
      </c>
      <c r="AG60" s="831" t="s">
        <v>93</v>
      </c>
      <c r="AH60" s="831"/>
      <c r="AI60" s="831" t="s">
        <v>93</v>
      </c>
      <c r="AJ60" s="831"/>
      <c r="AK60" s="831" t="s">
        <v>93</v>
      </c>
      <c r="AL60" s="831" t="s">
        <v>93</v>
      </c>
      <c r="AM60" s="831" t="s">
        <v>93</v>
      </c>
      <c r="AN60" s="831"/>
      <c r="AO60" s="831" t="s">
        <v>93</v>
      </c>
      <c r="AP60" s="831"/>
      <c r="AQ60" s="831" t="s">
        <v>93</v>
      </c>
      <c r="AR60" s="831"/>
      <c r="AS60" s="831" t="s">
        <v>93</v>
      </c>
      <c r="AT60" s="831"/>
      <c r="AU60" s="831"/>
      <c r="AV60" s="831" t="s">
        <v>93</v>
      </c>
      <c r="AW60" s="831"/>
      <c r="AX60" s="831" t="s">
        <v>93</v>
      </c>
      <c r="AY60" s="831" t="s">
        <v>93</v>
      </c>
      <c r="AZ60" s="831"/>
      <c r="BA60" s="831"/>
      <c r="BB60" s="831"/>
      <c r="BC60" s="831"/>
      <c r="BD60" s="831"/>
      <c r="BE60" s="831" t="s">
        <v>93</v>
      </c>
      <c r="BF60" s="831"/>
      <c r="BG60" s="831"/>
      <c r="BH60" s="831" t="s">
        <v>93</v>
      </c>
      <c r="BI60" s="831" t="s">
        <v>93</v>
      </c>
      <c r="BJ60" s="831" t="s">
        <v>93</v>
      </c>
      <c r="BK60" s="831"/>
      <c r="BL60" s="831"/>
      <c r="BM60" s="831"/>
      <c r="BN60" s="831"/>
      <c r="BO60" s="849"/>
      <c r="BP60" s="831" t="s">
        <v>93</v>
      </c>
      <c r="BQ60" s="831"/>
      <c r="BR60" s="831" t="s">
        <v>93</v>
      </c>
      <c r="BS60" s="831"/>
      <c r="BT60" s="831"/>
      <c r="BU60" s="831" t="s">
        <v>93</v>
      </c>
      <c r="BV60" s="831"/>
      <c r="BW60" s="831"/>
      <c r="BX60" s="831"/>
      <c r="BY60" s="831"/>
      <c r="BZ60" s="831"/>
      <c r="CA60" s="831"/>
      <c r="CB60" s="831" t="s">
        <v>93</v>
      </c>
      <c r="CC60" s="831"/>
      <c r="CD60" s="831" t="s">
        <v>93</v>
      </c>
      <c r="CE60" s="831"/>
      <c r="CF60" s="831" t="s">
        <v>93</v>
      </c>
      <c r="CG60" s="831"/>
      <c r="CH60" s="831"/>
      <c r="CI60" s="831" t="s">
        <v>93</v>
      </c>
      <c r="CJ60" s="831"/>
      <c r="CK60" s="831"/>
      <c r="CL60" s="831" t="s">
        <v>93</v>
      </c>
      <c r="CM60" s="831" t="s">
        <v>93</v>
      </c>
      <c r="CN60" s="831" t="s">
        <v>93</v>
      </c>
      <c r="CO60" s="831" t="s">
        <v>93</v>
      </c>
      <c r="CP60" s="831"/>
      <c r="CQ60" s="831" t="s">
        <v>93</v>
      </c>
      <c r="CR60" s="831"/>
      <c r="CS60" s="831"/>
      <c r="CT60" s="831"/>
      <c r="CU60" s="831" t="s">
        <v>93</v>
      </c>
      <c r="CV60" s="831"/>
      <c r="CW60" s="831" t="s">
        <v>93</v>
      </c>
      <c r="CX60" s="831"/>
      <c r="CY60" s="831" t="s">
        <v>93</v>
      </c>
      <c r="CZ60" s="831"/>
      <c r="DA60" s="831" t="s">
        <v>93</v>
      </c>
      <c r="DB60" s="831"/>
      <c r="DC60" s="831"/>
      <c r="DD60" s="831"/>
      <c r="DE60" s="831"/>
      <c r="DF60" s="831" t="s">
        <v>93</v>
      </c>
      <c r="DG60" s="831"/>
      <c r="DH60" s="831"/>
      <c r="DI60" s="831"/>
      <c r="DJ60" s="831"/>
      <c r="DK60" s="831"/>
      <c r="DL60" s="831"/>
      <c r="DM60" s="831"/>
      <c r="DN60" s="831"/>
      <c r="DO60" s="831"/>
      <c r="DP60" s="831"/>
      <c r="DQ60" s="831" t="s">
        <v>93</v>
      </c>
      <c r="DR60" s="831"/>
      <c r="DS60" s="831"/>
      <c r="DT60" s="831"/>
      <c r="DU60" s="831"/>
      <c r="DV60" s="831"/>
      <c r="DW60" s="831"/>
      <c r="DX60" s="831"/>
      <c r="DY60" s="831"/>
      <c r="DZ60" s="831"/>
      <c r="EA60" s="831" t="s">
        <v>93</v>
      </c>
      <c r="EB60" s="831" t="s">
        <v>93</v>
      </c>
      <c r="EC60" s="831" t="s">
        <v>93</v>
      </c>
      <c r="ED60" s="831" t="s">
        <v>93</v>
      </c>
      <c r="EE60" s="831"/>
      <c r="EF60" s="831"/>
      <c r="EG60" s="831"/>
      <c r="EH60" s="831"/>
      <c r="EI60" s="831"/>
      <c r="EJ60" s="831"/>
      <c r="EK60" s="831"/>
      <c r="EL60" s="831" t="s">
        <v>93</v>
      </c>
      <c r="EM60" s="831"/>
      <c r="EN60" s="831"/>
      <c r="EO60" s="831"/>
      <c r="EP60" s="831" t="s">
        <v>93</v>
      </c>
      <c r="EQ60" s="831"/>
      <c r="ER60" s="831"/>
      <c r="ES60" s="831"/>
      <c r="ET60" s="831"/>
      <c r="EU60" s="831"/>
      <c r="EV60" s="831"/>
      <c r="EW60" s="831" t="s">
        <v>93</v>
      </c>
      <c r="EX60" s="831"/>
      <c r="EY60" s="831" t="s">
        <v>93</v>
      </c>
      <c r="EZ60" s="831"/>
      <c r="FA60" s="831" t="s">
        <v>93</v>
      </c>
      <c r="FB60" s="831" t="s">
        <v>93</v>
      </c>
      <c r="FC60" s="831"/>
      <c r="FD60" s="831"/>
      <c r="FE60" s="831"/>
      <c r="FF60" s="831"/>
      <c r="FG60" s="831"/>
      <c r="FH60" s="831"/>
      <c r="FI60" s="831"/>
      <c r="FJ60" s="831"/>
      <c r="FK60" s="831"/>
      <c r="FL60" s="831"/>
      <c r="FM60" s="831"/>
      <c r="FN60" s="831" t="s">
        <v>93</v>
      </c>
      <c r="FO60" s="831" t="s">
        <v>93</v>
      </c>
      <c r="FP60" s="831" t="s">
        <v>93</v>
      </c>
      <c r="FQ60" s="831"/>
      <c r="FR60" s="831"/>
      <c r="FS60" s="831"/>
      <c r="FT60" s="831"/>
      <c r="FU60" s="831"/>
      <c r="FV60" s="831"/>
      <c r="FW60" s="831" t="s">
        <v>93</v>
      </c>
      <c r="FX60" s="831"/>
      <c r="FY60" s="831"/>
      <c r="FZ60" s="831" t="s">
        <v>93</v>
      </c>
      <c r="GA60" s="831"/>
      <c r="GB60" s="831" t="s">
        <v>93</v>
      </c>
      <c r="GC60" s="831"/>
      <c r="GD60" s="831"/>
      <c r="GE60" s="831"/>
      <c r="GF60" s="831"/>
      <c r="GG60" s="831"/>
      <c r="GH60" s="831"/>
      <c r="GI60" s="831"/>
      <c r="GJ60" s="831" t="s">
        <v>93</v>
      </c>
      <c r="GK60" s="831"/>
      <c r="GL60" s="831"/>
      <c r="GM60" s="831"/>
      <c r="GN60" s="831"/>
      <c r="GO60" s="831"/>
      <c r="GP60" s="831"/>
      <c r="GQ60" s="831"/>
      <c r="GR60" s="831"/>
      <c r="GS60" s="831" t="s">
        <v>93</v>
      </c>
      <c r="GT60" s="831" t="s">
        <v>93</v>
      </c>
      <c r="GU60" s="831"/>
      <c r="GV60" s="831"/>
      <c r="GW60" s="831" t="s">
        <v>93</v>
      </c>
      <c r="GX60" s="831"/>
      <c r="GY60" s="831"/>
      <c r="GZ60" s="831" t="s">
        <v>93</v>
      </c>
      <c r="HA60" s="831"/>
      <c r="HB60" s="831" t="s">
        <v>93</v>
      </c>
      <c r="HC60" s="831"/>
      <c r="HD60" s="831"/>
      <c r="HE60" s="831"/>
      <c r="HF60" s="831" t="s">
        <v>93</v>
      </c>
      <c r="HG60" s="831" t="s">
        <v>93</v>
      </c>
      <c r="HH60" s="831"/>
      <c r="HI60" s="831"/>
      <c r="HJ60" s="831"/>
      <c r="HK60" s="831" t="s">
        <v>93</v>
      </c>
      <c r="HL60" s="831" t="s">
        <v>93</v>
      </c>
      <c r="HM60" s="831" t="s">
        <v>93</v>
      </c>
      <c r="HN60" s="831" t="s">
        <v>93</v>
      </c>
      <c r="HO60" s="831"/>
      <c r="HP60" s="831"/>
      <c r="HQ60" s="831"/>
      <c r="HR60" s="831" t="s">
        <v>93</v>
      </c>
      <c r="HS60" s="831"/>
      <c r="HT60" s="831" t="s">
        <v>93</v>
      </c>
      <c r="HU60" s="831"/>
      <c r="HV60" s="831" t="s">
        <v>93</v>
      </c>
      <c r="HW60" s="831" t="s">
        <v>93</v>
      </c>
      <c r="HX60" s="831" t="s">
        <v>93</v>
      </c>
      <c r="HY60" s="866"/>
      <c r="HZ60" s="866"/>
      <c r="IA60" s="866"/>
      <c r="IB60" s="866"/>
      <c r="IC60" s="866"/>
      <c r="ID60" s="866"/>
      <c r="IE60" s="866"/>
      <c r="IF60" s="866"/>
      <c r="IG60" s="866"/>
      <c r="IH60" s="866"/>
      <c r="II60" s="866"/>
      <c r="IJ60" s="866"/>
      <c r="IK60" s="866"/>
      <c r="IL60" s="866"/>
      <c r="IM60" s="866"/>
      <c r="IN60" s="866"/>
      <c r="IO60" s="866"/>
      <c r="IP60" s="866"/>
      <c r="IQ60" s="866"/>
      <c r="IR60" s="866"/>
      <c r="IS60" s="866"/>
      <c r="IT60" s="866"/>
      <c r="IU60" s="866"/>
      <c r="IV60" s="866"/>
    </row>
    <row r="61" spans="1:256" ht="20.100000000000001" customHeight="1">
      <c r="A61" s="833" t="s">
        <v>127</v>
      </c>
      <c r="B61" s="810"/>
      <c r="C61" s="810" t="str">
        <f>IF(ISTEXT(IFERROR(VLOOKUP(A61,职业列表!I3:J10,1,FALSE),0)),"★","")</f>
        <v/>
      </c>
      <c r="D61" s="810"/>
      <c r="E61" s="810"/>
      <c r="F61" s="810"/>
      <c r="G61" s="810"/>
      <c r="H61" s="810" t="s">
        <v>93</v>
      </c>
      <c r="I61" s="810"/>
      <c r="J61" s="810" t="s">
        <v>93</v>
      </c>
      <c r="K61" s="810"/>
      <c r="L61" s="810"/>
      <c r="M61" s="810"/>
      <c r="N61" s="810"/>
      <c r="O61" s="810"/>
      <c r="P61" s="810" t="s">
        <v>93</v>
      </c>
      <c r="Q61" s="810"/>
      <c r="R61" s="810"/>
      <c r="S61" s="810"/>
      <c r="T61" s="810" t="s">
        <v>93</v>
      </c>
      <c r="U61" s="810"/>
      <c r="V61" s="810" t="s">
        <v>93</v>
      </c>
      <c r="W61" s="810"/>
      <c r="X61" s="810"/>
      <c r="Y61" s="810"/>
      <c r="Z61" s="810"/>
      <c r="AA61" s="810"/>
      <c r="AB61" s="810"/>
      <c r="AC61" s="810"/>
      <c r="AD61" s="810" t="s">
        <v>93</v>
      </c>
      <c r="AE61" s="810"/>
      <c r="AF61" s="810" t="s">
        <v>93</v>
      </c>
      <c r="AG61" s="810" t="s">
        <v>93</v>
      </c>
      <c r="AH61" s="810"/>
      <c r="AI61" s="810" t="s">
        <v>93</v>
      </c>
      <c r="AJ61" s="810" t="s">
        <v>93</v>
      </c>
      <c r="AK61" s="810"/>
      <c r="AL61" s="810"/>
      <c r="AM61" s="810"/>
      <c r="AN61" s="810" t="s">
        <v>93</v>
      </c>
      <c r="AO61" s="810"/>
      <c r="AP61" s="810" t="s">
        <v>93</v>
      </c>
      <c r="AQ61" s="810"/>
      <c r="AR61" s="810"/>
      <c r="AS61" s="810"/>
      <c r="AT61" s="810"/>
      <c r="AU61" s="810" t="s">
        <v>93</v>
      </c>
      <c r="AV61" s="810"/>
      <c r="AW61" s="810"/>
      <c r="AX61" s="810"/>
      <c r="AY61" s="810"/>
      <c r="AZ61" s="810"/>
      <c r="BA61" s="810"/>
      <c r="BB61" s="810"/>
      <c r="BC61" s="810"/>
      <c r="BD61" s="810"/>
      <c r="BE61" s="810" t="s">
        <v>93</v>
      </c>
      <c r="BF61" s="810"/>
      <c r="BG61" s="810"/>
      <c r="BH61" s="810"/>
      <c r="BI61" s="810"/>
      <c r="BJ61" s="810"/>
      <c r="BK61" s="810"/>
      <c r="BL61" s="810"/>
      <c r="BM61" s="810" t="s">
        <v>93</v>
      </c>
      <c r="BN61" s="810" t="s">
        <v>93</v>
      </c>
      <c r="BO61" s="815"/>
      <c r="BP61" s="810" t="s">
        <v>93</v>
      </c>
      <c r="BQ61" s="810"/>
      <c r="BR61" s="810"/>
      <c r="BS61" s="810"/>
      <c r="BT61" s="810"/>
      <c r="BU61" s="810" t="s">
        <v>93</v>
      </c>
      <c r="BV61" s="810"/>
      <c r="BW61" s="810"/>
      <c r="BX61" s="810"/>
      <c r="BY61" s="810"/>
      <c r="BZ61" s="810"/>
      <c r="CA61" s="810"/>
      <c r="CB61" s="810"/>
      <c r="CC61" s="810"/>
      <c r="CD61" s="810"/>
      <c r="CE61" s="810"/>
      <c r="CF61" s="810"/>
      <c r="CG61" s="810"/>
      <c r="CH61" s="810"/>
      <c r="CI61" s="810" t="s">
        <v>93</v>
      </c>
      <c r="CJ61" s="810"/>
      <c r="CK61" s="810"/>
      <c r="CL61" s="810"/>
      <c r="CM61" s="810"/>
      <c r="CN61" s="810"/>
      <c r="CO61" s="810"/>
      <c r="CP61" s="810"/>
      <c r="CQ61" s="810"/>
      <c r="CR61" s="810" t="s">
        <v>93</v>
      </c>
      <c r="CS61" s="810"/>
      <c r="CT61" s="810"/>
      <c r="CU61" s="810"/>
      <c r="CV61" s="810"/>
      <c r="CW61" s="810"/>
      <c r="CX61" s="810" t="s">
        <v>1367</v>
      </c>
      <c r="CY61" s="810"/>
      <c r="CZ61" s="810"/>
      <c r="DA61" s="810"/>
      <c r="DB61" s="810" t="s">
        <v>93</v>
      </c>
      <c r="DC61" s="810" t="s">
        <v>93</v>
      </c>
      <c r="DD61" s="810"/>
      <c r="DE61" s="810"/>
      <c r="DF61" s="810"/>
      <c r="DG61" s="810"/>
      <c r="DH61" s="810"/>
      <c r="DI61" s="810"/>
      <c r="DJ61" s="810"/>
      <c r="DK61" s="810"/>
      <c r="DL61" s="810" t="s">
        <v>93</v>
      </c>
      <c r="DM61" s="810"/>
      <c r="DN61" s="810"/>
      <c r="DO61" s="810"/>
      <c r="DP61" s="810"/>
      <c r="DQ61" s="810"/>
      <c r="DR61" s="810"/>
      <c r="DS61" s="810"/>
      <c r="DT61" s="810"/>
      <c r="DU61" s="810"/>
      <c r="DV61" s="810"/>
      <c r="DW61" s="810"/>
      <c r="DX61" s="810" t="s">
        <v>93</v>
      </c>
      <c r="DY61" s="810"/>
      <c r="DZ61" s="810"/>
      <c r="EA61" s="810"/>
      <c r="EB61" s="810"/>
      <c r="EC61" s="810" t="s">
        <v>93</v>
      </c>
      <c r="ED61" s="810"/>
      <c r="EE61" s="810"/>
      <c r="EF61" s="810"/>
      <c r="EG61" s="810"/>
      <c r="EH61" s="810"/>
      <c r="EI61" s="810"/>
      <c r="EJ61" s="810"/>
      <c r="EK61" s="810"/>
      <c r="EL61" s="810"/>
      <c r="EM61" s="810"/>
      <c r="EN61" s="810"/>
      <c r="EO61" s="810"/>
      <c r="EP61" s="810"/>
      <c r="EQ61" s="810"/>
      <c r="ER61" s="810" t="s">
        <v>1367</v>
      </c>
      <c r="ES61" s="810"/>
      <c r="ET61" s="810"/>
      <c r="EU61" s="810"/>
      <c r="EV61" s="810"/>
      <c r="EW61" s="810"/>
      <c r="EX61" s="810"/>
      <c r="EY61" s="810"/>
      <c r="EZ61" s="810"/>
      <c r="FA61" s="810"/>
      <c r="FB61" s="810"/>
      <c r="FC61" s="810"/>
      <c r="FD61" s="810"/>
      <c r="FE61" s="810"/>
      <c r="FF61" s="810"/>
      <c r="FG61" s="810"/>
      <c r="FH61" s="810" t="s">
        <v>93</v>
      </c>
      <c r="FI61" s="810" t="s">
        <v>93</v>
      </c>
      <c r="FJ61" s="810"/>
      <c r="FK61" s="810"/>
      <c r="FL61" s="810"/>
      <c r="FM61" s="810"/>
      <c r="FN61" s="810" t="s">
        <v>93</v>
      </c>
      <c r="FO61" s="810"/>
      <c r="FP61" s="810"/>
      <c r="FQ61" s="810"/>
      <c r="FR61" s="810"/>
      <c r="FS61" s="810"/>
      <c r="FT61" s="810"/>
      <c r="FU61" s="810"/>
      <c r="FV61" s="810"/>
      <c r="FW61" s="810"/>
      <c r="FX61" s="810"/>
      <c r="FY61" s="810"/>
      <c r="FZ61" s="810"/>
      <c r="GA61" s="810"/>
      <c r="GB61" s="810"/>
      <c r="GC61" s="810" t="s">
        <v>93</v>
      </c>
      <c r="GD61" s="810" t="s">
        <v>93</v>
      </c>
      <c r="GE61" s="810"/>
      <c r="GF61" s="810" t="s">
        <v>93</v>
      </c>
      <c r="GG61" s="810"/>
      <c r="GH61" s="810"/>
      <c r="GI61" s="810"/>
      <c r="GJ61" s="810"/>
      <c r="GK61" s="810"/>
      <c r="GL61" s="810"/>
      <c r="GM61" s="810"/>
      <c r="GN61" s="810"/>
      <c r="GO61" s="810" t="s">
        <v>93</v>
      </c>
      <c r="GP61" s="810"/>
      <c r="GQ61" s="810"/>
      <c r="GR61" s="810"/>
      <c r="GS61" s="810"/>
      <c r="GT61" s="810"/>
      <c r="GU61" s="810" t="s">
        <v>93</v>
      </c>
      <c r="GV61" s="810" t="s">
        <v>93</v>
      </c>
      <c r="GW61" s="810"/>
      <c r="GX61" s="810"/>
      <c r="GY61" s="810" t="s">
        <v>93</v>
      </c>
      <c r="GZ61" s="810"/>
      <c r="HA61" s="810"/>
      <c r="HB61" s="810"/>
      <c r="HC61" s="810"/>
      <c r="HD61" s="810"/>
      <c r="HE61" s="810"/>
      <c r="HF61" s="810"/>
      <c r="HG61" s="810"/>
      <c r="HH61" s="810" t="s">
        <v>93</v>
      </c>
      <c r="HI61" s="810"/>
      <c r="HJ61" s="810"/>
      <c r="HK61" s="810" t="s">
        <v>93</v>
      </c>
      <c r="HL61" s="810" t="s">
        <v>93</v>
      </c>
      <c r="HM61" s="810"/>
      <c r="HN61" s="810"/>
      <c r="HO61" s="810"/>
      <c r="HP61" s="810"/>
      <c r="HQ61" s="810"/>
      <c r="HR61" s="810" t="s">
        <v>93</v>
      </c>
      <c r="HS61" s="810"/>
      <c r="HT61" s="810"/>
      <c r="HU61" s="810" t="s">
        <v>93</v>
      </c>
      <c r="HV61" s="810"/>
      <c r="HW61" s="810" t="s">
        <v>93</v>
      </c>
      <c r="HX61" s="810" t="s">
        <v>93</v>
      </c>
      <c r="HY61" s="857"/>
      <c r="HZ61" s="857"/>
      <c r="IA61" s="857"/>
      <c r="IB61" s="857"/>
      <c r="IC61" s="857"/>
      <c r="ID61" s="857"/>
      <c r="IE61" s="857"/>
      <c r="IF61" s="857"/>
      <c r="IG61" s="857"/>
      <c r="IH61" s="857"/>
      <c r="II61" s="857"/>
      <c r="IJ61" s="857"/>
      <c r="IK61" s="857"/>
      <c r="IL61" s="857"/>
      <c r="IM61" s="857"/>
      <c r="IN61" s="857"/>
      <c r="IO61" s="857"/>
      <c r="IP61" s="857"/>
      <c r="IQ61" s="857"/>
      <c r="IR61" s="857"/>
      <c r="IS61" s="857"/>
      <c r="IT61" s="857"/>
      <c r="IU61" s="857"/>
      <c r="IV61" s="857"/>
    </row>
    <row r="62" spans="1:256" ht="20.100000000000001" customHeight="1">
      <c r="A62" s="832" t="s">
        <v>132</v>
      </c>
      <c r="B62" s="810"/>
      <c r="C62" s="810" t="str">
        <f>IF(ISTEXT(IFERROR(VLOOKUP(A62,职业列表!I3:J10,1,FALSE),0)),"★","")</f>
        <v/>
      </c>
      <c r="D62" s="810"/>
      <c r="E62" s="810"/>
      <c r="F62" s="810"/>
      <c r="G62" s="810"/>
      <c r="H62" s="810"/>
      <c r="I62" s="810"/>
      <c r="J62" s="810"/>
      <c r="K62" s="810"/>
      <c r="L62" s="810"/>
      <c r="M62" s="810"/>
      <c r="N62" s="810"/>
      <c r="O62" s="810"/>
      <c r="P62" s="810"/>
      <c r="Q62" s="810"/>
      <c r="R62" s="810"/>
      <c r="S62" s="810"/>
      <c r="T62" s="841" t="s">
        <v>1368</v>
      </c>
      <c r="U62" s="810"/>
      <c r="V62" s="810"/>
      <c r="W62" s="810"/>
      <c r="X62" s="810"/>
      <c r="Y62" s="810"/>
      <c r="Z62" s="810"/>
      <c r="AA62" s="810"/>
      <c r="AB62" s="841" t="s">
        <v>93</v>
      </c>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c r="BC62" s="810" t="s">
        <v>93</v>
      </c>
      <c r="BD62" s="815"/>
      <c r="BE62" s="810"/>
      <c r="BF62" s="810"/>
      <c r="BG62" s="810"/>
      <c r="BH62" s="810"/>
      <c r="BI62" s="810"/>
      <c r="BJ62" s="810"/>
      <c r="BK62" s="810"/>
      <c r="BL62" s="810"/>
      <c r="BM62" s="810"/>
      <c r="BN62" s="810"/>
      <c r="BO62" s="810"/>
      <c r="BP62" s="810"/>
      <c r="BQ62" s="810"/>
      <c r="BR62" s="810"/>
      <c r="BS62" s="810"/>
      <c r="BT62" s="810"/>
      <c r="BU62" s="810"/>
      <c r="BV62" s="810"/>
      <c r="BW62" s="810"/>
      <c r="BX62" s="810"/>
      <c r="BY62" s="810"/>
      <c r="BZ62" s="810"/>
      <c r="CA62" s="811" t="s">
        <v>1430</v>
      </c>
      <c r="CB62" s="810"/>
      <c r="CC62" s="810"/>
      <c r="CD62" s="810"/>
      <c r="CE62" s="810"/>
      <c r="CF62" s="811" t="s">
        <v>93</v>
      </c>
      <c r="CG62" s="810"/>
      <c r="CH62" s="810"/>
      <c r="CI62" s="810"/>
      <c r="CJ62" s="810"/>
      <c r="CK62" s="810"/>
      <c r="CL62" s="810"/>
      <c r="CM62" s="810"/>
      <c r="CN62" s="810"/>
      <c r="CO62" s="810"/>
      <c r="CP62" s="810"/>
      <c r="CQ62" s="810"/>
      <c r="CR62" s="810"/>
      <c r="CS62" s="810"/>
      <c r="CT62" s="810"/>
      <c r="CU62" s="810"/>
      <c r="CV62" s="810" t="s">
        <v>1431</v>
      </c>
      <c r="CW62" s="810"/>
      <c r="CX62" s="810"/>
      <c r="CY62" s="810"/>
      <c r="CZ62" s="810"/>
      <c r="DA62" s="810"/>
      <c r="DB62" s="810" t="s">
        <v>93</v>
      </c>
      <c r="DC62" s="810"/>
      <c r="DD62" s="810"/>
      <c r="DE62" s="810"/>
      <c r="DF62" s="841" t="s">
        <v>93</v>
      </c>
      <c r="DG62" s="810"/>
      <c r="DH62" s="810"/>
      <c r="DI62" s="810"/>
      <c r="DJ62" s="810"/>
      <c r="DK62" s="810"/>
      <c r="DL62" s="810"/>
      <c r="DM62" s="810"/>
      <c r="DN62" s="810"/>
      <c r="DO62" s="810"/>
      <c r="DP62" s="810"/>
      <c r="DQ62" s="810"/>
      <c r="DR62" s="810"/>
      <c r="DS62" s="810"/>
      <c r="DT62" s="810"/>
      <c r="DU62" s="810"/>
      <c r="DV62" s="810"/>
      <c r="DW62" s="810"/>
      <c r="DX62" s="810"/>
      <c r="DY62" s="810"/>
      <c r="DZ62" s="810"/>
      <c r="EA62" s="810"/>
      <c r="EB62" s="810"/>
      <c r="EC62" s="810"/>
      <c r="ED62" s="810"/>
      <c r="EE62" s="810"/>
      <c r="EF62" s="810"/>
      <c r="EG62" s="810"/>
      <c r="EH62" s="810"/>
      <c r="EI62" s="810"/>
      <c r="EJ62" s="810"/>
      <c r="EK62" s="810"/>
      <c r="EL62" s="810"/>
      <c r="EM62" s="810"/>
      <c r="EN62" s="810" t="s">
        <v>1432</v>
      </c>
      <c r="EO62" s="810"/>
      <c r="EP62" s="810"/>
      <c r="EQ62" s="810"/>
      <c r="ER62" s="810"/>
      <c r="ES62" s="810"/>
      <c r="ET62" s="810"/>
      <c r="EU62" s="810"/>
      <c r="EV62" s="810"/>
      <c r="EW62" s="810" t="s">
        <v>93</v>
      </c>
      <c r="EX62" s="810"/>
      <c r="EY62" s="810"/>
      <c r="EZ62" s="810"/>
      <c r="FA62" s="810"/>
      <c r="FB62" s="810"/>
      <c r="FC62" s="810"/>
      <c r="FD62" s="810"/>
      <c r="FE62" s="810"/>
      <c r="FF62" s="810"/>
      <c r="FG62" s="810"/>
      <c r="FH62" s="810"/>
      <c r="FI62" s="810"/>
      <c r="FJ62" s="810"/>
      <c r="FK62" s="810"/>
      <c r="FL62" s="810"/>
      <c r="FM62" s="810"/>
      <c r="FN62" s="810"/>
      <c r="FO62" s="810"/>
      <c r="FP62" s="810"/>
      <c r="FQ62" s="810"/>
      <c r="FR62" s="810"/>
      <c r="FS62" s="810"/>
      <c r="FT62" s="810"/>
      <c r="FU62" s="810"/>
      <c r="FV62" s="810"/>
      <c r="FW62" s="810"/>
      <c r="FX62" s="810" t="s">
        <v>1430</v>
      </c>
      <c r="FY62" s="810"/>
      <c r="FZ62" s="810"/>
      <c r="GA62" s="810" t="s">
        <v>1433</v>
      </c>
      <c r="GB62" s="810"/>
      <c r="GC62" s="810" t="s">
        <v>93</v>
      </c>
      <c r="GD62" s="810" t="s">
        <v>93</v>
      </c>
      <c r="GE62" s="810" t="s">
        <v>93</v>
      </c>
      <c r="GF62" s="810"/>
      <c r="GG62" s="810"/>
      <c r="GH62" s="810"/>
      <c r="GI62" s="810"/>
      <c r="GJ62" s="810"/>
      <c r="GK62" s="810"/>
      <c r="GL62" s="810"/>
      <c r="GM62" s="810"/>
      <c r="GN62" s="810"/>
      <c r="GO62" s="810"/>
      <c r="GP62" s="810"/>
      <c r="GQ62" s="810"/>
      <c r="GR62" s="810"/>
      <c r="GS62" s="810"/>
      <c r="GT62" s="810"/>
      <c r="GU62" s="810" t="s">
        <v>93</v>
      </c>
      <c r="GV62" s="810"/>
      <c r="GW62" s="810"/>
      <c r="GX62" s="810"/>
      <c r="GY62" s="810"/>
      <c r="GZ62" s="810"/>
      <c r="HA62" s="810"/>
      <c r="HB62" s="810"/>
      <c r="HC62" s="810"/>
      <c r="HD62" s="810"/>
      <c r="HE62" s="810"/>
      <c r="HF62" s="810"/>
      <c r="HG62" s="810"/>
      <c r="HH62" s="810"/>
      <c r="HI62" s="810"/>
      <c r="HJ62" s="810"/>
      <c r="HK62" s="810"/>
      <c r="HL62" s="815"/>
      <c r="HM62" s="810"/>
      <c r="HN62" s="810"/>
      <c r="HO62" s="810"/>
      <c r="HP62" s="810"/>
      <c r="HQ62" s="810"/>
      <c r="HR62" s="810"/>
      <c r="HS62" s="810"/>
      <c r="HT62" s="841"/>
      <c r="HU62" s="810"/>
      <c r="HV62" s="810"/>
      <c r="HW62" s="810"/>
      <c r="HX62" s="810"/>
      <c r="HY62" s="857"/>
      <c r="HZ62" s="857"/>
      <c r="IA62" s="857"/>
      <c r="IB62" s="857"/>
      <c r="IC62" s="857"/>
      <c r="ID62" s="857"/>
      <c r="IE62" s="857"/>
      <c r="IF62" s="857"/>
      <c r="IG62" s="857"/>
      <c r="IH62" s="857"/>
      <c r="II62" s="857"/>
      <c r="IJ62" s="857"/>
      <c r="IK62" s="857"/>
      <c r="IL62" s="857"/>
      <c r="IM62" s="857"/>
      <c r="IN62" s="857"/>
      <c r="IO62" s="857"/>
      <c r="IP62" s="857"/>
      <c r="IQ62" s="857"/>
      <c r="IR62" s="857"/>
      <c r="IS62" s="857"/>
      <c r="IT62" s="857"/>
      <c r="IU62" s="857"/>
      <c r="IV62" s="857"/>
    </row>
    <row r="63" spans="1:256" ht="20.100000000000001" customHeight="1">
      <c r="A63" s="833" t="s">
        <v>135</v>
      </c>
      <c r="B63" s="810"/>
      <c r="C63" s="810" t="str">
        <f>IF(ISTEXT(IFERROR(VLOOKUP(A63,职业列表!I3:J10,1,FALSE),0)),"★","")</f>
        <v/>
      </c>
      <c r="D63" s="810"/>
      <c r="E63" s="810" t="s">
        <v>93</v>
      </c>
      <c r="F63" s="810"/>
      <c r="G63" s="810"/>
      <c r="H63" s="810"/>
      <c r="I63" s="810"/>
      <c r="J63" s="810"/>
      <c r="K63" s="810"/>
      <c r="L63" s="810"/>
      <c r="M63" s="810"/>
      <c r="N63" s="810"/>
      <c r="O63" s="810"/>
      <c r="P63" s="810"/>
      <c r="Q63" s="810" t="s">
        <v>93</v>
      </c>
      <c r="R63" s="810"/>
      <c r="S63" s="810"/>
      <c r="T63" s="810"/>
      <c r="U63" s="810"/>
      <c r="V63" s="810"/>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t="s">
        <v>93</v>
      </c>
      <c r="AT63" s="810"/>
      <c r="AU63" s="810"/>
      <c r="AV63" s="810"/>
      <c r="AW63" s="810"/>
      <c r="AX63" s="810"/>
      <c r="AY63" s="810"/>
      <c r="AZ63" s="810"/>
      <c r="BA63" s="810"/>
      <c r="BB63" s="810"/>
      <c r="BC63" s="810" t="s">
        <v>1367</v>
      </c>
      <c r="BD63" s="810"/>
      <c r="BE63" s="810"/>
      <c r="BF63" s="810"/>
      <c r="BG63" s="810"/>
      <c r="BH63" s="810"/>
      <c r="BI63" s="810"/>
      <c r="BJ63" s="810"/>
      <c r="BK63" s="810"/>
      <c r="BL63" s="810"/>
      <c r="BM63" s="810"/>
      <c r="BN63" s="810"/>
      <c r="BO63" s="810"/>
      <c r="BP63" s="810"/>
      <c r="BQ63" s="810"/>
      <c r="BR63" s="810"/>
      <c r="BS63" s="810"/>
      <c r="BT63" s="810"/>
      <c r="BU63" s="810"/>
      <c r="BV63" s="810"/>
      <c r="BW63" s="810"/>
      <c r="BX63" s="810"/>
      <c r="BY63" s="810"/>
      <c r="BZ63" s="810"/>
      <c r="CA63" s="810"/>
      <c r="CB63" s="810"/>
      <c r="CC63" s="810"/>
      <c r="CD63" s="810"/>
      <c r="CE63" s="810"/>
      <c r="CF63" s="810"/>
      <c r="CG63" s="810"/>
      <c r="CH63" s="810"/>
      <c r="CI63" s="810"/>
      <c r="CJ63" s="810"/>
      <c r="CK63" s="810"/>
      <c r="CL63" s="810"/>
      <c r="CM63" s="810"/>
      <c r="CN63" s="810"/>
      <c r="CO63" s="810"/>
      <c r="CP63" s="810"/>
      <c r="CQ63" s="810"/>
      <c r="CR63" s="810"/>
      <c r="CS63" s="810"/>
      <c r="CT63" s="810"/>
      <c r="CU63" s="810"/>
      <c r="CV63" s="810" t="s">
        <v>93</v>
      </c>
      <c r="CW63" s="810" t="s">
        <v>93</v>
      </c>
      <c r="CX63" s="810"/>
      <c r="CY63" s="810"/>
      <c r="CZ63" s="810"/>
      <c r="DA63" s="810"/>
      <c r="DB63" s="810" t="s">
        <v>1367</v>
      </c>
      <c r="DC63" s="810"/>
      <c r="DD63" s="810"/>
      <c r="DE63" s="811" t="s">
        <v>93</v>
      </c>
      <c r="DF63" s="810" t="s">
        <v>93</v>
      </c>
      <c r="DG63" s="810"/>
      <c r="DH63" s="810"/>
      <c r="DI63" s="810"/>
      <c r="DJ63" s="810"/>
      <c r="DK63" s="810"/>
      <c r="DL63" s="810"/>
      <c r="DM63" s="810"/>
      <c r="DN63" s="810"/>
      <c r="DO63" s="810" t="s">
        <v>93</v>
      </c>
      <c r="DP63" s="810" t="s">
        <v>93</v>
      </c>
      <c r="DQ63" s="810"/>
      <c r="DR63" s="810"/>
      <c r="DS63" s="810"/>
      <c r="DT63" s="810"/>
      <c r="DU63" s="810"/>
      <c r="DV63" s="810"/>
      <c r="DW63" s="810"/>
      <c r="DX63" s="810"/>
      <c r="DY63" s="810"/>
      <c r="DZ63" s="810"/>
      <c r="EA63" s="810"/>
      <c r="EB63" s="810"/>
      <c r="EC63" s="810"/>
      <c r="ED63" s="810"/>
      <c r="EE63" s="810"/>
      <c r="EF63" s="810"/>
      <c r="EG63" s="810"/>
      <c r="EH63" s="810"/>
      <c r="EI63" s="810"/>
      <c r="EJ63" s="810"/>
      <c r="EK63" s="810"/>
      <c r="EL63" s="810"/>
      <c r="EM63" s="810"/>
      <c r="EN63" s="810"/>
      <c r="EO63" s="810"/>
      <c r="EP63" s="810"/>
      <c r="EQ63" s="810"/>
      <c r="ER63" s="810"/>
      <c r="ES63" s="810"/>
      <c r="ET63" s="810"/>
      <c r="EU63" s="810"/>
      <c r="EV63" s="810"/>
      <c r="EW63" s="810"/>
      <c r="EX63" s="810"/>
      <c r="EY63" s="810"/>
      <c r="EZ63" s="810"/>
      <c r="FA63" s="810"/>
      <c r="FB63" s="810"/>
      <c r="FC63" s="810"/>
      <c r="FD63" s="810"/>
      <c r="FE63" s="810"/>
      <c r="FF63" s="810"/>
      <c r="FG63" s="810"/>
      <c r="FH63" s="810"/>
      <c r="FI63" s="810"/>
      <c r="FJ63" s="810"/>
      <c r="FK63" s="810"/>
      <c r="FL63" s="810"/>
      <c r="FM63" s="810"/>
      <c r="FN63" s="810"/>
      <c r="FO63" s="810"/>
      <c r="FP63" s="810" t="s">
        <v>93</v>
      </c>
      <c r="FQ63" s="810"/>
      <c r="FR63" s="810"/>
      <c r="FS63" s="810"/>
      <c r="FT63" s="810"/>
      <c r="FU63" s="810"/>
      <c r="FV63" s="810"/>
      <c r="FW63" s="810"/>
      <c r="FX63" s="810"/>
      <c r="FY63" s="810"/>
      <c r="FZ63" s="810"/>
      <c r="GA63" s="810" t="s">
        <v>93</v>
      </c>
      <c r="GB63" s="810" t="s">
        <v>93</v>
      </c>
      <c r="GC63" s="810" t="s">
        <v>1367</v>
      </c>
      <c r="GD63" s="810" t="s">
        <v>1367</v>
      </c>
      <c r="GE63" s="810" t="s">
        <v>1367</v>
      </c>
      <c r="GF63" s="810"/>
      <c r="GG63" s="810"/>
      <c r="GH63" s="810"/>
      <c r="GI63" s="810"/>
      <c r="GJ63" s="810" t="s">
        <v>93</v>
      </c>
      <c r="GK63" s="810"/>
      <c r="GL63" s="810"/>
      <c r="GM63" s="810"/>
      <c r="GN63" s="810"/>
      <c r="GO63" s="810"/>
      <c r="GP63" s="810"/>
      <c r="GQ63" s="810"/>
      <c r="GR63" s="810"/>
      <c r="GS63" s="810"/>
      <c r="GT63" s="810"/>
      <c r="GU63" s="810" t="s">
        <v>1367</v>
      </c>
      <c r="GV63" s="810"/>
      <c r="GW63" s="810"/>
      <c r="GX63" s="810"/>
      <c r="GY63" s="810"/>
      <c r="GZ63" s="810"/>
      <c r="HA63" s="810"/>
      <c r="HB63" s="810"/>
      <c r="HC63" s="810"/>
      <c r="HD63" s="810"/>
      <c r="HE63" s="810"/>
      <c r="HF63" s="810"/>
      <c r="HG63" s="810"/>
      <c r="HH63" s="810"/>
      <c r="HI63" s="810"/>
      <c r="HJ63" s="810"/>
      <c r="HK63" s="810" t="s">
        <v>1367</v>
      </c>
      <c r="HL63" s="810" t="s">
        <v>93</v>
      </c>
      <c r="HM63" s="810"/>
      <c r="HN63" s="810"/>
      <c r="HO63" s="810"/>
      <c r="HP63" s="810"/>
      <c r="HQ63" s="810"/>
      <c r="HR63" s="810"/>
      <c r="HS63" s="810"/>
      <c r="HT63" s="810"/>
      <c r="HU63" s="810"/>
      <c r="HV63" s="810"/>
      <c r="HW63" s="810"/>
      <c r="HX63" s="810"/>
      <c r="HY63" s="857"/>
      <c r="HZ63" s="857"/>
      <c r="IA63" s="857"/>
      <c r="IB63" s="857"/>
      <c r="IC63" s="857"/>
      <c r="ID63" s="857"/>
      <c r="IE63" s="857"/>
      <c r="IF63" s="857"/>
      <c r="IG63" s="857"/>
      <c r="IH63" s="857"/>
      <c r="II63" s="857"/>
      <c r="IJ63" s="857"/>
      <c r="IK63" s="857"/>
      <c r="IL63" s="857"/>
      <c r="IM63" s="857"/>
      <c r="IN63" s="857"/>
      <c r="IO63" s="857"/>
      <c r="IP63" s="857"/>
      <c r="IQ63" s="857"/>
      <c r="IR63" s="857"/>
      <c r="IS63" s="857"/>
      <c r="IT63" s="857"/>
      <c r="IU63" s="857"/>
      <c r="IV63" s="857"/>
    </row>
    <row r="64" spans="1:256" ht="20.100000000000001" customHeight="1">
      <c r="A64" s="833" t="s">
        <v>138</v>
      </c>
      <c r="B64" s="810"/>
      <c r="C64" s="810" t="str">
        <f>IF(ISTEXT(IFERROR(VLOOKUP(A64,职业列表!I3:J10,1,FALSE),0)),"★","")</f>
        <v/>
      </c>
      <c r="D64" s="810"/>
      <c r="E64" s="810" t="s">
        <v>93</v>
      </c>
      <c r="F64" s="810"/>
      <c r="G64" s="810"/>
      <c r="H64" s="810"/>
      <c r="I64" s="810"/>
      <c r="J64" s="810"/>
      <c r="K64" s="810"/>
      <c r="L64" s="810"/>
      <c r="M64" s="810"/>
      <c r="N64" s="810"/>
      <c r="O64" s="810"/>
      <c r="P64" s="810"/>
      <c r="Q64" s="810" t="s">
        <v>93</v>
      </c>
      <c r="R64" s="810"/>
      <c r="S64" s="810"/>
      <c r="T64" s="810"/>
      <c r="U64" s="810"/>
      <c r="V64" s="810"/>
      <c r="W64" s="810"/>
      <c r="X64" s="810"/>
      <c r="Y64" s="810"/>
      <c r="Z64" s="810"/>
      <c r="AA64" s="810"/>
      <c r="AB64" s="810" t="s">
        <v>93</v>
      </c>
      <c r="AC64" s="810"/>
      <c r="AD64" s="810"/>
      <c r="AE64" s="810"/>
      <c r="AF64" s="810"/>
      <c r="AG64" s="810"/>
      <c r="AH64" s="810"/>
      <c r="AI64" s="810"/>
      <c r="AJ64" s="810"/>
      <c r="AK64" s="810"/>
      <c r="AL64" s="810"/>
      <c r="AM64" s="810"/>
      <c r="AN64" s="810" t="s">
        <v>93</v>
      </c>
      <c r="AO64" s="810"/>
      <c r="AP64" s="810"/>
      <c r="AQ64" s="810"/>
      <c r="AR64" s="810"/>
      <c r="AS64" s="810"/>
      <c r="AT64" s="810"/>
      <c r="AU64" s="810"/>
      <c r="AV64" s="810"/>
      <c r="AW64" s="810"/>
      <c r="AX64" s="810"/>
      <c r="AY64" s="810"/>
      <c r="AZ64" s="810"/>
      <c r="BA64" s="810"/>
      <c r="BB64" s="810"/>
      <c r="BC64" s="810"/>
      <c r="BD64" s="810"/>
      <c r="BE64" s="810"/>
      <c r="BF64" s="810" t="s">
        <v>93</v>
      </c>
      <c r="BG64" s="810"/>
      <c r="BH64" s="810"/>
      <c r="BI64" s="810"/>
      <c r="BJ64" s="810"/>
      <c r="BK64" s="810"/>
      <c r="BL64" s="810"/>
      <c r="BM64" s="810"/>
      <c r="BN64" s="810"/>
      <c r="BO64" s="810"/>
      <c r="BP64" s="810"/>
      <c r="BQ64" s="810"/>
      <c r="BR64" s="810"/>
      <c r="BS64" s="810" t="s">
        <v>93</v>
      </c>
      <c r="BT64" s="810" t="s">
        <v>93</v>
      </c>
      <c r="BU64" s="810"/>
      <c r="BV64" s="810"/>
      <c r="BW64" s="810"/>
      <c r="BX64" s="810"/>
      <c r="BY64" s="810"/>
      <c r="BZ64" s="810"/>
      <c r="CA64" s="810"/>
      <c r="CB64" s="810"/>
      <c r="CC64" s="810"/>
      <c r="CD64" s="810"/>
      <c r="CE64" s="810"/>
      <c r="CF64" s="810"/>
      <c r="CG64" s="810"/>
      <c r="CH64" s="810"/>
      <c r="CI64" s="810"/>
      <c r="CJ64" s="810"/>
      <c r="CK64" s="810"/>
      <c r="CL64" s="810"/>
      <c r="CM64" s="810"/>
      <c r="CN64" s="810"/>
      <c r="CO64" s="810"/>
      <c r="CP64" s="810"/>
      <c r="CQ64" s="810"/>
      <c r="CR64" s="810"/>
      <c r="CS64" s="810"/>
      <c r="CT64" s="810"/>
      <c r="CU64" s="810"/>
      <c r="CV64" s="810"/>
      <c r="CW64" s="810"/>
      <c r="CX64" s="810"/>
      <c r="CY64" s="810"/>
      <c r="CZ64" s="810"/>
      <c r="DA64" s="810"/>
      <c r="DB64" s="810"/>
      <c r="DC64" s="810"/>
      <c r="DD64" s="810"/>
      <c r="DE64" s="810"/>
      <c r="DF64" s="810" t="s">
        <v>1367</v>
      </c>
      <c r="DG64" s="810"/>
      <c r="DH64" s="810"/>
      <c r="DI64" s="810"/>
      <c r="DJ64" s="810"/>
      <c r="DK64" s="810"/>
      <c r="DL64" s="810"/>
      <c r="DM64" s="810"/>
      <c r="DN64" s="810"/>
      <c r="DO64" s="810" t="s">
        <v>93</v>
      </c>
      <c r="DP64" s="810" t="s">
        <v>93</v>
      </c>
      <c r="DQ64" s="810" t="s">
        <v>93</v>
      </c>
      <c r="DR64" s="810" t="s">
        <v>93</v>
      </c>
      <c r="DS64" s="810"/>
      <c r="DT64" s="810"/>
      <c r="DU64" s="810"/>
      <c r="DV64" s="810"/>
      <c r="DW64" s="810"/>
      <c r="DX64" s="810"/>
      <c r="DY64" s="810"/>
      <c r="DZ64" s="810"/>
      <c r="EA64" s="810"/>
      <c r="EB64" s="810"/>
      <c r="EC64" s="810"/>
      <c r="ED64" s="810"/>
      <c r="EE64" s="810"/>
      <c r="EF64" s="810"/>
      <c r="EG64" s="810"/>
      <c r="EH64" s="810"/>
      <c r="EI64" s="810"/>
      <c r="EJ64" s="810"/>
      <c r="EK64" s="810"/>
      <c r="EL64" s="810"/>
      <c r="EM64" s="810"/>
      <c r="EN64" s="810"/>
      <c r="EO64" s="810"/>
      <c r="EP64" s="810"/>
      <c r="EQ64" s="810"/>
      <c r="ER64" s="810"/>
      <c r="ES64" s="810"/>
      <c r="ET64" s="810"/>
      <c r="EU64" s="810"/>
      <c r="EV64" s="810"/>
      <c r="EW64" s="810"/>
      <c r="EX64" s="810"/>
      <c r="EY64" s="810"/>
      <c r="EZ64" s="810"/>
      <c r="FA64" s="810"/>
      <c r="FB64" s="810"/>
      <c r="FC64" s="810"/>
      <c r="FD64" s="810"/>
      <c r="FE64" s="810"/>
      <c r="FF64" s="810"/>
      <c r="FG64" s="810"/>
      <c r="FH64" s="810"/>
      <c r="FI64" s="810"/>
      <c r="FJ64" s="810"/>
      <c r="FK64" s="810"/>
      <c r="FL64" s="810"/>
      <c r="FM64" s="810"/>
      <c r="FN64" s="810"/>
      <c r="FO64" s="810"/>
      <c r="FP64" s="810"/>
      <c r="FQ64" s="810"/>
      <c r="FR64" s="810"/>
      <c r="FS64" s="810"/>
      <c r="FT64" s="810"/>
      <c r="FU64" s="810"/>
      <c r="FV64" s="810"/>
      <c r="FW64" s="810"/>
      <c r="FX64" s="810"/>
      <c r="FY64" s="810"/>
      <c r="FZ64" s="810"/>
      <c r="GA64" s="810"/>
      <c r="GB64" s="810"/>
      <c r="GC64" s="810"/>
      <c r="GD64" s="810"/>
      <c r="GE64" s="810"/>
      <c r="GF64" s="810"/>
      <c r="GG64" s="810"/>
      <c r="GH64" s="810"/>
      <c r="GI64" s="810"/>
      <c r="GJ64" s="810" t="s">
        <v>93</v>
      </c>
      <c r="GK64" s="810"/>
      <c r="GL64" s="810"/>
      <c r="GM64" s="810"/>
      <c r="GN64" s="810"/>
      <c r="GO64" s="810"/>
      <c r="GP64" s="810"/>
      <c r="GQ64" s="810"/>
      <c r="GR64" s="810"/>
      <c r="GS64" s="810"/>
      <c r="GT64" s="810"/>
      <c r="GU64" s="810"/>
      <c r="GV64" s="810"/>
      <c r="GW64" s="810"/>
      <c r="GX64" s="810"/>
      <c r="GY64" s="810"/>
      <c r="GZ64" s="810"/>
      <c r="HA64" s="810"/>
      <c r="HB64" s="810"/>
      <c r="HC64" s="810"/>
      <c r="HD64" s="810"/>
      <c r="HE64" s="810"/>
      <c r="HF64" s="810"/>
      <c r="HG64" s="810"/>
      <c r="HH64" s="810"/>
      <c r="HI64" s="810"/>
      <c r="HJ64" s="810"/>
      <c r="HK64" s="810"/>
      <c r="HL64" s="810"/>
      <c r="HM64" s="810"/>
      <c r="HN64" s="810"/>
      <c r="HO64" s="810"/>
      <c r="HP64" s="810"/>
      <c r="HQ64" s="810"/>
      <c r="HR64" s="810"/>
      <c r="HS64" s="810"/>
      <c r="HT64" s="810"/>
      <c r="HU64" s="810"/>
      <c r="HV64" s="810"/>
      <c r="HW64" s="810"/>
      <c r="HX64" s="810"/>
      <c r="HY64" s="857"/>
      <c r="HZ64" s="857"/>
      <c r="IA64" s="857"/>
      <c r="IB64" s="857"/>
      <c r="IC64" s="857"/>
      <c r="ID64" s="857"/>
      <c r="IE64" s="857"/>
      <c r="IF64" s="857"/>
      <c r="IG64" s="857"/>
      <c r="IH64" s="857"/>
      <c r="II64" s="857"/>
      <c r="IJ64" s="857"/>
      <c r="IK64" s="857"/>
      <c r="IL64" s="857"/>
      <c r="IM64" s="857"/>
      <c r="IN64" s="857"/>
      <c r="IO64" s="857"/>
      <c r="IP64" s="857"/>
      <c r="IQ64" s="857"/>
      <c r="IR64" s="857"/>
      <c r="IS64" s="857"/>
      <c r="IT64" s="857"/>
      <c r="IU64" s="857"/>
      <c r="IV64" s="857"/>
    </row>
    <row r="65" spans="1:256" ht="20.100000000000001" customHeight="1">
      <c r="A65" s="833" t="s">
        <v>140</v>
      </c>
      <c r="B65" s="810"/>
      <c r="C65" s="810" t="str">
        <f>IF(ISTEXT(IFERROR(VLOOKUP(A65,职业列表!I3:J10,1,FALSE),0)),"★","")</f>
        <v/>
      </c>
      <c r="D65" s="810"/>
      <c r="E65" s="810"/>
      <c r="F65" s="810"/>
      <c r="G65" s="810"/>
      <c r="H65" s="810" t="s">
        <v>93</v>
      </c>
      <c r="I65" s="810"/>
      <c r="J65" s="811" t="s">
        <v>93</v>
      </c>
      <c r="K65" s="810"/>
      <c r="L65" s="810"/>
      <c r="M65" s="810"/>
      <c r="N65" s="810"/>
      <c r="O65" s="810"/>
      <c r="P65" s="810"/>
      <c r="Q65" s="810"/>
      <c r="R65" s="810"/>
      <c r="S65" s="810"/>
      <c r="T65" s="811" t="s">
        <v>93</v>
      </c>
      <c r="U65" s="810"/>
      <c r="V65" s="810" t="s">
        <v>93</v>
      </c>
      <c r="W65" s="810"/>
      <c r="X65" s="810"/>
      <c r="Y65" s="810"/>
      <c r="Z65" s="810"/>
      <c r="AA65" s="810"/>
      <c r="AB65" s="810" t="s">
        <v>93</v>
      </c>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c r="BC65" s="810"/>
      <c r="BD65" s="810" t="s">
        <v>93</v>
      </c>
      <c r="BE65" s="810"/>
      <c r="BF65" s="810"/>
      <c r="BG65" s="810"/>
      <c r="BH65" s="810"/>
      <c r="BI65" s="810"/>
      <c r="BJ65" s="810"/>
      <c r="BK65" s="810"/>
      <c r="BL65" s="810"/>
      <c r="BM65" s="810"/>
      <c r="BN65" s="810"/>
      <c r="BO65" s="810"/>
      <c r="BP65" s="810"/>
      <c r="BQ65" s="810"/>
      <c r="BR65" s="810"/>
      <c r="BS65" s="810"/>
      <c r="BT65" s="810"/>
      <c r="BU65" s="810"/>
      <c r="BV65" s="810"/>
      <c r="BW65" s="810"/>
      <c r="BX65" s="810"/>
      <c r="BY65" s="810"/>
      <c r="BZ65" s="810"/>
      <c r="CA65" s="810" t="s">
        <v>93</v>
      </c>
      <c r="CB65" s="810"/>
      <c r="CC65" s="810"/>
      <c r="CD65" s="810"/>
      <c r="CE65" s="810"/>
      <c r="CF65" s="810" t="s">
        <v>93</v>
      </c>
      <c r="CG65" s="810"/>
      <c r="CH65" s="810"/>
      <c r="CI65" s="810"/>
      <c r="CJ65" s="810"/>
      <c r="CK65" s="810"/>
      <c r="CL65" s="810"/>
      <c r="CM65" s="810"/>
      <c r="CN65" s="810"/>
      <c r="CO65" s="810"/>
      <c r="CP65" s="810"/>
      <c r="CQ65" s="810"/>
      <c r="CR65" s="810"/>
      <c r="CS65" s="810"/>
      <c r="CT65" s="810"/>
      <c r="CU65" s="810"/>
      <c r="CV65" s="810"/>
      <c r="CW65" s="810"/>
      <c r="CX65" s="810"/>
      <c r="CY65" s="810"/>
      <c r="CZ65" s="810"/>
      <c r="DA65" s="810"/>
      <c r="DB65" s="810"/>
      <c r="DC65" s="810"/>
      <c r="DD65" s="810"/>
      <c r="DE65" s="810"/>
      <c r="DF65" s="810"/>
      <c r="DG65" s="810"/>
      <c r="DH65" s="810"/>
      <c r="DI65" s="810"/>
      <c r="DJ65" s="810"/>
      <c r="DK65" s="810"/>
      <c r="DL65" s="810"/>
      <c r="DM65" s="810"/>
      <c r="DN65" s="810"/>
      <c r="DO65" s="810"/>
      <c r="DP65" s="810"/>
      <c r="DQ65" s="810"/>
      <c r="DR65" s="810"/>
      <c r="DS65" s="810"/>
      <c r="DT65" s="810"/>
      <c r="DU65" s="810"/>
      <c r="DV65" s="810"/>
      <c r="DW65" s="810"/>
      <c r="DX65" s="810"/>
      <c r="DY65" s="810"/>
      <c r="DZ65" s="810"/>
      <c r="EA65" s="810"/>
      <c r="EB65" s="810"/>
      <c r="EC65" s="810"/>
      <c r="ED65" s="810"/>
      <c r="EE65" s="810"/>
      <c r="EF65" s="810"/>
      <c r="EG65" s="810"/>
      <c r="EH65" s="810"/>
      <c r="EI65" s="810"/>
      <c r="EJ65" s="810"/>
      <c r="EK65" s="810"/>
      <c r="EL65" s="810"/>
      <c r="EM65" s="810"/>
      <c r="EN65" s="810"/>
      <c r="EO65" s="810"/>
      <c r="EP65" s="810"/>
      <c r="EQ65" s="810"/>
      <c r="ER65" s="810"/>
      <c r="ES65" s="810"/>
      <c r="ET65" s="810"/>
      <c r="EU65" s="810"/>
      <c r="EV65" s="810"/>
      <c r="EW65" s="810"/>
      <c r="EX65" s="810"/>
      <c r="EY65" s="810"/>
      <c r="EZ65" s="810"/>
      <c r="FA65" s="810"/>
      <c r="FB65" s="810"/>
      <c r="FC65" s="810" t="s">
        <v>93</v>
      </c>
      <c r="FD65" s="810"/>
      <c r="FE65" s="810"/>
      <c r="FF65" s="810"/>
      <c r="FG65" s="810"/>
      <c r="FH65" s="810"/>
      <c r="FI65" s="810"/>
      <c r="FJ65" s="810"/>
      <c r="FK65" s="810"/>
      <c r="FL65" s="810"/>
      <c r="FM65" s="810"/>
      <c r="FN65" s="810"/>
      <c r="FO65" s="810"/>
      <c r="FP65" s="810"/>
      <c r="FQ65" s="810"/>
      <c r="FR65" s="810"/>
      <c r="FS65" s="810"/>
      <c r="FT65" s="810" t="s">
        <v>93</v>
      </c>
      <c r="FU65" s="810"/>
      <c r="FV65" s="810"/>
      <c r="FW65" s="810"/>
      <c r="FX65" s="810" t="s">
        <v>93</v>
      </c>
      <c r="FY65" s="810"/>
      <c r="FZ65" s="810"/>
      <c r="GA65" s="810"/>
      <c r="GB65" s="810"/>
      <c r="GC65" s="810"/>
      <c r="GD65" s="810"/>
      <c r="GE65" s="810"/>
      <c r="GF65" s="810"/>
      <c r="GG65" s="810"/>
      <c r="GH65" s="810"/>
      <c r="GI65" s="810"/>
      <c r="GJ65" s="810"/>
      <c r="GK65" s="810"/>
      <c r="GL65" s="810"/>
      <c r="GM65" s="810"/>
      <c r="GN65" s="810"/>
      <c r="GO65" s="810"/>
      <c r="GP65" s="810"/>
      <c r="GQ65" s="810"/>
      <c r="GR65" s="810"/>
      <c r="GS65" s="810"/>
      <c r="GT65" s="810"/>
      <c r="GU65" s="810"/>
      <c r="GV65" s="810"/>
      <c r="GW65" s="810"/>
      <c r="GX65" s="810"/>
      <c r="GY65" s="810"/>
      <c r="GZ65" s="810"/>
      <c r="HA65" s="810"/>
      <c r="HB65" s="811"/>
      <c r="HC65" s="810"/>
      <c r="HD65" s="810"/>
      <c r="HE65" s="810"/>
      <c r="HF65" s="810" t="s">
        <v>93</v>
      </c>
      <c r="HG65" s="810"/>
      <c r="HH65" s="810"/>
      <c r="HI65" s="810"/>
      <c r="HJ65" s="810"/>
      <c r="HK65" s="810"/>
      <c r="HL65" s="810" t="s">
        <v>93</v>
      </c>
      <c r="HM65" s="810"/>
      <c r="HN65" s="810"/>
      <c r="HO65" s="810"/>
      <c r="HP65" s="810"/>
      <c r="HQ65" s="810"/>
      <c r="HR65" s="810"/>
      <c r="HS65" s="810"/>
      <c r="HT65" s="810"/>
      <c r="HU65" s="810"/>
      <c r="HV65" s="810"/>
      <c r="HW65" s="810"/>
      <c r="HX65" s="810"/>
      <c r="HY65" s="857"/>
      <c r="HZ65" s="857"/>
      <c r="IA65" s="857"/>
      <c r="IB65" s="857"/>
      <c r="IC65" s="857"/>
      <c r="ID65" s="857"/>
      <c r="IE65" s="857"/>
      <c r="IF65" s="857"/>
      <c r="IG65" s="857"/>
      <c r="IH65" s="857"/>
      <c r="II65" s="857"/>
      <c r="IJ65" s="857"/>
      <c r="IK65" s="857"/>
      <c r="IL65" s="857"/>
      <c r="IM65" s="857"/>
      <c r="IN65" s="857"/>
      <c r="IO65" s="857"/>
      <c r="IP65" s="857"/>
      <c r="IQ65" s="857"/>
      <c r="IR65" s="857"/>
      <c r="IS65" s="857"/>
      <c r="IT65" s="857"/>
      <c r="IU65" s="857"/>
      <c r="IV65" s="857"/>
    </row>
    <row r="66" spans="1:256" s="801" customFormat="1" ht="20.100000000000001" customHeight="1">
      <c r="A66" s="869" t="s">
        <v>142</v>
      </c>
      <c r="B66" s="870"/>
      <c r="C66" s="811" t="str">
        <f>IF(ISTEXT(IFERROR(VLOOKUP(A66,职业列表!I3:J10,1,FALSE),0)),"★","")</f>
        <v/>
      </c>
      <c r="D66" s="870"/>
      <c r="E66" s="870"/>
      <c r="F66" s="870"/>
      <c r="G66" s="870"/>
      <c r="H66" s="870"/>
      <c r="I66" s="870"/>
      <c r="J66" s="870" t="s">
        <v>93</v>
      </c>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3"/>
      <c r="AQ66" s="870"/>
      <c r="AR66" s="870"/>
      <c r="AS66" s="873"/>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c r="CU66" s="870"/>
      <c r="CV66" s="870"/>
      <c r="CW66" s="870"/>
      <c r="CX66" s="870"/>
      <c r="CY66" s="870"/>
      <c r="CZ66" s="870"/>
      <c r="DA66" s="870"/>
      <c r="DB66" s="870"/>
      <c r="DC66" s="870"/>
      <c r="DD66" s="870"/>
      <c r="DE66" s="873"/>
      <c r="DF66" s="870"/>
      <c r="DG66" s="870"/>
      <c r="DH66" s="870"/>
      <c r="DI66" s="870"/>
      <c r="DJ66" s="870"/>
      <c r="DK66" s="870"/>
      <c r="DL66" s="870"/>
      <c r="DM66" s="870" t="s">
        <v>93</v>
      </c>
      <c r="DN66" s="870"/>
      <c r="DO66" s="870"/>
      <c r="DP66" s="870"/>
      <c r="DQ66" s="870"/>
      <c r="DR66" s="870"/>
      <c r="DS66" s="870"/>
      <c r="DT66" s="870"/>
      <c r="DU66" s="870"/>
      <c r="DV66" s="870"/>
      <c r="DW66" s="870"/>
      <c r="DX66" s="870"/>
      <c r="DY66" s="870"/>
      <c r="DZ66" s="870"/>
      <c r="EA66" s="870"/>
      <c r="EB66" s="870"/>
      <c r="EC66" s="870"/>
      <c r="ED66" s="870"/>
      <c r="EE66" s="870"/>
      <c r="EF66" s="870"/>
      <c r="EG66" s="870"/>
      <c r="EH66" s="870"/>
      <c r="EI66" s="870"/>
      <c r="EJ66" s="870"/>
      <c r="EK66" s="870"/>
      <c r="EL66" s="870"/>
      <c r="EM66" s="870"/>
      <c r="EN66" s="870"/>
      <c r="EO66" s="870"/>
      <c r="EP66" s="870"/>
      <c r="EQ66" s="870"/>
      <c r="ER66" s="870"/>
      <c r="ES66" s="870"/>
      <c r="ET66" s="870"/>
      <c r="EU66" s="870"/>
      <c r="EV66" s="870"/>
      <c r="EW66" s="870"/>
      <c r="EX66" s="870"/>
      <c r="EY66" s="870"/>
      <c r="EZ66" s="870"/>
      <c r="FA66" s="870"/>
      <c r="FB66" s="870"/>
      <c r="FC66" s="870"/>
      <c r="FD66" s="870"/>
      <c r="FE66" s="870"/>
      <c r="FF66" s="870"/>
      <c r="FG66" s="870"/>
      <c r="FH66" s="870"/>
      <c r="FI66" s="870"/>
      <c r="FJ66" s="870"/>
      <c r="FK66" s="870"/>
      <c r="FL66" s="870"/>
      <c r="FM66" s="870"/>
      <c r="FN66" s="870"/>
      <c r="FO66" s="870"/>
      <c r="FP66" s="870"/>
      <c r="FQ66" s="870"/>
      <c r="FR66" s="870"/>
      <c r="FS66" s="870"/>
      <c r="FT66" s="870"/>
      <c r="FU66" s="870"/>
      <c r="FV66" s="870"/>
      <c r="FW66" s="870"/>
      <c r="FX66" s="870"/>
      <c r="FY66" s="870"/>
      <c r="FZ66" s="870"/>
      <c r="GA66" s="870"/>
      <c r="GB66" s="870"/>
      <c r="GC66" s="870"/>
      <c r="GD66" s="870"/>
      <c r="GE66" s="870"/>
      <c r="GF66" s="870"/>
      <c r="GG66" s="870"/>
      <c r="GH66" s="870"/>
      <c r="GI66" s="870"/>
      <c r="GJ66" s="870"/>
      <c r="GK66" s="870"/>
      <c r="GL66" s="870"/>
      <c r="GM66" s="870"/>
      <c r="GN66" s="870"/>
      <c r="GO66" s="870"/>
      <c r="GP66" s="870"/>
      <c r="GQ66" s="870"/>
      <c r="GR66" s="870"/>
      <c r="GS66" s="870"/>
      <c r="GT66" s="870"/>
      <c r="GU66" s="870"/>
      <c r="GV66" s="870"/>
      <c r="GW66" s="870"/>
      <c r="GX66" s="870"/>
      <c r="GY66" s="870"/>
      <c r="GZ66" s="870"/>
      <c r="HA66" s="870"/>
      <c r="HB66" s="870"/>
      <c r="HC66" s="870"/>
      <c r="HD66" s="870"/>
      <c r="HE66" s="870"/>
      <c r="HF66" s="870"/>
      <c r="HG66" s="870"/>
      <c r="HH66" s="870"/>
      <c r="HI66" s="870"/>
      <c r="HJ66" s="870"/>
      <c r="HK66" s="870"/>
      <c r="HL66" s="870"/>
      <c r="HM66" s="870"/>
      <c r="HN66" s="870"/>
      <c r="HO66" s="870"/>
      <c r="HP66" s="870"/>
      <c r="HQ66" s="870"/>
      <c r="HR66" s="870"/>
      <c r="HS66" s="870"/>
      <c r="HT66" s="870"/>
      <c r="HU66" s="870"/>
      <c r="HV66" s="870"/>
      <c r="HW66" s="870"/>
      <c r="HX66" s="870"/>
      <c r="HY66" s="874"/>
      <c r="HZ66" s="874"/>
      <c r="IA66" s="874"/>
      <c r="IB66" s="874"/>
      <c r="IC66" s="874"/>
      <c r="ID66" s="874"/>
      <c r="IE66" s="874"/>
      <c r="IF66" s="874"/>
      <c r="IG66" s="874"/>
      <c r="IH66" s="874"/>
      <c r="II66" s="874"/>
      <c r="IJ66" s="874"/>
      <c r="IK66" s="874"/>
      <c r="IL66" s="874"/>
      <c r="IM66" s="874"/>
      <c r="IN66" s="874"/>
      <c r="IO66" s="874"/>
      <c r="IP66" s="874"/>
      <c r="IQ66" s="874"/>
      <c r="IR66" s="874"/>
      <c r="IS66" s="874"/>
      <c r="IT66" s="874"/>
      <c r="IU66" s="874"/>
      <c r="IV66" s="874"/>
    </row>
    <row r="67" spans="1:256" ht="20.100000000000001" customHeight="1">
      <c r="A67" s="826" t="s">
        <v>144</v>
      </c>
      <c r="B67" s="810"/>
      <c r="C67" s="810" t="str">
        <f>IF(ISTEXT(IFERROR(VLOOKUP(A67,职业列表!I3:J10,1,FALSE),0)),"★","")</f>
        <v/>
      </c>
      <c r="D67" s="810"/>
      <c r="E67" s="810"/>
      <c r="F67" s="810"/>
      <c r="G67" s="810"/>
      <c r="H67" s="810"/>
      <c r="I67" s="810"/>
      <c r="J67" s="810"/>
      <c r="K67" s="810"/>
      <c r="L67" s="810"/>
      <c r="M67" s="810"/>
      <c r="N67" s="810"/>
      <c r="O67" s="810"/>
      <c r="P67" s="810"/>
      <c r="Q67" s="810"/>
      <c r="R67" s="810"/>
      <c r="S67" s="810"/>
      <c r="T67" s="810"/>
      <c r="U67" s="810"/>
      <c r="V67" s="810"/>
      <c r="W67" s="810"/>
      <c r="X67" s="810"/>
      <c r="Y67" s="810"/>
      <c r="Z67" s="810"/>
      <c r="AA67" s="810"/>
      <c r="AB67" s="810"/>
      <c r="AC67" s="810"/>
      <c r="AD67" s="810"/>
      <c r="AE67" s="810"/>
      <c r="AF67" s="810"/>
      <c r="AG67" s="810"/>
      <c r="AH67" s="810"/>
      <c r="AI67" s="810"/>
      <c r="AJ67" s="810"/>
      <c r="AK67" s="810"/>
      <c r="AL67" s="810"/>
      <c r="AM67" s="810"/>
      <c r="AN67" s="810"/>
      <c r="AO67" s="810"/>
      <c r="AP67" s="810"/>
      <c r="AQ67" s="810"/>
      <c r="AR67" s="810"/>
      <c r="AS67" s="811" t="s">
        <v>93</v>
      </c>
      <c r="AT67" s="810"/>
      <c r="AU67" s="810"/>
      <c r="AV67" s="810"/>
      <c r="AW67" s="810"/>
      <c r="AX67" s="810"/>
      <c r="AY67" s="810"/>
      <c r="AZ67" s="810"/>
      <c r="BA67" s="810"/>
      <c r="BB67" s="810"/>
      <c r="BC67" s="810"/>
      <c r="BD67" s="810"/>
      <c r="BE67" s="810"/>
      <c r="BF67" s="810"/>
      <c r="BG67" s="810"/>
      <c r="BH67" s="810"/>
      <c r="BI67" s="810"/>
      <c r="BJ67" s="810"/>
      <c r="BK67" s="810"/>
      <c r="BL67" s="810"/>
      <c r="BM67" s="810"/>
      <c r="BN67" s="810"/>
      <c r="BO67" s="810"/>
      <c r="BP67" s="810"/>
      <c r="BQ67" s="810"/>
      <c r="BR67" s="810"/>
      <c r="BS67" s="810"/>
      <c r="BT67" s="810"/>
      <c r="BU67" s="810"/>
      <c r="BV67" s="810"/>
      <c r="BW67" s="810"/>
      <c r="BX67" s="810"/>
      <c r="BY67" s="810"/>
      <c r="BZ67" s="810"/>
      <c r="CA67" s="810"/>
      <c r="CB67" s="810"/>
      <c r="CC67" s="810"/>
      <c r="CD67" s="810"/>
      <c r="CE67" s="810"/>
      <c r="CF67" s="810"/>
      <c r="CG67" s="810"/>
      <c r="CH67" s="810"/>
      <c r="CI67" s="810"/>
      <c r="CJ67" s="810"/>
      <c r="CK67" s="810"/>
      <c r="CL67" s="810"/>
      <c r="CM67" s="810"/>
      <c r="CN67" s="810"/>
      <c r="CO67" s="810"/>
      <c r="CP67" s="810"/>
      <c r="CQ67" s="810"/>
      <c r="CR67" s="810"/>
      <c r="CS67" s="810"/>
      <c r="CT67" s="810"/>
      <c r="CU67" s="810"/>
      <c r="CV67" s="810"/>
      <c r="CW67" s="810"/>
      <c r="CX67" s="810"/>
      <c r="CY67" s="810"/>
      <c r="CZ67" s="810"/>
      <c r="DA67" s="810"/>
      <c r="DB67" s="810"/>
      <c r="DC67" s="810"/>
      <c r="DD67" s="810"/>
      <c r="DE67" s="811" t="s">
        <v>1370</v>
      </c>
      <c r="DF67" s="810"/>
      <c r="DG67" s="810"/>
      <c r="DH67" s="810"/>
      <c r="DI67" s="810"/>
      <c r="DJ67" s="810"/>
      <c r="DK67" s="810"/>
      <c r="DL67" s="810"/>
      <c r="DM67" s="810"/>
      <c r="DN67" s="810"/>
      <c r="DO67" s="810"/>
      <c r="DP67" s="810"/>
      <c r="DQ67" s="810"/>
      <c r="DR67" s="810"/>
      <c r="DS67" s="810"/>
      <c r="DT67" s="810"/>
      <c r="DU67" s="810"/>
      <c r="DV67" s="810"/>
      <c r="DW67" s="810"/>
      <c r="DX67" s="810"/>
      <c r="DY67" s="810"/>
      <c r="DZ67" s="810"/>
      <c r="EA67" s="810"/>
      <c r="EB67" s="810"/>
      <c r="EC67" s="810"/>
      <c r="ED67" s="810"/>
      <c r="EE67" s="810"/>
      <c r="EF67" s="810"/>
      <c r="EG67" s="810"/>
      <c r="EH67" s="810"/>
      <c r="EI67" s="810"/>
      <c r="EJ67" s="810"/>
      <c r="EK67" s="810"/>
      <c r="EL67" s="810"/>
      <c r="EM67" s="810"/>
      <c r="EN67" s="810"/>
      <c r="EO67" s="810"/>
      <c r="EP67" s="810"/>
      <c r="EQ67" s="810"/>
      <c r="ER67" s="810"/>
      <c r="ES67" s="810"/>
      <c r="ET67" s="810"/>
      <c r="EU67" s="810"/>
      <c r="EV67" s="810"/>
      <c r="EW67" s="810"/>
      <c r="EX67" s="810"/>
      <c r="EY67" s="810"/>
      <c r="EZ67" s="810"/>
      <c r="FA67" s="810"/>
      <c r="FB67" s="810"/>
      <c r="FC67" s="810"/>
      <c r="FD67" s="810"/>
      <c r="FE67" s="827"/>
      <c r="FF67" s="827"/>
      <c r="FG67" s="827"/>
      <c r="FH67" s="827"/>
      <c r="FI67" s="827"/>
      <c r="FJ67" s="827"/>
      <c r="FK67" s="827"/>
      <c r="FL67" s="827"/>
      <c r="FM67" s="810"/>
      <c r="FN67" s="810"/>
      <c r="FO67" s="810"/>
      <c r="FP67" s="810"/>
      <c r="FQ67" s="810"/>
      <c r="FR67" s="810"/>
      <c r="FS67" s="810"/>
      <c r="FT67" s="810"/>
      <c r="FU67" s="810"/>
      <c r="FV67" s="810"/>
      <c r="FW67" s="810"/>
      <c r="FX67" s="810"/>
      <c r="FY67" s="810"/>
      <c r="FZ67" s="810"/>
      <c r="GA67" s="810"/>
      <c r="GB67" s="810"/>
      <c r="GC67" s="810"/>
      <c r="GD67" s="810"/>
      <c r="GE67" s="810"/>
      <c r="GF67" s="810"/>
      <c r="GG67" s="810"/>
      <c r="GH67" s="810"/>
      <c r="GI67" s="810"/>
      <c r="GJ67" s="810"/>
      <c r="GK67" s="810"/>
      <c r="GL67" s="810"/>
      <c r="GM67" s="810"/>
      <c r="GN67" s="810"/>
      <c r="GO67" s="810"/>
      <c r="GP67" s="810"/>
      <c r="GQ67" s="810"/>
      <c r="GR67" s="810"/>
      <c r="GS67" s="810"/>
      <c r="GT67" s="810"/>
      <c r="GU67" s="810"/>
      <c r="GV67" s="810"/>
      <c r="GW67" s="810"/>
      <c r="GX67" s="810"/>
      <c r="GY67" s="810"/>
      <c r="GZ67" s="810"/>
      <c r="HA67" s="810"/>
      <c r="HB67" s="810"/>
      <c r="HC67" s="810"/>
      <c r="HD67" s="810"/>
      <c r="HE67" s="810"/>
      <c r="HF67" s="810"/>
      <c r="HG67" s="810"/>
      <c r="HH67" s="810"/>
      <c r="HI67" s="810"/>
      <c r="HJ67" s="810"/>
      <c r="HK67" s="810"/>
      <c r="HL67" s="810"/>
      <c r="HM67" s="810"/>
      <c r="HN67" s="810"/>
      <c r="HO67" s="810"/>
      <c r="HP67" s="810"/>
      <c r="HQ67" s="810"/>
      <c r="HR67" s="810"/>
      <c r="HS67" s="810"/>
      <c r="HT67" s="810"/>
      <c r="HU67" s="810"/>
      <c r="HV67" s="810"/>
      <c r="HW67" s="810"/>
      <c r="HX67" s="810"/>
      <c r="HY67" s="857"/>
      <c r="HZ67" s="857"/>
      <c r="IA67" s="857"/>
      <c r="IB67" s="857"/>
      <c r="IC67" s="857"/>
      <c r="ID67" s="857"/>
      <c r="IE67" s="857"/>
      <c r="IF67" s="857"/>
      <c r="IG67" s="857"/>
      <c r="IH67" s="857"/>
      <c r="II67" s="857"/>
      <c r="IJ67" s="857"/>
      <c r="IK67" s="857"/>
      <c r="IL67" s="857"/>
      <c r="IM67" s="857"/>
      <c r="IN67" s="857"/>
      <c r="IO67" s="857"/>
      <c r="IP67" s="857"/>
      <c r="IQ67" s="857"/>
      <c r="IR67" s="857"/>
      <c r="IS67" s="857"/>
      <c r="IT67" s="857"/>
      <c r="IU67" s="857"/>
      <c r="IV67" s="857"/>
    </row>
    <row r="68" spans="1:256" ht="20.100000000000001" customHeight="1">
      <c r="A68" s="826" t="s">
        <v>146</v>
      </c>
      <c r="B68" s="810"/>
      <c r="C68" s="811" t="str">
        <f>IF(ISTEXT(IFERROR(VLOOKUP(A68,职业列表!I3:J10,1,FALSE),0)),"★","")</f>
        <v/>
      </c>
      <c r="D68" s="810"/>
      <c r="E68" s="810"/>
      <c r="F68" s="810"/>
      <c r="G68" s="810"/>
      <c r="H68" s="810"/>
      <c r="I68" s="810"/>
      <c r="J68" s="810"/>
      <c r="K68" s="810"/>
      <c r="L68" s="810"/>
      <c r="M68" s="810"/>
      <c r="N68" s="810"/>
      <c r="O68" s="810"/>
      <c r="P68" s="810"/>
      <c r="Q68" s="810"/>
      <c r="R68" s="810"/>
      <c r="S68" s="810"/>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27"/>
      <c r="AQ68" s="810"/>
      <c r="AR68" s="810"/>
      <c r="AS68" s="810"/>
      <c r="AT68" s="810"/>
      <c r="AU68" s="810"/>
      <c r="AV68" s="810"/>
      <c r="AW68" s="810"/>
      <c r="AX68" s="810"/>
      <c r="AY68" s="810"/>
      <c r="AZ68" s="810"/>
      <c r="BA68" s="810"/>
      <c r="BB68" s="810"/>
      <c r="BC68" s="810"/>
      <c r="BD68" s="810"/>
      <c r="BE68" s="810"/>
      <c r="BF68" s="810"/>
      <c r="BG68" s="810"/>
      <c r="BH68" s="810"/>
      <c r="BI68" s="810"/>
      <c r="BJ68" s="810"/>
      <c r="BK68" s="810"/>
      <c r="BL68" s="810"/>
      <c r="BM68" s="810"/>
      <c r="BN68" s="810"/>
      <c r="BO68" s="810"/>
      <c r="BP68" s="810"/>
      <c r="BQ68" s="810"/>
      <c r="BR68" s="810"/>
      <c r="BS68" s="810"/>
      <c r="BT68" s="810"/>
      <c r="BU68" s="810"/>
      <c r="BV68" s="810"/>
      <c r="BW68" s="810"/>
      <c r="BX68" s="810"/>
      <c r="BY68" s="810"/>
      <c r="BZ68" s="810"/>
      <c r="CA68" s="810"/>
      <c r="CB68" s="810"/>
      <c r="CC68" s="810"/>
      <c r="CD68" s="810"/>
      <c r="CE68" s="810"/>
      <c r="CF68" s="810"/>
      <c r="CG68" s="810"/>
      <c r="CH68" s="810"/>
      <c r="CI68" s="810"/>
      <c r="CJ68" s="810"/>
      <c r="CK68" s="810"/>
      <c r="CL68" s="810"/>
      <c r="CM68" s="810"/>
      <c r="CN68" s="810"/>
      <c r="CO68" s="810"/>
      <c r="CP68" s="810"/>
      <c r="CQ68" s="810"/>
      <c r="CR68" s="810"/>
      <c r="CS68" s="810"/>
      <c r="CT68" s="810"/>
      <c r="CU68" s="810"/>
      <c r="CV68" s="810"/>
      <c r="CW68" s="810"/>
      <c r="CX68" s="810"/>
      <c r="CY68" s="810"/>
      <c r="CZ68" s="810"/>
      <c r="DA68" s="810"/>
      <c r="DB68" s="810"/>
      <c r="DC68" s="810"/>
      <c r="DD68" s="810"/>
      <c r="DE68" s="810"/>
      <c r="DF68" s="810"/>
      <c r="DG68" s="810"/>
      <c r="DH68" s="810"/>
      <c r="DI68" s="810"/>
      <c r="DJ68" s="810"/>
      <c r="DK68" s="810"/>
      <c r="DL68" s="810"/>
      <c r="DM68" s="810"/>
      <c r="DN68" s="810"/>
      <c r="DO68" s="810"/>
      <c r="DP68" s="810"/>
      <c r="DQ68" s="810"/>
      <c r="DR68" s="810"/>
      <c r="DS68" s="810"/>
      <c r="DT68" s="810"/>
      <c r="DU68" s="810"/>
      <c r="DV68" s="810"/>
      <c r="DW68" s="810"/>
      <c r="DX68" s="810"/>
      <c r="DY68" s="810"/>
      <c r="DZ68" s="810"/>
      <c r="EA68" s="810"/>
      <c r="EB68" s="810"/>
      <c r="EC68" s="810"/>
      <c r="ED68" s="810"/>
      <c r="EE68" s="810"/>
      <c r="EF68" s="810"/>
      <c r="EG68" s="810"/>
      <c r="EH68" s="810"/>
      <c r="EI68" s="810"/>
      <c r="EJ68" s="810"/>
      <c r="EK68" s="810"/>
      <c r="EL68" s="810"/>
      <c r="EM68" s="810"/>
      <c r="EN68" s="810"/>
      <c r="EO68" s="810"/>
      <c r="EP68" s="810"/>
      <c r="EQ68" s="810"/>
      <c r="ER68" s="810"/>
      <c r="ES68" s="810"/>
      <c r="ET68" s="810"/>
      <c r="EU68" s="810"/>
      <c r="EV68" s="810"/>
      <c r="EW68" s="810"/>
      <c r="EX68" s="810"/>
      <c r="EY68" s="810"/>
      <c r="EZ68" s="810"/>
      <c r="FA68" s="810"/>
      <c r="FB68" s="810"/>
      <c r="FC68" s="810"/>
      <c r="FD68" s="810"/>
      <c r="FE68" s="810"/>
      <c r="FF68" s="810"/>
      <c r="FG68" s="810"/>
      <c r="FH68" s="810"/>
      <c r="FI68" s="810"/>
      <c r="FJ68" s="810"/>
      <c r="FK68" s="810"/>
      <c r="FL68" s="810"/>
      <c r="FM68" s="810"/>
      <c r="FN68" s="810"/>
      <c r="FO68" s="810"/>
      <c r="FP68" s="810"/>
      <c r="FQ68" s="810"/>
      <c r="FR68" s="810"/>
      <c r="FS68" s="810"/>
      <c r="FT68" s="810"/>
      <c r="FU68" s="810"/>
      <c r="FV68" s="810"/>
      <c r="FW68" s="810"/>
      <c r="FX68" s="810"/>
      <c r="FY68" s="810"/>
      <c r="FZ68" s="810"/>
      <c r="GA68" s="810"/>
      <c r="GB68" s="810"/>
      <c r="GC68" s="810"/>
      <c r="GD68" s="810"/>
      <c r="GE68" s="810"/>
      <c r="GF68" s="810"/>
      <c r="GG68" s="810"/>
      <c r="GH68" s="810"/>
      <c r="GI68" s="810"/>
      <c r="GJ68" s="810"/>
      <c r="GK68" s="810"/>
      <c r="GL68" s="810"/>
      <c r="GM68" s="810"/>
      <c r="GN68" s="810"/>
      <c r="GO68" s="810"/>
      <c r="GP68" s="810"/>
      <c r="GQ68" s="810"/>
      <c r="GR68" s="810"/>
      <c r="GS68" s="810"/>
      <c r="GT68" s="810"/>
      <c r="GU68" s="810"/>
      <c r="GV68" s="810"/>
      <c r="GW68" s="810"/>
      <c r="GX68" s="810"/>
      <c r="GY68" s="810"/>
      <c r="GZ68" s="810"/>
      <c r="HA68" s="810"/>
      <c r="HB68" s="810"/>
      <c r="HC68" s="810"/>
      <c r="HD68" s="810"/>
      <c r="HE68" s="810"/>
      <c r="HF68" s="810"/>
      <c r="HG68" s="810"/>
      <c r="HH68" s="810"/>
      <c r="HI68" s="810"/>
      <c r="HJ68" s="810"/>
      <c r="HK68" s="810"/>
      <c r="HL68" s="810"/>
      <c r="HM68" s="810"/>
      <c r="HN68" s="810"/>
      <c r="HO68" s="810"/>
      <c r="HP68" s="810"/>
      <c r="HQ68" s="810"/>
      <c r="HR68" s="810"/>
      <c r="HS68" s="810"/>
      <c r="HT68" s="810"/>
      <c r="HU68" s="810"/>
      <c r="HV68" s="810"/>
      <c r="HW68" s="810"/>
      <c r="HX68" s="810"/>
      <c r="HY68" s="857"/>
      <c r="HZ68" s="857"/>
      <c r="IA68" s="857"/>
      <c r="IB68" s="857"/>
      <c r="IC68" s="857"/>
      <c r="ID68" s="857"/>
      <c r="IE68" s="857"/>
      <c r="IF68" s="857"/>
      <c r="IG68" s="857"/>
      <c r="IH68" s="857"/>
      <c r="II68" s="857"/>
      <c r="IJ68" s="857"/>
      <c r="IK68" s="857"/>
      <c r="IL68" s="857"/>
      <c r="IM68" s="857"/>
      <c r="IN68" s="857"/>
      <c r="IO68" s="857"/>
      <c r="IP68" s="857"/>
      <c r="IQ68" s="857"/>
      <c r="IR68" s="857"/>
      <c r="IS68" s="857"/>
      <c r="IT68" s="857"/>
      <c r="IU68" s="857"/>
      <c r="IV68" s="857"/>
    </row>
    <row r="69" spans="1:256" ht="20.100000000000001" customHeight="1">
      <c r="A69" s="826" t="s">
        <v>149</v>
      </c>
      <c r="B69" s="810"/>
      <c r="C69" s="810" t="str">
        <f>IF(ISTEXT(IFERROR(VLOOKUP(A69,职业列表!I3:J10,1,FALSE),0)),"★","")</f>
        <v/>
      </c>
      <c r="D69" s="810"/>
      <c r="E69" s="810"/>
      <c r="F69" s="810"/>
      <c r="G69" s="810"/>
      <c r="H69" s="810"/>
      <c r="I69" s="810"/>
      <c r="J69" s="810"/>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27"/>
      <c r="AT69" s="810"/>
      <c r="AU69" s="810"/>
      <c r="AV69" s="810"/>
      <c r="AW69" s="810"/>
      <c r="AX69" s="810"/>
      <c r="AY69" s="810"/>
      <c r="AZ69" s="810"/>
      <c r="BA69" s="810"/>
      <c r="BB69" s="810"/>
      <c r="BC69" s="810"/>
      <c r="BD69" s="810"/>
      <c r="BE69" s="810"/>
      <c r="BF69" s="810"/>
      <c r="BG69" s="810"/>
      <c r="BH69" s="810"/>
      <c r="BI69" s="810"/>
      <c r="BJ69" s="810"/>
      <c r="BK69" s="810"/>
      <c r="BL69" s="810"/>
      <c r="BM69" s="810"/>
      <c r="BN69" s="810"/>
      <c r="BO69" s="810"/>
      <c r="BP69" s="810"/>
      <c r="BQ69" s="810"/>
      <c r="BR69" s="810"/>
      <c r="BS69" s="810"/>
      <c r="BT69" s="810"/>
      <c r="BU69" s="810"/>
      <c r="BV69" s="810"/>
      <c r="BW69" s="810"/>
      <c r="BX69" s="810"/>
      <c r="BY69" s="810"/>
      <c r="BZ69" s="810"/>
      <c r="CA69" s="810"/>
      <c r="CB69" s="810"/>
      <c r="CC69" s="810"/>
      <c r="CD69" s="810"/>
      <c r="CE69" s="810"/>
      <c r="CF69" s="810"/>
      <c r="CG69" s="810"/>
      <c r="CH69" s="810"/>
      <c r="CI69" s="810"/>
      <c r="CJ69" s="810"/>
      <c r="CK69" s="810"/>
      <c r="CL69" s="810"/>
      <c r="CM69" s="810"/>
      <c r="CN69" s="810"/>
      <c r="CO69" s="810"/>
      <c r="CP69" s="810"/>
      <c r="CQ69" s="810"/>
      <c r="CR69" s="810"/>
      <c r="CS69" s="810"/>
      <c r="CT69" s="810"/>
      <c r="CU69" s="810"/>
      <c r="CV69" s="810"/>
      <c r="CW69" s="810"/>
      <c r="CX69" s="810"/>
      <c r="CY69" s="810"/>
      <c r="CZ69" s="810"/>
      <c r="DA69" s="810"/>
      <c r="DB69" s="810"/>
      <c r="DC69" s="810"/>
      <c r="DD69" s="810"/>
      <c r="DE69" s="811"/>
      <c r="DF69" s="810"/>
      <c r="DG69" s="810"/>
      <c r="DH69" s="810"/>
      <c r="DI69" s="810"/>
      <c r="DJ69" s="810"/>
      <c r="DK69" s="810"/>
      <c r="DL69" s="810"/>
      <c r="DM69" s="810"/>
      <c r="DN69" s="810"/>
      <c r="DO69" s="810"/>
      <c r="DP69" s="810"/>
      <c r="DQ69" s="810"/>
      <c r="DR69" s="810"/>
      <c r="DS69" s="810"/>
      <c r="DT69" s="810"/>
      <c r="DU69" s="810"/>
      <c r="DV69" s="810"/>
      <c r="DW69" s="810"/>
      <c r="DX69" s="810"/>
      <c r="DY69" s="810"/>
      <c r="DZ69" s="810"/>
      <c r="EA69" s="810"/>
      <c r="EB69" s="810"/>
      <c r="EC69" s="810"/>
      <c r="ED69" s="810"/>
      <c r="EE69" s="810"/>
      <c r="EF69" s="810"/>
      <c r="EG69" s="810"/>
      <c r="EH69" s="810"/>
      <c r="EI69" s="810"/>
      <c r="EJ69" s="810"/>
      <c r="EK69" s="810"/>
      <c r="EL69" s="810"/>
      <c r="EM69" s="810"/>
      <c r="EN69" s="810"/>
      <c r="EO69" s="810"/>
      <c r="EP69" s="810"/>
      <c r="EQ69" s="810"/>
      <c r="ER69" s="810"/>
      <c r="ES69" s="810"/>
      <c r="ET69" s="810"/>
      <c r="EU69" s="810"/>
      <c r="EV69" s="810"/>
      <c r="EW69" s="810"/>
      <c r="EX69" s="810"/>
      <c r="EY69" s="810"/>
      <c r="EZ69" s="810"/>
      <c r="FA69" s="810"/>
      <c r="FB69" s="810"/>
      <c r="FC69" s="810"/>
      <c r="FD69" s="810"/>
      <c r="FE69" s="810"/>
      <c r="FF69" s="810"/>
      <c r="FG69" s="810"/>
      <c r="FH69" s="810"/>
      <c r="FI69" s="810"/>
      <c r="FJ69" s="810"/>
      <c r="FK69" s="810"/>
      <c r="FL69" s="810"/>
      <c r="FM69" s="810"/>
      <c r="FN69" s="810"/>
      <c r="FO69" s="810"/>
      <c r="FP69" s="810"/>
      <c r="FQ69" s="810"/>
      <c r="FR69" s="810"/>
      <c r="FS69" s="810"/>
      <c r="FT69" s="810"/>
      <c r="FU69" s="810"/>
      <c r="FV69" s="810"/>
      <c r="FW69" s="810"/>
      <c r="FX69" s="810"/>
      <c r="FY69" s="810"/>
      <c r="FZ69" s="810"/>
      <c r="GA69" s="810"/>
      <c r="GB69" s="810"/>
      <c r="GC69" s="810"/>
      <c r="GD69" s="810"/>
      <c r="GE69" s="810"/>
      <c r="GF69" s="810"/>
      <c r="GG69" s="810"/>
      <c r="GH69" s="810"/>
      <c r="GI69" s="810"/>
      <c r="GJ69" s="810"/>
      <c r="GK69" s="810"/>
      <c r="GL69" s="810"/>
      <c r="GM69" s="810"/>
      <c r="GN69" s="810"/>
      <c r="GO69" s="810"/>
      <c r="GP69" s="810"/>
      <c r="GQ69" s="810"/>
      <c r="GR69" s="810"/>
      <c r="GS69" s="810"/>
      <c r="GT69" s="810"/>
      <c r="GU69" s="810"/>
      <c r="GV69" s="810"/>
      <c r="GW69" s="810"/>
      <c r="GX69" s="810"/>
      <c r="GY69" s="810"/>
      <c r="GZ69" s="810"/>
      <c r="HA69" s="810"/>
      <c r="HB69" s="810"/>
      <c r="HC69" s="810"/>
      <c r="HD69" s="810"/>
      <c r="HE69" s="810"/>
      <c r="HF69" s="810"/>
      <c r="HG69" s="810"/>
      <c r="HH69" s="810"/>
      <c r="HI69" s="810"/>
      <c r="HJ69" s="810"/>
      <c r="HK69" s="810"/>
      <c r="HL69" s="810"/>
      <c r="HM69" s="810"/>
      <c r="HN69" s="810"/>
      <c r="HO69" s="810"/>
      <c r="HP69" s="810"/>
      <c r="HQ69" s="810"/>
      <c r="HR69" s="810"/>
      <c r="HS69" s="810"/>
      <c r="HT69" s="810"/>
      <c r="HU69" s="810"/>
      <c r="HV69" s="810"/>
      <c r="HW69" s="810"/>
      <c r="HX69" s="810"/>
      <c r="HY69" s="857"/>
      <c r="HZ69" s="857"/>
      <c r="IA69" s="857"/>
      <c r="IB69" s="857"/>
      <c r="IC69" s="857"/>
      <c r="ID69" s="857"/>
      <c r="IE69" s="857"/>
      <c r="IF69" s="857"/>
      <c r="IG69" s="857"/>
      <c r="IH69" s="857"/>
      <c r="II69" s="857"/>
      <c r="IJ69" s="857"/>
      <c r="IK69" s="857"/>
      <c r="IL69" s="857"/>
      <c r="IM69" s="857"/>
      <c r="IN69" s="857"/>
      <c r="IO69" s="857"/>
      <c r="IP69" s="857"/>
      <c r="IQ69" s="857"/>
      <c r="IR69" s="857"/>
      <c r="IS69" s="857"/>
      <c r="IT69" s="857"/>
      <c r="IU69" s="857"/>
      <c r="IV69" s="857"/>
    </row>
    <row r="70" spans="1:256" ht="20.100000000000001" customHeight="1">
      <c r="A70" s="826" t="s">
        <v>151</v>
      </c>
      <c r="B70" s="827"/>
      <c r="C70" s="827" t="str">
        <f>IF(ISTEXT(IFERROR(VLOOKUP(A70,职业列表!I3:J10,1,FALSE),0)),"★","")</f>
        <v/>
      </c>
      <c r="D70" s="827"/>
      <c r="E70" s="827"/>
      <c r="F70" s="827"/>
      <c r="G70" s="827"/>
      <c r="H70" s="827"/>
      <c r="I70" s="827"/>
      <c r="J70" s="827"/>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11" t="s">
        <v>93</v>
      </c>
      <c r="AQ70" s="827"/>
      <c r="AR70" s="827"/>
      <c r="AS70" s="827"/>
      <c r="AT70" s="827"/>
      <c r="AU70" s="827"/>
      <c r="AV70" s="827"/>
      <c r="AW70" s="827"/>
      <c r="AX70" s="827"/>
      <c r="AY70" s="827"/>
      <c r="AZ70" s="827"/>
      <c r="BA70" s="827"/>
      <c r="BB70" s="827"/>
      <c r="BC70" s="827"/>
      <c r="BD70" s="827"/>
      <c r="BE70" s="827"/>
      <c r="BF70" s="827"/>
      <c r="BG70" s="827"/>
      <c r="BH70" s="827"/>
      <c r="BI70" s="827"/>
      <c r="BJ70" s="827"/>
      <c r="BK70" s="827"/>
      <c r="BL70" s="827"/>
      <c r="BM70" s="827"/>
      <c r="BN70" s="827"/>
      <c r="BO70" s="827"/>
      <c r="BP70" s="827"/>
      <c r="BQ70" s="827"/>
      <c r="BR70" s="827"/>
      <c r="BS70" s="827"/>
      <c r="BT70" s="827"/>
      <c r="BU70" s="827"/>
      <c r="BV70" s="827"/>
      <c r="BW70" s="827"/>
      <c r="BX70" s="827"/>
      <c r="BY70" s="827"/>
      <c r="BZ70" s="827"/>
      <c r="CA70" s="827"/>
      <c r="CB70" s="827"/>
      <c r="CC70" s="827"/>
      <c r="CD70" s="827"/>
      <c r="CE70" s="827"/>
      <c r="CF70" s="827"/>
      <c r="CG70" s="827"/>
      <c r="CH70" s="827"/>
      <c r="CI70" s="827"/>
      <c r="CJ70" s="827"/>
      <c r="CK70" s="827"/>
      <c r="CL70" s="827"/>
      <c r="CM70" s="827"/>
      <c r="CN70" s="827"/>
      <c r="CO70" s="827"/>
      <c r="CP70" s="827"/>
      <c r="CQ70" s="827"/>
      <c r="CR70" s="827"/>
      <c r="CS70" s="827"/>
      <c r="CT70" s="827"/>
      <c r="CU70" s="827"/>
      <c r="CV70" s="827"/>
      <c r="CW70" s="827"/>
      <c r="CX70" s="827"/>
      <c r="CY70" s="827"/>
      <c r="CZ70" s="827"/>
      <c r="DA70" s="827"/>
      <c r="DB70" s="827"/>
      <c r="DC70" s="827"/>
      <c r="DD70" s="827"/>
      <c r="DE70" s="827"/>
      <c r="DF70" s="827"/>
      <c r="DG70" s="827"/>
      <c r="DH70" s="827"/>
      <c r="DI70" s="827"/>
      <c r="DJ70" s="827"/>
      <c r="DK70" s="827"/>
      <c r="DL70" s="827"/>
      <c r="DM70" s="827"/>
      <c r="DN70" s="827"/>
      <c r="DO70" s="827"/>
      <c r="DP70" s="827"/>
      <c r="DQ70" s="827"/>
      <c r="DR70" s="827"/>
      <c r="DS70" s="827"/>
      <c r="DT70" s="827"/>
      <c r="DU70" s="827"/>
      <c r="DV70" s="827"/>
      <c r="DW70" s="827"/>
      <c r="DX70" s="827"/>
      <c r="DY70" s="827"/>
      <c r="DZ70" s="827"/>
      <c r="EA70" s="827"/>
      <c r="EB70" s="827"/>
      <c r="EC70" s="827"/>
      <c r="ED70" s="827"/>
      <c r="EE70" s="827"/>
      <c r="EF70" s="827"/>
      <c r="EG70" s="827"/>
      <c r="EH70" s="827"/>
      <c r="EI70" s="827"/>
      <c r="EJ70" s="827"/>
      <c r="EK70" s="827"/>
      <c r="EL70" s="827"/>
      <c r="EM70" s="827"/>
      <c r="EN70" s="827"/>
      <c r="EO70" s="827"/>
      <c r="EP70" s="827"/>
      <c r="EQ70" s="827"/>
      <c r="ER70" s="827"/>
      <c r="ES70" s="827"/>
      <c r="ET70" s="827"/>
      <c r="EU70" s="827"/>
      <c r="EV70" s="827"/>
      <c r="EW70" s="827"/>
      <c r="EX70" s="827"/>
      <c r="EY70" s="827"/>
      <c r="EZ70" s="827"/>
      <c r="FA70" s="827"/>
      <c r="FB70" s="827"/>
      <c r="FC70" s="827"/>
      <c r="FD70" s="827"/>
      <c r="FE70" s="827"/>
      <c r="FF70" s="827"/>
      <c r="FG70" s="827"/>
      <c r="FH70" s="827"/>
      <c r="FI70" s="827"/>
      <c r="FJ70" s="827"/>
      <c r="FK70" s="827"/>
      <c r="FL70" s="827"/>
      <c r="FM70" s="827"/>
      <c r="FN70" s="827"/>
      <c r="FO70" s="827"/>
      <c r="FP70" s="827"/>
      <c r="FQ70" s="827"/>
      <c r="FR70" s="827"/>
      <c r="FS70" s="827"/>
      <c r="FT70" s="827"/>
      <c r="FU70" s="827"/>
      <c r="FV70" s="827"/>
      <c r="FW70" s="827"/>
      <c r="FX70" s="827"/>
      <c r="FY70" s="827"/>
      <c r="FZ70" s="827"/>
      <c r="GA70" s="827"/>
      <c r="GB70" s="827"/>
      <c r="GC70" s="827"/>
      <c r="GD70" s="827"/>
      <c r="GE70" s="827"/>
      <c r="GF70" s="827"/>
      <c r="GG70" s="827"/>
      <c r="GH70" s="827"/>
      <c r="GI70" s="827"/>
      <c r="GJ70" s="827"/>
      <c r="GK70" s="827"/>
      <c r="GL70" s="827"/>
      <c r="GM70" s="827"/>
      <c r="GN70" s="827"/>
      <c r="GO70" s="827"/>
      <c r="GP70" s="827"/>
      <c r="GQ70" s="827"/>
      <c r="GR70" s="827"/>
      <c r="GS70" s="827"/>
      <c r="GT70" s="827"/>
      <c r="GU70" s="827"/>
      <c r="GV70" s="827"/>
      <c r="GW70" s="827"/>
      <c r="GX70" s="827"/>
      <c r="GY70" s="827"/>
      <c r="GZ70" s="827"/>
      <c r="HA70" s="827"/>
      <c r="HB70" s="827"/>
      <c r="HC70" s="827"/>
      <c r="HD70" s="827"/>
      <c r="HE70" s="827"/>
      <c r="HF70" s="827"/>
      <c r="HG70" s="827"/>
      <c r="HH70" s="827"/>
      <c r="HI70" s="827"/>
      <c r="HJ70" s="827"/>
      <c r="HK70" s="827"/>
      <c r="HL70" s="827"/>
      <c r="HM70" s="827"/>
      <c r="HN70" s="827"/>
      <c r="HO70" s="827"/>
      <c r="HP70" s="827"/>
      <c r="HQ70" s="827"/>
      <c r="HR70" s="827"/>
      <c r="HS70" s="827"/>
      <c r="HT70" s="827"/>
      <c r="HU70" s="827"/>
      <c r="HV70" s="827"/>
      <c r="HW70" s="827"/>
      <c r="HX70" s="827"/>
    </row>
    <row r="71" spans="1:256" ht="20.100000000000001" customHeight="1">
      <c r="A71" s="814" t="s">
        <v>153</v>
      </c>
      <c r="B71" s="827"/>
      <c r="C71" s="827" t="str">
        <f>IF(ISTEXT(IFERROR(VLOOKUP(A71,职业列表!I3:J10,1,FALSE),0)),"★","")</f>
        <v/>
      </c>
      <c r="D71" s="827"/>
      <c r="E71" s="827"/>
      <c r="F71" s="827"/>
      <c r="G71" s="827"/>
      <c r="H71" s="827"/>
      <c r="I71" s="827"/>
      <c r="J71" s="827"/>
      <c r="K71" s="827"/>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c r="BC71" s="827"/>
      <c r="BD71" s="827"/>
      <c r="BE71" s="827"/>
      <c r="BF71" s="827"/>
      <c r="BG71" s="827"/>
      <c r="BH71" s="827"/>
      <c r="BI71" s="827"/>
      <c r="BJ71" s="827"/>
      <c r="BK71" s="827"/>
      <c r="BL71" s="827"/>
      <c r="BM71" s="827"/>
      <c r="BN71" s="827"/>
      <c r="BO71" s="827"/>
      <c r="BP71" s="827"/>
      <c r="BQ71" s="827"/>
      <c r="BR71" s="827"/>
      <c r="BS71" s="827"/>
      <c r="BT71" s="827"/>
      <c r="BU71" s="827"/>
      <c r="BV71" s="827"/>
      <c r="BW71" s="827"/>
      <c r="BX71" s="827"/>
      <c r="BY71" s="827"/>
      <c r="BZ71" s="827"/>
      <c r="CA71" s="827"/>
      <c r="CB71" s="827"/>
      <c r="CC71" s="827"/>
      <c r="CD71" s="827"/>
      <c r="CE71" s="827"/>
      <c r="CF71" s="827"/>
      <c r="CG71" s="827"/>
      <c r="CH71" s="827"/>
      <c r="CI71" s="827"/>
      <c r="CJ71" s="827"/>
      <c r="CK71" s="827"/>
      <c r="CL71" s="827"/>
      <c r="CM71" s="827"/>
      <c r="CN71" s="827"/>
      <c r="CO71" s="827"/>
      <c r="CP71" s="827"/>
      <c r="CQ71" s="827"/>
      <c r="CR71" s="827"/>
      <c r="CS71" s="827"/>
      <c r="CT71" s="827"/>
      <c r="CU71" s="827"/>
      <c r="CV71" s="827"/>
      <c r="CW71" s="827"/>
      <c r="CX71" s="827"/>
      <c r="CY71" s="827"/>
      <c r="CZ71" s="827"/>
      <c r="DA71" s="827"/>
      <c r="DB71" s="827"/>
      <c r="DC71" s="827"/>
      <c r="DD71" s="827"/>
      <c r="DE71" s="827"/>
      <c r="DF71" s="827"/>
      <c r="DG71" s="827"/>
      <c r="DH71" s="827"/>
      <c r="DI71" s="827"/>
      <c r="DJ71" s="827"/>
      <c r="DK71" s="827"/>
      <c r="DL71" s="827"/>
      <c r="DM71" s="827"/>
      <c r="DN71" s="827"/>
      <c r="DO71" s="827"/>
      <c r="DP71" s="827"/>
      <c r="DQ71" s="827"/>
      <c r="DR71" s="827"/>
      <c r="DS71" s="827"/>
      <c r="DT71" s="827"/>
      <c r="DU71" s="827"/>
      <c r="DV71" s="827"/>
      <c r="DW71" s="827"/>
      <c r="DX71" s="827"/>
      <c r="DY71" s="827"/>
      <c r="DZ71" s="827"/>
      <c r="EA71" s="827"/>
      <c r="EB71" s="827"/>
      <c r="EC71" s="827"/>
      <c r="ED71" s="827"/>
      <c r="EE71" s="827"/>
      <c r="EF71" s="827"/>
      <c r="EG71" s="827"/>
      <c r="EH71" s="827"/>
      <c r="EI71" s="827"/>
      <c r="EJ71" s="827"/>
      <c r="EK71" s="827"/>
      <c r="EL71" s="827"/>
      <c r="EM71" s="827"/>
      <c r="EN71" s="827"/>
      <c r="EO71" s="827"/>
      <c r="EP71" s="827"/>
      <c r="EQ71" s="827"/>
      <c r="ER71" s="827"/>
      <c r="ES71" s="827"/>
      <c r="ET71" s="827"/>
      <c r="EU71" s="827"/>
      <c r="EV71" s="827"/>
      <c r="EW71" s="827"/>
      <c r="EX71" s="827"/>
      <c r="EY71" s="827"/>
      <c r="EZ71" s="827"/>
      <c r="FA71" s="827"/>
      <c r="FB71" s="827"/>
      <c r="FC71" s="827"/>
      <c r="FD71" s="827"/>
      <c r="FE71" s="827"/>
      <c r="FF71" s="827"/>
      <c r="FG71" s="827"/>
      <c r="FH71" s="827"/>
      <c r="FI71" s="827"/>
      <c r="FJ71" s="827"/>
      <c r="FK71" s="827"/>
      <c r="FL71" s="827"/>
      <c r="FM71" s="827"/>
      <c r="FN71" s="827"/>
      <c r="FO71" s="827"/>
      <c r="FP71" s="827"/>
      <c r="FQ71" s="827"/>
      <c r="FR71" s="827"/>
      <c r="FS71" s="827"/>
      <c r="FT71" s="827"/>
      <c r="FU71" s="827"/>
      <c r="FV71" s="827"/>
      <c r="FW71" s="827"/>
      <c r="FX71" s="827"/>
      <c r="FY71" s="827"/>
      <c r="FZ71" s="827"/>
      <c r="GA71" s="827"/>
      <c r="GB71" s="827"/>
      <c r="GC71" s="827"/>
      <c r="GD71" s="827"/>
      <c r="GE71" s="827"/>
      <c r="GF71" s="827"/>
      <c r="GG71" s="827"/>
      <c r="GH71" s="827"/>
      <c r="GI71" s="827"/>
      <c r="GJ71" s="827"/>
      <c r="GK71" s="827"/>
      <c r="GL71" s="827"/>
      <c r="GM71" s="827"/>
      <c r="GN71" s="827"/>
      <c r="GO71" s="827"/>
      <c r="GP71" s="827"/>
      <c r="GQ71" s="827"/>
      <c r="GR71" s="827"/>
      <c r="GS71" s="827"/>
      <c r="GT71" s="827"/>
      <c r="GU71" s="827"/>
      <c r="GV71" s="827"/>
      <c r="GW71" s="827"/>
      <c r="GX71" s="827"/>
      <c r="GY71" s="827"/>
      <c r="GZ71" s="827"/>
      <c r="HA71" s="827"/>
      <c r="HB71" s="827"/>
      <c r="HC71" s="827"/>
      <c r="HD71" s="827"/>
      <c r="HE71" s="827"/>
      <c r="HF71" s="827"/>
      <c r="HG71" s="827"/>
      <c r="HH71" s="827"/>
      <c r="HI71" s="827"/>
      <c r="HJ71" s="827"/>
      <c r="HK71" s="827"/>
      <c r="HL71" s="827"/>
      <c r="HM71" s="827"/>
      <c r="HN71" s="827"/>
      <c r="HO71" s="827"/>
      <c r="HP71" s="827"/>
      <c r="HQ71" s="827"/>
      <c r="HR71" s="827"/>
      <c r="HS71" s="827"/>
      <c r="HT71" s="827"/>
      <c r="HU71" s="827"/>
      <c r="HV71" s="827"/>
      <c r="HW71" s="827"/>
      <c r="HX71" s="827"/>
    </row>
    <row r="72" spans="1:256" ht="20.100000000000001" customHeight="1">
      <c r="A72" s="871" t="s">
        <v>155</v>
      </c>
      <c r="B72" s="827"/>
      <c r="C72" s="827" t="str">
        <f>IF(ISTEXT(IFERROR(VLOOKUP(A72,职业列表!I3:J10,1,FALSE),0)),"★","")</f>
        <v/>
      </c>
      <c r="D72" s="827"/>
      <c r="E72" s="827"/>
      <c r="F72" s="827"/>
      <c r="G72" s="827"/>
      <c r="H72" s="827"/>
      <c r="I72" s="827"/>
      <c r="J72" s="827"/>
      <c r="K72" s="827"/>
      <c r="L72" s="827"/>
      <c r="M72" s="827"/>
      <c r="N72" s="827"/>
      <c r="O72" s="827"/>
      <c r="P72" s="827"/>
      <c r="Q72" s="827"/>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c r="BC72" s="827"/>
      <c r="BD72" s="827"/>
      <c r="BE72" s="827"/>
      <c r="BF72" s="827"/>
      <c r="BG72" s="827"/>
      <c r="BH72" s="827"/>
      <c r="BI72" s="827"/>
      <c r="BJ72" s="827"/>
      <c r="BK72" s="827"/>
      <c r="BL72" s="827"/>
      <c r="BM72" s="827"/>
      <c r="BN72" s="827"/>
      <c r="BO72" s="827"/>
      <c r="BP72" s="827"/>
      <c r="BQ72" s="827"/>
      <c r="BR72" s="827"/>
      <c r="BS72" s="827"/>
      <c r="BT72" s="827"/>
      <c r="BU72" s="827"/>
      <c r="BV72" s="827"/>
      <c r="BW72" s="827"/>
      <c r="BX72" s="827"/>
      <c r="BY72" s="827"/>
      <c r="BZ72" s="827"/>
      <c r="CA72" s="827"/>
      <c r="CB72" s="827"/>
      <c r="CC72" s="827"/>
      <c r="CD72" s="827"/>
      <c r="CE72" s="827"/>
      <c r="CF72" s="827"/>
      <c r="CG72" s="827"/>
      <c r="CH72" s="827"/>
      <c r="CI72" s="827"/>
      <c r="CJ72" s="827"/>
      <c r="CK72" s="827"/>
      <c r="CL72" s="827"/>
      <c r="CM72" s="827"/>
      <c r="CN72" s="827"/>
      <c r="CO72" s="827"/>
      <c r="CP72" s="827"/>
      <c r="CQ72" s="827"/>
      <c r="CR72" s="827"/>
      <c r="CS72" s="827"/>
      <c r="CT72" s="827"/>
      <c r="CU72" s="827"/>
      <c r="CV72" s="827"/>
      <c r="CW72" s="827"/>
      <c r="CX72" s="827"/>
      <c r="CY72" s="827"/>
      <c r="CZ72" s="827"/>
      <c r="DA72" s="827"/>
      <c r="DB72" s="827"/>
      <c r="DC72" s="827"/>
      <c r="DD72" s="827"/>
      <c r="DE72" s="827"/>
      <c r="DF72" s="827"/>
      <c r="DG72" s="827"/>
      <c r="DH72" s="827"/>
      <c r="DI72" s="827"/>
      <c r="DJ72" s="827"/>
      <c r="DK72" s="827"/>
      <c r="DL72" s="827"/>
      <c r="DM72" s="827"/>
      <c r="DN72" s="827"/>
      <c r="DO72" s="827"/>
      <c r="DP72" s="827"/>
      <c r="DQ72" s="827"/>
      <c r="DR72" s="827"/>
      <c r="DS72" s="827"/>
      <c r="DT72" s="827"/>
      <c r="DU72" s="827"/>
      <c r="DV72" s="827"/>
      <c r="DW72" s="827"/>
      <c r="DX72" s="827"/>
      <c r="DY72" s="827"/>
      <c r="DZ72" s="827"/>
      <c r="EA72" s="827"/>
      <c r="EB72" s="827"/>
      <c r="EC72" s="827"/>
      <c r="ED72" s="827"/>
      <c r="EE72" s="827"/>
      <c r="EF72" s="827"/>
      <c r="EG72" s="827"/>
      <c r="EH72" s="827"/>
      <c r="EI72" s="827"/>
      <c r="EJ72" s="827"/>
      <c r="EK72" s="827"/>
      <c r="EL72" s="827"/>
      <c r="EM72" s="827"/>
      <c r="EN72" s="827"/>
      <c r="EO72" s="827"/>
      <c r="EP72" s="827"/>
      <c r="EQ72" s="827"/>
      <c r="ER72" s="827"/>
      <c r="ES72" s="827"/>
      <c r="ET72" s="827"/>
      <c r="EU72" s="827"/>
      <c r="EV72" s="827"/>
      <c r="EW72" s="827"/>
      <c r="EX72" s="827"/>
      <c r="EY72" s="827"/>
      <c r="EZ72" s="827"/>
      <c r="FA72" s="827"/>
      <c r="FB72" s="827"/>
      <c r="FC72" s="827"/>
      <c r="FD72" s="827"/>
      <c r="FE72" s="811" t="s">
        <v>93</v>
      </c>
      <c r="FF72" s="811" t="s">
        <v>93</v>
      </c>
      <c r="FG72" s="811" t="s">
        <v>93</v>
      </c>
      <c r="FH72" s="811" t="s">
        <v>93</v>
      </c>
      <c r="FI72" s="810"/>
      <c r="FJ72" s="811" t="s">
        <v>93</v>
      </c>
      <c r="FK72" s="811" t="s">
        <v>93</v>
      </c>
      <c r="FL72" s="811" t="s">
        <v>93</v>
      </c>
      <c r="FM72" s="827"/>
      <c r="FN72" s="827"/>
      <c r="FO72" s="827"/>
      <c r="FP72" s="827"/>
      <c r="FQ72" s="827"/>
      <c r="FR72" s="827"/>
      <c r="FS72" s="827"/>
      <c r="FT72" s="827"/>
      <c r="FU72" s="827"/>
      <c r="FV72" s="827"/>
      <c r="FW72" s="827"/>
      <c r="FX72" s="827"/>
      <c r="FY72" s="827"/>
      <c r="FZ72" s="827"/>
      <c r="GA72" s="827"/>
      <c r="GB72" s="827"/>
      <c r="GC72" s="827"/>
      <c r="GD72" s="827"/>
      <c r="GE72" s="827"/>
      <c r="GF72" s="827"/>
      <c r="GG72" s="827"/>
      <c r="GH72" s="827"/>
      <c r="GI72" s="827"/>
      <c r="GJ72" s="827"/>
      <c r="GK72" s="827"/>
      <c r="GL72" s="827"/>
      <c r="GM72" s="827"/>
      <c r="GN72" s="827"/>
      <c r="GO72" s="827"/>
      <c r="GP72" s="827"/>
      <c r="GQ72" s="827"/>
      <c r="GR72" s="827"/>
      <c r="GS72" s="827"/>
      <c r="GT72" s="827"/>
      <c r="GU72" s="827"/>
      <c r="GV72" s="827"/>
      <c r="GW72" s="827"/>
      <c r="GX72" s="827"/>
      <c r="GY72" s="827"/>
      <c r="GZ72" s="827"/>
      <c r="HA72" s="827"/>
      <c r="HB72" s="827"/>
      <c r="HC72" s="827"/>
      <c r="HD72" s="827"/>
      <c r="HE72" s="827"/>
      <c r="HF72" s="827"/>
      <c r="HG72" s="827"/>
      <c r="HH72" s="827"/>
      <c r="HI72" s="827"/>
      <c r="HJ72" s="827"/>
      <c r="HK72" s="827"/>
      <c r="HL72" s="827"/>
      <c r="HM72" s="827"/>
      <c r="HN72" s="827"/>
      <c r="HO72" s="827"/>
      <c r="HP72" s="827"/>
      <c r="HQ72" s="827"/>
      <c r="HR72" s="827"/>
      <c r="HS72" s="827"/>
      <c r="HT72" s="827"/>
      <c r="HU72" s="827"/>
      <c r="HV72" s="827"/>
      <c r="HW72" s="827"/>
      <c r="HX72" s="827"/>
    </row>
    <row r="73" spans="1:256" ht="20.100000000000001" customHeight="1">
      <c r="A73" s="872" t="str">
        <f>人物卡!AB48</f>
        <v>自定义技能</v>
      </c>
      <c r="B73" s="827"/>
      <c r="C73" s="827" t="str">
        <f>IF(ISTEXT(IFERROR(VLOOKUP(A73,职业列表!I3:J10,1,FALSE),0)),"★","")</f>
        <v/>
      </c>
      <c r="D73" s="827"/>
      <c r="E73" s="827"/>
      <c r="F73" s="827"/>
      <c r="G73" s="827"/>
      <c r="H73" s="827"/>
      <c r="I73" s="827"/>
      <c r="J73" s="827"/>
      <c r="K73" s="827"/>
      <c r="L73" s="827"/>
      <c r="M73" s="827"/>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c r="BC73" s="827"/>
      <c r="BD73" s="827"/>
      <c r="BE73" s="827"/>
      <c r="BF73" s="827"/>
      <c r="BG73" s="827"/>
      <c r="BH73" s="827"/>
      <c r="BI73" s="827"/>
      <c r="BJ73" s="827"/>
      <c r="BK73" s="827"/>
      <c r="BL73" s="827"/>
      <c r="BM73" s="827"/>
      <c r="BN73" s="827"/>
      <c r="BO73" s="827"/>
      <c r="BP73" s="827"/>
      <c r="BQ73" s="827"/>
      <c r="BR73" s="827"/>
      <c r="BS73" s="827"/>
      <c r="BT73" s="827"/>
      <c r="BU73" s="827"/>
      <c r="BV73" s="827"/>
      <c r="BW73" s="827"/>
      <c r="BX73" s="827"/>
      <c r="BY73" s="827"/>
      <c r="BZ73" s="827"/>
      <c r="CA73" s="827"/>
      <c r="CB73" s="827"/>
      <c r="CC73" s="827"/>
      <c r="CD73" s="827"/>
      <c r="CE73" s="827"/>
      <c r="CF73" s="827"/>
      <c r="CG73" s="827"/>
      <c r="CH73" s="827"/>
      <c r="CI73" s="827"/>
      <c r="CJ73" s="827"/>
      <c r="CK73" s="827"/>
      <c r="CL73" s="827"/>
      <c r="CM73" s="827"/>
      <c r="CN73" s="827"/>
      <c r="CO73" s="827"/>
      <c r="CP73" s="827"/>
      <c r="CQ73" s="827"/>
      <c r="CR73" s="827"/>
      <c r="CS73" s="827"/>
      <c r="CT73" s="827"/>
      <c r="CU73" s="827"/>
      <c r="CV73" s="827"/>
      <c r="CW73" s="827"/>
      <c r="CX73" s="827"/>
      <c r="CY73" s="827"/>
      <c r="CZ73" s="827"/>
      <c r="DA73" s="827"/>
      <c r="DB73" s="827"/>
      <c r="DC73" s="827"/>
      <c r="DD73" s="827"/>
      <c r="DE73" s="827"/>
      <c r="DF73" s="827"/>
      <c r="DG73" s="827"/>
      <c r="DH73" s="827"/>
      <c r="DI73" s="827"/>
      <c r="DJ73" s="827"/>
      <c r="DK73" s="827"/>
      <c r="DL73" s="827"/>
      <c r="DM73" s="827"/>
      <c r="DN73" s="827"/>
      <c r="DO73" s="827"/>
      <c r="DP73" s="827"/>
      <c r="DQ73" s="827"/>
      <c r="DR73" s="827"/>
      <c r="DS73" s="827"/>
      <c r="DT73" s="827"/>
      <c r="DU73" s="827"/>
      <c r="DV73" s="827"/>
      <c r="DW73" s="827"/>
      <c r="DX73" s="827"/>
      <c r="DY73" s="827"/>
      <c r="DZ73" s="827"/>
      <c r="EA73" s="827"/>
      <c r="EB73" s="827"/>
      <c r="EC73" s="827"/>
      <c r="ED73" s="827"/>
      <c r="EE73" s="827"/>
      <c r="EF73" s="827"/>
      <c r="EG73" s="827"/>
      <c r="EH73" s="827"/>
      <c r="EI73" s="827"/>
      <c r="EJ73" s="827"/>
      <c r="EK73" s="827"/>
      <c r="EL73" s="827"/>
      <c r="EM73" s="827"/>
      <c r="EN73" s="827"/>
      <c r="EO73" s="827"/>
      <c r="EP73" s="827"/>
      <c r="EQ73" s="827"/>
      <c r="ER73" s="827"/>
      <c r="ES73" s="827"/>
      <c r="ET73" s="827"/>
      <c r="EU73" s="827"/>
      <c r="EV73" s="827"/>
      <c r="EW73" s="827"/>
      <c r="EX73" s="827"/>
      <c r="EY73" s="827"/>
      <c r="EZ73" s="827"/>
      <c r="FA73" s="827"/>
      <c r="FB73" s="827"/>
      <c r="FC73" s="827"/>
      <c r="FD73" s="827"/>
      <c r="FE73" s="827"/>
      <c r="FF73" s="827"/>
      <c r="FG73" s="827"/>
      <c r="FH73" s="827"/>
      <c r="FI73" s="827"/>
      <c r="FJ73" s="827"/>
      <c r="FK73" s="827"/>
      <c r="FL73" s="827"/>
      <c r="FM73" s="827"/>
      <c r="FN73" s="827"/>
      <c r="FO73" s="827"/>
      <c r="FP73" s="827"/>
      <c r="FQ73" s="827"/>
      <c r="FR73" s="827"/>
      <c r="FS73" s="827"/>
      <c r="FT73" s="827"/>
      <c r="FU73" s="827"/>
      <c r="FV73" s="827"/>
      <c r="FW73" s="827"/>
      <c r="FX73" s="827"/>
      <c r="FY73" s="827"/>
      <c r="FZ73" s="827"/>
      <c r="GA73" s="827"/>
      <c r="GB73" s="827"/>
      <c r="GC73" s="827"/>
      <c r="GD73" s="827"/>
      <c r="GE73" s="827"/>
      <c r="GF73" s="827"/>
      <c r="GG73" s="827"/>
      <c r="GH73" s="827"/>
      <c r="GI73" s="827"/>
      <c r="GJ73" s="827"/>
      <c r="GK73" s="827"/>
      <c r="GL73" s="827"/>
      <c r="GM73" s="827"/>
      <c r="GN73" s="827"/>
      <c r="GO73" s="827"/>
      <c r="GP73" s="827"/>
      <c r="GQ73" s="827"/>
      <c r="GR73" s="827"/>
      <c r="GS73" s="827"/>
      <c r="GT73" s="827"/>
      <c r="GU73" s="827"/>
      <c r="GV73" s="827"/>
      <c r="GW73" s="827"/>
      <c r="GX73" s="827"/>
      <c r="GY73" s="827"/>
      <c r="GZ73" s="827"/>
      <c r="HA73" s="827"/>
      <c r="HB73" s="827"/>
      <c r="HC73" s="827"/>
      <c r="HD73" s="827"/>
      <c r="HE73" s="827"/>
      <c r="HF73" s="827"/>
      <c r="HG73" s="827"/>
      <c r="HH73" s="827"/>
      <c r="HI73" s="827"/>
      <c r="HJ73" s="827"/>
      <c r="HK73" s="827"/>
      <c r="HL73" s="827"/>
      <c r="HM73" s="827"/>
      <c r="HN73" s="827"/>
      <c r="HO73" s="827"/>
      <c r="HP73" s="827"/>
      <c r="HQ73" s="827"/>
      <c r="HR73" s="827"/>
      <c r="HS73" s="827"/>
      <c r="HT73" s="827"/>
      <c r="HU73" s="827"/>
      <c r="HV73" s="827"/>
      <c r="HW73" s="827"/>
      <c r="HX73" s="827"/>
    </row>
    <row r="74" spans="1:256" ht="20.100000000000001" customHeight="1">
      <c r="A74" s="826">
        <f>人物卡!AB49</f>
        <v>0</v>
      </c>
      <c r="B74" s="827"/>
      <c r="C74" s="827" t="str">
        <f>IF(ISTEXT(IFERROR(VLOOKUP(A74,职业列表!I3:J10,1,FALSE),0)),"★","")</f>
        <v/>
      </c>
      <c r="D74" s="827"/>
      <c r="E74" s="827"/>
      <c r="F74" s="827"/>
      <c r="G74" s="827"/>
      <c r="H74" s="827"/>
      <c r="I74" s="827"/>
      <c r="J74" s="827"/>
      <c r="K74" s="827"/>
      <c r="L74" s="827"/>
      <c r="M74" s="827"/>
      <c r="N74" s="827"/>
      <c r="O74" s="827"/>
      <c r="P74" s="827"/>
      <c r="Q74" s="827"/>
      <c r="R74" s="827"/>
      <c r="S74" s="827"/>
      <c r="T74" s="827"/>
      <c r="U74" s="827"/>
      <c r="V74" s="827"/>
      <c r="W74" s="827"/>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c r="BC74" s="827"/>
      <c r="BD74" s="827"/>
      <c r="BE74" s="827"/>
      <c r="BF74" s="827"/>
      <c r="BG74" s="827"/>
      <c r="BH74" s="827"/>
      <c r="BI74" s="827"/>
      <c r="BJ74" s="827"/>
      <c r="BK74" s="827"/>
      <c r="BL74" s="827"/>
      <c r="BM74" s="827"/>
      <c r="BN74" s="827"/>
      <c r="BO74" s="827"/>
      <c r="BP74" s="827"/>
      <c r="BQ74" s="827"/>
      <c r="BR74" s="827"/>
      <c r="BS74" s="827"/>
      <c r="BT74" s="827"/>
      <c r="BU74" s="827"/>
      <c r="BV74" s="827"/>
      <c r="BW74" s="827"/>
      <c r="BX74" s="827"/>
      <c r="BY74" s="827"/>
      <c r="BZ74" s="827"/>
      <c r="CA74" s="827"/>
      <c r="CB74" s="827"/>
      <c r="CC74" s="827"/>
      <c r="CD74" s="827"/>
      <c r="CE74" s="827"/>
      <c r="CF74" s="827"/>
      <c r="CG74" s="827"/>
      <c r="CH74" s="827"/>
      <c r="CI74" s="827"/>
      <c r="CJ74" s="827"/>
      <c r="CK74" s="827"/>
      <c r="CL74" s="827"/>
      <c r="CM74" s="827"/>
      <c r="CN74" s="827"/>
      <c r="CO74" s="827"/>
      <c r="CP74" s="827"/>
      <c r="CQ74" s="827"/>
      <c r="CR74" s="827"/>
      <c r="CS74" s="827"/>
      <c r="CT74" s="827"/>
      <c r="CU74" s="827"/>
      <c r="CV74" s="827"/>
      <c r="CW74" s="827"/>
      <c r="CX74" s="827"/>
      <c r="CY74" s="827"/>
      <c r="CZ74" s="827"/>
      <c r="DA74" s="827"/>
      <c r="DB74" s="827"/>
      <c r="DC74" s="827"/>
      <c r="DD74" s="827"/>
      <c r="DE74" s="827"/>
      <c r="DF74" s="827"/>
      <c r="DG74" s="827"/>
      <c r="DH74" s="827"/>
      <c r="DI74" s="827"/>
      <c r="DJ74" s="827"/>
      <c r="DK74" s="827"/>
      <c r="DL74" s="827"/>
      <c r="DM74" s="827"/>
      <c r="DN74" s="827"/>
      <c r="DO74" s="827"/>
      <c r="DP74" s="827"/>
      <c r="DQ74" s="827"/>
      <c r="DR74" s="827"/>
      <c r="DS74" s="827"/>
      <c r="DT74" s="827"/>
      <c r="DU74" s="827"/>
      <c r="DV74" s="827"/>
      <c r="DW74" s="827"/>
      <c r="DX74" s="827"/>
      <c r="DY74" s="827"/>
      <c r="DZ74" s="827"/>
      <c r="EA74" s="827"/>
      <c r="EB74" s="827"/>
      <c r="EC74" s="827"/>
      <c r="ED74" s="827"/>
      <c r="EE74" s="827"/>
      <c r="EF74" s="827"/>
      <c r="EG74" s="827"/>
      <c r="EH74" s="827"/>
      <c r="EI74" s="827"/>
      <c r="EJ74" s="827"/>
      <c r="EK74" s="827"/>
      <c r="EL74" s="827"/>
      <c r="EM74" s="827"/>
      <c r="EN74" s="827"/>
      <c r="EO74" s="827"/>
      <c r="EP74" s="827"/>
      <c r="EQ74" s="827"/>
      <c r="ER74" s="827"/>
      <c r="ES74" s="827"/>
      <c r="ET74" s="827"/>
      <c r="EU74" s="827"/>
      <c r="EV74" s="827"/>
      <c r="EW74" s="827"/>
      <c r="EX74" s="827"/>
      <c r="EY74" s="827"/>
      <c r="EZ74" s="827"/>
      <c r="FA74" s="827"/>
      <c r="FB74" s="827"/>
      <c r="FC74" s="827"/>
      <c r="FD74" s="827"/>
      <c r="FE74" s="827"/>
      <c r="FF74" s="827"/>
      <c r="FG74" s="827"/>
      <c r="FH74" s="827"/>
      <c r="FI74" s="827"/>
      <c r="FJ74" s="827"/>
      <c r="FK74" s="827"/>
      <c r="FL74" s="827"/>
      <c r="FM74" s="827"/>
      <c r="FN74" s="827"/>
      <c r="FO74" s="827"/>
      <c r="FP74" s="827"/>
      <c r="FQ74" s="827"/>
      <c r="FR74" s="827"/>
      <c r="FS74" s="827"/>
      <c r="FT74" s="827"/>
      <c r="FU74" s="827"/>
      <c r="FV74" s="827"/>
      <c r="FW74" s="827"/>
      <c r="FX74" s="827"/>
      <c r="FY74" s="827"/>
      <c r="FZ74" s="827"/>
      <c r="GA74" s="827"/>
      <c r="GB74" s="827"/>
      <c r="GC74" s="827"/>
      <c r="GD74" s="827"/>
      <c r="GE74" s="827"/>
      <c r="GF74" s="827"/>
      <c r="GG74" s="827"/>
      <c r="GH74" s="827"/>
      <c r="GI74" s="827"/>
      <c r="GJ74" s="827"/>
      <c r="GK74" s="827"/>
      <c r="GL74" s="827"/>
      <c r="GM74" s="827"/>
      <c r="GN74" s="827"/>
      <c r="GO74" s="827"/>
      <c r="GP74" s="827"/>
      <c r="GQ74" s="827"/>
      <c r="GR74" s="827"/>
      <c r="GS74" s="827"/>
      <c r="GT74" s="827"/>
      <c r="GU74" s="827"/>
      <c r="GV74" s="827"/>
      <c r="GW74" s="827"/>
      <c r="GX74" s="827"/>
      <c r="GY74" s="827"/>
      <c r="GZ74" s="827"/>
      <c r="HA74" s="827"/>
      <c r="HB74" s="827"/>
      <c r="HC74" s="827"/>
      <c r="HD74" s="827"/>
      <c r="HE74" s="827"/>
      <c r="HF74" s="827"/>
      <c r="HG74" s="827"/>
      <c r="HH74" s="827"/>
      <c r="HI74" s="827"/>
      <c r="HJ74" s="827"/>
      <c r="HK74" s="827"/>
      <c r="HL74" s="827"/>
      <c r="HM74" s="827"/>
      <c r="HN74" s="827"/>
      <c r="HO74" s="827"/>
      <c r="HP74" s="827"/>
      <c r="HQ74" s="827"/>
      <c r="HR74" s="827"/>
      <c r="HS74" s="827"/>
      <c r="HT74" s="827"/>
      <c r="HU74" s="827"/>
      <c r="HV74" s="827"/>
      <c r="HW74" s="827"/>
      <c r="HX74" s="827"/>
    </row>
    <row r="75" spans="1:256" ht="20.100000000000001" customHeight="1">
      <c r="A75" s="425"/>
    </row>
    <row r="76" spans="1:256" ht="14.25"/>
  </sheetData>
  <sheetProtection algorithmName="SHA-512" hashValue="lSZZgKdkg39Kh4/AK6s6Bgt4KbGk6/z8Jjt9E8cUGxSKeAGTow8IyWFzdHWMq3ApROoCZf8l6H6Z0InKFeBV6A==" saltValue="+SZ5iF15Mu226U9iOoUlCA==" spinCount="100000" sheet="1" objects="1"/>
  <phoneticPr fontId="203"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491"/>
  <sheetViews>
    <sheetView zoomScale="70" zoomScaleNormal="70" workbookViewId="0">
      <selection activeCell="A2" sqref="A2"/>
    </sheetView>
  </sheetViews>
  <sheetFormatPr defaultColWidth="9" defaultRowHeight="16.5"/>
  <cols>
    <col min="1" max="3" width="9" style="524" customWidth="1"/>
    <col min="4" max="4" width="11.375" style="524" customWidth="1"/>
    <col min="5" max="5" width="8.75" style="524" customWidth="1"/>
    <col min="6" max="6" width="9.625" style="524" customWidth="1"/>
    <col min="7" max="7" width="11.25" style="524" customWidth="1"/>
    <col min="8" max="8" width="10.25" style="524" customWidth="1"/>
    <col min="9" max="9" width="9" style="524" customWidth="1"/>
    <col min="10" max="10" width="9.125" style="524" customWidth="1"/>
    <col min="11" max="11" width="12.375" style="524" customWidth="1"/>
    <col min="12" max="26" width="9" style="524" customWidth="1"/>
    <col min="27" max="27" width="9.75" style="524" customWidth="1"/>
    <col min="28" max="29" width="9" style="524" customWidth="1"/>
    <col min="30" max="30" width="13.5" style="524" customWidth="1"/>
    <col min="31" max="31" width="10.625" style="524" customWidth="1"/>
    <col min="32" max="34" width="17.75" style="524" customWidth="1"/>
    <col min="35" max="37" width="14.625" style="524" customWidth="1"/>
    <col min="38" max="40" width="15.875" style="524" customWidth="1"/>
    <col min="41" max="41" width="37.625" style="524" customWidth="1"/>
    <col min="42" max="42" width="26.125" style="524" customWidth="1"/>
    <col min="43" max="43" width="10.125" style="524" customWidth="1"/>
    <col min="44" max="44" width="10.875" style="524" customWidth="1"/>
    <col min="45" max="45" width="16" style="524" customWidth="1"/>
    <col min="46" max="51" width="9" style="524" customWidth="1"/>
    <col min="52" max="52" width="14" style="524" customWidth="1"/>
    <col min="53" max="53" width="17.75" style="524" customWidth="1"/>
    <col min="54" max="54" width="19.625" style="524" customWidth="1"/>
    <col min="55" max="55" width="9" style="524" customWidth="1"/>
    <col min="56" max="16384" width="9" style="524"/>
  </cols>
  <sheetData>
    <row r="1" spans="1:53">
      <c r="AJ1" s="2297" t="s">
        <v>472</v>
      </c>
      <c r="AK1" s="2297"/>
      <c r="AL1" s="2297"/>
    </row>
    <row r="2" spans="1:53">
      <c r="B2" s="2064" t="s">
        <v>1434</v>
      </c>
      <c r="C2" s="2064"/>
      <c r="D2" s="2064"/>
      <c r="E2" s="2064"/>
      <c r="S2" s="2295" t="s">
        <v>1362</v>
      </c>
      <c r="T2" s="2298"/>
      <c r="U2" s="2298"/>
      <c r="V2" s="2298"/>
      <c r="W2" s="2298"/>
      <c r="X2" s="2298"/>
      <c r="Y2" s="2298"/>
      <c r="Z2" s="2298"/>
      <c r="AA2" s="2298"/>
      <c r="AB2" s="2298"/>
      <c r="AC2" s="2298"/>
      <c r="AD2" s="2298"/>
      <c r="AE2" s="2298"/>
      <c r="AF2" s="2298"/>
      <c r="AG2" s="2298"/>
      <c r="AH2" s="2298"/>
      <c r="AI2" s="2299"/>
    </row>
    <row r="3" spans="1:53">
      <c r="A3" s="2251" t="s">
        <v>1435</v>
      </c>
      <c r="B3" s="2253" t="s">
        <v>1436</v>
      </c>
      <c r="C3" s="2255" t="s">
        <v>1437</v>
      </c>
      <c r="D3" s="526" t="s">
        <v>1438</v>
      </c>
      <c r="E3" s="527">
        <f>G14-I14</f>
        <v>35</v>
      </c>
      <c r="G3" s="528" t="s">
        <v>1439</v>
      </c>
      <c r="H3" s="529" t="s">
        <v>1440</v>
      </c>
      <c r="I3" s="529" t="s">
        <v>1441</v>
      </c>
      <c r="J3" s="529" t="s">
        <v>1442</v>
      </c>
      <c r="K3" s="529"/>
      <c r="L3" s="527"/>
      <c r="N3" s="2295" t="s">
        <v>1443</v>
      </c>
      <c r="O3" s="2298"/>
      <c r="P3" s="2299"/>
      <c r="S3" s="604" t="s">
        <v>477</v>
      </c>
      <c r="T3" s="605" t="s">
        <v>1444</v>
      </c>
      <c r="U3" s="606" t="s">
        <v>479</v>
      </c>
      <c r="V3" s="607" t="s">
        <v>1445</v>
      </c>
      <c r="W3" s="607"/>
      <c r="X3" s="607"/>
      <c r="Y3" s="607"/>
      <c r="Z3" s="611"/>
      <c r="AA3" s="611"/>
      <c r="AB3" s="611"/>
      <c r="AD3" s="611"/>
      <c r="AE3" s="611"/>
      <c r="AF3" s="611"/>
      <c r="AI3" s="531"/>
    </row>
    <row r="4" spans="1:53">
      <c r="A4" s="2252"/>
      <c r="B4" s="2254"/>
      <c r="C4" s="2256"/>
      <c r="D4" s="530" t="s">
        <v>1446</v>
      </c>
      <c r="E4" s="531">
        <f>J14-I14</f>
        <v>45</v>
      </c>
      <c r="G4" s="532" t="s">
        <v>1447</v>
      </c>
      <c r="H4" s="524" t="s">
        <v>1448</v>
      </c>
      <c r="I4" s="524" t="s">
        <v>1449</v>
      </c>
      <c r="J4" s="524" t="s">
        <v>1450</v>
      </c>
      <c r="K4" s="524" t="s">
        <v>1451</v>
      </c>
      <c r="L4" s="531" t="s">
        <v>1452</v>
      </c>
      <c r="N4" s="532" t="s">
        <v>1453</v>
      </c>
      <c r="P4" s="531"/>
      <c r="S4" s="608" t="str">
        <f>"力量×"&amp;U4</f>
        <v>力量×0</v>
      </c>
      <c r="T4" s="609" t="str">
        <f>职业列表!I15</f>
        <v>×</v>
      </c>
      <c r="U4" s="610">
        <f>职业列表!J15</f>
        <v>0</v>
      </c>
      <c r="V4" s="611">
        <f>G14*U4</f>
        <v>0</v>
      </c>
      <c r="W4" s="611"/>
      <c r="X4" s="612" t="str">
        <f t="shared" ref="X4:X12" si="0">IF(U4&gt;0,S4,"")</f>
        <v/>
      </c>
      <c r="Y4" s="632" t="str">
        <f t="shared" ref="Y4:Y11" si="1">IF(AND(U5&gt;0,U4&gt;0),"+","")</f>
        <v/>
      </c>
      <c r="Z4" s="611" t="str">
        <f>IF(U5&gt;0,S5,"")</f>
        <v/>
      </c>
      <c r="AA4" s="611"/>
      <c r="AC4" s="611"/>
      <c r="AD4" s="611"/>
      <c r="AE4" s="611"/>
      <c r="AF4" s="611"/>
      <c r="AI4" s="531"/>
      <c r="AK4" s="615"/>
    </row>
    <row r="5" spans="1:53">
      <c r="A5" s="533">
        <f>IF(人物卡!AI12="开",1,IF(人物卡!AI12="关",0))</f>
        <v>1</v>
      </c>
      <c r="B5" s="532">
        <f>IF(人物卡!AN12=0,"0",VLOOKUP(人物卡!AN12,'防具表 载具表'!B2:I101,3,FALSE))</f>
        <v>1</v>
      </c>
      <c r="C5" s="530">
        <f>IF(人物卡!E6&lt;40,0,INT((人物卡!E6/10)-3))</f>
        <v>0</v>
      </c>
      <c r="D5" s="530" t="s">
        <v>1454</v>
      </c>
      <c r="E5" s="531" t="str">
        <f>IF(E3&gt;0,"1",IF(E3=0,"0",IF(E3&lt;0,"-1")))</f>
        <v>1</v>
      </c>
      <c r="G5" s="532">
        <f>AVERAGE(人物卡!AA7+人物卡!R16+人物卡!R17+人物卡!R18+人物卡!R19+人物卡!R25+人物卡!R27+人物卡!R46+人物卡!R47+人物卡!R48+人物卡!AN17+人物卡!AN18+人物卡!AN22+人物卡!AN24+人物卡!AN28+人物卡!AN29+人物卡!AN35+人物卡!AN40+人物卡!AN44-122)</f>
        <v>221</v>
      </c>
      <c r="H5" s="524">
        <f>AVERAGE(人物卡!AA5+人物卡!R17+人物卡!R18+人物卡!R23+人物卡!R26+人物卡!R28+人物卡!R33+人物卡!R44+人物卡!R46+人物卡!R47+人物卡!R48+人物卡!R49+人物卡!AN16+人物卡!AN26+人物卡!AN28+人物卡!AN29+人物卡!AN35+人物卡!AN40+人物卡!AN44-111-人物卡!J49)</f>
        <v>325</v>
      </c>
      <c r="I5" s="524">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402.5</v>
      </c>
      <c r="J5" s="524">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200</v>
      </c>
      <c r="K5" s="524">
        <f>AVERAGE(人物卡!R42+人物卡!AN21+人物卡!AN28+人物卡!R30+人物卡!AN27+人物卡!AN30+人物卡!AN23+人物卡!R26+人物卡!R17+人物卡!AN41+人物卡!AN45+人物卡!AN46-76)</f>
        <v>170</v>
      </c>
      <c r="L5" s="531">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334</v>
      </c>
      <c r="N5" s="532">
        <f>G14+I14</f>
        <v>105</v>
      </c>
      <c r="P5" s="531"/>
      <c r="R5" s="613"/>
      <c r="S5" s="608" t="str">
        <f>"敏捷×"&amp;U5</f>
        <v>敏捷×0</v>
      </c>
      <c r="T5" s="609" t="str">
        <f>职业列表!I16</f>
        <v>×</v>
      </c>
      <c r="U5" s="610">
        <f>职业列表!J16</f>
        <v>0</v>
      </c>
      <c r="V5" s="611">
        <f>J14*U5</f>
        <v>0</v>
      </c>
      <c r="W5" s="611"/>
      <c r="X5" s="532" t="str">
        <f t="shared" si="0"/>
        <v/>
      </c>
      <c r="Y5" s="632" t="str">
        <f t="shared" si="1"/>
        <v/>
      </c>
      <c r="Z5" s="611"/>
      <c r="AA5" s="611"/>
      <c r="AB5" s="611"/>
      <c r="AD5" s="611"/>
      <c r="AE5" s="611"/>
      <c r="AF5" s="611"/>
      <c r="AI5" s="531"/>
      <c r="AK5" s="615"/>
    </row>
    <row r="6" spans="1:53" ht="33">
      <c r="A6" s="534"/>
      <c r="B6" s="377" t="s">
        <v>1455</v>
      </c>
      <c r="C6" s="535" t="s">
        <v>1456</v>
      </c>
      <c r="D6" s="530" t="s">
        <v>1457</v>
      </c>
      <c r="E6" s="531" t="str">
        <f>IF(E4&gt;0,"1",IF(E4=0,"0",IF(E4&lt;0,"-1")))</f>
        <v>1</v>
      </c>
      <c r="G6" s="532"/>
      <c r="J6" s="524">
        <f>G5+H5+I5+J5+K5+L5</f>
        <v>1652.5</v>
      </c>
      <c r="L6" s="531"/>
      <c r="N6" s="377" t="s">
        <v>1458</v>
      </c>
      <c r="O6" s="370" t="s">
        <v>1459</v>
      </c>
      <c r="P6" s="577" t="s">
        <v>1460</v>
      </c>
      <c r="R6" s="613"/>
      <c r="S6" s="608" t="str">
        <f>"体质×"&amp;U6</f>
        <v>体质×0</v>
      </c>
      <c r="T6" s="609" t="str">
        <f>职业列表!I17</f>
        <v>×</v>
      </c>
      <c r="U6" s="610">
        <f>职业列表!J17</f>
        <v>0</v>
      </c>
      <c r="V6" s="611">
        <f>H14*U6</f>
        <v>0</v>
      </c>
      <c r="W6" s="611"/>
      <c r="X6" s="614" t="str">
        <f t="shared" si="0"/>
        <v/>
      </c>
      <c r="Y6" s="632" t="str">
        <f t="shared" si="1"/>
        <v/>
      </c>
      <c r="Z6" s="611"/>
      <c r="AA6" s="611"/>
      <c r="AB6" s="611"/>
      <c r="AC6" s="611"/>
      <c r="AD6" s="611"/>
      <c r="AE6" s="611"/>
      <c r="AF6" s="611"/>
      <c r="AI6" s="531"/>
      <c r="AK6" s="615"/>
    </row>
    <row r="7" spans="1:53">
      <c r="A7" s="534"/>
      <c r="B7" s="377" t="b">
        <f>ISNUMBER(B5)</f>
        <v>1</v>
      </c>
      <c r="C7" s="536">
        <f>IF(ISBLANK(人物卡!E6),0,IF(人物卡!E6&gt;=0,C5,0))</f>
        <v>0</v>
      </c>
      <c r="D7" s="530" t="s">
        <v>1461</v>
      </c>
      <c r="E7" s="531">
        <f>E6+E5</f>
        <v>2</v>
      </c>
      <c r="G7" s="532" t="s">
        <v>1447</v>
      </c>
      <c r="H7" s="524" t="s">
        <v>1448</v>
      </c>
      <c r="I7" s="524" t="s">
        <v>1449</v>
      </c>
      <c r="J7" s="524" t="s">
        <v>1450</v>
      </c>
      <c r="K7" s="524" t="s">
        <v>1451</v>
      </c>
      <c r="L7" s="531" t="s">
        <v>1452</v>
      </c>
      <c r="N7" s="532" t="str">
        <f>IF(N5&lt;=1,"0",IF(N5&lt;=64,"-2",IF(N5&lt;=84,"-1",IF(N5&lt;=124,"0",IF(N5&lt;=164,"1",IF(N5&lt;=204,"2",IF(N5&lt;=284,"3",IF(N5&gt;284,"4","0"))))))))</f>
        <v>0</v>
      </c>
      <c r="O7" s="524">
        <f>INT((N5-285)/80)</f>
        <v>-3</v>
      </c>
      <c r="P7" s="577" t="str">
        <f>IF(O7&gt;=0,O7+N7,N7)</f>
        <v>0</v>
      </c>
      <c r="R7" s="613"/>
      <c r="S7" s="608" t="str">
        <f>"体型×"&amp;U7</f>
        <v>体型×0</v>
      </c>
      <c r="T7" s="609" t="str">
        <f>职业列表!I18</f>
        <v>×</v>
      </c>
      <c r="U7" s="610">
        <f>职业列表!J18</f>
        <v>0</v>
      </c>
      <c r="V7" s="611">
        <f>I14*U7</f>
        <v>0</v>
      </c>
      <c r="W7" s="615"/>
      <c r="X7" s="614" t="str">
        <f t="shared" si="0"/>
        <v/>
      </c>
      <c r="Y7" s="632" t="str">
        <f t="shared" si="1"/>
        <v/>
      </c>
      <c r="Z7" s="611"/>
      <c r="AA7" s="611"/>
      <c r="AB7" s="611"/>
      <c r="AC7" s="611"/>
      <c r="AD7" s="611"/>
      <c r="AE7" s="611"/>
      <c r="AF7" s="611"/>
      <c r="AI7" s="531"/>
      <c r="AK7" s="615"/>
    </row>
    <row r="8" spans="1:53" ht="33">
      <c r="A8" s="533"/>
      <c r="B8" s="537" t="s">
        <v>1462</v>
      </c>
      <c r="C8" s="538">
        <f>IF(B7=FALSE,"0",IF(A5=1,B5,0))</f>
        <v>1</v>
      </c>
      <c r="D8" s="539" t="s">
        <v>1463</v>
      </c>
      <c r="E8" s="540" t="str">
        <f>IF(E7=2,"1",IF(E7=-2,"-1",0))</f>
        <v>1</v>
      </c>
      <c r="G8" s="541">
        <f>G5/J6</f>
        <v>0.13373676248108926</v>
      </c>
      <c r="H8" s="542">
        <f>H5/J6</f>
        <v>0.19667170953101362</v>
      </c>
      <c r="I8" s="542">
        <f>I5/J6</f>
        <v>0.24357034795763993</v>
      </c>
      <c r="J8" s="542">
        <f>J5/J6</f>
        <v>0.12102874432677761</v>
      </c>
      <c r="K8" s="542">
        <f>K5/J6</f>
        <v>0.10287443267776097</v>
      </c>
      <c r="L8" s="578">
        <f>L5/J6</f>
        <v>0.20211800302571861</v>
      </c>
      <c r="N8" s="377" t="s">
        <v>1464</v>
      </c>
      <c r="O8" s="370" t="s">
        <v>1465</v>
      </c>
      <c r="P8" s="577" t="s">
        <v>1466</v>
      </c>
      <c r="R8" s="613"/>
      <c r="S8" s="608" t="str">
        <f>"外貌×"&amp;U8</f>
        <v>外貌×0</v>
      </c>
      <c r="T8" s="609" t="str">
        <f>职业列表!I19</f>
        <v>×</v>
      </c>
      <c r="U8" s="610">
        <f>职业列表!J19</f>
        <v>0</v>
      </c>
      <c r="V8" s="611">
        <f>K14*U8</f>
        <v>0</v>
      </c>
      <c r="W8" s="611"/>
      <c r="X8" s="614" t="str">
        <f t="shared" si="0"/>
        <v/>
      </c>
      <c r="Y8" s="632" t="str">
        <f t="shared" si="1"/>
        <v/>
      </c>
      <c r="Z8" s="611"/>
      <c r="AA8" s="611"/>
      <c r="AC8" s="611"/>
      <c r="AD8" s="611"/>
      <c r="AE8" s="611"/>
      <c r="AF8" s="611"/>
      <c r="AI8" s="531"/>
      <c r="AK8" s="615"/>
    </row>
    <row r="9" spans="1:53">
      <c r="B9" s="543" t="s">
        <v>1467</v>
      </c>
      <c r="C9" s="2300">
        <f>E8-C8-C7</f>
        <v>0</v>
      </c>
      <c r="D9" s="2300"/>
      <c r="E9" s="2301"/>
      <c r="N9" s="532" t="str">
        <f>IF(P7="-2","-2",IF(P7="-1","-1",IF(P7="0","0",IF(P7="1","+1D4",IF(P7=2,"+1D6",IF(P7&gt;2,"D6",0))))))</f>
        <v>0</v>
      </c>
      <c r="O9" s="524" t="str">
        <f>IF(N9="D6",P7-1,"0")</f>
        <v>0</v>
      </c>
      <c r="P9" s="540" t="str">
        <f>IF(N9="D6",O10,N9)</f>
        <v>0</v>
      </c>
      <c r="R9" s="613"/>
      <c r="S9" s="608" t="str">
        <f>"智力×"&amp;U9</f>
        <v>智力×0</v>
      </c>
      <c r="T9" s="609" t="str">
        <f>职业列表!I20</f>
        <v>×</v>
      </c>
      <c r="U9" s="610">
        <f>职业列表!J20</f>
        <v>0</v>
      </c>
      <c r="V9" s="611">
        <f>L14*U9</f>
        <v>0</v>
      </c>
      <c r="W9" s="611"/>
      <c r="X9" s="614" t="str">
        <f t="shared" si="0"/>
        <v/>
      </c>
      <c r="Y9" s="632" t="str">
        <f t="shared" si="1"/>
        <v/>
      </c>
      <c r="Z9" s="611"/>
      <c r="AA9" s="633" t="str">
        <f>X4&amp;Y4&amp;X5&amp;Y5&amp;X6&amp;Y6&amp;X7&amp;Y7&amp;X8&amp;Y8&amp;X9&amp;Y9&amp;X10&amp;Y10&amp;X11&amp;Y11&amp;X12</f>
        <v>教育×4</v>
      </c>
      <c r="AB9" s="544"/>
      <c r="AC9" s="634"/>
      <c r="AD9" s="634"/>
      <c r="AE9" s="635"/>
      <c r="AF9" s="611" t="s">
        <v>1468</v>
      </c>
      <c r="AI9" s="531"/>
      <c r="AK9" s="615"/>
    </row>
    <row r="10" spans="1:53">
      <c r="B10" s="2238" t="s">
        <v>1469</v>
      </c>
      <c r="C10" s="2239"/>
      <c r="D10" s="2239"/>
      <c r="E10" s="2293"/>
      <c r="N10" s="541"/>
      <c r="O10" s="542" t="str">
        <f>"+"&amp;O9&amp;"D6"</f>
        <v>+0D6</v>
      </c>
      <c r="P10" s="578"/>
      <c r="R10" s="613"/>
      <c r="S10" s="608" t="str">
        <f>"教育×"&amp;U10</f>
        <v>教育×4</v>
      </c>
      <c r="T10" s="609" t="str">
        <f>职业列表!I21</f>
        <v>√</v>
      </c>
      <c r="U10" s="610">
        <f>职业列表!J21</f>
        <v>4</v>
      </c>
      <c r="V10" s="611">
        <f>N14*U10</f>
        <v>312</v>
      </c>
      <c r="W10" s="611"/>
      <c r="X10" s="614" t="str">
        <f t="shared" si="0"/>
        <v>教育×4</v>
      </c>
      <c r="Y10" s="632" t="str">
        <f t="shared" si="1"/>
        <v/>
      </c>
      <c r="Z10" s="611"/>
      <c r="AA10" s="636">
        <f>IF(AB10=职业列表!H25,1,0)</f>
        <v>0</v>
      </c>
      <c r="AB10" s="637" t="s">
        <v>1470</v>
      </c>
      <c r="AC10" s="637"/>
      <c r="AD10" s="637"/>
      <c r="AE10" s="637"/>
      <c r="AF10" s="638">
        <f>IF(AA10=1,MAX(V4:V9,V11:V12)+V10,0)</f>
        <v>0</v>
      </c>
      <c r="AI10" s="531"/>
      <c r="AK10" s="615"/>
    </row>
    <row r="11" spans="1:53">
      <c r="B11" s="532" t="s">
        <v>1471</v>
      </c>
      <c r="C11" s="547">
        <f>IF(人物卡!H35="鞭子","5",IF(人物卡!H35="电锯","10",IF(人物卡!H35="斧","15",IF(人物卡!H35="剑","20",IF(人物卡!H35="绞具","15",IF(人物卡!H35="链枷","10",IF(人物卡!H35="矛","20",IF(人物卡!H35=人物卡!AU28,人物卡!BA28,0))))))))</f>
        <v>0</v>
      </c>
      <c r="D11" s="524" t="s">
        <v>1472</v>
      </c>
      <c r="E11" s="548">
        <f>IF(人物卡!H39="步枪/霰弹枪","25",IF(人物卡!H39="冲锋枪","15",IF(人物卡!H39="弓术","15",IF(人物卡!H39="喷射器","10",IF(人物卡!H39="机枪","10",IF(人物卡!H39="重武器","10",IF(人物卡!H39=人物卡!AU30,人物卡!BA30,0)))))))</f>
        <v>0</v>
      </c>
      <c r="R11" s="613"/>
      <c r="S11" s="608" t="str">
        <f>"意志×"&amp;U11</f>
        <v>意志×0</v>
      </c>
      <c r="T11" s="609" t="str">
        <f>职业列表!I22</f>
        <v>×</v>
      </c>
      <c r="U11" s="610">
        <f>职业列表!J22</f>
        <v>0</v>
      </c>
      <c r="V11" s="611">
        <f>M14*U11</f>
        <v>0</v>
      </c>
      <c r="W11" s="611"/>
      <c r="X11" s="614" t="str">
        <f t="shared" si="0"/>
        <v/>
      </c>
      <c r="Y11" s="632" t="str">
        <f t="shared" si="1"/>
        <v/>
      </c>
      <c r="Z11" s="615"/>
      <c r="AA11" s="614">
        <f>IF(AB11=职业列表!H25,1,0)</f>
        <v>0</v>
      </c>
      <c r="AB11" s="611" t="s">
        <v>1473</v>
      </c>
      <c r="AC11" s="611"/>
      <c r="AD11" s="615"/>
      <c r="AE11" s="611"/>
      <c r="AF11" s="639">
        <f>IF(AA11=1,V10+SUM(V4:V9,V11:V12),0)</f>
        <v>0</v>
      </c>
      <c r="AI11" s="531"/>
      <c r="AK11" s="615"/>
    </row>
    <row r="12" spans="1:53">
      <c r="B12" s="532" t="s">
        <v>1474</v>
      </c>
      <c r="C12" s="549">
        <f>IF(人物卡!H36="鞭子","5",IF(人物卡!H36="电锯","10",IF(人物卡!H36="斧","15",IF(人物卡!H36="剑","20",IF(人物卡!H36="绞具","15",IF(人物卡!H36="链枷","10",IF(人物卡!H36="矛","20",IF(人物卡!H36=人物卡!AU28,人物卡!BA28,0))))))))</f>
        <v>0</v>
      </c>
      <c r="D12" s="524" t="s">
        <v>1475</v>
      </c>
      <c r="E12" s="550">
        <f>IF(人物卡!H40="步枪/霰弹枪","25",IF(人物卡!H40="冲锋枪","15",IF(人物卡!H40="弓术","15",IF(人物卡!H40="喷射器","10",IF(人物卡!H40="机枪","10",IF(人物卡!H40="重武器","10",IF(人物卡!H40=人物卡!AU30,人物卡!BA30,0)))))))</f>
        <v>0</v>
      </c>
      <c r="G12" s="528" t="s">
        <v>1476</v>
      </c>
      <c r="H12" s="551" t="s">
        <v>1477</v>
      </c>
      <c r="I12" s="529" t="s">
        <v>1478</v>
      </c>
      <c r="J12" s="529"/>
      <c r="K12" s="529"/>
      <c r="L12" s="529"/>
      <c r="M12" s="529"/>
      <c r="N12" s="529"/>
      <c r="O12" s="527"/>
      <c r="R12" s="613"/>
      <c r="S12" s="616" t="str">
        <f>"幸运×"&amp;U12</f>
        <v>幸运×0</v>
      </c>
      <c r="T12" s="617" t="str">
        <f>职业列表!I23</f>
        <v>×</v>
      </c>
      <c r="U12" s="618">
        <f>职业列表!J23</f>
        <v>0</v>
      </c>
      <c r="V12" s="619">
        <f>O14*U12</f>
        <v>0</v>
      </c>
      <c r="W12" s="542"/>
      <c r="X12" s="620" t="str">
        <f t="shared" si="0"/>
        <v/>
      </c>
      <c r="Y12" s="578"/>
      <c r="Z12" s="542"/>
      <c r="AA12" s="541">
        <f>IF(AB12=职业列表!H25,1,0)</f>
        <v>1</v>
      </c>
      <c r="AB12" s="619" t="s">
        <v>534</v>
      </c>
      <c r="AC12" s="542"/>
      <c r="AD12" s="542"/>
      <c r="AE12" s="542"/>
      <c r="AF12" s="640">
        <f>IF(AA12=1,SUM(V4:V12),0)</f>
        <v>312</v>
      </c>
      <c r="AG12" s="542"/>
      <c r="AH12" s="542"/>
      <c r="AI12" s="578"/>
      <c r="AK12" s="611"/>
    </row>
    <row r="13" spans="1:53" ht="31.15" customHeight="1">
      <c r="B13" s="541" t="s">
        <v>1479</v>
      </c>
      <c r="C13" s="552">
        <f>IF(人物卡!H37="鞭子","5",IF(人物卡!H37="电锯","10",IF(人物卡!H37="斧","15",IF(人物卡!H37="剑","20",IF(人物卡!H37="绞具","15",IF(人物卡!H37="链枷","10",IF(人物卡!H37="矛","20",IF(人物卡!H37=人物卡!AU28,人物卡!BA28,0))))))))</f>
        <v>0</v>
      </c>
      <c r="D13" s="542" t="s">
        <v>1480</v>
      </c>
      <c r="E13" s="553">
        <f>IF(人物卡!H41="步枪/霰弹枪","25",IF(人物卡!H41="冲锋枪","15",IF(人物卡!H41="弓术","15",IF(人物卡!H41="喷射器","10",IF(人物卡!H41="机枪","10",IF(人物卡!H41="重武器","10",IF(人物卡!H41=人物卡!AU30,人物卡!BA30,0)))))))</f>
        <v>0</v>
      </c>
      <c r="G13" s="554" t="s">
        <v>8</v>
      </c>
      <c r="H13" s="555" t="s">
        <v>16</v>
      </c>
      <c r="I13" s="579" t="s">
        <v>23</v>
      </c>
      <c r="J13" s="555" t="s">
        <v>9</v>
      </c>
      <c r="K13" s="579" t="s">
        <v>17</v>
      </c>
      <c r="L13" s="555" t="s">
        <v>24</v>
      </c>
      <c r="M13" s="579" t="s">
        <v>10</v>
      </c>
      <c r="N13" s="555" t="s">
        <v>1481</v>
      </c>
      <c r="O13" s="580" t="s">
        <v>25</v>
      </c>
    </row>
    <row r="14" spans="1:53" ht="27.95" customHeight="1">
      <c r="B14" s="524" t="s">
        <v>1482</v>
      </c>
      <c r="G14" s="556">
        <f>STR</f>
        <v>70</v>
      </c>
      <c r="H14" s="557">
        <f>CON</f>
        <v>50</v>
      </c>
      <c r="I14" s="581">
        <f>SIZ</f>
        <v>35</v>
      </c>
      <c r="J14" s="557">
        <f>DEX</f>
        <v>80</v>
      </c>
      <c r="K14" s="581">
        <f>APP</f>
        <v>45</v>
      </c>
      <c r="L14" s="557">
        <f>INT</f>
        <v>80</v>
      </c>
      <c r="M14" s="581">
        <f>POW</f>
        <v>50</v>
      </c>
      <c r="N14" s="557">
        <f>EDU</f>
        <v>78</v>
      </c>
      <c r="O14" s="582">
        <f>Luck</f>
        <v>94</v>
      </c>
      <c r="U14" s="621" t="s">
        <v>1483</v>
      </c>
      <c r="V14" s="622"/>
      <c r="W14" s="623"/>
      <c r="Z14" s="2064" t="s">
        <v>1449</v>
      </c>
      <c r="AA14" s="641" t="s">
        <v>1484</v>
      </c>
      <c r="AB14" s="642" t="s">
        <v>146</v>
      </c>
      <c r="AC14" s="642" t="s">
        <v>111</v>
      </c>
      <c r="AD14" s="558" t="s">
        <v>153</v>
      </c>
      <c r="AE14" s="558" t="s">
        <v>138</v>
      </c>
      <c r="AF14" s="558" t="s">
        <v>1471</v>
      </c>
      <c r="AG14" s="558"/>
      <c r="AH14" s="558"/>
      <c r="AI14" s="558" t="s">
        <v>1474</v>
      </c>
      <c r="AJ14" s="558"/>
      <c r="AK14" s="558"/>
      <c r="AL14" s="558" t="s">
        <v>1479</v>
      </c>
      <c r="AM14" s="558"/>
      <c r="AN14" s="558"/>
      <c r="AO14" s="558" t="s">
        <v>1472</v>
      </c>
      <c r="AP14" s="558" t="s">
        <v>1475</v>
      </c>
      <c r="AQ14" s="558" t="s">
        <v>1480</v>
      </c>
      <c r="AR14" s="642" t="s">
        <v>120</v>
      </c>
      <c r="AS14" s="642" t="s">
        <v>134</v>
      </c>
      <c r="AT14" s="642" t="s">
        <v>1485</v>
      </c>
      <c r="AU14" s="642" t="s">
        <v>1486</v>
      </c>
      <c r="AV14" s="666" t="s">
        <v>1487</v>
      </c>
      <c r="AZ14" s="671" t="s">
        <v>1478</v>
      </c>
      <c r="BA14" s="2205" t="str">
        <f>IF(AX27="仅显示1890_2023","",VLOOKUP(AX27,AZ25:BB29,3,FALSE))</f>
        <v>广播电台
茶包</v>
      </c>
    </row>
    <row r="15" spans="1:53" ht="31.15" customHeight="1">
      <c r="B15" s="558" t="s">
        <v>93</v>
      </c>
      <c r="C15" s="370"/>
      <c r="O15" s="2302" t="s">
        <v>1488</v>
      </c>
      <c r="P15" s="2303"/>
      <c r="Q15" s="2304"/>
      <c r="U15" s="546">
        <v>1</v>
      </c>
      <c r="V15" s="624">
        <f>人物卡!H39</f>
        <v>0</v>
      </c>
      <c r="W15" s="527">
        <f t="shared" ref="W15:W17" si="2">IF(V15="步枪/霰弹枪",1,0)</f>
        <v>0</v>
      </c>
      <c r="Z15" s="2064"/>
      <c r="AA15" s="643" t="b">
        <f>IF(人物卡!M54=AA14,"")</f>
        <v>0</v>
      </c>
      <c r="AB15" s="644" t="b">
        <f>IF(人物卡!M54=人物卡!AB43,人物卡!AN43)</f>
        <v>0</v>
      </c>
      <c r="AC15" s="644" t="b">
        <f>IF(人物卡!M54=人物卡!F31,人物卡!R31)</f>
        <v>0</v>
      </c>
      <c r="AD15" s="533" t="b">
        <f>IF(人物卡!M54=人物卡!AB46,人物卡!AN46)</f>
        <v>0</v>
      </c>
      <c r="AE15" s="533" t="b">
        <f>IF(人物卡!M54=人物卡!AB39,人物卡!AN39)</f>
        <v>0</v>
      </c>
      <c r="AF15" s="533" t="b">
        <f>IF(人物卡!M54=人物卡!H35,人物卡!R35)</f>
        <v>0</v>
      </c>
      <c r="AG15" s="533"/>
      <c r="AH15" s="533"/>
      <c r="AI15" s="533" t="b">
        <f>IF(人物卡!M54=人物卡!H36,人物卡!R36)</f>
        <v>0</v>
      </c>
      <c r="AJ15" s="533"/>
      <c r="AK15" s="533"/>
      <c r="AL15" s="533" t="b">
        <f>IF(人物卡!M54=人物卡!H37,人物卡!R37)</f>
        <v>0</v>
      </c>
      <c r="AM15" s="533"/>
      <c r="AN15" s="533"/>
      <c r="AO15" s="644" t="b">
        <f>IF(人物卡!M54=人物卡!H39,人物卡!R39)</f>
        <v>0</v>
      </c>
      <c r="AP15" s="644" t="b">
        <f>IF(人物卡!M54=人物卡!H40,人物卡!R40)</f>
        <v>0</v>
      </c>
      <c r="AQ15" s="644" t="b">
        <f>IF(人物卡!M54=人物卡!H41,人物卡!R41)</f>
        <v>0</v>
      </c>
      <c r="AR15" s="644" t="b">
        <f>IF(人物卡!M54=人物卡!H34,人物卡!R34)</f>
        <v>0</v>
      </c>
      <c r="AS15" s="644">
        <f>IF(人物卡!M54=人物卡!H38,人物卡!R38)</f>
        <v>70</v>
      </c>
      <c r="AT15" s="667" t="b">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0</v>
      </c>
      <c r="AU15" s="667">
        <f>MAX(AA15:AS15)</f>
        <v>70</v>
      </c>
      <c r="AV15" s="668">
        <f t="shared" ref="AV15:AV17" si="3">IF(AU15=0,AT15,AU15)</f>
        <v>70</v>
      </c>
      <c r="BA15" s="2205"/>
    </row>
    <row r="16" spans="1:53" ht="34.15" customHeight="1">
      <c r="B16" s="533"/>
      <c r="H16" s="559"/>
      <c r="K16" s="370"/>
      <c r="L16" s="584" t="s">
        <v>1489</v>
      </c>
      <c r="M16" s="576"/>
      <c r="O16" s="546" t="s">
        <v>1490</v>
      </c>
      <c r="P16" s="529"/>
      <c r="Q16" s="527"/>
      <c r="U16" s="532">
        <v>2</v>
      </c>
      <c r="V16" s="370">
        <f>人物卡!H40</f>
        <v>0</v>
      </c>
      <c r="W16" s="531">
        <f t="shared" si="2"/>
        <v>0</v>
      </c>
      <c r="Z16" s="2064"/>
      <c r="AA16" s="643" t="b">
        <f>IF(人物卡!M55=AA14,"")</f>
        <v>0</v>
      </c>
      <c r="AB16" s="644" t="b">
        <f>IF(人物卡!M55=AB14,人物卡!AN43)</f>
        <v>0</v>
      </c>
      <c r="AC16" s="644" t="b">
        <f>IF(人物卡!M55=AC14,人物卡!R31)</f>
        <v>0</v>
      </c>
      <c r="AD16" s="533" t="b">
        <f>IF(人物卡!M55=AD14,人物卡!AN46)</f>
        <v>0</v>
      </c>
      <c r="AE16" s="533" t="b">
        <f>IF(人物卡!M55=AE14,人物卡!AN39)</f>
        <v>0</v>
      </c>
      <c r="AF16" s="533" t="b">
        <f>IF(ISBLANK(人物卡!H35),FALSE,IF(人物卡!M55=人物卡!H35,人物卡!R35))</f>
        <v>0</v>
      </c>
      <c r="AG16" s="533"/>
      <c r="AH16" s="533"/>
      <c r="AI16" s="533" t="b">
        <f>IF(ISBLANK(人物卡!H36),FALSE,IF(人物卡!M55=人物卡!H36,人物卡!R36))</f>
        <v>0</v>
      </c>
      <c r="AJ16" s="533"/>
      <c r="AK16" s="533"/>
      <c r="AL16" s="533" t="b">
        <f>IF(ISBLANK(人物卡!H37),FALSE,IF(人物卡!M55=人物卡!H37,人物卡!R37))</f>
        <v>0</v>
      </c>
      <c r="AM16" s="533"/>
      <c r="AN16" s="533"/>
      <c r="AO16" s="644" t="b">
        <f>IF(ISBLANK(人物卡!H39),FALSE,IF(人物卡!M55=人物卡!H39,人物卡!R39))</f>
        <v>0</v>
      </c>
      <c r="AP16" s="644" t="b">
        <f>IF(ISBLANK(人物卡!H40),FALSE,IF(人物卡!M55=人物卡!H40,人物卡!R40))</f>
        <v>0</v>
      </c>
      <c r="AQ16" s="644" t="b">
        <f>IF(ISBLANK(人物卡!H41),FALSE,IF(人物卡!M55=人物卡!H41,人物卡!R41))</f>
        <v>0</v>
      </c>
      <c r="AR16" s="644">
        <f>IF(人物卡!M55=AR14,人物卡!R34)</f>
        <v>70</v>
      </c>
      <c r="AS16" s="644" t="b">
        <f>IF(人物卡!M55=AS14,人物卡!R38)</f>
        <v>0</v>
      </c>
      <c r="AT16" s="669" t="b">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0</v>
      </c>
      <c r="AU16" s="669">
        <f>MAX(AA16:AS16)</f>
        <v>70</v>
      </c>
      <c r="AV16" s="670">
        <f t="shared" si="3"/>
        <v>70</v>
      </c>
      <c r="BA16" s="2205"/>
    </row>
    <row r="17" spans="2:54" ht="17.25" customHeight="1">
      <c r="L17" s="585" t="s">
        <v>380</v>
      </c>
      <c r="M17" s="586" t="s">
        <v>1486</v>
      </c>
      <c r="O17" s="532" t="s">
        <v>1491</v>
      </c>
      <c r="R17" s="546" t="s">
        <v>40</v>
      </c>
      <c r="S17" s="527" t="s">
        <v>41</v>
      </c>
      <c r="U17" s="532">
        <v>3</v>
      </c>
      <c r="V17" s="370">
        <f>人物卡!H41</f>
        <v>0</v>
      </c>
      <c r="W17" s="531">
        <f t="shared" si="2"/>
        <v>0</v>
      </c>
      <c r="Z17" s="2064"/>
      <c r="AA17" s="643" t="str">
        <f>IF(人物卡!M56=AA14,"")</f>
        <v/>
      </c>
      <c r="AB17" s="644" t="b">
        <f>IF(人物卡!M56=AB14,人物卡!AN43)</f>
        <v>0</v>
      </c>
      <c r="AC17" s="644" t="b">
        <f>IF(人物卡!M56=AC14,人物卡!R31)</f>
        <v>0</v>
      </c>
      <c r="AD17" s="533" t="b">
        <f>IF(人物卡!M56=AD14,人物卡!AN46)</f>
        <v>0</v>
      </c>
      <c r="AE17" s="533" t="b">
        <f>IF(人物卡!M56=AE14,人物卡!AN39)</f>
        <v>0</v>
      </c>
      <c r="AF17" s="533" t="b">
        <f>IF(ISBLANK(人物卡!H35),FALSE,IF(人物卡!M56=人物卡!H35,人物卡!R35))</f>
        <v>0</v>
      </c>
      <c r="AG17" s="533"/>
      <c r="AH17" s="533"/>
      <c r="AI17" s="533" t="b">
        <f>IF(ISBLANK(人物卡!H36),FALSE,IF(人物卡!M56=人物卡!H36,人物卡!R36))</f>
        <v>0</v>
      </c>
      <c r="AJ17" s="533"/>
      <c r="AK17" s="533"/>
      <c r="AL17" s="533" t="b">
        <f>IF(ISBLANK(人物卡!H37),FALSE,IF(人物卡!M56=人物卡!H37,人物卡!R37))</f>
        <v>0</v>
      </c>
      <c r="AM17" s="533"/>
      <c r="AN17" s="533"/>
      <c r="AO17" s="644" t="b">
        <f>IF(ISBLANK(人物卡!H39),FALSE,IF(人物卡!M56=人物卡!H39,人物卡!R39))</f>
        <v>0</v>
      </c>
      <c r="AP17" s="644" t="b">
        <f>IF(ISBLANK(人物卡!H40),FALSE,IF(人物卡!M56=人物卡!H40,人物卡!R40))</f>
        <v>0</v>
      </c>
      <c r="AQ17" s="644" t="b">
        <f>IF(ISBLANK(人物卡!H41),FALSE,IF(人物卡!M56=人物卡!H41,人物卡!R41))</f>
        <v>0</v>
      </c>
      <c r="AR17" s="644" t="b">
        <f>IF(人物卡!M56=AR14,人物卡!R34)</f>
        <v>0</v>
      </c>
      <c r="AS17" s="644" t="b">
        <f>IF(人物卡!M56=AS14,人物卡!R38)</f>
        <v>0</v>
      </c>
      <c r="AT17" s="669"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669">
        <f>MAX(AA17:AS17)</f>
        <v>0</v>
      </c>
      <c r="AV17" s="670" t="str">
        <f t="shared" si="3"/>
        <v/>
      </c>
      <c r="BA17" s="2205"/>
    </row>
    <row r="18" spans="2:54" ht="17.25" customHeight="1">
      <c r="B18" s="2295" t="s">
        <v>395</v>
      </c>
      <c r="C18" s="2298"/>
      <c r="D18" s="2298"/>
      <c r="E18" s="2298"/>
      <c r="F18" s="2298"/>
      <c r="G18" s="2298"/>
      <c r="H18" s="529"/>
      <c r="I18" s="529"/>
      <c r="J18" s="529"/>
      <c r="K18" s="527"/>
      <c r="L18" s="587">
        <f>M14</f>
        <v>50</v>
      </c>
      <c r="M18" s="588">
        <f>人物卡!P10</f>
        <v>99</v>
      </c>
      <c r="O18" s="532" t="s">
        <v>1492</v>
      </c>
      <c r="R18" s="532" t="s">
        <v>260</v>
      </c>
      <c r="S18" s="531" t="s">
        <v>287</v>
      </c>
      <c r="U18" s="625" t="s">
        <v>1493</v>
      </c>
      <c r="V18" s="542" t="str">
        <f>人物卡!AB48</f>
        <v>自定义技能</v>
      </c>
      <c r="W18" s="578">
        <f>IF(V18="自定义技能",1,0)</f>
        <v>1</v>
      </c>
      <c r="Z18" s="2064"/>
      <c r="AA18" s="543"/>
      <c r="AB18" s="543"/>
      <c r="AC18" s="543"/>
      <c r="AD18" s="543"/>
      <c r="AE18" s="543"/>
      <c r="AF18" s="543"/>
      <c r="AG18" s="543"/>
      <c r="AH18" s="543"/>
      <c r="AI18" s="543"/>
      <c r="AJ18" s="543"/>
      <c r="AK18" s="543"/>
      <c r="AL18" s="663"/>
      <c r="AM18" s="545"/>
      <c r="AN18" s="545"/>
      <c r="AO18" s="545"/>
      <c r="AP18" s="545"/>
      <c r="AQ18" s="545"/>
      <c r="AR18" s="545"/>
      <c r="AS18" s="545"/>
      <c r="AT18" s="545"/>
      <c r="AU18" s="669"/>
      <c r="AV18" s="670"/>
      <c r="BA18" s="2205"/>
    </row>
    <row r="19" spans="2:54" ht="17.25" customHeight="1">
      <c r="B19" s="532" t="s">
        <v>1494</v>
      </c>
      <c r="C19" s="524" t="s">
        <v>364</v>
      </c>
      <c r="D19" s="524" t="s">
        <v>312</v>
      </c>
      <c r="E19" s="1488" t="s">
        <v>108</v>
      </c>
      <c r="F19" s="1488"/>
      <c r="G19" s="1488"/>
      <c r="I19" s="564"/>
      <c r="K19" s="531"/>
      <c r="L19" s="589" t="s">
        <v>1468</v>
      </c>
      <c r="M19" s="590"/>
      <c r="O19" s="532" t="s">
        <v>1495</v>
      </c>
      <c r="R19" s="532" t="s">
        <v>258</v>
      </c>
      <c r="S19" s="531" t="s">
        <v>289</v>
      </c>
      <c r="AZ19" s="559"/>
      <c r="BA19" s="2205"/>
    </row>
    <row r="20" spans="2:54" ht="17.25" customHeight="1">
      <c r="B20" s="532" t="s">
        <v>397</v>
      </c>
      <c r="C20" s="524" t="s">
        <v>1496</v>
      </c>
      <c r="D20" s="524">
        <v>70</v>
      </c>
      <c r="E20" s="524" t="s">
        <v>399</v>
      </c>
      <c r="K20" s="531"/>
      <c r="L20" s="591">
        <f>IF(L18&gt;M18,M18,L18)</f>
        <v>50</v>
      </c>
      <c r="M20" s="592"/>
      <c r="O20" s="532" t="s">
        <v>1497</v>
      </c>
      <c r="R20" s="532" t="s">
        <v>1498</v>
      </c>
      <c r="S20" s="531" t="s">
        <v>291</v>
      </c>
      <c r="AA20" s="1488" t="s">
        <v>1499</v>
      </c>
      <c r="AB20" s="1488"/>
      <c r="AC20" s="1488"/>
      <c r="AD20" s="1488"/>
      <c r="AR20" s="671" t="s">
        <v>1500</v>
      </c>
      <c r="BA20" s="2205"/>
    </row>
    <row r="21" spans="2:54" ht="17.25" customHeight="1">
      <c r="B21" s="532" t="s">
        <v>400</v>
      </c>
      <c r="C21" s="524" t="s">
        <v>1501</v>
      </c>
      <c r="D21" s="524">
        <v>60</v>
      </c>
      <c r="E21" s="524" t="s">
        <v>1502</v>
      </c>
      <c r="I21" s="564"/>
      <c r="K21" s="531"/>
      <c r="L21" s="593"/>
      <c r="M21" s="594"/>
      <c r="O21" s="532" t="s">
        <v>1503</v>
      </c>
      <c r="R21" s="541" t="str">
        <f>IF(ISBLANK(人物卡!BK26),"",人物卡!BK26)</f>
        <v/>
      </c>
      <c r="S21" s="578" t="str">
        <f>IF(ISBLANK(人物卡!BO26),"",人物卡!BO26)</f>
        <v/>
      </c>
      <c r="AA21" s="546">
        <f>IF(ISBLANK(人物卡!BA18),0,1)</f>
        <v>0</v>
      </c>
      <c r="AB21" s="527">
        <f>IF(ISBLANK(人物卡!BJ18),0,1)</f>
        <v>0</v>
      </c>
      <c r="AC21" s="529" t="s">
        <v>1504</v>
      </c>
      <c r="AD21" s="645" t="s">
        <v>1505</v>
      </c>
      <c r="AE21" s="646" t="s">
        <v>1468</v>
      </c>
      <c r="AF21" s="647"/>
      <c r="AG21" s="647"/>
      <c r="AH21" s="647"/>
      <c r="AI21" s="647"/>
      <c r="AJ21" s="647"/>
      <c r="AK21" s="647"/>
      <c r="AL21" s="647"/>
      <c r="AM21" s="647"/>
      <c r="AN21" s="647"/>
      <c r="AO21" s="647"/>
      <c r="AP21" s="647"/>
      <c r="AQ21" s="647"/>
      <c r="AR21" s="671">
        <f>人物卡!BL129</f>
        <v>1920</v>
      </c>
      <c r="AS21" s="524" t="str">
        <f>IF(AR21="仅显示1890_2023","",VLOOKUP(AR21,AE33:AS166,15,FALSE))</f>
        <v>广播电台
茶包</v>
      </c>
      <c r="BA21" s="2205"/>
    </row>
    <row r="22" spans="2:54" ht="17.25" customHeight="1">
      <c r="B22" s="532" t="s">
        <v>403</v>
      </c>
      <c r="C22" s="524" t="s">
        <v>1501</v>
      </c>
      <c r="D22" s="524">
        <v>60</v>
      </c>
      <c r="E22" s="524" t="s">
        <v>404</v>
      </c>
      <c r="K22" s="531"/>
      <c r="M22" s="595"/>
      <c r="O22" s="532" t="s">
        <v>1506</v>
      </c>
      <c r="Q22" s="531"/>
      <c r="AA22" s="532">
        <f>IF(ISBLANK(人物卡!BA19),0,1)</f>
        <v>1</v>
      </c>
      <c r="AB22" s="531">
        <f>IF(ISBLANK(人物卡!BJ19),0,1)</f>
        <v>0</v>
      </c>
      <c r="AC22" s="524">
        <f>AA21+AA23+AA22+AA25+AA24+AB21+AB22+AB23+AB24+AB25</f>
        <v>1</v>
      </c>
      <c r="AD22" s="648">
        <f>IF(人物卡!AU22="提示当前职业",0,1)</f>
        <v>0</v>
      </c>
      <c r="AE22" s="649">
        <f>IF(AD32=1,"仅显示1890_2023",AE28)</f>
        <v>2023</v>
      </c>
      <c r="AF22" s="2205" t="str">
        <f>IF(AE22="仅显示1890_2023","",VLOOKUP(AE22,AE33:AS166,2,FALSE))</f>
        <v>——</v>
      </c>
      <c r="AG22" s="2205">
        <f>IF(AE22="仅显示1890～2023","",VLOOKUP(AE22,AE33:AS166,3,FALSE))</f>
        <v>0</v>
      </c>
      <c r="AH22" s="2205">
        <f>IF(AE22="仅显示1890～2023","",VLOOKUP(AE22,AE33:AS166,4,FALSE))</f>
        <v>0</v>
      </c>
      <c r="AI22" s="2205" t="str">
        <f>IF(AE22="仅显示1890～2023","",VLOOKUP(AE22,AE33:AS166,5,FALSE))</f>
        <v>防控政策重大调整</v>
      </c>
      <c r="AJ22" s="2205" t="str">
        <f>IF(AE22="仅显示1890～2023","",VLOOKUP(AE22,AE33:AS166,6,FALSE))</f>
        <v>第五次全国经济普查</v>
      </c>
      <c r="AK22" s="2205">
        <f>IF(AE22="仅显示1890～2023","",VLOOKUP(AE22,AE33:AS166,7,FALSE))</f>
        <v>0</v>
      </c>
      <c r="AL22" s="2205" t="str">
        <f>IF(AE22="仅显示1890～2023","",VLOOKUP(AE22,AE33:AS166,8,FALSE))</f>
        <v>二十一世 二十年代</v>
      </c>
      <c r="AM22" s="2205" t="str">
        <f>IF(AE22="仅显示1890～2023","",VLOOKUP(AE22,AE33:AS166,9,FALSE))</f>
        <v>癸卯兔年</v>
      </c>
      <c r="AN22" s="2205" t="str">
        <f>IF(AE22="仅显示1890～2023","",VLOOKUP(AE22,AE33:AS166,10,FALSE))</f>
        <v>中华人民共和国74周年</v>
      </c>
      <c r="AO22" s="2205" t="str">
        <f>IF(AE22="仅显示1890～2023","",VLOOKUP(AE22,AE33:AS166,11,FALSE))</f>
        <v>——</v>
      </c>
      <c r="AP22" s="2205" t="str">
        <f>IF(AE22="仅显示1890～2023","",VLOOKUP(AE22,AE33:AS166,12,FALSE))</f>
        <v>总统：
   唐纳德·特朗普（共和党）</v>
      </c>
      <c r="AQ22" s="1488" t="str">
        <f>IF(AE22="仅显示1890～2023","",VLOOKUP(AE22,AE33:AS166,13,FALSE))</f>
        <v>发明仅可查询至2016年</v>
      </c>
      <c r="AR22" s="1488">
        <f>IF(AE22="仅显示1890～2023","",VLOOKUP(AE22,AE33:AS166,14,FALSE))</f>
        <v>0</v>
      </c>
      <c r="AS22" s="1488" t="str">
        <f>IF(AE22="仅显示1890～2023","",VLOOKUP(AE22,AE33:AS166,15,FALSE))</f>
        <v>发明仅可查询至2016年</v>
      </c>
      <c r="BA22" s="2205"/>
    </row>
    <row r="23" spans="2:54" ht="17.25" customHeight="1">
      <c r="B23" s="532" t="s">
        <v>405</v>
      </c>
      <c r="C23" s="524" t="s">
        <v>1501</v>
      </c>
      <c r="D23" s="524">
        <v>60</v>
      </c>
      <c r="E23" s="524" t="s">
        <v>406</v>
      </c>
      <c r="I23" s="564"/>
      <c r="K23" s="531"/>
      <c r="M23" s="595"/>
      <c r="O23" s="532" t="s">
        <v>1507</v>
      </c>
      <c r="Q23" s="626" t="s">
        <v>1508</v>
      </c>
      <c r="AA23" s="532">
        <f>IF(ISBLANK(人物卡!BA20),0,1)</f>
        <v>0</v>
      </c>
      <c r="AB23" s="531">
        <f>IF(ISBLANK(人物卡!BJ20),0,1)</f>
        <v>0</v>
      </c>
      <c r="AC23" s="524" t="s">
        <v>1509</v>
      </c>
      <c r="AD23" s="648"/>
      <c r="AE23" s="650" t="s">
        <v>1510</v>
      </c>
      <c r="AF23" s="2205"/>
      <c r="AG23" s="2205"/>
      <c r="AH23" s="2205"/>
      <c r="AI23" s="2205"/>
      <c r="AJ23" s="2205"/>
      <c r="AK23" s="2205"/>
      <c r="AL23" s="2205"/>
      <c r="AM23" s="2205"/>
      <c r="AN23" s="2205"/>
      <c r="AO23" s="2205"/>
      <c r="AP23" s="2205"/>
      <c r="AQ23" s="1488"/>
      <c r="AR23" s="1488"/>
      <c r="AS23" s="1488"/>
      <c r="BA23" s="2205"/>
    </row>
    <row r="24" spans="2:54" ht="17.25" customHeight="1">
      <c r="B24" s="532" t="s">
        <v>407</v>
      </c>
      <c r="C24" s="524" t="s">
        <v>408</v>
      </c>
      <c r="D24" s="524">
        <v>0</v>
      </c>
      <c r="E24" s="524" t="s">
        <v>409</v>
      </c>
      <c r="I24" s="564"/>
      <c r="K24" s="531"/>
      <c r="M24" s="595"/>
      <c r="O24" s="532" t="s">
        <v>1511</v>
      </c>
      <c r="Q24" s="531" t="s">
        <v>1512</v>
      </c>
      <c r="S24" s="2220"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70str70敏捷80dex80意志50pow50体质50con50外貌45app45教育78edu78体型35siz35智力80灵感80int80san50san值50理智50理智值50幸运94运气94mp10魔法10hp8体力8会计5人类学1估价5考古学1取悦15魅惑15攀爬20计算机56计算机使用56电脑56信用80信誉80信用评级80克苏鲁0克苏鲁神话0cm0乔装5闪避40汽车60驾驶60汽车驾驶60电气维修10电子学1话术5斗殴70手枪70急救80历史5恐吓50跳跃20母语78法律80图书馆20图书馆使用20聆听20开锁1撬锁1锁匠1机械维修10医学1博物学10自然学10领航10导航10神秘学5重型操作1重型机械1操作重型机械1重型1说服10精神分析1心理学60骑术5妙手10侦查25潜行60生存10游泳20投掷20追踪50动物驯养5潜水1爆破1读唇1催眠1炮术1</v>
      </c>
      <c r="T24" s="2220"/>
      <c r="U24" s="2220"/>
      <c r="V24" s="2220"/>
      <c r="AA24" s="532">
        <f>IF(ISBLANK(人物卡!BA21),0,1)</f>
        <v>0</v>
      </c>
      <c r="AB24" s="531">
        <f>IF(ISBLANK(人物卡!BJ21),0,1)</f>
        <v>0</v>
      </c>
      <c r="AC24" s="524">
        <f>人物卡!F9-AC22</f>
        <v>-1</v>
      </c>
      <c r="AD24" s="648"/>
      <c r="AE24" s="651">
        <f>人物卡!G8</f>
        <v>2023</v>
      </c>
      <c r="AF24" s="2205"/>
      <c r="AG24" s="2205"/>
      <c r="AH24" s="2205"/>
      <c r="AI24" s="2205"/>
      <c r="AJ24" s="2205"/>
      <c r="AK24" s="2205"/>
      <c r="AL24" s="2205"/>
      <c r="AM24" s="2205"/>
      <c r="AN24" s="2205"/>
      <c r="AO24" s="2205"/>
      <c r="AP24" s="2205"/>
      <c r="AQ24" s="1488"/>
      <c r="AR24" s="1488"/>
      <c r="AS24" s="1488"/>
      <c r="AT24" s="546"/>
      <c r="AU24" s="529"/>
      <c r="AV24" s="529"/>
      <c r="AW24" s="529"/>
      <c r="AX24" s="678" t="s">
        <v>1461</v>
      </c>
      <c r="AY24" s="526"/>
      <c r="AZ24" s="2291" t="s">
        <v>1513</v>
      </c>
      <c r="BA24" s="2291"/>
      <c r="BB24" s="2292"/>
    </row>
    <row r="25" spans="2:54" ht="17.25" customHeight="1">
      <c r="B25" s="532" t="str">
        <f>IF(ISBLANK(人物卡!BC26),"自定义经历包",人物卡!BC26)</f>
        <v>自定义经历包</v>
      </c>
      <c r="C25" s="524" t="str">
        <f>'简化卡 骰娘导入'!E90</f>
        <v/>
      </c>
      <c r="D25" s="524" t="str">
        <f>'简化卡 骰娘导入'!H90</f>
        <v/>
      </c>
      <c r="E25" s="524" t="str">
        <f>'简化卡 骰娘导入'!J90</f>
        <v/>
      </c>
      <c r="H25" s="559"/>
      <c r="K25" s="531"/>
      <c r="M25" s="595"/>
      <c r="O25" s="532" t="s">
        <v>1514</v>
      </c>
      <c r="Q25" s="531" t="s">
        <v>212</v>
      </c>
      <c r="S25" s="2220"/>
      <c r="T25" s="2220"/>
      <c r="U25" s="2220"/>
      <c r="V25" s="2220"/>
      <c r="X25" s="628" t="s">
        <v>60</v>
      </c>
      <c r="Y25" s="527"/>
      <c r="AA25" s="541">
        <f>IF(ISBLANK(人物卡!BA22),0,1)</f>
        <v>0</v>
      </c>
      <c r="AB25" s="578">
        <f>IF(ISBLANK(人物卡!BJ22),0,1)</f>
        <v>0</v>
      </c>
      <c r="AC25" s="652" t="s">
        <v>1515</v>
      </c>
      <c r="AD25" s="652" t="str">
        <f>IF(AD22=1," ",IF(AC24=0,"无",IF(AC24&lt;0,"过多！",AC24)))</f>
        <v>过多！</v>
      </c>
      <c r="AE25" s="651" t="s">
        <v>1516</v>
      </c>
      <c r="AF25" s="2205"/>
      <c r="AG25" s="2205"/>
      <c r="AH25" s="2205"/>
      <c r="AI25" s="2205"/>
      <c r="AJ25" s="2205"/>
      <c r="AK25" s="2205"/>
      <c r="AL25" s="2205"/>
      <c r="AM25" s="2205"/>
      <c r="AN25" s="2205"/>
      <c r="AO25" s="2205"/>
      <c r="AP25" s="2205"/>
      <c r="AQ25" s="1488"/>
      <c r="AR25" s="1488"/>
      <c r="AS25" s="1488"/>
      <c r="AT25" s="672" t="s">
        <v>1517</v>
      </c>
      <c r="AV25" s="524">
        <f>IF(AT25=人物卡!AZ129,1,0)</f>
        <v>0</v>
      </c>
      <c r="AX25" s="679"/>
      <c r="AY25" s="530"/>
      <c r="AZ25" s="524">
        <v>1</v>
      </c>
      <c r="BA25" s="559" t="s">
        <v>1518</v>
      </c>
      <c r="BB25" s="531" t="str">
        <f>AQ22</f>
        <v>发明仅可查询至2016年</v>
      </c>
    </row>
    <row r="26" spans="2:54" ht="17.25" customHeight="1">
      <c r="B26" s="532" t="s">
        <v>172</v>
      </c>
      <c r="K26" s="531"/>
      <c r="M26" s="595"/>
      <c r="O26" s="532" t="s">
        <v>1519</v>
      </c>
      <c r="Q26" s="531"/>
      <c r="S26" s="2220"/>
      <c r="T26" s="2220"/>
      <c r="U26" s="2220"/>
      <c r="V26" s="2220"/>
      <c r="X26" s="629" t="s">
        <v>62</v>
      </c>
      <c r="Y26" s="531"/>
      <c r="AE26" s="651">
        <f>IF(人物卡!E8="公元前",人物卡!G8*2,0)</f>
        <v>0</v>
      </c>
      <c r="AF26" s="2205"/>
      <c r="AG26" s="2205"/>
      <c r="AH26" s="2205"/>
      <c r="AI26" s="2205"/>
      <c r="AJ26" s="2205"/>
      <c r="AK26" s="2205"/>
      <c r="AL26" s="2205"/>
      <c r="AM26" s="2205"/>
      <c r="AN26" s="2205"/>
      <c r="AO26" s="2205"/>
      <c r="AP26" s="2205"/>
      <c r="AQ26" s="1488"/>
      <c r="AR26" s="1488"/>
      <c r="AS26" s="1488"/>
      <c r="AT26" s="672" t="s">
        <v>1520</v>
      </c>
      <c r="AV26" s="524">
        <f>IF(AT26=人物卡!AZ129,2,0)</f>
        <v>0</v>
      </c>
      <c r="AX26" s="679"/>
      <c r="AY26" s="530"/>
      <c r="AZ26" s="524">
        <v>2</v>
      </c>
      <c r="BA26" s="559" t="s">
        <v>1521</v>
      </c>
      <c r="BB26" s="531">
        <f>AR22</f>
        <v>0</v>
      </c>
    </row>
    <row r="27" spans="2:54" ht="17.25" customHeight="1">
      <c r="B27" s="532"/>
      <c r="C27" s="546">
        <f>IF(人物卡!F113=B20,C20,0)</f>
        <v>0</v>
      </c>
      <c r="D27" s="529">
        <f>IF(人物卡!F113=B20,D20,0)</f>
        <v>0</v>
      </c>
      <c r="E27" s="2239">
        <f>IF(人物卡!F113=B20,E20,0)</f>
        <v>0</v>
      </c>
      <c r="F27" s="2239"/>
      <c r="G27" s="2239"/>
      <c r="H27" s="2239"/>
      <c r="I27" s="2239"/>
      <c r="J27" s="2239"/>
      <c r="K27" s="2293"/>
      <c r="M27" s="595"/>
      <c r="O27" s="532" t="s">
        <v>1522</v>
      </c>
      <c r="Q27" s="531"/>
      <c r="S27" s="2220"/>
      <c r="T27" s="2220"/>
      <c r="U27" s="2220"/>
      <c r="V27" s="2220"/>
      <c r="X27" s="629" t="s">
        <v>66</v>
      </c>
      <c r="Y27" s="531"/>
      <c r="AB27" s="653" t="s">
        <v>1523</v>
      </c>
      <c r="AC27" s="545">
        <f>D34-SUM(人物卡!L16:L49,人物卡!AH16:AH49)</f>
        <v>-80</v>
      </c>
      <c r="AD27" s="529" t="s">
        <v>1468</v>
      </c>
      <c r="AE27" s="651" t="s">
        <v>1524</v>
      </c>
      <c r="AF27" s="2205"/>
      <c r="AG27" s="2205"/>
      <c r="AH27" s="2205"/>
      <c r="AI27" s="2205"/>
      <c r="AJ27" s="2205"/>
      <c r="AK27" s="2205"/>
      <c r="AL27" s="2205"/>
      <c r="AM27" s="2205"/>
      <c r="AN27" s="2205"/>
      <c r="AO27" s="2205"/>
      <c r="AP27" s="2205"/>
      <c r="AQ27" s="1488"/>
      <c r="AR27" s="1488"/>
      <c r="AS27" s="1488"/>
      <c r="AT27" s="672"/>
      <c r="AX27" s="679">
        <f>AV25+AV26+AV28+AV29+AV30</f>
        <v>4</v>
      </c>
      <c r="AY27" s="530"/>
      <c r="AZ27" s="524">
        <v>3</v>
      </c>
      <c r="BA27" s="524" t="s">
        <v>1525</v>
      </c>
      <c r="BB27" s="531" t="str">
        <f>AS22</f>
        <v>发明仅可查询至2016年</v>
      </c>
    </row>
    <row r="28" spans="2:54" ht="17.25" customHeight="1">
      <c r="B28" s="532"/>
      <c r="C28" s="532">
        <f>IF(人物卡!F113=B21,C21,0)</f>
        <v>0</v>
      </c>
      <c r="D28" s="524">
        <f>IF(人物卡!F113=B21,D21,0)</f>
        <v>0</v>
      </c>
      <c r="E28" s="1488">
        <f>IF(人物卡!F113=B21,E21,0)</f>
        <v>0</v>
      </c>
      <c r="F28" s="1488"/>
      <c r="G28" s="1488"/>
      <c r="H28" s="1488"/>
      <c r="I28" s="1488"/>
      <c r="J28" s="1488"/>
      <c r="K28" s="2294"/>
      <c r="M28" s="595"/>
      <c r="O28" s="532" t="s">
        <v>1526</v>
      </c>
      <c r="Q28" s="531"/>
      <c r="S28" s="2220"/>
      <c r="T28" s="2220"/>
      <c r="U28" s="2220"/>
      <c r="V28" s="2220"/>
      <c r="X28" s="629" t="s">
        <v>69</v>
      </c>
      <c r="Y28" s="531"/>
      <c r="AB28" s="379" t="s">
        <v>1455</v>
      </c>
      <c r="AC28" s="542" t="b">
        <f>ISNUMBER(AC27)</f>
        <v>1</v>
      </c>
      <c r="AD28" s="542">
        <f>IF(AC28=FALSE,"0",AC27)</f>
        <v>-80</v>
      </c>
      <c r="AE28" s="654">
        <f>AE24-AE26</f>
        <v>2023</v>
      </c>
      <c r="AF28" s="2205"/>
      <c r="AG28" s="2205"/>
      <c r="AH28" s="2205"/>
      <c r="AI28" s="2205"/>
      <c r="AJ28" s="2205"/>
      <c r="AK28" s="2205"/>
      <c r="AL28" s="2205"/>
      <c r="AM28" s="2205"/>
      <c r="AN28" s="2205"/>
      <c r="AO28" s="2205"/>
      <c r="AP28" s="2205"/>
      <c r="AQ28" s="1488"/>
      <c r="AR28" s="1488"/>
      <c r="AS28" s="1488"/>
      <c r="AT28" s="532" t="s">
        <v>1525</v>
      </c>
      <c r="AV28" s="524">
        <f>IF(AT28=人物卡!AZ129,3,0)</f>
        <v>0</v>
      </c>
      <c r="AX28" s="679"/>
      <c r="AY28" s="530"/>
      <c r="AZ28" s="524">
        <v>4</v>
      </c>
      <c r="BA28" s="524" t="s">
        <v>272</v>
      </c>
      <c r="BB28" s="531" t="str">
        <f>AS21</f>
        <v>广播电台
茶包</v>
      </c>
    </row>
    <row r="29" spans="2:54" ht="17.25" customHeight="1">
      <c r="B29" s="532"/>
      <c r="C29" s="532">
        <f>IF(人物卡!F113=B22,C22,0)</f>
        <v>0</v>
      </c>
      <c r="D29" s="524">
        <f>IF(人物卡!F113=B22,D22,0)</f>
        <v>0</v>
      </c>
      <c r="E29" s="1488">
        <f>IF(人物卡!F113=B22,E22,0)</f>
        <v>0</v>
      </c>
      <c r="F29" s="1488"/>
      <c r="G29" s="1488"/>
      <c r="H29" s="1488"/>
      <c r="I29" s="1488"/>
      <c r="J29" s="1488"/>
      <c r="K29" s="2294"/>
      <c r="M29" s="595"/>
      <c r="O29" s="532" t="s">
        <v>1527</v>
      </c>
      <c r="Q29" s="531"/>
      <c r="S29" s="2220"/>
      <c r="T29" s="2220"/>
      <c r="U29" s="2220"/>
      <c r="V29" s="2220"/>
      <c r="X29" s="630" t="s">
        <v>71</v>
      </c>
      <c r="Y29" s="531"/>
      <c r="AB29" s="543" t="s">
        <v>1528</v>
      </c>
      <c r="AC29" s="544">
        <f>IF(人物卡!M5=0," ",LOOKUP(人物卡!M5,职业列表!A2:C232,职业列表!F2:F232))</f>
        <v>316</v>
      </c>
      <c r="AD29" s="2295" t="s">
        <v>1529</v>
      </c>
      <c r="AE29" s="2296"/>
      <c r="AF29" s="2205"/>
      <c r="AG29" s="2205"/>
      <c r="AH29" s="2205"/>
      <c r="AI29" s="2205"/>
      <c r="AJ29" s="2205"/>
      <c r="AK29" s="2205"/>
      <c r="AL29" s="2205"/>
      <c r="AM29" s="2205"/>
      <c r="AN29" s="2205"/>
      <c r="AO29" s="2205"/>
      <c r="AP29" s="2205"/>
      <c r="AQ29" s="1488"/>
      <c r="AR29" s="1488"/>
      <c r="AS29" s="1488"/>
      <c r="AT29" s="532" t="s">
        <v>272</v>
      </c>
      <c r="AV29" s="524">
        <f>IF(AT29=人物卡!AZ129,4,0)</f>
        <v>4</v>
      </c>
      <c r="AX29" s="679"/>
      <c r="AY29" s="680"/>
      <c r="AZ29" s="681">
        <v>5</v>
      </c>
      <c r="BA29" s="681" t="s">
        <v>1530</v>
      </c>
      <c r="BB29" s="682" t="s">
        <v>1531</v>
      </c>
    </row>
    <row r="30" spans="2:54" ht="17.25" customHeight="1">
      <c r="B30" s="532"/>
      <c r="C30" s="532">
        <f>IF(人物卡!F113=B23,C23,0)</f>
        <v>0</v>
      </c>
      <c r="D30" s="524">
        <f>IF(人物卡!F113=B23,D23,0)</f>
        <v>0</v>
      </c>
      <c r="E30" s="1488">
        <f>IF(人物卡!F113=B23,E23,0)</f>
        <v>0</v>
      </c>
      <c r="F30" s="1488"/>
      <c r="G30" s="1488"/>
      <c r="H30" s="1488"/>
      <c r="I30" s="1488"/>
      <c r="J30" s="1488"/>
      <c r="K30" s="2294"/>
      <c r="M30" s="595"/>
      <c r="O30" s="532" t="s">
        <v>1532</v>
      </c>
      <c r="Q30" s="531"/>
      <c r="S30" s="2220"/>
      <c r="T30" s="2220"/>
      <c r="U30" s="2220"/>
      <c r="V30" s="2220"/>
      <c r="X30" s="631" t="s">
        <v>73</v>
      </c>
      <c r="Y30" s="531"/>
      <c r="AD30" s="655">
        <f>IF(AE30="大",1,0)</f>
        <v>0</v>
      </c>
      <c r="AE30" s="656" t="b">
        <f>IF(AE28&gt;2023,"大")</f>
        <v>0</v>
      </c>
      <c r="AF30" s="2205"/>
      <c r="AG30" s="2205"/>
      <c r="AH30" s="2205"/>
      <c r="AI30" s="2205"/>
      <c r="AJ30" s="2205"/>
      <c r="AK30" s="2205"/>
      <c r="AL30" s="2205"/>
      <c r="AM30" s="2205"/>
      <c r="AN30" s="2205"/>
      <c r="AO30" s="2205"/>
      <c r="AP30" s="2205"/>
      <c r="AQ30" s="1488"/>
      <c r="AR30" s="1488"/>
      <c r="AS30" s="1488"/>
      <c r="AT30" s="524" t="s">
        <v>1533</v>
      </c>
      <c r="AU30" s="541" t="s">
        <v>1530</v>
      </c>
      <c r="AV30" s="542">
        <f>IF(AU30=人物卡!AZ129,5,0)</f>
        <v>0</v>
      </c>
      <c r="AW30" s="542"/>
      <c r="AX30" s="683"/>
      <c r="AY30" s="542"/>
      <c r="AZ30" s="542"/>
      <c r="BA30" s="542"/>
      <c r="BB30" s="578"/>
    </row>
    <row r="31" spans="2:54" ht="17.25" customHeight="1">
      <c r="B31" s="532"/>
      <c r="C31" s="541">
        <f>IF(人物卡!F113=B24,C24,0)</f>
        <v>0</v>
      </c>
      <c r="D31" s="542">
        <f>IF(人物卡!F113=B24,D24,0)</f>
        <v>0</v>
      </c>
      <c r="E31" s="2285">
        <f>IF(人物卡!F113=B24,E24,0)</f>
        <v>0</v>
      </c>
      <c r="F31" s="2285"/>
      <c r="G31" s="2285"/>
      <c r="H31" s="2285"/>
      <c r="I31" s="2285"/>
      <c r="J31" s="2285"/>
      <c r="K31" s="2286"/>
      <c r="M31" s="595"/>
      <c r="O31" s="532" t="s">
        <v>1534</v>
      </c>
      <c r="Q31" s="531"/>
      <c r="S31" s="2220"/>
      <c r="T31" s="2220"/>
      <c r="U31" s="2220"/>
      <c r="V31" s="2220"/>
      <c r="X31" s="630" t="s">
        <v>75</v>
      </c>
      <c r="Y31" s="531"/>
      <c r="AD31" s="657">
        <f>IF(AE31="小",1,0)</f>
        <v>0</v>
      </c>
      <c r="AE31" s="658" t="b">
        <f>IF(AE28&lt;1890,"小")</f>
        <v>0</v>
      </c>
      <c r="AF31" s="2205"/>
      <c r="AG31" s="2205"/>
      <c r="AH31" s="2205"/>
      <c r="AI31" s="2205"/>
      <c r="AJ31" s="2205"/>
      <c r="AK31" s="2205"/>
      <c r="AL31" s="2205"/>
      <c r="AM31" s="2205"/>
      <c r="AN31" s="2205"/>
      <c r="AO31" s="2205"/>
      <c r="AP31" s="2205"/>
      <c r="AQ31" s="1488"/>
      <c r="AR31" s="1488"/>
      <c r="AS31" s="1488"/>
    </row>
    <row r="32" spans="2:54" ht="17.25" customHeight="1">
      <c r="B32" s="532"/>
      <c r="C32" s="524">
        <f>IF(人物卡!F113=B25,C25,0)</f>
        <v>0</v>
      </c>
      <c r="D32" s="524">
        <f>IF(人物卡!F113=B25,D25,0)</f>
        <v>0</v>
      </c>
      <c r="E32" s="1488">
        <f>IF(人物卡!F113=B25,E25,0)</f>
        <v>0</v>
      </c>
      <c r="F32" s="1488"/>
      <c r="G32" s="1488"/>
      <c r="H32" s="1488"/>
      <c r="I32" s="1488"/>
      <c r="J32" s="1488"/>
      <c r="K32" s="2294"/>
      <c r="M32" s="595"/>
      <c r="O32" s="532" t="s">
        <v>1535</v>
      </c>
      <c r="Q32" s="531"/>
      <c r="S32" s="2220"/>
      <c r="T32" s="2220"/>
      <c r="U32" s="2220"/>
      <c r="V32" s="2220"/>
      <c r="X32" s="629" t="s">
        <v>78</v>
      </c>
      <c r="Y32" s="531"/>
      <c r="AD32" s="659">
        <f>AD30+AD31</f>
        <v>0</v>
      </c>
      <c r="AE32" s="660" t="s">
        <v>1536</v>
      </c>
      <c r="AF32" s="661" t="s">
        <v>1537</v>
      </c>
      <c r="AG32" s="661">
        <v>2</v>
      </c>
      <c r="AH32" s="661">
        <v>3</v>
      </c>
      <c r="AI32" s="661" t="s">
        <v>1538</v>
      </c>
      <c r="AJ32" s="661"/>
      <c r="AK32" s="661"/>
      <c r="AL32" s="661" t="s">
        <v>190</v>
      </c>
      <c r="AM32" s="661"/>
      <c r="AN32" s="661"/>
      <c r="AO32" s="661" t="s">
        <v>1539</v>
      </c>
      <c r="AP32" s="673" t="s">
        <v>1540</v>
      </c>
      <c r="AQ32" s="674" t="s">
        <v>1518</v>
      </c>
      <c r="AR32" s="674" t="s">
        <v>1521</v>
      </c>
      <c r="AS32" s="674" t="s">
        <v>1541</v>
      </c>
      <c r="AT32" s="675"/>
    </row>
    <row r="33" spans="2:71" ht="17.25" customHeight="1">
      <c r="B33" s="532"/>
      <c r="K33" s="531"/>
      <c r="M33" s="595"/>
      <c r="O33" s="532" t="s">
        <v>1542</v>
      </c>
      <c r="Q33" s="531"/>
      <c r="S33" s="2220"/>
      <c r="T33" s="2220"/>
      <c r="U33" s="2220"/>
      <c r="V33" s="2220"/>
      <c r="X33" s="629" t="s">
        <v>81</v>
      </c>
      <c r="Y33" s="531"/>
      <c r="AE33" s="662">
        <v>1890</v>
      </c>
      <c r="AF33" s="370" t="s">
        <v>1543</v>
      </c>
      <c r="AG33" s="370" t="s">
        <v>1544</v>
      </c>
      <c r="AH33" s="370"/>
      <c r="AI33" s="370" t="s">
        <v>92</v>
      </c>
      <c r="AJ33" s="370"/>
      <c r="AK33" s="370"/>
      <c r="AL33" s="370" t="s">
        <v>1545</v>
      </c>
      <c r="AM33" s="370" t="s">
        <v>1546</v>
      </c>
      <c r="AN33" s="370" t="s">
        <v>1547</v>
      </c>
      <c r="AO33" s="370" t="s">
        <v>1548</v>
      </c>
      <c r="AP33" s="524" t="s">
        <v>1549</v>
      </c>
      <c r="AQ33" s="370" t="s">
        <v>1550</v>
      </c>
      <c r="AR33" s="524" t="s">
        <v>1551</v>
      </c>
      <c r="AS33" s="675" t="s">
        <v>1552</v>
      </c>
      <c r="AT33" s="662">
        <v>1890</v>
      </c>
    </row>
    <row r="34" spans="2:71" ht="17.25" customHeight="1">
      <c r="B34" s="541"/>
      <c r="C34" s="542" t="str">
        <f>IF(C27=0,IF(C28=0,IF(C29=0,IF(C30=0,IF(C31=0,IF(C32=0,"",C32),C31),C30),C29),C28),C27)</f>
        <v/>
      </c>
      <c r="D34" s="542">
        <f>IF(D27=0,IF(D28=0,IF(D29=0,IF(D30=0,IF(D31=0,IF(D32=0,0,D32),D31),D30),D29),D28),D27)</f>
        <v>0</v>
      </c>
      <c r="E34" s="2285" t="str">
        <f>IF(E27=0,IF(E28=0,IF(E29=0,IF(E30=0,IF(E31=0,IF(E32=0,"",E32),E31),E30),E29),E28),E27)</f>
        <v/>
      </c>
      <c r="F34" s="2285"/>
      <c r="G34" s="2285"/>
      <c r="H34" s="2285"/>
      <c r="I34" s="2285"/>
      <c r="J34" s="2285"/>
      <c r="K34" s="2286"/>
      <c r="O34" s="532" t="s">
        <v>1553</v>
      </c>
      <c r="Q34" s="531"/>
      <c r="S34" s="2220"/>
      <c r="T34" s="2220"/>
      <c r="U34" s="2220"/>
      <c r="V34" s="2220"/>
      <c r="X34" s="629" t="s">
        <v>86</v>
      </c>
      <c r="Y34" s="531"/>
      <c r="AE34" s="662">
        <v>1891</v>
      </c>
      <c r="AF34" s="370" t="s">
        <v>1554</v>
      </c>
      <c r="AG34" s="370"/>
      <c r="AH34" s="370"/>
      <c r="AI34" s="370" t="s">
        <v>92</v>
      </c>
      <c r="AJ34" s="370"/>
      <c r="AK34" s="370"/>
      <c r="AL34" s="370" t="s">
        <v>1545</v>
      </c>
      <c r="AM34" s="370" t="s">
        <v>1555</v>
      </c>
      <c r="AN34" s="370" t="s">
        <v>1556</v>
      </c>
      <c r="AO34" s="370" t="s">
        <v>1557</v>
      </c>
      <c r="AP34" s="524" t="s">
        <v>1549</v>
      </c>
      <c r="AQ34" s="370" t="s">
        <v>1558</v>
      </c>
      <c r="AR34" s="370" t="s">
        <v>1559</v>
      </c>
      <c r="AS34" s="524" t="s">
        <v>1560</v>
      </c>
      <c r="AT34" s="662">
        <v>1891</v>
      </c>
    </row>
    <row r="35" spans="2:71" ht="17.25" customHeight="1">
      <c r="O35" s="532" t="s">
        <v>1561</v>
      </c>
      <c r="Q35" s="531"/>
      <c r="S35" s="2220"/>
      <c r="T35" s="2220"/>
      <c r="U35" s="2220"/>
      <c r="V35" s="2220"/>
      <c r="X35" s="629" t="s">
        <v>94</v>
      </c>
      <c r="Y35" s="531"/>
      <c r="AE35" s="662">
        <v>1892</v>
      </c>
      <c r="AF35" s="370" t="s">
        <v>92</v>
      </c>
      <c r="AG35" s="370"/>
      <c r="AH35" s="370"/>
      <c r="AI35" s="370" t="s">
        <v>92</v>
      </c>
      <c r="AJ35" s="370"/>
      <c r="AK35" s="370"/>
      <c r="AL35" s="370" t="s">
        <v>1545</v>
      </c>
      <c r="AM35" s="370" t="s">
        <v>1562</v>
      </c>
      <c r="AN35" s="370" t="s">
        <v>1563</v>
      </c>
      <c r="AO35" s="370" t="s">
        <v>1564</v>
      </c>
      <c r="AP35" s="370" t="s">
        <v>1565</v>
      </c>
      <c r="AQ35" s="370" t="s">
        <v>1566</v>
      </c>
      <c r="AR35" s="370" t="s">
        <v>1567</v>
      </c>
      <c r="AS35" s="524" t="s">
        <v>1568</v>
      </c>
      <c r="AT35" s="662">
        <v>1892</v>
      </c>
    </row>
    <row r="36" spans="2:71" ht="17.25" customHeight="1">
      <c r="B36" s="560"/>
      <c r="C36" s="561" t="s">
        <v>19</v>
      </c>
      <c r="D36" s="561" t="s">
        <v>1468</v>
      </c>
      <c r="E36" s="529"/>
      <c r="F36" s="562"/>
      <c r="I36" s="2287" t="s">
        <v>1569</v>
      </c>
      <c r="J36" s="2287"/>
      <c r="K36" s="2287"/>
      <c r="L36" s="2287"/>
      <c r="M36" s="2287"/>
      <c r="O36" s="532" t="s">
        <v>1570</v>
      </c>
      <c r="Q36" s="531"/>
      <c r="S36" s="627"/>
      <c r="T36" s="627"/>
      <c r="U36" s="627"/>
      <c r="V36" s="627"/>
      <c r="X36" s="629" t="s">
        <v>96</v>
      </c>
      <c r="Y36" s="531"/>
      <c r="AE36" s="662">
        <v>1893</v>
      </c>
      <c r="AF36" s="370" t="s">
        <v>1571</v>
      </c>
      <c r="AG36" s="370" t="s">
        <v>1572</v>
      </c>
      <c r="AH36" s="370"/>
      <c r="AI36" s="370" t="s">
        <v>92</v>
      </c>
      <c r="AJ36" s="370"/>
      <c r="AK36" s="370"/>
      <c r="AL36" s="370" t="s">
        <v>1545</v>
      </c>
      <c r="AM36" s="370" t="s">
        <v>1573</v>
      </c>
      <c r="AN36" s="370" t="s">
        <v>1574</v>
      </c>
      <c r="AO36" s="524" t="s">
        <v>1575</v>
      </c>
      <c r="AP36" s="524" t="s">
        <v>1576</v>
      </c>
      <c r="AQ36" s="370" t="s">
        <v>1577</v>
      </c>
      <c r="AR36" s="370" t="s">
        <v>1578</v>
      </c>
      <c r="AS36" s="524" t="s">
        <v>1579</v>
      </c>
      <c r="AT36" s="662">
        <v>1893</v>
      </c>
      <c r="AV36" s="370" t="s">
        <v>1580</v>
      </c>
      <c r="AZ36" s="684"/>
      <c r="BA36" s="684"/>
      <c r="BB36" s="684"/>
      <c r="BC36" s="684"/>
      <c r="BD36" s="684"/>
      <c r="BE36" s="684"/>
      <c r="BF36" s="684"/>
      <c r="BG36" s="684"/>
      <c r="BH36" s="684"/>
      <c r="BI36" s="684"/>
      <c r="BJ36" s="684"/>
      <c r="BK36" s="684"/>
      <c r="BL36" s="684"/>
      <c r="BM36" s="684"/>
      <c r="BN36" s="684"/>
      <c r="BO36" s="684"/>
      <c r="BP36" s="684"/>
      <c r="BQ36" s="684"/>
      <c r="BR36" s="684"/>
      <c r="BS36" s="684"/>
    </row>
    <row r="37" spans="2:71" ht="17.25" customHeight="1">
      <c r="B37" s="563"/>
      <c r="C37" s="564">
        <f>ABS(人物卡!E6)</f>
        <v>0</v>
      </c>
      <c r="D37" s="564" t="str">
        <f>IF(ISBLANK(人物卡!AU37),IF(AND(C37&gt;=15,C37&lt;=19),D39,IF(AND(C37&gt;=20,C37&lt;=39),D40,IF(AND(C37&gt;=40,C37&lt;=49),D41,IF(AND(C37&gt;=50,C37&lt;=59),D42,IF(AND(C37&gt;=60,C37&lt;=69),D43,IF(AND(C37&gt;=70,C37&lt;=79),D44,IF(AND(C37&gt;=80,C37&lt;=89),D45,IF(ABS(C37)&gt;=90,D48,"请和kp商议")))))))),人物卡!AU37)</f>
        <v>请和kp商议</v>
      </c>
      <c r="F37" s="565"/>
      <c r="I37" s="596" t="s">
        <v>1581</v>
      </c>
      <c r="J37" s="596" t="s">
        <v>1582</v>
      </c>
      <c r="K37" s="596" t="s">
        <v>1583</v>
      </c>
      <c r="L37" s="596" t="s">
        <v>165</v>
      </c>
      <c r="M37" s="596" t="s">
        <v>108</v>
      </c>
      <c r="O37" s="532" t="s">
        <v>1584</v>
      </c>
      <c r="Q37" s="531"/>
      <c r="S37" s="2220"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时代:现代	</v>
      </c>
      <c r="T37" s="2220"/>
      <c r="U37" s="2220"/>
      <c r="V37" s="2220"/>
      <c r="X37" s="629" t="s">
        <v>103</v>
      </c>
      <c r="Y37" s="531"/>
      <c r="AE37" s="662">
        <v>1894</v>
      </c>
      <c r="AF37" s="370" t="s">
        <v>1585</v>
      </c>
      <c r="AG37" s="370" t="s">
        <v>1586</v>
      </c>
      <c r="AH37" s="370"/>
      <c r="AI37" s="370" t="s">
        <v>1587</v>
      </c>
      <c r="AJ37" s="370" t="s">
        <v>1588</v>
      </c>
      <c r="AK37" s="370"/>
      <c r="AL37" s="370" t="s">
        <v>1545</v>
      </c>
      <c r="AM37" s="370" t="s">
        <v>1589</v>
      </c>
      <c r="AN37" s="370" t="s">
        <v>1590</v>
      </c>
      <c r="AO37" s="370" t="s">
        <v>1591</v>
      </c>
      <c r="AP37" s="524" t="s">
        <v>1592</v>
      </c>
      <c r="AQ37" s="370" t="s">
        <v>1593</v>
      </c>
      <c r="AR37" s="370" t="s">
        <v>1594</v>
      </c>
      <c r="AS37" s="370" t="s">
        <v>1580</v>
      </c>
      <c r="AT37" s="662">
        <v>1894</v>
      </c>
      <c r="AZ37" s="684"/>
      <c r="BA37" s="684"/>
      <c r="BB37" s="684"/>
      <c r="BC37" s="684"/>
      <c r="BD37" s="684"/>
      <c r="BE37" s="684"/>
      <c r="BF37" s="684"/>
      <c r="BG37" s="684"/>
      <c r="BH37" s="684"/>
      <c r="BI37" s="684"/>
      <c r="BJ37" s="684"/>
      <c r="BK37" s="684"/>
      <c r="BL37" s="684"/>
      <c r="BM37" s="684"/>
      <c r="BN37" s="684"/>
      <c r="BO37" s="684"/>
      <c r="BP37" s="684"/>
      <c r="BQ37" s="684"/>
      <c r="BR37" s="684"/>
      <c r="BS37" s="684"/>
    </row>
    <row r="38" spans="2:71" ht="17.25" customHeight="1">
      <c r="B38" s="563"/>
      <c r="C38" s="2288" t="s">
        <v>1595</v>
      </c>
      <c r="D38" s="2289"/>
      <c r="E38" s="2290"/>
      <c r="F38" s="565"/>
      <c r="I38" s="597" t="s">
        <v>1596</v>
      </c>
      <c r="J38" s="598" t="s">
        <v>1597</v>
      </c>
      <c r="K38" s="598" t="s">
        <v>1598</v>
      </c>
      <c r="L38" s="598" t="s">
        <v>401</v>
      </c>
      <c r="M38" s="598" t="s">
        <v>1599</v>
      </c>
      <c r="O38" s="532" t="s">
        <v>1600</v>
      </c>
      <c r="Q38" s="531"/>
      <c r="S38" s="2220"/>
      <c r="T38" s="2220"/>
      <c r="U38" s="2220"/>
      <c r="V38" s="2220"/>
      <c r="X38" s="629" t="s">
        <v>105</v>
      </c>
      <c r="Y38" s="531"/>
      <c r="AE38" s="662">
        <v>1895</v>
      </c>
      <c r="AF38" s="370" t="s">
        <v>1601</v>
      </c>
      <c r="AG38" s="370" t="s">
        <v>1602</v>
      </c>
      <c r="AH38" s="370"/>
      <c r="AI38" s="370" t="s">
        <v>1603</v>
      </c>
      <c r="AJ38" s="370" t="s">
        <v>1604</v>
      </c>
      <c r="AK38" s="370"/>
      <c r="AL38" s="370" t="s">
        <v>1545</v>
      </c>
      <c r="AM38" s="370" t="s">
        <v>1605</v>
      </c>
      <c r="AN38" s="370" t="s">
        <v>1606</v>
      </c>
      <c r="AO38" s="370" t="s">
        <v>1607</v>
      </c>
      <c r="AP38" s="524" t="s">
        <v>1592</v>
      </c>
      <c r="AQ38" s="370" t="s">
        <v>1608</v>
      </c>
      <c r="AR38" s="370" t="s">
        <v>1609</v>
      </c>
      <c r="AS38" s="524" t="s">
        <v>1610</v>
      </c>
      <c r="AT38" s="662">
        <v>1895</v>
      </c>
      <c r="AV38" s="1488">
        <f>IF(AV36="仅显示1890_2012","",VLOOKUP(AV36,AS33:AT155,2,FALSE))</f>
        <v>1894</v>
      </c>
      <c r="AZ38" s="684"/>
      <c r="BA38" s="684"/>
      <c r="BB38" s="684"/>
      <c r="BC38" s="684"/>
      <c r="BD38" s="684"/>
      <c r="BE38" s="684"/>
      <c r="BF38" s="684"/>
      <c r="BG38" s="684"/>
      <c r="BH38" s="684"/>
      <c r="BI38" s="684"/>
      <c r="BJ38" s="684"/>
      <c r="BK38" s="684"/>
      <c r="BL38" s="684"/>
      <c r="BM38" s="684"/>
      <c r="BN38" s="684"/>
      <c r="BO38" s="684"/>
      <c r="BP38" s="684"/>
      <c r="BQ38" s="684"/>
      <c r="BR38" s="684"/>
      <c r="BS38" s="684"/>
    </row>
    <row r="39" spans="2:71" ht="17.25" customHeight="1">
      <c r="B39" s="563">
        <v>15</v>
      </c>
      <c r="C39" s="564">
        <v>19</v>
      </c>
      <c r="D39" s="564" t="s">
        <v>1611</v>
      </c>
      <c r="E39" s="564"/>
      <c r="F39" s="565"/>
      <c r="I39" s="599" t="s">
        <v>1612</v>
      </c>
      <c r="J39" s="600" t="s">
        <v>1613</v>
      </c>
      <c r="K39" s="601" t="s">
        <v>1614</v>
      </c>
      <c r="L39" s="601" t="s">
        <v>1615</v>
      </c>
      <c r="M39" s="600" t="s">
        <v>1616</v>
      </c>
      <c r="O39" s="532" t="s">
        <v>1617</v>
      </c>
      <c r="Q39" s="531"/>
      <c r="S39" s="2220" t="str">
        <f>IF(人物卡!I11="",""," 身体状态:"&amp;人物卡!I11&amp;CHAR(9))&amp;IF(人物卡!R11="",""," 精神状态:"&amp;人物卡!R11&amp;CHAR(9))</f>
        <v>身体状态:健康	 精神状态:清醒</v>
      </c>
      <c r="T39" s="2220"/>
      <c r="U39" s="2220"/>
      <c r="V39" s="2220"/>
      <c r="X39" s="629" t="s">
        <v>109</v>
      </c>
      <c r="Y39" s="531"/>
      <c r="AE39" s="662">
        <v>1896</v>
      </c>
      <c r="AF39" s="370" t="s">
        <v>1618</v>
      </c>
      <c r="AG39" s="370"/>
      <c r="AH39" s="370"/>
      <c r="AI39" s="370" t="s">
        <v>1619</v>
      </c>
      <c r="AJ39" s="370"/>
      <c r="AK39" s="370"/>
      <c r="AL39" s="370" t="s">
        <v>1545</v>
      </c>
      <c r="AM39" s="370" t="s">
        <v>1620</v>
      </c>
      <c r="AN39" s="370" t="s">
        <v>1621</v>
      </c>
      <c r="AO39" s="524" t="s">
        <v>1622</v>
      </c>
      <c r="AP39" s="524" t="s">
        <v>1592</v>
      </c>
      <c r="AQ39" s="370" t="s">
        <v>1623</v>
      </c>
      <c r="AR39" s="370" t="s">
        <v>1624</v>
      </c>
      <c r="AS39" s="524" t="s">
        <v>1625</v>
      </c>
      <c r="AT39" s="662">
        <v>1896</v>
      </c>
      <c r="AV39" s="1488"/>
      <c r="AZ39" s="684"/>
      <c r="BA39" s="684"/>
      <c r="BB39" s="684"/>
      <c r="BC39" s="684"/>
      <c r="BD39" s="684"/>
      <c r="BE39" s="684"/>
      <c r="BF39" s="684"/>
      <c r="BG39" s="684"/>
      <c r="BH39" s="684"/>
      <c r="BI39" s="684"/>
      <c r="BJ39" s="684"/>
      <c r="BK39" s="684"/>
      <c r="BL39" s="684"/>
      <c r="BM39" s="684"/>
      <c r="BN39" s="684"/>
      <c r="BO39" s="684"/>
      <c r="BP39" s="684"/>
      <c r="BQ39" s="684"/>
      <c r="BR39" s="684"/>
      <c r="BS39" s="684"/>
    </row>
    <row r="40" spans="2:71" ht="17.25" customHeight="1">
      <c r="B40" s="563">
        <v>20</v>
      </c>
      <c r="C40" s="564">
        <v>39</v>
      </c>
      <c r="D40" s="564" t="s">
        <v>1626</v>
      </c>
      <c r="E40" s="564"/>
      <c r="F40" s="565"/>
      <c r="I40" s="597" t="s">
        <v>1627</v>
      </c>
      <c r="J40" s="598" t="s">
        <v>1628</v>
      </c>
      <c r="K40" s="602" t="s">
        <v>1629</v>
      </c>
      <c r="L40" s="598" t="s">
        <v>1615</v>
      </c>
      <c r="M40" s="598" t="s">
        <v>1630</v>
      </c>
      <c r="O40" s="532" t="s">
        <v>1631</v>
      </c>
      <c r="Q40" s="531"/>
      <c r="S40" s="2220" t="str">
        <f>IF(人物卡!AP52="","","&amp;DB="&amp;人物卡!AP52&amp;" 体格:"&amp;人物卡!AP55)&amp;IF(OR(人物卡!AP57="",,人物卡!R29&lt;&gt;人物卡!J29),""," 闪避:"&amp;人物卡!AP57)&amp;IF(人物卡!AN10="",""," 护甲:"&amp;人物卡!AN10)</f>
        <v>&amp;DB=0 体格:0 闪避:40 护甲:12</v>
      </c>
      <c r="T40" s="2220"/>
      <c r="U40" s="2220"/>
      <c r="V40" s="2220"/>
      <c r="X40" s="629" t="s">
        <v>111</v>
      </c>
      <c r="Y40" s="531"/>
      <c r="AE40" s="662">
        <v>1897</v>
      </c>
      <c r="AF40" s="370" t="s">
        <v>92</v>
      </c>
      <c r="AG40" s="370"/>
      <c r="AH40" s="370"/>
      <c r="AI40" s="370" t="s">
        <v>92</v>
      </c>
      <c r="AJ40" s="370"/>
      <c r="AK40" s="370"/>
      <c r="AL40" s="370" t="s">
        <v>1545</v>
      </c>
      <c r="AM40" s="370" t="s">
        <v>1632</v>
      </c>
      <c r="AN40" s="370" t="s">
        <v>1633</v>
      </c>
      <c r="AO40" s="524" t="s">
        <v>1634</v>
      </c>
      <c r="AP40" s="524" t="s">
        <v>1635</v>
      </c>
      <c r="AQ40" s="370" t="s">
        <v>1636</v>
      </c>
      <c r="AR40" s="370" t="s">
        <v>1637</v>
      </c>
      <c r="AS40" s="524" t="s">
        <v>1638</v>
      </c>
      <c r="AT40" s="662">
        <v>1897</v>
      </c>
      <c r="AV40" s="1488"/>
    </row>
    <row r="41" spans="2:71" ht="17.25" customHeight="1">
      <c r="B41" s="563">
        <v>40</v>
      </c>
      <c r="C41" s="564">
        <v>49</v>
      </c>
      <c r="D41" s="564" t="s">
        <v>1639</v>
      </c>
      <c r="E41" s="564"/>
      <c r="F41" s="565"/>
      <c r="I41" s="599" t="s">
        <v>1640</v>
      </c>
      <c r="J41" s="601" t="s">
        <v>1641</v>
      </c>
      <c r="K41" s="600" t="s">
        <v>1642</v>
      </c>
      <c r="L41" s="601" t="s">
        <v>401</v>
      </c>
      <c r="M41" s="601" t="s">
        <v>1643</v>
      </c>
      <c r="O41" s="532" t="s">
        <v>1644</v>
      </c>
      <c r="Q41" s="531"/>
      <c r="S41" s="2220" t="str">
        <f>IF(人物卡!G54="",IF(人物卡!B54="",""," &amp;"&amp;人物卡!B54&amp;"="&amp;人物卡!W54)," &amp;"&amp;人物卡!B54&amp;"="&amp;VLOOKUP(人物卡!G54,'武器列表 战斗'!B2:T105,19,FALSE))</f>
        <v xml:space="preserve"> &amp;=1D10</v>
      </c>
      <c r="T41" s="2220"/>
      <c r="U41" s="2220"/>
      <c r="V41" s="2220"/>
      <c r="X41" s="629" t="s">
        <v>114</v>
      </c>
      <c r="Y41" s="531"/>
      <c r="AE41" s="662">
        <v>1898</v>
      </c>
      <c r="AF41" s="370" t="s">
        <v>1645</v>
      </c>
      <c r="AG41" s="664" t="s">
        <v>1646</v>
      </c>
      <c r="AH41" s="370"/>
      <c r="AI41" s="370" t="s">
        <v>1647</v>
      </c>
      <c r="AJ41" s="370"/>
      <c r="AK41" s="665"/>
      <c r="AL41" s="370" t="s">
        <v>1648</v>
      </c>
      <c r="AM41" s="370" t="s">
        <v>1649</v>
      </c>
      <c r="AN41" s="370" t="s">
        <v>1650</v>
      </c>
      <c r="AO41" s="370" t="s">
        <v>1651</v>
      </c>
      <c r="AP41" s="524" t="s">
        <v>1652</v>
      </c>
      <c r="AQ41" s="370" t="s">
        <v>1653</v>
      </c>
      <c r="AR41" s="370" t="s">
        <v>1654</v>
      </c>
      <c r="AS41" s="524" t="s">
        <v>1655</v>
      </c>
      <c r="AT41" s="662">
        <v>1898</v>
      </c>
      <c r="AV41" s="1488"/>
    </row>
    <row r="42" spans="2:71" ht="17.25" customHeight="1">
      <c r="B42" s="563">
        <v>50</v>
      </c>
      <c r="C42" s="564">
        <v>59</v>
      </c>
      <c r="D42" s="564" t="s">
        <v>1656</v>
      </c>
      <c r="E42" s="564"/>
      <c r="F42" s="565"/>
      <c r="I42" s="597" t="s">
        <v>1657</v>
      </c>
      <c r="J42" s="598" t="s">
        <v>1658</v>
      </c>
      <c r="K42" s="602" t="s">
        <v>1659</v>
      </c>
      <c r="L42" s="598" t="s">
        <v>1660</v>
      </c>
      <c r="M42" s="598" t="s">
        <v>1661</v>
      </c>
      <c r="O42" s="532" t="s">
        <v>1662</v>
      </c>
      <c r="Q42" s="531"/>
      <c r="S42" s="2220" t="str">
        <f>IF(人物卡!G55="",IF(人物卡!B55="",""," &amp;"&amp;人物卡!B55&amp;"="&amp;人物卡!W55)," &amp;"&amp;人物卡!B55&amp;"="&amp;VLOOKUP(人物卡!G55,'武器列表 战斗'!B2:T105,19,FALSE))</f>
        <v xml:space="preserve"> &amp;=1D4+[DB]</v>
      </c>
      <c r="T42" s="2220"/>
      <c r="U42" s="2220"/>
      <c r="V42" s="2220"/>
      <c r="X42" s="629" t="s">
        <v>116</v>
      </c>
      <c r="Y42" s="531"/>
      <c r="AE42" s="662">
        <v>1899</v>
      </c>
      <c r="AF42" s="524" t="s">
        <v>1663</v>
      </c>
      <c r="AG42" s="370"/>
      <c r="AH42" s="370"/>
      <c r="AI42" s="370" t="s">
        <v>92</v>
      </c>
      <c r="AJ42" s="370"/>
      <c r="AK42" s="370"/>
      <c r="AL42" s="370" t="s">
        <v>1545</v>
      </c>
      <c r="AM42" s="370" t="s">
        <v>1664</v>
      </c>
      <c r="AN42" s="370" t="s">
        <v>1665</v>
      </c>
      <c r="AO42" s="524" t="s">
        <v>1666</v>
      </c>
      <c r="AP42" s="524" t="s">
        <v>1652</v>
      </c>
      <c r="AQ42" s="370" t="s">
        <v>1667</v>
      </c>
      <c r="AR42" s="370" t="s">
        <v>1668</v>
      </c>
      <c r="AS42" s="524" t="s">
        <v>1669</v>
      </c>
      <c r="AT42" s="662">
        <v>1899</v>
      </c>
      <c r="AV42" s="1488"/>
    </row>
    <row r="43" spans="2:71" ht="17.25" customHeight="1">
      <c r="B43" s="563">
        <v>60</v>
      </c>
      <c r="C43" s="564">
        <v>69</v>
      </c>
      <c r="D43" s="564" t="s">
        <v>1670</v>
      </c>
      <c r="E43" s="564"/>
      <c r="F43" s="565"/>
      <c r="I43" s="599" t="s">
        <v>1671</v>
      </c>
      <c r="J43" s="601" t="s">
        <v>1672</v>
      </c>
      <c r="K43" s="603" t="s">
        <v>1673</v>
      </c>
      <c r="L43" s="600" t="s">
        <v>1615</v>
      </c>
      <c r="M43" s="601" t="s">
        <v>1674</v>
      </c>
      <c r="O43" s="532" t="s">
        <v>1675</v>
      </c>
      <c r="Q43" s="531"/>
      <c r="S43" s="2220" t="str">
        <f>IF(人物卡!G56="",IF(人物卡!B56="",""," &amp;"&amp;人物卡!B56&amp;"="&amp;人物卡!W56)," &amp;"&amp;人物卡!B56&amp;"="&amp;VLOOKUP(人物卡!G56,'武器列表 战斗'!B2:T105,19,FALSE))</f>
        <v/>
      </c>
      <c r="T43" s="2220"/>
      <c r="U43" s="2220"/>
      <c r="V43" s="2220"/>
      <c r="X43" s="629" t="s">
        <v>119</v>
      </c>
      <c r="Y43" s="531"/>
      <c r="AE43" s="662">
        <v>1900</v>
      </c>
      <c r="AF43" s="370" t="s">
        <v>1676</v>
      </c>
      <c r="AG43" s="370" t="s">
        <v>1677</v>
      </c>
      <c r="AH43" s="370"/>
      <c r="AI43" s="370" t="s">
        <v>1678</v>
      </c>
      <c r="AJ43" s="370" t="s">
        <v>1679</v>
      </c>
      <c r="AK43" s="370"/>
      <c r="AL43" s="370" t="s">
        <v>1680</v>
      </c>
      <c r="AM43" s="370" t="s">
        <v>1681</v>
      </c>
      <c r="AN43" s="370" t="s">
        <v>1682</v>
      </c>
      <c r="AO43" s="524" t="s">
        <v>1683</v>
      </c>
      <c r="AP43" s="524" t="s">
        <v>1652</v>
      </c>
      <c r="AQ43" s="370" t="s">
        <v>1684</v>
      </c>
      <c r="AR43" s="370" t="s">
        <v>1685</v>
      </c>
      <c r="AS43" s="524" t="s">
        <v>1686</v>
      </c>
      <c r="AT43" s="662">
        <v>1900</v>
      </c>
      <c r="AV43" s="1488"/>
    </row>
    <row r="44" spans="2:71" ht="17.25" customHeight="1">
      <c r="B44" s="563">
        <v>70</v>
      </c>
      <c r="C44" s="564">
        <v>79</v>
      </c>
      <c r="D44" s="564" t="s">
        <v>1687</v>
      </c>
      <c r="E44" s="564"/>
      <c r="F44" s="565"/>
      <c r="I44" s="597" t="s">
        <v>1688</v>
      </c>
      <c r="J44" s="598" t="s">
        <v>1658</v>
      </c>
      <c r="K44" s="524" t="s">
        <v>1689</v>
      </c>
      <c r="L44" s="602" t="s">
        <v>1615</v>
      </c>
      <c r="M44" s="598" t="s">
        <v>1690</v>
      </c>
      <c r="O44" s="532" t="s">
        <v>1691</v>
      </c>
      <c r="Q44" s="531"/>
      <c r="S44" s="2220" t="str">
        <f>S41&amp;S42&amp;S43</f>
        <v xml:space="preserve"> &amp;=1D10 &amp;=1D4+[DB]</v>
      </c>
      <c r="T44" s="2220"/>
      <c r="U44" s="2220"/>
      <c r="V44" s="2220"/>
      <c r="X44" s="631" t="s">
        <v>122</v>
      </c>
      <c r="Y44" s="531"/>
      <c r="AE44" s="662">
        <v>1901</v>
      </c>
      <c r="AF44" s="370" t="s">
        <v>1692</v>
      </c>
      <c r="AG44" s="370"/>
      <c r="AH44" s="370"/>
      <c r="AI44" s="370" t="s">
        <v>1693</v>
      </c>
      <c r="AJ44" s="370"/>
      <c r="AK44" s="370"/>
      <c r="AL44" s="370" t="s">
        <v>1680</v>
      </c>
      <c r="AM44" s="370" t="s">
        <v>1694</v>
      </c>
      <c r="AN44" s="370" t="s">
        <v>1695</v>
      </c>
      <c r="AO44" s="524" t="s">
        <v>1696</v>
      </c>
      <c r="AP44" s="524" t="s">
        <v>1697</v>
      </c>
      <c r="AQ44" s="370" t="s">
        <v>1698</v>
      </c>
      <c r="AR44" s="370" t="s">
        <v>1699</v>
      </c>
      <c r="AS44" s="524" t="s">
        <v>1700</v>
      </c>
      <c r="AT44" s="662">
        <v>1901</v>
      </c>
      <c r="AV44" s="1488"/>
    </row>
    <row r="45" spans="2:71" ht="17.25" customHeight="1">
      <c r="B45" s="563">
        <v>80</v>
      </c>
      <c r="C45" s="564">
        <v>89</v>
      </c>
      <c r="D45" s="564" t="s">
        <v>1701</v>
      </c>
      <c r="E45" s="564"/>
      <c r="F45" s="565"/>
      <c r="I45" s="599" t="s">
        <v>1702</v>
      </c>
      <c r="J45" s="601" t="s">
        <v>1703</v>
      </c>
      <c r="K45" s="600" t="s">
        <v>1704</v>
      </c>
      <c r="L45" s="601" t="s">
        <v>1615</v>
      </c>
      <c r="M45" s="601" t="s">
        <v>1705</v>
      </c>
      <c r="O45" s="532" t="s">
        <v>1706</v>
      </c>
      <c r="Q45" s="531"/>
      <c r="S45" s="627"/>
      <c r="T45" s="627"/>
      <c r="U45" s="627"/>
      <c r="V45" s="627"/>
      <c r="X45" s="629" t="s">
        <v>126</v>
      </c>
      <c r="Y45" s="531"/>
      <c r="AE45" s="662">
        <v>1902</v>
      </c>
      <c r="AF45" s="370" t="s">
        <v>1707</v>
      </c>
      <c r="AG45" s="370"/>
      <c r="AH45" s="370"/>
      <c r="AI45" s="370" t="s">
        <v>92</v>
      </c>
      <c r="AJ45" s="370"/>
      <c r="AK45" s="370"/>
      <c r="AL45" s="370" t="s">
        <v>1680</v>
      </c>
      <c r="AM45" s="370" t="s">
        <v>1708</v>
      </c>
      <c r="AN45" s="370" t="s">
        <v>1709</v>
      </c>
      <c r="AO45" s="524" t="s">
        <v>1710</v>
      </c>
      <c r="AP45" s="524" t="s">
        <v>1711</v>
      </c>
      <c r="AQ45" s="370" t="s">
        <v>1712</v>
      </c>
      <c r="AR45" s="370" t="s">
        <v>1713</v>
      </c>
      <c r="AS45" s="524" t="s">
        <v>1714</v>
      </c>
      <c r="AT45" s="662">
        <v>1902</v>
      </c>
      <c r="AV45" s="1488"/>
    </row>
    <row r="46" spans="2:71" ht="17.25" customHeight="1">
      <c r="B46" s="563"/>
      <c r="C46" s="566" t="s">
        <v>1715</v>
      </c>
      <c r="D46" s="567" t="s">
        <v>1716</v>
      </c>
      <c r="E46" s="568" t="s">
        <v>1717</v>
      </c>
      <c r="F46" s="565"/>
      <c r="I46" s="597" t="s">
        <v>1718</v>
      </c>
      <c r="J46" s="524" t="s">
        <v>1672</v>
      </c>
      <c r="K46" s="602" t="s">
        <v>1719</v>
      </c>
      <c r="L46" s="524" t="s">
        <v>1720</v>
      </c>
      <c r="M46" s="602" t="s">
        <v>1721</v>
      </c>
      <c r="O46" s="532" t="s">
        <v>1722</v>
      </c>
      <c r="Q46" s="531"/>
      <c r="S46" s="2220" t="str">
        <f>S24&amp;S37&amp;S39&amp;S40&amp;S44</f>
        <v>.st 力量70str70敏捷80dex80意志50pow50体质50con50外貌45app45教育78edu78体型35siz35智力80灵感80int80san50san值50理智50理智值50幸运94运气94mp10魔法10hp8体力8会计5人类学1估价5考古学1取悦15魅惑15攀爬20计算机56计算机使用56电脑56信用80信誉80信用评级80克苏鲁0克苏鲁神话0cm0乔装5闪避40汽车60驾驶60汽车驾驶60电气维修10电子学1话术5斗殴70手枪70急救80历史5恐吓50跳跃20母语78法律80图书馆20图书馆使用20聆听20开锁1撬锁1锁匠1机械维修10医学1博物学10自然学10领航10导航10神秘学5重型操作1重型机械1操作重型机械1重型1说服10精神分析1心理学60骑术5妙手10侦查25潜行60生存10游泳20投掷20追踪50动物驯养5潜水1爆破1读唇1催眠1炮术1时代:现代	身体状态:健康	 精神状态:清醒&amp;DB=0 体格:0 闪避:40 护甲:12 &amp;=1D10 &amp;=1D4+[DB]</v>
      </c>
      <c r="T46" s="2220"/>
      <c r="U46" s="2220"/>
      <c r="V46" s="2220"/>
      <c r="X46" s="629" t="s">
        <v>131</v>
      </c>
      <c r="Y46" s="531"/>
      <c r="AE46" s="662">
        <v>1903</v>
      </c>
      <c r="AF46" s="370" t="s">
        <v>92</v>
      </c>
      <c r="AG46" s="370"/>
      <c r="AH46" s="370"/>
      <c r="AI46" s="370" t="s">
        <v>92</v>
      </c>
      <c r="AJ46" s="370"/>
      <c r="AK46" s="370"/>
      <c r="AL46" s="370" t="s">
        <v>1680</v>
      </c>
      <c r="AM46" s="370" t="s">
        <v>1723</v>
      </c>
      <c r="AN46" s="370" t="s">
        <v>1724</v>
      </c>
      <c r="AO46" s="370" t="s">
        <v>1725</v>
      </c>
      <c r="AP46" s="524" t="s">
        <v>1711</v>
      </c>
      <c r="AQ46" s="370" t="s">
        <v>1726</v>
      </c>
      <c r="AR46" s="370" t="s">
        <v>1727</v>
      </c>
      <c r="AS46" s="524" t="s">
        <v>1728</v>
      </c>
      <c r="AT46" s="662">
        <v>1903</v>
      </c>
      <c r="AV46" s="1488"/>
      <c r="BB46" s="370"/>
    </row>
    <row r="47" spans="2:71" ht="17.25" customHeight="1">
      <c r="B47" s="563"/>
      <c r="C47" s="569">
        <f>INT((C37-B45)/10)</f>
        <v>-8</v>
      </c>
      <c r="D47" s="570">
        <f>80+80*C47</f>
        <v>-560</v>
      </c>
      <c r="E47" s="571">
        <v>25</v>
      </c>
      <c r="F47" s="565"/>
      <c r="I47" s="603" t="s">
        <v>1729</v>
      </c>
      <c r="J47" s="600" t="s">
        <v>1730</v>
      </c>
      <c r="K47" s="600" t="s">
        <v>1731</v>
      </c>
      <c r="L47" s="601" t="s">
        <v>1660</v>
      </c>
      <c r="M47" s="601" t="s">
        <v>1732</v>
      </c>
      <c r="O47" s="532" t="s">
        <v>1733</v>
      </c>
      <c r="Q47" s="531"/>
      <c r="S47" s="2220"/>
      <c r="T47" s="2220"/>
      <c r="U47" s="2220"/>
      <c r="V47" s="2220"/>
      <c r="X47" s="630" t="s">
        <v>133</v>
      </c>
      <c r="Y47" s="531"/>
      <c r="AE47" s="662">
        <v>1904</v>
      </c>
      <c r="AF47" s="370" t="s">
        <v>1734</v>
      </c>
      <c r="AG47" s="370" t="s">
        <v>1735</v>
      </c>
      <c r="AH47" s="370"/>
      <c r="AI47" s="370" t="s">
        <v>92</v>
      </c>
      <c r="AJ47" s="370"/>
      <c r="AK47" s="370"/>
      <c r="AL47" s="370" t="s">
        <v>1680</v>
      </c>
      <c r="AM47" s="370" t="s">
        <v>1736</v>
      </c>
      <c r="AN47" s="370" t="s">
        <v>1737</v>
      </c>
      <c r="AO47" s="524" t="s">
        <v>1738</v>
      </c>
      <c r="AP47" s="524" t="s">
        <v>1711</v>
      </c>
      <c r="AQ47" s="370" t="s">
        <v>1739</v>
      </c>
      <c r="AR47" s="370" t="s">
        <v>1740</v>
      </c>
      <c r="AS47" s="524" t="s">
        <v>1741</v>
      </c>
      <c r="AT47" s="662">
        <v>1904</v>
      </c>
      <c r="AV47" s="1488"/>
      <c r="BB47" s="370"/>
    </row>
    <row r="48" spans="2:71" ht="17.25" customHeight="1">
      <c r="B48" s="572"/>
      <c r="C48" s="572">
        <f>C37</f>
        <v>0</v>
      </c>
      <c r="D48" s="573" t="str">
        <f>"进步*4,SCD共-"&amp;D47&amp;" A-"&amp;E47</f>
        <v>进步*4,SCD共--560 A-25</v>
      </c>
      <c r="E48" s="574"/>
      <c r="F48" s="574"/>
      <c r="G48" s="564"/>
      <c r="I48" s="524" t="s">
        <v>1742</v>
      </c>
      <c r="J48" s="524" t="s">
        <v>1743</v>
      </c>
      <c r="K48" s="602" t="s">
        <v>1744</v>
      </c>
      <c r="L48" s="524" t="s">
        <v>1615</v>
      </c>
      <c r="M48" s="602" t="s">
        <v>1745</v>
      </c>
      <c r="O48" s="532" t="s">
        <v>1746</v>
      </c>
      <c r="Q48" s="531"/>
      <c r="S48" s="2220"/>
      <c r="T48" s="2220"/>
      <c r="U48" s="2220"/>
      <c r="V48" s="2220"/>
      <c r="X48" s="631" t="s">
        <v>137</v>
      </c>
      <c r="Y48" s="531"/>
      <c r="AE48" s="662">
        <v>1905</v>
      </c>
      <c r="AF48" s="370" t="s">
        <v>1747</v>
      </c>
      <c r="AG48" s="370"/>
      <c r="AH48" s="370"/>
      <c r="AI48" s="370" t="s">
        <v>92</v>
      </c>
      <c r="AJ48" s="370"/>
      <c r="AK48" s="370"/>
      <c r="AL48" s="370" t="s">
        <v>1680</v>
      </c>
      <c r="AM48" s="370" t="s">
        <v>1748</v>
      </c>
      <c r="AN48" s="370" t="s">
        <v>1749</v>
      </c>
      <c r="AO48" s="524" t="s">
        <v>1750</v>
      </c>
      <c r="AP48" s="524" t="s">
        <v>1711</v>
      </c>
      <c r="AQ48" s="370" t="s">
        <v>1751</v>
      </c>
      <c r="AR48" s="370" t="s">
        <v>1752</v>
      </c>
      <c r="AS48" s="524" t="s">
        <v>1753</v>
      </c>
      <c r="AT48" s="662">
        <v>1905</v>
      </c>
      <c r="BB48" s="370"/>
    </row>
    <row r="49" spans="5:65" ht="17.25" customHeight="1">
      <c r="I49" s="524" t="s">
        <v>1754</v>
      </c>
      <c r="J49" s="602" t="s">
        <v>212</v>
      </c>
      <c r="K49" s="602" t="s">
        <v>212</v>
      </c>
      <c r="L49" s="602" t="s">
        <v>212</v>
      </c>
      <c r="M49" s="602" t="s">
        <v>212</v>
      </c>
      <c r="O49" s="532" t="s">
        <v>1755</v>
      </c>
      <c r="Q49" s="531"/>
      <c r="S49" s="2220"/>
      <c r="T49" s="2220"/>
      <c r="U49" s="2220"/>
      <c r="V49" s="2220"/>
      <c r="X49" s="630" t="s">
        <v>139</v>
      </c>
      <c r="Y49" s="531"/>
      <c r="AE49" s="662">
        <v>1906</v>
      </c>
      <c r="AF49" s="370" t="s">
        <v>1756</v>
      </c>
      <c r="AG49" s="370" t="s">
        <v>1757</v>
      </c>
      <c r="AH49" s="370"/>
      <c r="AI49" s="370" t="s">
        <v>92</v>
      </c>
      <c r="AJ49" s="370"/>
      <c r="AK49" s="370"/>
      <c r="AL49" s="370" t="s">
        <v>1680</v>
      </c>
      <c r="AM49" s="370" t="s">
        <v>1758</v>
      </c>
      <c r="AN49" s="370" t="s">
        <v>1759</v>
      </c>
      <c r="AO49" s="524" t="s">
        <v>1760</v>
      </c>
      <c r="AP49" s="524" t="s">
        <v>1711</v>
      </c>
      <c r="AQ49" s="370" t="s">
        <v>1761</v>
      </c>
      <c r="AR49" s="370" t="s">
        <v>1762</v>
      </c>
      <c r="AS49" s="524" t="s">
        <v>1763</v>
      </c>
      <c r="AT49" s="662">
        <v>1906</v>
      </c>
      <c r="BB49" s="370"/>
    </row>
    <row r="50" spans="5:65" ht="17.25" customHeight="1">
      <c r="O50" s="532" t="s">
        <v>1764</v>
      </c>
      <c r="Q50" s="531"/>
      <c r="S50" s="2220"/>
      <c r="T50" s="2220"/>
      <c r="U50" s="2220"/>
      <c r="V50" s="2220"/>
      <c r="X50" s="630" t="s">
        <v>141</v>
      </c>
      <c r="Y50" s="531"/>
      <c r="AE50" s="662">
        <v>1907</v>
      </c>
      <c r="AF50" s="370" t="s">
        <v>92</v>
      </c>
      <c r="AG50" s="370"/>
      <c r="AH50" s="370"/>
      <c r="AI50" s="370" t="s">
        <v>92</v>
      </c>
      <c r="AJ50" s="370"/>
      <c r="AK50" s="370"/>
      <c r="AL50" s="370" t="s">
        <v>1680</v>
      </c>
      <c r="AM50" s="370" t="s">
        <v>1765</v>
      </c>
      <c r="AN50" s="370" t="s">
        <v>1766</v>
      </c>
      <c r="AO50" s="524" t="s">
        <v>1767</v>
      </c>
      <c r="AP50" s="524" t="s">
        <v>1711</v>
      </c>
      <c r="AQ50" s="370" t="s">
        <v>1768</v>
      </c>
      <c r="AR50" s="370" t="s">
        <v>1769</v>
      </c>
      <c r="AS50" s="524" t="s">
        <v>1770</v>
      </c>
      <c r="AT50" s="662">
        <v>1907</v>
      </c>
      <c r="BB50" s="370"/>
    </row>
    <row r="51" spans="5:65" ht="17.25" customHeight="1">
      <c r="O51" s="532" t="s">
        <v>1771</v>
      </c>
      <c r="Q51" s="531"/>
      <c r="S51" s="2220"/>
      <c r="T51" s="2220"/>
      <c r="U51" s="2220"/>
      <c r="V51" s="2220"/>
      <c r="X51" s="629" t="s">
        <v>143</v>
      </c>
      <c r="Y51" s="531"/>
      <c r="AE51" s="662">
        <v>1908</v>
      </c>
      <c r="AF51" s="370" t="s">
        <v>1772</v>
      </c>
      <c r="AG51" s="370"/>
      <c r="AH51" s="370"/>
      <c r="AI51" s="370" t="s">
        <v>92</v>
      </c>
      <c r="AJ51" s="370"/>
      <c r="AK51" s="370"/>
      <c r="AL51" s="370" t="s">
        <v>1680</v>
      </c>
      <c r="AM51" s="370" t="s">
        <v>1773</v>
      </c>
      <c r="AN51" s="370" t="s">
        <v>1774</v>
      </c>
      <c r="AO51" s="524" t="s">
        <v>1775</v>
      </c>
      <c r="AP51" s="524" t="s">
        <v>1711</v>
      </c>
      <c r="AQ51" s="370" t="s">
        <v>1776</v>
      </c>
      <c r="AR51" s="370" t="s">
        <v>1777</v>
      </c>
      <c r="AS51" s="524" t="s">
        <v>1778</v>
      </c>
      <c r="AT51" s="662">
        <v>1908</v>
      </c>
      <c r="BA51" s="685"/>
      <c r="BB51" s="370"/>
      <c r="BC51" s="685"/>
      <c r="BD51" s="685"/>
      <c r="BE51" s="685"/>
      <c r="BF51" s="685"/>
      <c r="BG51" s="685"/>
      <c r="BH51" s="685"/>
      <c r="BI51" s="685"/>
      <c r="BJ51" s="685"/>
      <c r="BK51" s="685"/>
      <c r="BL51" s="685"/>
      <c r="BM51" s="685"/>
    </row>
    <row r="52" spans="5:65" ht="17.25" customHeight="1">
      <c r="E52" s="2277" t="str">
        <f>IF(人物卡!M5=0," ","["&amp;LOOKUP(人物卡!M5,职业列表!A2:A232,职业列表!B2:B232)&amp;"]")</f>
        <v>[赏金猎人]</v>
      </c>
      <c r="F52" s="2278"/>
      <c r="G52" s="2278"/>
      <c r="H52" s="2279" t="s">
        <v>1779</v>
      </c>
      <c r="I52" s="2280"/>
      <c r="J52" s="2281" t="str">
        <f>IF(人物卡!M5=0," ","["&amp;LOOKUP(人物卡!M5,职业列表!A2:C232,职业列表!E2:E232)&amp;"]")</f>
        <v>[教育×2＋力量或敏捷×2]</v>
      </c>
      <c r="K52" s="2282"/>
      <c r="O52" s="532" t="s">
        <v>1780</v>
      </c>
      <c r="Q52" s="531"/>
      <c r="S52" s="2220"/>
      <c r="T52" s="2220"/>
      <c r="U52" s="2220"/>
      <c r="V52" s="2220"/>
      <c r="X52" s="629" t="s">
        <v>145</v>
      </c>
      <c r="Y52" s="531"/>
      <c r="AE52" s="662">
        <v>1909</v>
      </c>
      <c r="AF52" s="370" t="s">
        <v>92</v>
      </c>
      <c r="AG52" s="370"/>
      <c r="AH52" s="370"/>
      <c r="AI52" s="370" t="s">
        <v>92</v>
      </c>
      <c r="AJ52" s="370"/>
      <c r="AK52" s="370"/>
      <c r="AL52" s="370" t="s">
        <v>1781</v>
      </c>
      <c r="AM52" s="370" t="s">
        <v>1782</v>
      </c>
      <c r="AN52" s="370" t="s">
        <v>1783</v>
      </c>
      <c r="AO52" s="524" t="s">
        <v>1784</v>
      </c>
      <c r="AP52" s="524" t="s">
        <v>1785</v>
      </c>
      <c r="AQ52" s="370" t="s">
        <v>1786</v>
      </c>
      <c r="AR52" s="370" t="s">
        <v>1787</v>
      </c>
      <c r="AS52" s="524" t="s">
        <v>1788</v>
      </c>
      <c r="AT52" s="662">
        <v>1909</v>
      </c>
      <c r="BA52" s="686"/>
      <c r="BB52" s="370"/>
      <c r="BD52" s="687"/>
      <c r="BE52" s="687"/>
      <c r="BF52" s="686"/>
      <c r="BG52" s="686"/>
      <c r="BH52" s="686"/>
      <c r="BI52" s="686"/>
      <c r="BJ52" s="686"/>
      <c r="BK52" s="686"/>
      <c r="BL52" s="686"/>
      <c r="BM52" s="686"/>
    </row>
    <row r="53" spans="5:65" ht="17.25" customHeight="1">
      <c r="E53" s="2211" t="str">
        <f>IF(人物卡!M5=0," ","["&amp;LOOKUP(人物卡!M5,职业列表!A2:A232,职业列表!B2:B232)&amp;"]的本职技能："&amp;LOOKUP(人物卡!M5,职业列表!A2:A232,职业列表!G2:G232))</f>
        <v>[赏金猎人]的本职技能：汽车驾驶，电子学或电气维修，格斗或射击，一项社交技能（取悦、话术、恐吓、说服），法律，心理学，追踪，潜行。</v>
      </c>
      <c r="F53" s="2212"/>
      <c r="G53" s="2212"/>
      <c r="H53" s="2212"/>
      <c r="I53" s="2213"/>
      <c r="J53" s="2221">
        <f>IF(人物卡!M5=0," ",LOOKUP(人物卡!M5,职业列表!A2:C232,职业列表!F2:F232))</f>
        <v>316</v>
      </c>
      <c r="K53" s="2222"/>
      <c r="O53" s="532" t="s">
        <v>1789</v>
      </c>
      <c r="Q53" s="531"/>
      <c r="S53" s="2220"/>
      <c r="T53" s="2220"/>
      <c r="U53" s="2220"/>
      <c r="V53" s="2220"/>
      <c r="X53" s="629" t="s">
        <v>148</v>
      </c>
      <c r="Y53" s="531"/>
      <c r="AE53" s="662">
        <v>1910</v>
      </c>
      <c r="AF53" s="370" t="s">
        <v>92</v>
      </c>
      <c r="AG53" s="370"/>
      <c r="AH53" s="370"/>
      <c r="AI53" s="370" t="s">
        <v>92</v>
      </c>
      <c r="AJ53" s="370"/>
      <c r="AK53" s="370"/>
      <c r="AL53" s="370" t="s">
        <v>1790</v>
      </c>
      <c r="AM53" s="370" t="s">
        <v>1791</v>
      </c>
      <c r="AN53" s="370" t="s">
        <v>1792</v>
      </c>
      <c r="AO53" s="524" t="s">
        <v>1793</v>
      </c>
      <c r="AP53" s="524" t="s">
        <v>1794</v>
      </c>
      <c r="AQ53" s="370" t="s">
        <v>1795</v>
      </c>
      <c r="AR53" s="370" t="s">
        <v>1796</v>
      </c>
      <c r="AS53" s="524" t="s">
        <v>1797</v>
      </c>
      <c r="AT53" s="662">
        <v>1910</v>
      </c>
      <c r="BA53" s="686"/>
      <c r="BB53" s="370"/>
      <c r="BD53" s="687"/>
      <c r="BE53" s="687"/>
      <c r="BF53" s="686"/>
      <c r="BG53" s="686"/>
      <c r="BH53" s="686"/>
      <c r="BI53" s="686"/>
      <c r="BJ53" s="686"/>
      <c r="BK53" s="686"/>
      <c r="BL53" s="686"/>
      <c r="BM53" s="686"/>
    </row>
    <row r="54" spans="5:65" ht="17.25" customHeight="1">
      <c r="E54" s="2214"/>
      <c r="F54" s="2215"/>
      <c r="G54" s="2215"/>
      <c r="H54" s="2215"/>
      <c r="I54" s="2216"/>
      <c r="J54" s="2223"/>
      <c r="K54" s="2224"/>
      <c r="O54" s="532" t="s">
        <v>1798</v>
      </c>
      <c r="Q54" s="531"/>
      <c r="S54" s="2220"/>
      <c r="T54" s="2220"/>
      <c r="U54" s="2220"/>
      <c r="V54" s="2220"/>
      <c r="X54" s="629" t="s">
        <v>150</v>
      </c>
      <c r="Y54" s="531"/>
      <c r="AE54" s="662">
        <v>1911</v>
      </c>
      <c r="AF54" s="370" t="s">
        <v>92</v>
      </c>
      <c r="AG54" s="370"/>
      <c r="AH54" s="370"/>
      <c r="AI54" s="370" t="s">
        <v>1799</v>
      </c>
      <c r="AJ54" s="370"/>
      <c r="AK54" s="370"/>
      <c r="AL54" s="370" t="s">
        <v>1800</v>
      </c>
      <c r="AM54" s="370" t="s">
        <v>1801</v>
      </c>
      <c r="AN54" s="370" t="s">
        <v>1802</v>
      </c>
      <c r="AO54" s="524" t="s">
        <v>1803</v>
      </c>
      <c r="AP54" s="370" t="s">
        <v>1804</v>
      </c>
      <c r="AQ54" s="370" t="s">
        <v>1805</v>
      </c>
      <c r="AR54" s="370" t="s">
        <v>1806</v>
      </c>
      <c r="AS54" s="524" t="s">
        <v>1807</v>
      </c>
      <c r="AT54" s="662">
        <v>1911</v>
      </c>
      <c r="BA54" s="686"/>
      <c r="BB54" s="370"/>
      <c r="BF54" s="686"/>
      <c r="BG54" s="686"/>
      <c r="BH54" s="686"/>
      <c r="BI54" s="686"/>
      <c r="BJ54" s="686"/>
      <c r="BK54" s="686"/>
      <c r="BL54" s="686"/>
      <c r="BM54" s="686"/>
    </row>
    <row r="55" spans="5:65" ht="17.25" customHeight="1">
      <c r="E55" s="2214"/>
      <c r="F55" s="2215"/>
      <c r="G55" s="2215"/>
      <c r="H55" s="2215"/>
      <c r="I55" s="2216"/>
      <c r="J55" s="2223"/>
      <c r="K55" s="2224"/>
      <c r="O55" s="532" t="s">
        <v>1808</v>
      </c>
      <c r="Q55" s="531"/>
      <c r="S55" s="2220"/>
      <c r="T55" s="2220"/>
      <c r="U55" s="2220"/>
      <c r="V55" s="2220"/>
      <c r="X55" s="630" t="s">
        <v>152</v>
      </c>
      <c r="Y55" s="531"/>
      <c r="AE55" s="662">
        <v>1912</v>
      </c>
      <c r="AF55" s="370" t="s">
        <v>1809</v>
      </c>
      <c r="AG55" s="370" t="s">
        <v>1810</v>
      </c>
      <c r="AH55" s="370"/>
      <c r="AI55" s="370" t="s">
        <v>1811</v>
      </c>
      <c r="AJ55" s="370" t="s">
        <v>1812</v>
      </c>
      <c r="AK55" s="370"/>
      <c r="AL55" s="370" t="s">
        <v>1813</v>
      </c>
      <c r="AM55" s="370" t="s">
        <v>1814</v>
      </c>
      <c r="AN55" s="370" t="s">
        <v>1815</v>
      </c>
      <c r="AO55" s="524" t="s">
        <v>1816</v>
      </c>
      <c r="AP55" s="524" t="s">
        <v>1794</v>
      </c>
      <c r="AQ55" s="370" t="s">
        <v>1817</v>
      </c>
      <c r="AR55" s="524" t="s">
        <v>1818</v>
      </c>
      <c r="AS55" s="524" t="s">
        <v>1819</v>
      </c>
      <c r="AT55" s="662">
        <v>1912</v>
      </c>
      <c r="AZ55" s="686"/>
      <c r="BB55" s="370"/>
      <c r="BC55" s="686"/>
      <c r="BD55" s="686"/>
      <c r="BE55" s="686"/>
      <c r="BF55" s="686"/>
      <c r="BG55" s="686"/>
      <c r="BH55" s="686"/>
      <c r="BI55" s="686"/>
      <c r="BJ55" s="686"/>
      <c r="BK55" s="686"/>
      <c r="BL55" s="686"/>
    </row>
    <row r="56" spans="5:65" ht="17.25" customHeight="1">
      <c r="E56" s="2214"/>
      <c r="F56" s="2215"/>
      <c r="G56" s="2215"/>
      <c r="H56" s="2215"/>
      <c r="I56" s="2216"/>
      <c r="J56" s="2223"/>
      <c r="K56" s="2224"/>
      <c r="O56" s="532" t="s">
        <v>1820</v>
      </c>
      <c r="Q56" s="531"/>
      <c r="S56" s="2220"/>
      <c r="T56" s="2220"/>
      <c r="U56" s="2220"/>
      <c r="V56" s="2220"/>
      <c r="X56" s="631" t="s">
        <v>154</v>
      </c>
      <c r="Y56" s="531"/>
      <c r="AE56" s="662">
        <v>1913</v>
      </c>
      <c r="AF56" s="370" t="s">
        <v>1821</v>
      </c>
      <c r="AG56" s="370"/>
      <c r="AH56" s="370"/>
      <c r="AI56" s="370" t="s">
        <v>92</v>
      </c>
      <c r="AJ56" s="370"/>
      <c r="AK56" s="370"/>
      <c r="AL56" s="524" t="s">
        <v>1822</v>
      </c>
      <c r="AM56" s="370" t="s">
        <v>1823</v>
      </c>
      <c r="AN56" s="370" t="s">
        <v>1824</v>
      </c>
      <c r="AO56" s="524" t="s">
        <v>1825</v>
      </c>
      <c r="AP56" s="524" t="s">
        <v>1826</v>
      </c>
      <c r="AQ56" s="370" t="s">
        <v>1817</v>
      </c>
      <c r="AR56" s="524" t="s">
        <v>1827</v>
      </c>
      <c r="AT56" s="662">
        <v>1913</v>
      </c>
      <c r="AZ56" s="686"/>
      <c r="BB56" s="370"/>
      <c r="BE56" s="686"/>
      <c r="BF56" s="686"/>
      <c r="BG56" s="686"/>
      <c r="BH56" s="686"/>
      <c r="BI56" s="686"/>
      <c r="BJ56" s="686"/>
      <c r="BK56" s="686"/>
      <c r="BL56" s="686"/>
    </row>
    <row r="57" spans="5:65" ht="17.25" customHeight="1">
      <c r="E57" s="2214"/>
      <c r="F57" s="2215"/>
      <c r="G57" s="2215"/>
      <c r="H57" s="2215"/>
      <c r="I57" s="2216"/>
      <c r="J57" s="2223"/>
      <c r="K57" s="2224"/>
      <c r="O57" s="532" t="s">
        <v>201</v>
      </c>
      <c r="Q57" s="531"/>
      <c r="S57" s="2220"/>
      <c r="T57" s="2220"/>
      <c r="U57" s="2220"/>
      <c r="V57" s="2220"/>
      <c r="X57" s="630" t="s">
        <v>156</v>
      </c>
      <c r="Y57" s="531"/>
      <c r="AE57" s="662">
        <v>1914</v>
      </c>
      <c r="AF57" s="524" t="s">
        <v>1828</v>
      </c>
      <c r="AI57" s="370" t="s">
        <v>92</v>
      </c>
      <c r="AJ57" s="370"/>
      <c r="AK57" s="370"/>
      <c r="AL57" s="524" t="s">
        <v>1822</v>
      </c>
      <c r="AM57" s="370" t="s">
        <v>1829</v>
      </c>
      <c r="AN57" s="370" t="s">
        <v>1830</v>
      </c>
      <c r="AO57" s="370" t="s">
        <v>1831</v>
      </c>
      <c r="AP57" s="524" t="s">
        <v>1832</v>
      </c>
      <c r="AQ57" s="370" t="s">
        <v>1817</v>
      </c>
      <c r="AR57" s="524" t="s">
        <v>1827</v>
      </c>
      <c r="AT57" s="662">
        <v>1914</v>
      </c>
      <c r="AZ57" s="688"/>
      <c r="BB57" s="370"/>
      <c r="BC57" s="674"/>
      <c r="BD57" s="674"/>
      <c r="BE57" s="686"/>
      <c r="BF57" s="686"/>
      <c r="BG57" s="686"/>
      <c r="BH57" s="686"/>
      <c r="BI57" s="686"/>
      <c r="BJ57" s="686"/>
      <c r="BK57" s="686"/>
      <c r="BL57" s="686"/>
    </row>
    <row r="58" spans="5:65" ht="17.25" customHeight="1">
      <c r="E58" s="2217"/>
      <c r="F58" s="2218"/>
      <c r="G58" s="2218"/>
      <c r="H58" s="2218"/>
      <c r="I58" s="2219"/>
      <c r="J58" s="2225"/>
      <c r="K58" s="2226"/>
      <c r="O58" s="541" t="s">
        <v>212</v>
      </c>
      <c r="P58" s="542"/>
      <c r="Q58" s="578"/>
      <c r="S58" s="2220"/>
      <c r="T58" s="2220"/>
      <c r="U58" s="2220"/>
      <c r="V58" s="2220"/>
      <c r="X58" s="629" t="s">
        <v>158</v>
      </c>
      <c r="Y58" s="531"/>
      <c r="AE58" s="662">
        <v>1915</v>
      </c>
      <c r="AF58" s="524" t="s">
        <v>1828</v>
      </c>
      <c r="AI58" s="370" t="s">
        <v>1833</v>
      </c>
      <c r="AJ58" s="370"/>
      <c r="AK58" s="370"/>
      <c r="AL58" s="524" t="s">
        <v>1822</v>
      </c>
      <c r="AM58" s="370" t="s">
        <v>1834</v>
      </c>
      <c r="AN58" s="370" t="s">
        <v>1835</v>
      </c>
      <c r="AO58" s="524" t="s">
        <v>1836</v>
      </c>
      <c r="AP58" s="524" t="s">
        <v>1832</v>
      </c>
      <c r="AQ58" s="370" t="s">
        <v>1837</v>
      </c>
      <c r="AR58" s="524" t="s">
        <v>1827</v>
      </c>
      <c r="AS58" s="524" t="s">
        <v>1838</v>
      </c>
      <c r="AT58" s="662">
        <v>1915</v>
      </c>
      <c r="BA58" s="676"/>
      <c r="BB58" s="370"/>
      <c r="BC58" s="688"/>
      <c r="BD58" s="688"/>
      <c r="BE58" s="688"/>
      <c r="BF58" s="689"/>
      <c r="BG58" s="689"/>
      <c r="BH58" s="690"/>
      <c r="BI58" s="690"/>
      <c r="BJ58" s="689"/>
      <c r="BK58" s="689"/>
      <c r="BL58" s="690"/>
      <c r="BM58" s="690"/>
    </row>
    <row r="59" spans="5:65" ht="17.25" customHeight="1">
      <c r="E59" s="524" t="str">
        <f>IF(人物卡!M5=0," ",LOOKUP(人物卡!M5,职业列表!A2:C232,职业列表!E2:E232))</f>
        <v>教育×2＋力量或敏捷×2</v>
      </c>
      <c r="S59" s="2220"/>
      <c r="T59" s="2220"/>
      <c r="U59" s="2220"/>
      <c r="V59" s="2220"/>
      <c r="X59" s="629" t="s">
        <v>61</v>
      </c>
      <c r="Y59" s="531"/>
      <c r="AE59" s="662">
        <v>1916</v>
      </c>
      <c r="AF59" s="370" t="s">
        <v>1828</v>
      </c>
      <c r="AG59" s="370" t="s">
        <v>1839</v>
      </c>
      <c r="AH59" s="370"/>
      <c r="AI59" s="370" t="s">
        <v>1840</v>
      </c>
      <c r="AJ59" s="370"/>
      <c r="AK59" s="370"/>
      <c r="AL59" s="524" t="s">
        <v>1822</v>
      </c>
      <c r="AM59" s="370" t="s">
        <v>1841</v>
      </c>
      <c r="AN59" s="370" t="s">
        <v>1842</v>
      </c>
      <c r="AO59" s="524" t="s">
        <v>1843</v>
      </c>
      <c r="AP59" s="524" t="s">
        <v>1832</v>
      </c>
      <c r="AQ59" s="370" t="s">
        <v>1844</v>
      </c>
      <c r="AR59" s="524" t="s">
        <v>1845</v>
      </c>
      <c r="AS59" s="524" t="s">
        <v>1846</v>
      </c>
      <c r="AT59" s="662">
        <v>1916</v>
      </c>
      <c r="BA59" s="676"/>
      <c r="BB59" s="370"/>
      <c r="BC59" s="688"/>
      <c r="BD59" s="688"/>
      <c r="BE59" s="688"/>
      <c r="BF59" s="689"/>
      <c r="BG59" s="689"/>
      <c r="BH59" s="690"/>
      <c r="BI59" s="690"/>
      <c r="BJ59" s="689"/>
      <c r="BK59" s="689"/>
      <c r="BL59" s="690"/>
      <c r="BM59" s="690"/>
    </row>
    <row r="60" spans="5:65" ht="17.25" customHeight="1">
      <c r="S60" s="2220"/>
      <c r="T60" s="2220"/>
      <c r="U60" s="2220"/>
      <c r="V60" s="2220"/>
      <c r="X60" s="629" t="s">
        <v>63</v>
      </c>
      <c r="Y60" s="531"/>
      <c r="AE60" s="662">
        <v>1917</v>
      </c>
      <c r="AF60" s="370" t="s">
        <v>1828</v>
      </c>
      <c r="AG60" s="370" t="s">
        <v>1847</v>
      </c>
      <c r="AH60" s="370"/>
      <c r="AI60" s="370" t="s">
        <v>1848</v>
      </c>
      <c r="AJ60" s="370" t="s">
        <v>1849</v>
      </c>
      <c r="AK60" s="370"/>
      <c r="AL60" s="524" t="s">
        <v>1822</v>
      </c>
      <c r="AM60" s="370" t="s">
        <v>1850</v>
      </c>
      <c r="AN60" s="370" t="s">
        <v>1851</v>
      </c>
      <c r="AO60" s="524" t="s">
        <v>1852</v>
      </c>
      <c r="AP60" s="524" t="s">
        <v>1832</v>
      </c>
      <c r="AQ60" s="370" t="s">
        <v>1853</v>
      </c>
      <c r="AR60" s="524" t="s">
        <v>1854</v>
      </c>
      <c r="AS60" s="524" t="s">
        <v>1855</v>
      </c>
      <c r="AT60" s="662">
        <v>1917</v>
      </c>
      <c r="AV60" s="676"/>
      <c r="AW60" s="676"/>
      <c r="AX60" s="676"/>
      <c r="AY60" s="676"/>
      <c r="AZ60" s="676"/>
      <c r="BA60" s="688"/>
      <c r="BB60" s="370"/>
      <c r="BC60" s="688"/>
      <c r="BD60" s="688"/>
      <c r="BE60" s="689"/>
      <c r="BF60" s="689"/>
      <c r="BG60" s="690"/>
      <c r="BH60" s="690"/>
      <c r="BI60" s="689"/>
      <c r="BJ60" s="689"/>
      <c r="BK60" s="690"/>
      <c r="BL60" s="690"/>
    </row>
    <row r="61" spans="5:65" ht="17.25" customHeight="1">
      <c r="S61" s="2220"/>
      <c r="T61" s="2220"/>
      <c r="U61" s="2220"/>
      <c r="V61" s="2220"/>
      <c r="X61" s="629" t="s">
        <v>67</v>
      </c>
      <c r="Y61" s="531"/>
      <c r="AB61" s="524" t="e">
        <f>IF(ISBLANK(人物卡!#REF!),"",人物卡!#REF!)</f>
        <v>#REF!</v>
      </c>
      <c r="AE61" s="662">
        <v>1918</v>
      </c>
      <c r="AF61" s="524" t="s">
        <v>1828</v>
      </c>
      <c r="AI61" s="370" t="s">
        <v>92</v>
      </c>
      <c r="AJ61" s="370"/>
      <c r="AK61" s="370"/>
      <c r="AL61" s="524" t="s">
        <v>1822</v>
      </c>
      <c r="AM61" s="370" t="s">
        <v>1856</v>
      </c>
      <c r="AN61" s="370" t="s">
        <v>1857</v>
      </c>
      <c r="AO61" s="524" t="s">
        <v>1858</v>
      </c>
      <c r="AP61" s="524" t="s">
        <v>1832</v>
      </c>
      <c r="AQ61" s="370" t="s">
        <v>1859</v>
      </c>
      <c r="AR61" s="524" t="s">
        <v>1860</v>
      </c>
      <c r="AS61" s="524" t="s">
        <v>1861</v>
      </c>
      <c r="AT61" s="662">
        <v>1918</v>
      </c>
      <c r="AV61" s="676"/>
      <c r="AW61" s="676"/>
      <c r="AX61" s="676"/>
      <c r="AY61" s="676"/>
      <c r="AZ61" s="676"/>
      <c r="BA61" s="676"/>
      <c r="BB61" s="370"/>
      <c r="BC61" s="688"/>
      <c r="BD61" s="688"/>
      <c r="BE61" s="688"/>
      <c r="BF61" s="689"/>
      <c r="BG61" s="689"/>
      <c r="BH61" s="690"/>
      <c r="BI61" s="690"/>
      <c r="BJ61" s="689"/>
      <c r="BK61" s="689"/>
      <c r="BL61" s="690"/>
      <c r="BM61" s="690"/>
    </row>
    <row r="62" spans="5:65" ht="17.25" customHeight="1">
      <c r="X62" s="629" t="s">
        <v>70</v>
      </c>
      <c r="Y62" s="531"/>
      <c r="AE62" s="662">
        <v>1919</v>
      </c>
      <c r="AF62" s="370" t="s">
        <v>1862</v>
      </c>
      <c r="AG62" s="370"/>
      <c r="AH62" s="370"/>
      <c r="AI62" s="370" t="s">
        <v>1863</v>
      </c>
      <c r="AJ62" s="370"/>
      <c r="AK62" s="370"/>
      <c r="AL62" s="524" t="s">
        <v>1822</v>
      </c>
      <c r="AM62" s="370" t="s">
        <v>1864</v>
      </c>
      <c r="AN62" s="370" t="s">
        <v>1865</v>
      </c>
      <c r="AO62" s="559" t="s">
        <v>1866</v>
      </c>
      <c r="AP62" s="370" t="s">
        <v>1867</v>
      </c>
      <c r="AQ62" s="370" t="s">
        <v>1868</v>
      </c>
      <c r="AR62" s="524" t="s">
        <v>1869</v>
      </c>
      <c r="AS62" s="559" t="s">
        <v>1870</v>
      </c>
      <c r="AT62" s="662">
        <v>1919</v>
      </c>
      <c r="AV62" s="676"/>
      <c r="AW62" s="676"/>
      <c r="AX62" s="676"/>
      <c r="AY62" s="676"/>
      <c r="AZ62" s="676"/>
      <c r="BA62" s="676"/>
      <c r="BB62" s="370"/>
      <c r="BC62" s="688"/>
      <c r="BD62" s="688"/>
      <c r="BE62" s="688"/>
      <c r="BF62" s="689"/>
      <c r="BG62" s="689"/>
      <c r="BH62" s="690"/>
      <c r="BI62" s="690"/>
      <c r="BJ62" s="689"/>
      <c r="BK62" s="689"/>
      <c r="BL62" s="690"/>
      <c r="BM62" s="690"/>
    </row>
    <row r="63" spans="5:65" ht="17.25" customHeight="1">
      <c r="S63" s="2205"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70str70敏捷80dex80意志50pow50体质50con50外貌45app45教育78edu78体型35siz35智力80灵感80int80san50san值50理智50理智值50幸运94运气94mp10魔法10hp8体力8会计5人类学1估价5考古学1取悦15魅惑15攀爬20计算机56计算机使用56电脑56信用80信誉80信用评级80克苏鲁0克苏鲁神话0cm0乔装5闪避40汽车60驾驶60汽车驾驶60电气维修10电子学1话术5斗殴70手枪70急救80历史5恐吓50跳跃20母语78法律80图书馆20图书馆使用20聆听20开锁1撬锁1锁匠1机械维修10医学1博物学10自然学10领航10导航10神秘学5重型操作1重型机械1操作重型机械1重型1说服10精神分析1心理学60骑术5妙手10侦查25潜行60生存10游泳20投掷20追踪50动物驯养5潜水1爆破1读唇1催眠1炮术1</v>
      </c>
      <c r="T63" s="2205"/>
      <c r="U63" s="2205"/>
      <c r="V63" s="2205"/>
      <c r="X63" s="629" t="s">
        <v>72</v>
      </c>
      <c r="Y63" s="531"/>
      <c r="AE63" s="662">
        <v>1920</v>
      </c>
      <c r="AF63" s="370" t="s">
        <v>1871</v>
      </c>
      <c r="AG63" s="370" t="s">
        <v>1872</v>
      </c>
      <c r="AH63" s="370"/>
      <c r="AI63" s="370" t="s">
        <v>1873</v>
      </c>
      <c r="AJ63" s="370"/>
      <c r="AK63" s="370"/>
      <c r="AL63" s="370" t="s">
        <v>1874</v>
      </c>
      <c r="AM63" s="370" t="s">
        <v>1875</v>
      </c>
      <c r="AN63" s="370" t="s">
        <v>1876</v>
      </c>
      <c r="AO63" s="524" t="s">
        <v>1877</v>
      </c>
      <c r="AP63" s="524" t="s">
        <v>1878</v>
      </c>
      <c r="AQ63" s="370" t="s">
        <v>1879</v>
      </c>
      <c r="AR63" s="524" t="s">
        <v>1880</v>
      </c>
      <c r="AS63" s="524" t="s">
        <v>1881</v>
      </c>
      <c r="AT63" s="662">
        <v>1920</v>
      </c>
      <c r="AW63" s="677"/>
      <c r="AY63" s="559"/>
      <c r="BA63" s="559"/>
      <c r="BB63" s="370"/>
      <c r="BC63" s="688"/>
      <c r="BD63" s="688"/>
      <c r="BE63" s="688"/>
      <c r="BF63" s="689"/>
      <c r="BG63" s="689"/>
      <c r="BH63" s="690"/>
      <c r="BI63" s="690"/>
      <c r="BJ63" s="689"/>
      <c r="BK63" s="689"/>
      <c r="BL63" s="690"/>
      <c r="BM63" s="690"/>
    </row>
    <row r="64" spans="5:65" ht="17.25" customHeight="1">
      <c r="S64" s="2205"/>
      <c r="T64" s="2205"/>
      <c r="U64" s="2205"/>
      <c r="V64" s="2205"/>
      <c r="X64" s="629" t="s">
        <v>74</v>
      </c>
      <c r="Y64" s="531"/>
      <c r="AE64" s="662">
        <v>1921</v>
      </c>
      <c r="AF64" s="370" t="s">
        <v>1871</v>
      </c>
      <c r="AG64" s="370"/>
      <c r="AH64" s="370"/>
      <c r="AI64" s="370" t="s">
        <v>1882</v>
      </c>
      <c r="AJ64" s="370"/>
      <c r="AK64" s="370"/>
      <c r="AL64" s="370" t="s">
        <v>1874</v>
      </c>
      <c r="AM64" s="370" t="s">
        <v>1883</v>
      </c>
      <c r="AN64" s="370" t="s">
        <v>1884</v>
      </c>
      <c r="AO64" s="559" t="s">
        <v>1885</v>
      </c>
      <c r="AP64" s="524" t="s">
        <v>1886</v>
      </c>
      <c r="AQ64" s="370" t="s">
        <v>1887</v>
      </c>
      <c r="AR64" s="524" t="s">
        <v>1888</v>
      </c>
      <c r="AS64" s="559" t="s">
        <v>1889</v>
      </c>
      <c r="AT64" s="662">
        <v>1921</v>
      </c>
      <c r="AV64" s="677"/>
      <c r="AW64" s="677"/>
      <c r="AX64" s="559"/>
      <c r="AY64" s="559"/>
      <c r="AZ64" s="559"/>
      <c r="BA64" s="559"/>
      <c r="BB64" s="370"/>
      <c r="BC64" s="688"/>
      <c r="BD64" s="688"/>
      <c r="BE64" s="688"/>
      <c r="BF64" s="689"/>
      <c r="BG64" s="689"/>
      <c r="BH64" s="690"/>
      <c r="BI64" s="690"/>
      <c r="BJ64" s="689"/>
      <c r="BK64" s="689"/>
      <c r="BL64" s="690"/>
      <c r="BM64" s="690"/>
    </row>
    <row r="65" spans="2:65" ht="17.25" customHeight="1">
      <c r="S65" s="2205"/>
      <c r="T65" s="2205"/>
      <c r="U65" s="2205"/>
      <c r="V65" s="2205"/>
      <c r="X65" s="629" t="s">
        <v>76</v>
      </c>
      <c r="Y65" s="531"/>
      <c r="AE65" s="662">
        <v>1922</v>
      </c>
      <c r="AF65" s="370" t="s">
        <v>1871</v>
      </c>
      <c r="AG65" s="370"/>
      <c r="AH65" s="370"/>
      <c r="AI65" s="370" t="s">
        <v>92</v>
      </c>
      <c r="AJ65" s="370"/>
      <c r="AK65" s="370"/>
      <c r="AL65" s="370" t="s">
        <v>1874</v>
      </c>
      <c r="AM65" s="370" t="s">
        <v>1890</v>
      </c>
      <c r="AN65" s="370" t="s">
        <v>1891</v>
      </c>
      <c r="AO65" s="559" t="s">
        <v>1892</v>
      </c>
      <c r="AP65" s="370" t="s">
        <v>1893</v>
      </c>
      <c r="AQ65" s="370" t="s">
        <v>1894</v>
      </c>
      <c r="AR65" s="524" t="s">
        <v>1895</v>
      </c>
      <c r="AS65" s="559" t="s">
        <v>1896</v>
      </c>
      <c r="AT65" s="662">
        <v>1922</v>
      </c>
      <c r="AV65" s="677"/>
      <c r="AW65" s="677"/>
      <c r="AX65" s="559"/>
      <c r="AY65" s="559"/>
      <c r="AZ65" s="559"/>
      <c r="BA65" s="559"/>
      <c r="BB65" s="370"/>
      <c r="BC65" s="688"/>
      <c r="BD65" s="688"/>
      <c r="BE65" s="688"/>
      <c r="BF65" s="689"/>
      <c r="BG65" s="689"/>
      <c r="BH65" s="690"/>
      <c r="BI65" s="690"/>
      <c r="BJ65" s="689"/>
      <c r="BK65" s="689"/>
      <c r="BL65" s="690"/>
      <c r="BM65" s="690"/>
    </row>
    <row r="66" spans="2:65" ht="17.25" customHeight="1">
      <c r="B66" s="627"/>
      <c r="C66" s="627"/>
      <c r="D66" s="627"/>
      <c r="E66" s="627"/>
      <c r="F66" s="627"/>
      <c r="G66" s="627"/>
      <c r="H66" s="627"/>
      <c r="I66" s="627"/>
      <c r="J66" s="627"/>
      <c r="K66" s="627"/>
      <c r="L66" s="627"/>
      <c r="S66" s="2205"/>
      <c r="T66" s="2205"/>
      <c r="U66" s="2205"/>
      <c r="V66" s="2205"/>
      <c r="X66" s="629" t="s">
        <v>79</v>
      </c>
      <c r="Y66" s="531"/>
      <c r="AE66" s="662">
        <v>1923</v>
      </c>
      <c r="AF66" s="370" t="s">
        <v>1871</v>
      </c>
      <c r="AG66" s="370"/>
      <c r="AH66" s="370"/>
      <c r="AI66" s="370" t="s">
        <v>92</v>
      </c>
      <c r="AJ66" s="370"/>
      <c r="AK66" s="370"/>
      <c r="AL66" s="370" t="s">
        <v>1874</v>
      </c>
      <c r="AM66" s="370" t="s">
        <v>1897</v>
      </c>
      <c r="AN66" s="370" t="s">
        <v>1898</v>
      </c>
      <c r="AO66" s="559" t="s">
        <v>1899</v>
      </c>
      <c r="AP66" s="524" t="s">
        <v>1900</v>
      </c>
      <c r="AQ66" s="370" t="s">
        <v>1901</v>
      </c>
      <c r="AR66" s="524" t="s">
        <v>1902</v>
      </c>
      <c r="AS66" s="559" t="s">
        <v>1903</v>
      </c>
      <c r="AT66" s="662">
        <v>1923</v>
      </c>
      <c r="AV66" s="677"/>
      <c r="AW66" s="677"/>
      <c r="AX66" s="559"/>
      <c r="AY66" s="559"/>
      <c r="AZ66" s="559"/>
      <c r="BA66" s="559"/>
      <c r="BB66" s="370"/>
      <c r="BC66" s="688"/>
      <c r="BD66" s="688"/>
      <c r="BE66" s="688"/>
      <c r="BF66" s="689"/>
      <c r="BG66" s="689"/>
      <c r="BH66" s="690"/>
      <c r="BI66" s="690"/>
      <c r="BJ66" s="689"/>
      <c r="BK66" s="689"/>
      <c r="BL66" s="690"/>
      <c r="BM66" s="690"/>
    </row>
    <row r="67" spans="2:65" ht="17.25" customHeight="1">
      <c r="G67" s="691"/>
      <c r="H67" s="691"/>
      <c r="I67" s="691"/>
      <c r="S67" s="2205"/>
      <c r="T67" s="2205"/>
      <c r="U67" s="2205"/>
      <c r="V67" s="2205"/>
      <c r="X67" s="629" t="s">
        <v>82</v>
      </c>
      <c r="Y67" s="531"/>
      <c r="AE67" s="662">
        <v>1924</v>
      </c>
      <c r="AF67" s="370" t="s">
        <v>1871</v>
      </c>
      <c r="AG67" s="370" t="s">
        <v>1676</v>
      </c>
      <c r="AH67" s="370"/>
      <c r="AI67" s="370" t="s">
        <v>1904</v>
      </c>
      <c r="AJ67" s="370"/>
      <c r="AK67" s="370"/>
      <c r="AL67" s="370" t="s">
        <v>1874</v>
      </c>
      <c r="AM67" s="370" t="s">
        <v>1905</v>
      </c>
      <c r="AN67" s="370" t="s">
        <v>1906</v>
      </c>
      <c r="AO67" s="524" t="s">
        <v>1907</v>
      </c>
      <c r="AP67" s="524" t="s">
        <v>1908</v>
      </c>
      <c r="AQ67" s="370" t="s">
        <v>1909</v>
      </c>
      <c r="AR67" s="524" t="s">
        <v>1910</v>
      </c>
      <c r="AS67" s="524" t="s">
        <v>1911</v>
      </c>
      <c r="AT67" s="662">
        <v>1924</v>
      </c>
      <c r="AY67" s="559"/>
      <c r="BA67" s="559"/>
      <c r="BB67" s="370"/>
      <c r="BC67" s="688"/>
      <c r="BD67" s="688"/>
      <c r="BE67" s="688"/>
      <c r="BF67" s="689"/>
      <c r="BG67" s="689"/>
      <c r="BH67" s="690"/>
      <c r="BI67" s="690"/>
      <c r="BJ67" s="689"/>
      <c r="BK67" s="689"/>
      <c r="BL67" s="690"/>
      <c r="BM67" s="690"/>
    </row>
    <row r="68" spans="2:65" ht="17.25" customHeight="1">
      <c r="G68" s="597"/>
      <c r="S68" s="2205"/>
      <c r="T68" s="2205"/>
      <c r="U68" s="2205"/>
      <c r="V68" s="2205"/>
      <c r="X68" s="629" t="s">
        <v>87</v>
      </c>
      <c r="Y68" s="531"/>
      <c r="AE68" s="662">
        <v>1925</v>
      </c>
      <c r="AF68" s="370" t="s">
        <v>1871</v>
      </c>
      <c r="AG68" s="370"/>
      <c r="AH68" s="370"/>
      <c r="AI68" s="370" t="s">
        <v>1912</v>
      </c>
      <c r="AJ68" s="370"/>
      <c r="AK68" s="370"/>
      <c r="AL68" s="370" t="s">
        <v>1874</v>
      </c>
      <c r="AM68" s="370" t="s">
        <v>1913</v>
      </c>
      <c r="AN68" s="370" t="s">
        <v>1914</v>
      </c>
      <c r="AO68" s="627" t="s">
        <v>1915</v>
      </c>
      <c r="AP68" s="524" t="s">
        <v>1916</v>
      </c>
      <c r="AQ68" s="370" t="s">
        <v>1917</v>
      </c>
      <c r="AR68" s="524" t="s">
        <v>1918</v>
      </c>
      <c r="AS68" s="559" t="s">
        <v>1919</v>
      </c>
      <c r="AT68" s="662">
        <v>1925</v>
      </c>
      <c r="AV68" s="677"/>
      <c r="AW68" s="677"/>
      <c r="AX68" s="559"/>
      <c r="AY68" s="559"/>
      <c r="AZ68" s="559"/>
      <c r="BA68" s="559"/>
      <c r="BB68" s="370"/>
      <c r="BC68" s="688"/>
      <c r="BD68" s="688"/>
      <c r="BE68" s="688"/>
      <c r="BF68" s="689"/>
      <c r="BG68" s="689"/>
      <c r="BH68" s="690"/>
      <c r="BI68" s="690"/>
      <c r="BJ68" s="689"/>
      <c r="BK68" s="689"/>
      <c r="BL68" s="690"/>
      <c r="BM68" s="690"/>
    </row>
    <row r="69" spans="2:65" ht="17.25" customHeight="1">
      <c r="G69" s="598"/>
      <c r="S69" s="2205"/>
      <c r="T69" s="2205"/>
      <c r="U69" s="2205"/>
      <c r="V69" s="2205"/>
      <c r="X69" s="629" t="s">
        <v>95</v>
      </c>
      <c r="Y69" s="531"/>
      <c r="AE69" s="662">
        <v>1926</v>
      </c>
      <c r="AF69" s="370" t="s">
        <v>1871</v>
      </c>
      <c r="AG69" s="370" t="s">
        <v>1920</v>
      </c>
      <c r="AH69" s="370"/>
      <c r="AI69" s="370" t="s">
        <v>1921</v>
      </c>
      <c r="AJ69" s="370"/>
      <c r="AK69" s="370"/>
      <c r="AL69" s="370" t="s">
        <v>1874</v>
      </c>
      <c r="AM69" s="370" t="s">
        <v>1922</v>
      </c>
      <c r="AN69" s="370" t="s">
        <v>1923</v>
      </c>
      <c r="AO69" s="559" t="s">
        <v>1924</v>
      </c>
      <c r="AP69" s="370" t="s">
        <v>1925</v>
      </c>
      <c r="AQ69" s="370" t="s">
        <v>1926</v>
      </c>
      <c r="AR69" s="524" t="s">
        <v>1927</v>
      </c>
      <c r="AS69" s="559" t="s">
        <v>1928</v>
      </c>
      <c r="AT69" s="662">
        <v>1926</v>
      </c>
      <c r="AV69" s="677"/>
      <c r="AW69" s="677"/>
      <c r="AX69" s="559"/>
      <c r="AY69" s="559"/>
      <c r="AZ69" s="559"/>
      <c r="BA69" s="559"/>
      <c r="BB69" s="370"/>
      <c r="BC69" s="688"/>
      <c r="BD69" s="688"/>
      <c r="BE69" s="688"/>
      <c r="BF69" s="689"/>
      <c r="BG69" s="689"/>
      <c r="BH69" s="690"/>
      <c r="BI69" s="690"/>
      <c r="BJ69" s="689"/>
      <c r="BK69" s="689"/>
      <c r="BL69" s="690"/>
      <c r="BM69" s="690"/>
    </row>
    <row r="70" spans="2:65" ht="17.25" customHeight="1">
      <c r="G70" s="598"/>
      <c r="S70" s="2205"/>
      <c r="T70" s="2205"/>
      <c r="U70" s="2205"/>
      <c r="V70" s="2205"/>
      <c r="X70" s="629" t="s">
        <v>97</v>
      </c>
      <c r="Y70" s="531"/>
      <c r="AE70" s="662">
        <v>1927</v>
      </c>
      <c r="AF70" s="370" t="s">
        <v>1871</v>
      </c>
      <c r="AG70" s="370"/>
      <c r="AH70" s="370"/>
      <c r="AI70" s="370" t="s">
        <v>1929</v>
      </c>
      <c r="AJ70" s="370" t="s">
        <v>1930</v>
      </c>
      <c r="AK70" s="370"/>
      <c r="AL70" s="370" t="s">
        <v>1874</v>
      </c>
      <c r="AM70" s="370" t="s">
        <v>1931</v>
      </c>
      <c r="AN70" s="370" t="s">
        <v>1932</v>
      </c>
      <c r="AO70" s="559" t="s">
        <v>1933</v>
      </c>
      <c r="AP70" s="370" t="s">
        <v>1934</v>
      </c>
      <c r="AQ70" s="370" t="s">
        <v>1935</v>
      </c>
      <c r="AR70" s="524" t="s">
        <v>1936</v>
      </c>
      <c r="AS70" s="559" t="s">
        <v>1937</v>
      </c>
      <c r="AT70" s="662">
        <v>1927</v>
      </c>
      <c r="AV70" s="677"/>
      <c r="AW70" s="677"/>
      <c r="AX70" s="559"/>
      <c r="AY70" s="559"/>
      <c r="AZ70" s="559"/>
      <c r="BA70" s="559"/>
      <c r="BB70" s="370"/>
      <c r="BC70" s="688"/>
      <c r="BD70" s="688"/>
      <c r="BE70" s="688"/>
      <c r="BF70" s="689"/>
      <c r="BG70" s="689"/>
      <c r="BH70" s="690"/>
      <c r="BI70" s="690"/>
      <c r="BJ70" s="689"/>
      <c r="BK70" s="689"/>
      <c r="BL70" s="690"/>
      <c r="BM70" s="690"/>
    </row>
    <row r="71" spans="2:65" ht="17.25" customHeight="1">
      <c r="G71" s="598"/>
      <c r="S71" s="2205"/>
      <c r="T71" s="2205"/>
      <c r="U71" s="2205"/>
      <c r="V71" s="2205"/>
      <c r="X71" s="629" t="s">
        <v>104</v>
      </c>
      <c r="Y71" s="531"/>
      <c r="AE71" s="662">
        <v>1928</v>
      </c>
      <c r="AF71" s="370" t="s">
        <v>1871</v>
      </c>
      <c r="AG71" s="370" t="s">
        <v>1938</v>
      </c>
      <c r="AH71" s="370"/>
      <c r="AI71" s="370" t="s">
        <v>1939</v>
      </c>
      <c r="AJ71" s="370"/>
      <c r="AK71" s="370"/>
      <c r="AL71" s="370" t="s">
        <v>1874</v>
      </c>
      <c r="AM71" s="370" t="s">
        <v>1940</v>
      </c>
      <c r="AN71" s="370" t="s">
        <v>1941</v>
      </c>
      <c r="AO71" s="370" t="s">
        <v>1942</v>
      </c>
      <c r="AP71" s="524" t="s">
        <v>1943</v>
      </c>
      <c r="AQ71" s="370" t="s">
        <v>1944</v>
      </c>
      <c r="AR71" s="524" t="s">
        <v>1945</v>
      </c>
      <c r="AS71" s="524" t="s">
        <v>1946</v>
      </c>
      <c r="AT71" s="662">
        <v>1928</v>
      </c>
      <c r="AW71" s="707"/>
      <c r="AY71" s="707"/>
      <c r="BA71" s="707"/>
      <c r="BB71" s="370"/>
      <c r="BC71" s="688"/>
      <c r="BD71" s="688"/>
      <c r="BE71" s="688"/>
      <c r="BF71" s="689"/>
      <c r="BG71" s="689"/>
      <c r="BH71" s="690"/>
      <c r="BI71" s="690"/>
      <c r="BJ71" s="689"/>
      <c r="BK71" s="689"/>
      <c r="BL71" s="690"/>
      <c r="BM71" s="690"/>
    </row>
    <row r="72" spans="2:65" ht="17.25" customHeight="1">
      <c r="S72" s="2205"/>
      <c r="T72" s="2205"/>
      <c r="U72" s="2205"/>
      <c r="V72" s="2205"/>
      <c r="X72" s="629" t="s">
        <v>106</v>
      </c>
      <c r="Y72" s="531"/>
      <c r="AA72" s="675"/>
      <c r="AB72" s="675"/>
      <c r="AE72" s="662">
        <v>1929</v>
      </c>
      <c r="AF72" s="370" t="s">
        <v>1871</v>
      </c>
      <c r="AG72" s="370" t="s">
        <v>1947</v>
      </c>
      <c r="AH72" s="370"/>
      <c r="AI72" s="370" t="s">
        <v>92</v>
      </c>
      <c r="AJ72" s="370"/>
      <c r="AK72" s="370"/>
      <c r="AL72" s="370" t="s">
        <v>1874</v>
      </c>
      <c r="AM72" s="370" t="s">
        <v>1948</v>
      </c>
      <c r="AN72" s="370" t="s">
        <v>1949</v>
      </c>
      <c r="AO72" s="559" t="s">
        <v>1950</v>
      </c>
      <c r="AP72" s="370" t="s">
        <v>1951</v>
      </c>
      <c r="AQ72" s="370" t="s">
        <v>1952</v>
      </c>
      <c r="AR72" s="524" t="s">
        <v>1953</v>
      </c>
      <c r="AS72" s="559" t="s">
        <v>1954</v>
      </c>
      <c r="AT72" s="662">
        <v>1929</v>
      </c>
      <c r="AV72" s="707"/>
      <c r="AW72" s="707"/>
      <c r="AX72" s="707"/>
      <c r="AY72" s="707"/>
      <c r="AZ72" s="707"/>
      <c r="BA72" s="707"/>
      <c r="BB72" s="370"/>
      <c r="BC72" s="688"/>
      <c r="BD72" s="688"/>
      <c r="BE72" s="688"/>
      <c r="BF72" s="689"/>
      <c r="BG72" s="689"/>
      <c r="BH72" s="690"/>
      <c r="BI72" s="690"/>
      <c r="BJ72" s="689"/>
      <c r="BK72" s="689"/>
      <c r="BL72" s="690"/>
      <c r="BM72" s="690"/>
    </row>
    <row r="73" spans="2:65" ht="17.25" customHeight="1">
      <c r="S73" s="2205"/>
      <c r="T73" s="2205"/>
      <c r="U73" s="2205"/>
      <c r="V73" s="2205"/>
      <c r="X73" s="629" t="s">
        <v>110</v>
      </c>
      <c r="Y73" s="531"/>
      <c r="AA73" s="675"/>
      <c r="AB73" s="675"/>
      <c r="AE73" s="662">
        <v>1930</v>
      </c>
      <c r="AF73" s="370" t="s">
        <v>92</v>
      </c>
      <c r="AG73" s="370"/>
      <c r="AH73" s="370"/>
      <c r="AI73" s="370" t="s">
        <v>92</v>
      </c>
      <c r="AJ73" s="370"/>
      <c r="AK73" s="370"/>
      <c r="AL73" s="370" t="s">
        <v>1955</v>
      </c>
      <c r="AM73" s="370" t="s">
        <v>1956</v>
      </c>
      <c r="AN73" s="370" t="s">
        <v>1957</v>
      </c>
      <c r="AO73" s="559" t="s">
        <v>1958</v>
      </c>
      <c r="AP73" s="370" t="s">
        <v>1959</v>
      </c>
      <c r="AQ73" s="370" t="s">
        <v>1960</v>
      </c>
      <c r="AR73" s="524" t="s">
        <v>1961</v>
      </c>
      <c r="AS73" s="559" t="s">
        <v>1962</v>
      </c>
      <c r="AT73" s="662">
        <v>1930</v>
      </c>
      <c r="AV73" s="707"/>
      <c r="AW73" s="707"/>
      <c r="AX73" s="707"/>
      <c r="AY73" s="707"/>
      <c r="AZ73" s="707"/>
      <c r="BA73" s="707"/>
      <c r="BB73" s="370"/>
      <c r="BC73" s="688"/>
      <c r="BD73" s="688"/>
      <c r="BE73" s="688"/>
      <c r="BF73" s="689"/>
      <c r="BG73" s="689"/>
      <c r="BH73" s="690"/>
      <c r="BI73" s="690"/>
      <c r="BJ73" s="689"/>
      <c r="BK73" s="689"/>
      <c r="BL73" s="690"/>
      <c r="BM73" s="690"/>
    </row>
    <row r="74" spans="2:65" ht="17.25" customHeight="1">
      <c r="S74" s="2205"/>
      <c r="T74" s="2205"/>
      <c r="U74" s="2205"/>
      <c r="V74" s="2205"/>
      <c r="X74" s="631" t="s">
        <v>112</v>
      </c>
      <c r="Y74" s="531"/>
      <c r="AA74" s="675"/>
      <c r="AB74" s="675"/>
      <c r="AE74" s="662">
        <v>1931</v>
      </c>
      <c r="AF74" s="370" t="s">
        <v>92</v>
      </c>
      <c r="AG74" s="370"/>
      <c r="AH74" s="370"/>
      <c r="AI74" s="705" t="s">
        <v>1963</v>
      </c>
      <c r="AJ74" s="705" t="s">
        <v>1964</v>
      </c>
      <c r="AK74" s="705"/>
      <c r="AL74" s="370" t="s">
        <v>1955</v>
      </c>
      <c r="AM74" s="370" t="s">
        <v>1965</v>
      </c>
      <c r="AN74" s="370" t="s">
        <v>1966</v>
      </c>
      <c r="AO74" s="559" t="s">
        <v>1967</v>
      </c>
      <c r="AP74" s="370" t="s">
        <v>1968</v>
      </c>
      <c r="AQ74" s="370" t="s">
        <v>1969</v>
      </c>
      <c r="AR74" s="524" t="s">
        <v>1970</v>
      </c>
      <c r="AS74" s="559" t="s">
        <v>1971</v>
      </c>
      <c r="AT74" s="662">
        <v>1931</v>
      </c>
      <c r="AV74" s="707"/>
      <c r="AW74" s="707"/>
      <c r="AX74" s="707"/>
      <c r="AY74" s="707"/>
      <c r="AZ74" s="707"/>
      <c r="BA74" s="707"/>
      <c r="BB74" s="370"/>
      <c r="BC74" s="688"/>
      <c r="BD74" s="688"/>
      <c r="BE74" s="688"/>
      <c r="BF74" s="689"/>
      <c r="BG74" s="689"/>
      <c r="BH74" s="690"/>
      <c r="BI74" s="690"/>
      <c r="BJ74" s="689"/>
      <c r="BK74" s="689"/>
      <c r="BL74" s="690"/>
      <c r="BM74" s="690"/>
    </row>
    <row r="75" spans="2:65" ht="17.25" customHeight="1">
      <c r="M75" s="627"/>
      <c r="N75" s="627"/>
      <c r="O75" s="627"/>
      <c r="P75" s="627"/>
      <c r="S75" s="370"/>
      <c r="T75" s="370"/>
      <c r="U75" s="370"/>
      <c r="V75" s="370"/>
      <c r="X75" s="631" t="s">
        <v>115</v>
      </c>
      <c r="Y75" s="531"/>
      <c r="AA75" s="675"/>
      <c r="AB75" s="675"/>
      <c r="AE75" s="662">
        <v>1932</v>
      </c>
      <c r="AF75" s="703" t="s">
        <v>1972</v>
      </c>
      <c r="AG75" s="370" t="s">
        <v>1973</v>
      </c>
      <c r="AH75" s="703"/>
      <c r="AI75" s="370" t="s">
        <v>1974</v>
      </c>
      <c r="AK75" s="370"/>
      <c r="AL75" s="370" t="s">
        <v>1955</v>
      </c>
      <c r="AM75" s="370" t="s">
        <v>1975</v>
      </c>
      <c r="AN75" s="370" t="s">
        <v>1976</v>
      </c>
      <c r="AO75" s="559" t="s">
        <v>1977</v>
      </c>
      <c r="AP75" s="370" t="s">
        <v>1978</v>
      </c>
      <c r="AQ75" s="370" t="s">
        <v>1979</v>
      </c>
      <c r="AR75" s="524" t="s">
        <v>1980</v>
      </c>
      <c r="AS75" s="559" t="s">
        <v>1981</v>
      </c>
      <c r="AT75" s="662">
        <v>1932</v>
      </c>
      <c r="AV75" s="707"/>
      <c r="AW75" s="707"/>
      <c r="AX75" s="707"/>
      <c r="AY75" s="707"/>
      <c r="AZ75" s="707"/>
      <c r="BA75" s="707"/>
      <c r="BB75" s="370"/>
      <c r="BC75" s="688"/>
      <c r="BD75" s="688"/>
      <c r="BE75" s="688"/>
      <c r="BF75" s="689"/>
      <c r="BG75" s="689"/>
      <c r="BH75" s="690"/>
      <c r="BI75" s="690"/>
      <c r="BJ75" s="689"/>
      <c r="BK75" s="689"/>
      <c r="BL75" s="690"/>
      <c r="BM75" s="690"/>
    </row>
    <row r="76" spans="2:65" ht="17.25" customHeight="1">
      <c r="M76" s="627"/>
      <c r="N76" s="627"/>
      <c r="O76" s="627"/>
      <c r="P76" s="627"/>
      <c r="S76" s="2205" t="str">
        <f>".st "&amp;人物卡!E3&amp;"-"&amp;"力量"&amp;G14&amp;"敏捷"&amp;J14&amp;"意志"&amp;M14&amp;"体质"&amp;H14&amp;"外貌"&amp;K14&amp;"教育"&amp;N14&amp;"体型"&amp;I14&amp;"智力"&amp;L14&amp;"灵感"&amp;L14&amp;"理智"&amp;人物卡!N10&amp;"幸运"&amp;O14&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人物卡!F24&amp;人物卡!R24&amp;"计算机"&amp;人物卡!R25&amp;"信用"&amp;人物卡!R26&amp;"克苏鲁"&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人物卡!AB18&amp;人物卡!AN18&amp;"开锁"&amp;人物卡!AN19&amp;"锁匠"&amp;人物卡!AN19&amp;人物卡!AB20&amp;人物卡!AN20&amp;人物卡!AB21&amp;人物卡!AN21&amp;"博物学"&amp;人物卡!AN22&amp;"导航"&amp;人物卡!AN23&amp;人物卡!AB24&amp;人物卡!AN24&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70敏捷80意志50体质50外貌45教育78体型35智力80灵感80理智50幸运94魔法10hp8体力8会计5人类学1估价5考古学1取悦15攀爬20计算机56信用80克苏鲁0乔装5闪避40汽车60驾驶60汽车驾驶60电气维修10电子学1话术5斗殴70手枪70急救80历史5恐吓50跳跃20母语78法律80图书馆20聆听20开锁1锁匠1机械维修10医学1博物学10导航10神秘学5操作重型机械1重型1说服10精神分析1心理学60骑术5妙手10侦查25潜行60生存10游泳20投掷20追踪50动物驯养5潜水1爆破1读唇1催眠1炮术1</v>
      </c>
      <c r="T76" s="2205"/>
      <c r="U76" s="2205"/>
      <c r="V76" s="2205"/>
      <c r="X76" s="629" t="s">
        <v>117</v>
      </c>
      <c r="Y76" s="531"/>
      <c r="AA76" s="675"/>
      <c r="AB76" s="675"/>
      <c r="AE76" s="662">
        <v>1933</v>
      </c>
      <c r="AF76" s="703" t="s">
        <v>1982</v>
      </c>
      <c r="AG76" s="703"/>
      <c r="AH76" s="703"/>
      <c r="AI76" s="370" t="s">
        <v>1983</v>
      </c>
      <c r="AJ76" s="370"/>
      <c r="AK76" s="370"/>
      <c r="AL76" s="370" t="s">
        <v>1955</v>
      </c>
      <c r="AM76" s="370" t="s">
        <v>1984</v>
      </c>
      <c r="AN76" s="370" t="s">
        <v>1985</v>
      </c>
      <c r="AO76" s="559" t="s">
        <v>1986</v>
      </c>
      <c r="AP76" s="370" t="s">
        <v>1987</v>
      </c>
      <c r="AQ76" s="370" t="s">
        <v>1988</v>
      </c>
      <c r="AR76" s="524" t="s">
        <v>1989</v>
      </c>
      <c r="AS76" s="559" t="s">
        <v>1990</v>
      </c>
      <c r="AT76" s="662">
        <v>1933</v>
      </c>
      <c r="AV76" s="707"/>
      <c r="AW76" s="707"/>
      <c r="AX76" s="707"/>
      <c r="AY76" s="707"/>
      <c r="AZ76" s="707"/>
      <c r="BA76" s="707"/>
      <c r="BB76" s="370"/>
      <c r="BC76" s="688"/>
      <c r="BD76" s="688"/>
      <c r="BE76" s="688"/>
      <c r="BF76" s="689"/>
      <c r="BG76" s="689"/>
      <c r="BH76" s="690"/>
      <c r="BI76" s="690"/>
      <c r="BJ76" s="689"/>
      <c r="BK76" s="689"/>
      <c r="BL76" s="690"/>
      <c r="BM76" s="690"/>
    </row>
    <row r="77" spans="2:65" ht="17.25" customHeight="1">
      <c r="M77" s="627"/>
      <c r="N77" s="627"/>
      <c r="O77" s="627"/>
      <c r="P77" s="627"/>
      <c r="S77" s="2205"/>
      <c r="T77" s="2205"/>
      <c r="U77" s="2205"/>
      <c r="V77" s="2205"/>
      <c r="X77" s="629" t="s">
        <v>121</v>
      </c>
      <c r="Y77" s="531"/>
      <c r="AA77" s="675"/>
      <c r="AB77" s="675"/>
      <c r="AE77" s="662">
        <v>1934</v>
      </c>
      <c r="AF77" s="370" t="s">
        <v>92</v>
      </c>
      <c r="AG77" s="370"/>
      <c r="AH77" s="370"/>
      <c r="AI77" s="705" t="s">
        <v>1991</v>
      </c>
      <c r="AJ77" s="705"/>
      <c r="AK77" s="705"/>
      <c r="AL77" s="370" t="s">
        <v>1955</v>
      </c>
      <c r="AM77" s="370" t="s">
        <v>1992</v>
      </c>
      <c r="AN77" s="370" t="s">
        <v>1993</v>
      </c>
      <c r="AO77" s="559" t="s">
        <v>1994</v>
      </c>
      <c r="AP77" s="524" t="s">
        <v>1995</v>
      </c>
      <c r="AQ77" s="370" t="s">
        <v>1996</v>
      </c>
      <c r="AR77" s="524" t="s">
        <v>1997</v>
      </c>
      <c r="AS77" s="559" t="s">
        <v>1998</v>
      </c>
      <c r="AT77" s="662">
        <v>1934</v>
      </c>
      <c r="AV77" s="707"/>
      <c r="AW77" s="707"/>
      <c r="AX77" s="707"/>
      <c r="AY77" s="707"/>
      <c r="AZ77" s="707"/>
      <c r="BA77" s="707"/>
      <c r="BB77" s="370"/>
      <c r="BC77" s="688"/>
      <c r="BD77" s="688"/>
      <c r="BE77" s="688"/>
      <c r="BF77" s="689"/>
      <c r="BG77" s="689"/>
      <c r="BH77" s="690"/>
      <c r="BI77" s="690"/>
      <c r="BJ77" s="689"/>
      <c r="BK77" s="689"/>
      <c r="BL77" s="690"/>
      <c r="BM77" s="690"/>
    </row>
    <row r="78" spans="2:65" ht="17.25" customHeight="1">
      <c r="M78" s="627"/>
      <c r="N78" s="627"/>
      <c r="O78" s="627"/>
      <c r="P78" s="627"/>
      <c r="S78" s="2205"/>
      <c r="T78" s="2205"/>
      <c r="U78" s="2205"/>
      <c r="V78" s="2205"/>
      <c r="X78" s="629" t="s">
        <v>123</v>
      </c>
      <c r="Y78" s="531"/>
      <c r="AA78" s="675"/>
      <c r="AB78" s="675"/>
      <c r="AE78" s="662">
        <v>1935</v>
      </c>
      <c r="AF78" s="370" t="s">
        <v>92</v>
      </c>
      <c r="AG78" s="370"/>
      <c r="AH78" s="370"/>
      <c r="AI78" s="705" t="s">
        <v>1999</v>
      </c>
      <c r="AJ78" s="705" t="s">
        <v>2000</v>
      </c>
      <c r="AK78" s="705"/>
      <c r="AL78" s="370" t="s">
        <v>1955</v>
      </c>
      <c r="AM78" s="370" t="s">
        <v>2001</v>
      </c>
      <c r="AN78" s="370" t="s">
        <v>2002</v>
      </c>
      <c r="AO78" s="524" t="s">
        <v>2003</v>
      </c>
      <c r="AP78" s="524" t="s">
        <v>1995</v>
      </c>
      <c r="AQ78" s="370" t="s">
        <v>2004</v>
      </c>
      <c r="AR78" s="524" t="s">
        <v>2005</v>
      </c>
      <c r="AS78" s="524" t="s">
        <v>2006</v>
      </c>
      <c r="AT78" s="662">
        <v>1935</v>
      </c>
      <c r="AV78" s="688"/>
      <c r="AW78" s="688"/>
      <c r="AX78" s="708"/>
      <c r="AY78" s="708"/>
      <c r="AZ78" s="708"/>
      <c r="BA78" s="708"/>
      <c r="BB78" s="370"/>
      <c r="BC78" s="688"/>
      <c r="BD78" s="688"/>
      <c r="BE78" s="688"/>
      <c r="BF78" s="689"/>
      <c r="BG78" s="689"/>
      <c r="BH78" s="690"/>
      <c r="BI78" s="690"/>
      <c r="BJ78" s="689"/>
      <c r="BK78" s="689"/>
      <c r="BL78" s="690"/>
      <c r="BM78" s="690"/>
    </row>
    <row r="79" spans="2:65" ht="17.25" customHeight="1">
      <c r="G79" s="602"/>
      <c r="H79" s="602"/>
      <c r="I79" s="598"/>
      <c r="M79" s="627"/>
      <c r="N79" s="627"/>
      <c r="O79" s="627"/>
      <c r="P79" s="627"/>
      <c r="S79" s="2205"/>
      <c r="T79" s="2205"/>
      <c r="U79" s="2205"/>
      <c r="V79" s="2205"/>
      <c r="X79" s="629" t="s">
        <v>127</v>
      </c>
      <c r="Y79" s="531"/>
      <c r="AA79" s="675"/>
      <c r="AB79" s="675"/>
      <c r="AE79" s="662">
        <v>1936</v>
      </c>
      <c r="AF79" s="704" t="s">
        <v>2007</v>
      </c>
      <c r="AG79" s="704"/>
      <c r="AH79" s="704"/>
      <c r="AI79" s="705" t="s">
        <v>2008</v>
      </c>
      <c r="AJ79" s="705" t="s">
        <v>2009</v>
      </c>
      <c r="AK79" s="705"/>
      <c r="AL79" s="370" t="s">
        <v>1955</v>
      </c>
      <c r="AM79" s="370" t="s">
        <v>2010</v>
      </c>
      <c r="AN79" s="370" t="s">
        <v>2011</v>
      </c>
      <c r="AO79" s="559" t="s">
        <v>2012</v>
      </c>
      <c r="AP79" s="524" t="s">
        <v>1995</v>
      </c>
      <c r="AQ79" s="370" t="s">
        <v>2013</v>
      </c>
      <c r="AR79" s="524" t="s">
        <v>2014</v>
      </c>
      <c r="AS79" s="559" t="s">
        <v>2015</v>
      </c>
      <c r="AT79" s="662">
        <v>1936</v>
      </c>
      <c r="AV79" s="688"/>
      <c r="AW79" s="688"/>
      <c r="AX79" s="708"/>
      <c r="AY79" s="708"/>
      <c r="AZ79" s="708"/>
      <c r="BA79" s="708"/>
      <c r="BB79" s="370"/>
      <c r="BC79" s="688"/>
      <c r="BD79" s="688"/>
      <c r="BE79" s="688"/>
      <c r="BF79" s="689"/>
      <c r="BG79" s="689"/>
      <c r="BH79" s="690"/>
      <c r="BI79" s="690"/>
      <c r="BJ79" s="689"/>
      <c r="BK79" s="689"/>
      <c r="BL79" s="690"/>
      <c r="BM79" s="690"/>
    </row>
    <row r="80" spans="2:65" ht="17.25" customHeight="1">
      <c r="G80" s="602"/>
      <c r="H80" s="602"/>
      <c r="I80" s="602"/>
      <c r="M80" s="627"/>
      <c r="N80" s="627"/>
      <c r="O80" s="627"/>
      <c r="P80" s="627"/>
      <c r="S80" s="2205"/>
      <c r="T80" s="2205"/>
      <c r="U80" s="2205"/>
      <c r="V80" s="2205"/>
      <c r="X80" s="629" t="s">
        <v>132</v>
      </c>
      <c r="Y80" s="531"/>
      <c r="AA80" s="675"/>
      <c r="AB80" s="675"/>
      <c r="AE80" s="662">
        <v>1937</v>
      </c>
      <c r="AF80" s="370" t="s">
        <v>92</v>
      </c>
      <c r="AG80" s="370"/>
      <c r="AH80" s="370"/>
      <c r="AI80" s="705" t="s">
        <v>2016</v>
      </c>
      <c r="AJ80" s="705" t="s">
        <v>2017</v>
      </c>
      <c r="AK80" s="705" t="s">
        <v>2018</v>
      </c>
      <c r="AL80" s="370" t="s">
        <v>1955</v>
      </c>
      <c r="AM80" s="370" t="s">
        <v>2019</v>
      </c>
      <c r="AN80" s="370" t="s">
        <v>2020</v>
      </c>
      <c r="AO80" s="559" t="s">
        <v>2021</v>
      </c>
      <c r="AP80" s="524" t="s">
        <v>1995</v>
      </c>
      <c r="AQ80" s="370" t="s">
        <v>2022</v>
      </c>
      <c r="AR80" s="524" t="s">
        <v>2023</v>
      </c>
      <c r="AS80" s="559" t="s">
        <v>2024</v>
      </c>
      <c r="AT80" s="662">
        <v>1937</v>
      </c>
      <c r="AV80" s="688"/>
      <c r="AW80" s="688"/>
      <c r="AX80" s="708"/>
      <c r="AY80" s="708"/>
      <c r="AZ80" s="708"/>
      <c r="BA80" s="708"/>
      <c r="BB80" s="370"/>
      <c r="BC80" s="688"/>
      <c r="BD80" s="688"/>
      <c r="BE80" s="688"/>
      <c r="BF80" s="627"/>
      <c r="BG80" s="627"/>
      <c r="BH80" s="710"/>
      <c r="BI80" s="710"/>
      <c r="BJ80" s="627"/>
      <c r="BK80" s="627"/>
      <c r="BL80" s="710"/>
      <c r="BM80" s="710"/>
    </row>
    <row r="81" spans="2:65" ht="17.25" customHeight="1">
      <c r="F81" s="602"/>
      <c r="G81" s="602"/>
      <c r="H81" s="602"/>
      <c r="I81" s="598"/>
      <c r="M81" s="627"/>
      <c r="N81" s="627"/>
      <c r="O81" s="627"/>
      <c r="P81" s="627"/>
      <c r="S81" s="2205"/>
      <c r="T81" s="2205"/>
      <c r="U81" s="2205"/>
      <c r="V81" s="2205"/>
      <c r="X81" s="629" t="s">
        <v>135</v>
      </c>
      <c r="Y81" s="531"/>
      <c r="AA81" s="675"/>
      <c r="AB81" s="675"/>
      <c r="AE81" s="662">
        <v>1938</v>
      </c>
      <c r="AF81" s="370" t="s">
        <v>92</v>
      </c>
      <c r="AG81" s="370"/>
      <c r="AH81" s="370"/>
      <c r="AI81" s="705" t="s">
        <v>2025</v>
      </c>
      <c r="AJ81" s="705" t="s">
        <v>2026</v>
      </c>
      <c r="AK81" s="705"/>
      <c r="AL81" s="370" t="s">
        <v>1955</v>
      </c>
      <c r="AM81" s="370" t="s">
        <v>2027</v>
      </c>
      <c r="AN81" s="370" t="s">
        <v>2028</v>
      </c>
      <c r="AO81" s="559" t="s">
        <v>2029</v>
      </c>
      <c r="AP81" s="524" t="s">
        <v>1995</v>
      </c>
      <c r="AQ81" s="370" t="s">
        <v>2030</v>
      </c>
      <c r="AR81" s="524" t="s">
        <v>2031</v>
      </c>
      <c r="AS81" s="559" t="s">
        <v>2032</v>
      </c>
      <c r="AT81" s="662">
        <v>1938</v>
      </c>
      <c r="AV81" s="688"/>
      <c r="AW81" s="688"/>
      <c r="AX81" s="708"/>
      <c r="AY81" s="708"/>
      <c r="AZ81" s="708"/>
      <c r="BA81" s="708"/>
      <c r="BB81" s="370"/>
      <c r="BC81" s="688"/>
      <c r="BD81" s="688"/>
      <c r="BE81" s="688"/>
      <c r="BF81" s="627"/>
      <c r="BG81" s="627"/>
      <c r="BH81" s="710"/>
      <c r="BI81" s="710"/>
      <c r="BJ81" s="627"/>
      <c r="BK81" s="627"/>
      <c r="BL81" s="710"/>
      <c r="BM81" s="710"/>
    </row>
    <row r="82" spans="2:65" ht="17.25" customHeight="1">
      <c r="C82" s="598"/>
      <c r="E82" s="602"/>
      <c r="F82" s="602"/>
      <c r="G82" s="602"/>
      <c r="H82" s="602"/>
      <c r="I82" s="602"/>
      <c r="M82" s="627"/>
      <c r="N82" s="627"/>
      <c r="O82" s="627"/>
      <c r="P82" s="627"/>
      <c r="S82" s="2205"/>
      <c r="T82" s="2205"/>
      <c r="U82" s="2205"/>
      <c r="V82" s="2205"/>
      <c r="X82" s="629" t="s">
        <v>138</v>
      </c>
      <c r="Y82" s="531"/>
      <c r="AA82" s="675"/>
      <c r="AB82" s="675"/>
      <c r="AE82" s="662">
        <v>1939</v>
      </c>
      <c r="AF82" s="705" t="s">
        <v>2033</v>
      </c>
      <c r="AG82" s="705"/>
      <c r="AH82" s="705"/>
      <c r="AI82" s="370" t="s">
        <v>92</v>
      </c>
      <c r="AJ82" s="370"/>
      <c r="AK82" s="370"/>
      <c r="AL82" s="370" t="s">
        <v>1955</v>
      </c>
      <c r="AM82" s="370" t="s">
        <v>2034</v>
      </c>
      <c r="AN82" s="370" t="s">
        <v>2035</v>
      </c>
      <c r="AO82" s="559" t="s">
        <v>2036</v>
      </c>
      <c r="AP82" s="524" t="s">
        <v>1995</v>
      </c>
      <c r="AQ82" s="370" t="s">
        <v>2037</v>
      </c>
      <c r="AR82" s="524" t="s">
        <v>2038</v>
      </c>
      <c r="AS82" s="559" t="s">
        <v>2039</v>
      </c>
      <c r="AT82" s="662">
        <v>1939</v>
      </c>
      <c r="AV82" s="688"/>
      <c r="AW82" s="688"/>
      <c r="AX82" s="708"/>
      <c r="AY82" s="708"/>
      <c r="AZ82" s="708"/>
      <c r="BA82" s="708"/>
      <c r="BB82" s="370"/>
      <c r="BC82" s="688"/>
      <c r="BD82" s="688"/>
      <c r="BE82" s="688"/>
      <c r="BF82" s="627"/>
      <c r="BG82" s="627"/>
      <c r="BH82" s="710"/>
      <c r="BI82" s="710"/>
      <c r="BJ82" s="627"/>
      <c r="BK82" s="627"/>
      <c r="BL82" s="710"/>
      <c r="BM82" s="710"/>
    </row>
    <row r="83" spans="2:65" ht="17.25" customHeight="1">
      <c r="C83" s="598"/>
      <c r="F83" s="602"/>
      <c r="G83" s="602"/>
      <c r="H83" s="602"/>
      <c r="I83" s="598"/>
      <c r="M83" s="627"/>
      <c r="N83" s="627"/>
      <c r="O83" s="627"/>
      <c r="P83" s="627"/>
      <c r="S83" s="2205"/>
      <c r="T83" s="2205"/>
      <c r="U83" s="2205"/>
      <c r="V83" s="2205"/>
      <c r="X83" s="629" t="s">
        <v>140</v>
      </c>
      <c r="Y83" s="531"/>
      <c r="AA83" s="675"/>
      <c r="AB83" s="675"/>
      <c r="AC83" s="706"/>
      <c r="AE83" s="662">
        <v>1940</v>
      </c>
      <c r="AF83" s="705" t="s">
        <v>2033</v>
      </c>
      <c r="AG83" s="705" t="s">
        <v>1839</v>
      </c>
      <c r="AH83" s="705"/>
      <c r="AI83" s="370" t="s">
        <v>2040</v>
      </c>
      <c r="AJ83" s="370"/>
      <c r="AK83" s="370"/>
      <c r="AL83" s="370" t="s">
        <v>2041</v>
      </c>
      <c r="AM83" s="370" t="s">
        <v>2042</v>
      </c>
      <c r="AN83" s="370" t="s">
        <v>2043</v>
      </c>
      <c r="AO83" s="559" t="s">
        <v>2044</v>
      </c>
      <c r="AP83" s="370" t="s">
        <v>2045</v>
      </c>
      <c r="AQ83" s="370" t="s">
        <v>2046</v>
      </c>
      <c r="AR83" s="524" t="s">
        <v>2047</v>
      </c>
      <c r="AS83" s="559" t="s">
        <v>2048</v>
      </c>
      <c r="AT83" s="662">
        <v>1940</v>
      </c>
      <c r="AV83" s="688"/>
      <c r="AW83" s="688"/>
      <c r="AX83" s="708"/>
      <c r="AY83" s="708"/>
      <c r="AZ83" s="708"/>
      <c r="BA83" s="708"/>
      <c r="BB83" s="370"/>
      <c r="BC83" s="688"/>
      <c r="BD83" s="688"/>
      <c r="BE83" s="688"/>
      <c r="BF83" s="627"/>
      <c r="BG83" s="627"/>
      <c r="BH83" s="710"/>
      <c r="BI83" s="710"/>
      <c r="BJ83" s="627"/>
      <c r="BK83" s="627"/>
      <c r="BL83" s="710"/>
      <c r="BM83" s="710"/>
    </row>
    <row r="84" spans="2:65" ht="17.25" customHeight="1">
      <c r="B84" s="598"/>
      <c r="C84" s="602"/>
      <c r="E84" s="598"/>
      <c r="F84" s="598"/>
      <c r="G84" s="598"/>
      <c r="H84" s="598"/>
      <c r="I84" s="598"/>
      <c r="M84" s="627"/>
      <c r="N84" s="627"/>
      <c r="O84" s="627"/>
      <c r="P84" s="627"/>
      <c r="S84" s="2205"/>
      <c r="T84" s="2205"/>
      <c r="U84" s="2205"/>
      <c r="V84" s="2205"/>
      <c r="X84" s="631" t="s">
        <v>142</v>
      </c>
      <c r="Y84" s="531"/>
      <c r="AA84" s="675"/>
      <c r="AB84" s="675"/>
      <c r="AE84" s="662">
        <v>1941</v>
      </c>
      <c r="AF84" s="705" t="s">
        <v>2033</v>
      </c>
      <c r="AG84" s="705"/>
      <c r="AH84" s="705"/>
      <c r="AI84" s="370" t="s">
        <v>2049</v>
      </c>
      <c r="AJ84" s="370"/>
      <c r="AK84" s="370"/>
      <c r="AL84" s="370" t="s">
        <v>2041</v>
      </c>
      <c r="AM84" s="370" t="s">
        <v>2050</v>
      </c>
      <c r="AN84" s="370" t="s">
        <v>2051</v>
      </c>
      <c r="AO84" s="559" t="s">
        <v>2052</v>
      </c>
      <c r="AP84" s="524" t="s">
        <v>1995</v>
      </c>
      <c r="AQ84" s="370" t="s">
        <v>2053</v>
      </c>
      <c r="AR84" s="524" t="s">
        <v>2054</v>
      </c>
      <c r="AS84" s="559" t="s">
        <v>2055</v>
      </c>
      <c r="AT84" s="662">
        <v>1941</v>
      </c>
      <c r="AV84" s="688"/>
      <c r="AW84" s="688"/>
      <c r="AX84" s="708"/>
      <c r="AY84" s="708"/>
      <c r="AZ84" s="708"/>
      <c r="BA84" s="708"/>
      <c r="BB84" s="370"/>
      <c r="BC84" s="688"/>
      <c r="BD84" s="688"/>
      <c r="BE84" s="688"/>
      <c r="BF84" s="627"/>
      <c r="BG84" s="627"/>
      <c r="BH84" s="710"/>
      <c r="BI84" s="710"/>
      <c r="BJ84" s="627"/>
      <c r="BK84" s="627"/>
      <c r="BL84" s="710"/>
      <c r="BM84" s="710"/>
    </row>
    <row r="85" spans="2:65" ht="17.25" customHeight="1">
      <c r="C85" s="598"/>
      <c r="F85" s="602"/>
      <c r="G85" s="602"/>
      <c r="H85" s="602"/>
      <c r="I85" s="598"/>
      <c r="M85" s="627"/>
      <c r="N85" s="627"/>
      <c r="O85" s="627"/>
      <c r="P85" s="627"/>
      <c r="S85" s="2205"/>
      <c r="T85" s="2205"/>
      <c r="U85" s="2205"/>
      <c r="V85" s="2205"/>
      <c r="X85" s="631" t="s">
        <v>144</v>
      </c>
      <c r="Y85" s="531"/>
      <c r="AA85" s="675"/>
      <c r="AB85" s="675"/>
      <c r="AE85" s="662">
        <v>1942</v>
      </c>
      <c r="AF85" s="705" t="s">
        <v>2033</v>
      </c>
      <c r="AG85" s="705"/>
      <c r="AH85" s="705"/>
      <c r="AI85" s="370" t="s">
        <v>92</v>
      </c>
      <c r="AJ85" s="370"/>
      <c r="AK85" s="370"/>
      <c r="AL85" s="370" t="s">
        <v>2041</v>
      </c>
      <c r="AM85" s="370" t="s">
        <v>2056</v>
      </c>
      <c r="AN85" s="370" t="s">
        <v>2057</v>
      </c>
      <c r="AO85" s="559" t="s">
        <v>2058</v>
      </c>
      <c r="AP85" s="524" t="s">
        <v>1995</v>
      </c>
      <c r="AQ85" s="370" t="s">
        <v>2059</v>
      </c>
      <c r="AR85" s="524" t="s">
        <v>2060</v>
      </c>
      <c r="AS85" s="559" t="s">
        <v>2061</v>
      </c>
      <c r="AT85" s="662">
        <v>1942</v>
      </c>
      <c r="AV85" s="688"/>
      <c r="AW85" s="688"/>
      <c r="AX85" s="708"/>
      <c r="AY85" s="708"/>
      <c r="AZ85" s="708"/>
      <c r="BA85" s="708"/>
      <c r="BB85" s="370"/>
      <c r="BC85" s="688"/>
      <c r="BD85" s="688"/>
      <c r="BE85" s="688"/>
      <c r="BF85" s="627"/>
      <c r="BG85" s="627"/>
      <c r="BH85" s="711"/>
      <c r="BI85" s="711"/>
      <c r="BJ85" s="627"/>
      <c r="BK85" s="627"/>
      <c r="BL85" s="711"/>
      <c r="BM85" s="711"/>
    </row>
    <row r="86" spans="2:65" ht="17.25" customHeight="1">
      <c r="B86" s="602"/>
      <c r="C86" s="598"/>
      <c r="E86" s="602"/>
      <c r="F86" s="602"/>
      <c r="G86" s="602"/>
      <c r="H86" s="602"/>
      <c r="I86" s="602"/>
      <c r="M86" s="627"/>
      <c r="N86" s="627"/>
      <c r="O86" s="627"/>
      <c r="P86" s="627"/>
      <c r="S86" s="2205"/>
      <c r="T86" s="2205"/>
      <c r="U86" s="2205"/>
      <c r="V86" s="2205"/>
      <c r="X86" s="631" t="s">
        <v>146</v>
      </c>
      <c r="Y86" s="531"/>
      <c r="AA86" s="675"/>
      <c r="AB86" s="675"/>
      <c r="AE86" s="662">
        <v>1943</v>
      </c>
      <c r="AF86" s="705" t="s">
        <v>2033</v>
      </c>
      <c r="AG86" s="705"/>
      <c r="AH86" s="705"/>
      <c r="AI86" s="370" t="s">
        <v>92</v>
      </c>
      <c r="AJ86" s="370"/>
      <c r="AK86" s="370"/>
      <c r="AL86" s="370" t="s">
        <v>2041</v>
      </c>
      <c r="AM86" s="370" t="s">
        <v>2062</v>
      </c>
      <c r="AN86" s="370" t="s">
        <v>2063</v>
      </c>
      <c r="AO86" s="559" t="s">
        <v>2064</v>
      </c>
      <c r="AP86" s="370" t="s">
        <v>2065</v>
      </c>
      <c r="AQ86" s="370" t="s">
        <v>2066</v>
      </c>
      <c r="AR86" s="524" t="s">
        <v>2067</v>
      </c>
      <c r="AS86" s="559" t="s">
        <v>2068</v>
      </c>
      <c r="AT86" s="662">
        <v>1943</v>
      </c>
      <c r="AV86" s="688"/>
      <c r="AW86" s="688"/>
      <c r="AX86" s="708"/>
      <c r="AY86" s="708"/>
      <c r="AZ86" s="708"/>
      <c r="BA86" s="708"/>
      <c r="BB86" s="370"/>
      <c r="BC86" s="688"/>
      <c r="BD86" s="688"/>
      <c r="BE86" s="688"/>
      <c r="BF86" s="627"/>
      <c r="BG86" s="627"/>
      <c r="BH86" s="711"/>
      <c r="BI86" s="711"/>
      <c r="BJ86" s="627"/>
      <c r="BK86" s="627"/>
      <c r="BL86" s="711"/>
      <c r="BM86" s="711"/>
    </row>
    <row r="87" spans="2:65" ht="17.25" customHeight="1">
      <c r="B87" s="597"/>
      <c r="C87" s="598"/>
      <c r="F87" s="602"/>
      <c r="G87" s="602"/>
      <c r="H87" s="602"/>
      <c r="I87" s="695"/>
      <c r="M87" s="627"/>
      <c r="N87" s="627"/>
      <c r="O87" s="627"/>
      <c r="P87" s="627"/>
      <c r="S87" s="2205"/>
      <c r="T87" s="2205"/>
      <c r="U87" s="2205"/>
      <c r="V87" s="2205"/>
      <c r="X87" s="631" t="s">
        <v>149</v>
      </c>
      <c r="Y87" s="531"/>
      <c r="AA87" s="675"/>
      <c r="AB87" s="675"/>
      <c r="AC87" s="675"/>
      <c r="AD87" s="675"/>
      <c r="AE87" s="662">
        <v>1944</v>
      </c>
      <c r="AF87" s="705" t="s">
        <v>2069</v>
      </c>
      <c r="AG87" s="705" t="s">
        <v>1839</v>
      </c>
      <c r="AH87" s="705"/>
      <c r="AI87" s="370" t="s">
        <v>92</v>
      </c>
      <c r="AJ87" s="370"/>
      <c r="AK87" s="370"/>
      <c r="AL87" s="370" t="s">
        <v>2041</v>
      </c>
      <c r="AM87" s="370" t="s">
        <v>2070</v>
      </c>
      <c r="AN87" s="370" t="s">
        <v>2071</v>
      </c>
      <c r="AO87" s="559" t="s">
        <v>2072</v>
      </c>
      <c r="AP87" s="524" t="s">
        <v>1995</v>
      </c>
      <c r="AQ87" s="370" t="s">
        <v>2073</v>
      </c>
      <c r="AR87" s="524" t="s">
        <v>2074</v>
      </c>
      <c r="AS87" s="559" t="s">
        <v>2075</v>
      </c>
      <c r="AT87" s="662">
        <v>1944</v>
      </c>
      <c r="AV87" s="707"/>
      <c r="AW87" s="707"/>
      <c r="AX87" s="688"/>
      <c r="AY87" s="688"/>
      <c r="AZ87" s="707"/>
      <c r="BA87" s="707"/>
      <c r="BB87" s="370"/>
      <c r="BC87" s="688"/>
      <c r="BD87" s="688"/>
      <c r="BE87" s="688"/>
      <c r="BF87" s="627"/>
      <c r="BG87" s="627"/>
      <c r="BH87" s="711"/>
      <c r="BI87" s="711"/>
      <c r="BJ87" s="627"/>
      <c r="BK87" s="627"/>
      <c r="BL87" s="711"/>
      <c r="BM87" s="711"/>
    </row>
    <row r="88" spans="2:65" ht="17.25" customHeight="1">
      <c r="B88" s="598"/>
      <c r="C88" s="598"/>
      <c r="E88" s="598"/>
      <c r="F88" s="598"/>
      <c r="G88" s="598"/>
      <c r="H88" s="598"/>
      <c r="I88" s="598"/>
      <c r="M88" s="627"/>
      <c r="N88" s="627"/>
      <c r="O88" s="627"/>
      <c r="P88" s="627"/>
      <c r="S88" s="370"/>
      <c r="T88" s="370"/>
      <c r="U88" s="370"/>
      <c r="V88" s="370"/>
      <c r="X88" s="631" t="s">
        <v>151</v>
      </c>
      <c r="Y88" s="531"/>
      <c r="AA88" s="675"/>
      <c r="AB88" s="675"/>
      <c r="AC88" s="675"/>
      <c r="AD88" s="675"/>
      <c r="AE88" s="662">
        <v>1945</v>
      </c>
      <c r="AF88" s="705" t="s">
        <v>2033</v>
      </c>
      <c r="AG88" s="705"/>
      <c r="AH88" s="705"/>
      <c r="AI88" s="627" t="s">
        <v>2076</v>
      </c>
      <c r="AJ88" s="627" t="s">
        <v>2077</v>
      </c>
      <c r="AK88" s="627" t="s">
        <v>2078</v>
      </c>
      <c r="AL88" s="370" t="s">
        <v>2041</v>
      </c>
      <c r="AM88" s="370" t="s">
        <v>2079</v>
      </c>
      <c r="AN88" s="370" t="s">
        <v>2080</v>
      </c>
      <c r="AO88" s="559" t="s">
        <v>2081</v>
      </c>
      <c r="AP88" s="524" t="s">
        <v>2082</v>
      </c>
      <c r="AQ88" s="370" t="s">
        <v>2083</v>
      </c>
      <c r="AR88" s="524" t="s">
        <v>2084</v>
      </c>
      <c r="AS88" s="627" t="s">
        <v>2085</v>
      </c>
      <c r="AT88" s="662">
        <v>1945</v>
      </c>
      <c r="AV88" s="707"/>
      <c r="AW88" s="707"/>
      <c r="AX88" s="688"/>
      <c r="AY88" s="688"/>
      <c r="AZ88" s="707"/>
      <c r="BA88" s="707"/>
      <c r="BB88" s="370"/>
      <c r="BC88" s="688"/>
      <c r="BD88" s="688"/>
      <c r="BE88" s="688"/>
      <c r="BF88" s="627"/>
      <c r="BG88" s="627"/>
      <c r="BH88" s="711"/>
      <c r="BI88" s="711"/>
      <c r="BJ88" s="627"/>
      <c r="BK88" s="627"/>
      <c r="BL88" s="711"/>
      <c r="BM88" s="711"/>
    </row>
    <row r="89" spans="2:65" ht="17.25" customHeight="1">
      <c r="B89" s="598"/>
      <c r="C89" s="598"/>
      <c r="F89" s="602"/>
      <c r="G89" s="602"/>
      <c r="H89" s="602"/>
      <c r="I89" s="598"/>
      <c r="M89" s="627"/>
      <c r="N89" s="627"/>
      <c r="O89" s="627"/>
      <c r="P89" s="627"/>
      <c r="S89" s="370"/>
      <c r="T89" s="370"/>
      <c r="U89" s="370"/>
      <c r="V89" s="370"/>
      <c r="X89" s="631" t="s">
        <v>153</v>
      </c>
      <c r="Y89" s="531"/>
      <c r="AA89" s="675"/>
      <c r="AB89" s="675"/>
      <c r="AC89" s="675"/>
      <c r="AD89" s="675"/>
      <c r="AE89" s="662">
        <v>1946</v>
      </c>
      <c r="AF89" s="370" t="s">
        <v>92</v>
      </c>
      <c r="AG89" s="370"/>
      <c r="AH89" s="370"/>
      <c r="AI89" s="370" t="s">
        <v>2086</v>
      </c>
      <c r="AJ89" s="370"/>
      <c r="AK89" s="370"/>
      <c r="AL89" s="370" t="s">
        <v>2041</v>
      </c>
      <c r="AM89" s="370" t="s">
        <v>2087</v>
      </c>
      <c r="AN89" s="370" t="s">
        <v>2088</v>
      </c>
      <c r="AO89" s="524" t="s">
        <v>2089</v>
      </c>
      <c r="AP89" s="524" t="s">
        <v>2090</v>
      </c>
      <c r="AQ89" s="370" t="s">
        <v>2091</v>
      </c>
      <c r="AR89" s="524" t="s">
        <v>2092</v>
      </c>
      <c r="AS89" s="524" t="s">
        <v>2093</v>
      </c>
      <c r="AT89" s="662">
        <v>1946</v>
      </c>
      <c r="BB89" s="370"/>
      <c r="BE89" s="688"/>
      <c r="BF89" s="627"/>
      <c r="BG89" s="627"/>
      <c r="BH89" s="711"/>
      <c r="BI89" s="711"/>
      <c r="BJ89" s="627"/>
      <c r="BK89" s="627"/>
      <c r="BL89" s="711"/>
      <c r="BM89" s="711"/>
    </row>
    <row r="90" spans="2:65" ht="17.25" customHeight="1">
      <c r="B90" s="598"/>
      <c r="C90" s="598"/>
      <c r="D90" s="598"/>
      <c r="E90" s="598"/>
      <c r="F90" s="598"/>
      <c r="G90" s="598"/>
      <c r="H90" s="598"/>
      <c r="I90" s="598"/>
      <c r="M90" s="627"/>
      <c r="N90" s="627"/>
      <c r="O90" s="627"/>
      <c r="P90" s="627"/>
      <c r="S90" s="370"/>
      <c r="T90" s="370"/>
      <c r="U90" s="370"/>
      <c r="V90" s="370"/>
      <c r="X90" s="631" t="s">
        <v>155</v>
      </c>
      <c r="Y90" s="531"/>
      <c r="AA90" s="675"/>
      <c r="AB90" s="675"/>
      <c r="AC90" s="675"/>
      <c r="AD90" s="675"/>
      <c r="AE90" s="662">
        <v>1947</v>
      </c>
      <c r="AF90" s="627" t="s">
        <v>2094</v>
      </c>
      <c r="AG90" s="627"/>
      <c r="AH90" s="627"/>
      <c r="AI90" s="370" t="s">
        <v>92</v>
      </c>
      <c r="AJ90" s="370"/>
      <c r="AK90" s="370"/>
      <c r="AL90" s="370" t="s">
        <v>2041</v>
      </c>
      <c r="AM90" s="370" t="s">
        <v>2095</v>
      </c>
      <c r="AN90" s="370" t="s">
        <v>2096</v>
      </c>
      <c r="AO90" s="524" t="s">
        <v>2097</v>
      </c>
      <c r="AP90" s="524" t="s">
        <v>2090</v>
      </c>
      <c r="AQ90" s="370" t="s">
        <v>2098</v>
      </c>
      <c r="AR90" s="524" t="s">
        <v>2099</v>
      </c>
      <c r="AS90" s="524" t="s">
        <v>2100</v>
      </c>
      <c r="AT90" s="662">
        <v>1947</v>
      </c>
      <c r="BB90" s="370"/>
      <c r="BE90" s="688"/>
      <c r="BF90" s="627"/>
      <c r="BG90" s="627"/>
      <c r="BH90" s="711"/>
      <c r="BI90" s="711"/>
      <c r="BJ90" s="627"/>
      <c r="BK90" s="627"/>
      <c r="BL90" s="711"/>
      <c r="BM90" s="711"/>
    </row>
    <row r="91" spans="2:65" ht="17.25" customHeight="1">
      <c r="H91" s="559"/>
      <c r="M91" s="627"/>
      <c r="N91" s="627"/>
      <c r="O91" s="627"/>
      <c r="P91" s="627"/>
      <c r="S91" s="370"/>
      <c r="T91" s="370"/>
      <c r="U91" s="370"/>
      <c r="V91" s="370"/>
      <c r="X91" s="532" t="str">
        <f>IF(ISBLANK(人物卡!AB48),"",人物卡!AB48)</f>
        <v>自定义技能</v>
      </c>
      <c r="Y91" s="531"/>
      <c r="AA91" s="675"/>
      <c r="AB91" s="675"/>
      <c r="AC91" s="675"/>
      <c r="AD91" s="675"/>
      <c r="AE91" s="662">
        <v>1948</v>
      </c>
      <c r="AF91" s="627" t="s">
        <v>2101</v>
      </c>
      <c r="AG91" s="627" t="s">
        <v>1772</v>
      </c>
      <c r="AH91" s="627"/>
      <c r="AI91" s="370" t="s">
        <v>2102</v>
      </c>
      <c r="AJ91" s="370"/>
      <c r="AK91" s="370"/>
      <c r="AL91" s="370" t="s">
        <v>2041</v>
      </c>
      <c r="AM91" s="370" t="s">
        <v>2103</v>
      </c>
      <c r="AN91" s="370" t="s">
        <v>2104</v>
      </c>
      <c r="AO91" s="524" t="s">
        <v>2105</v>
      </c>
      <c r="AP91" s="524" t="s">
        <v>2090</v>
      </c>
      <c r="AQ91" s="370" t="s">
        <v>2106</v>
      </c>
      <c r="AR91" s="524" t="s">
        <v>2107</v>
      </c>
      <c r="AS91" s="524" t="s">
        <v>2108</v>
      </c>
      <c r="AT91" s="662">
        <v>1948</v>
      </c>
      <c r="BB91" s="370"/>
      <c r="BE91" s="688"/>
      <c r="BF91" s="627"/>
      <c r="BG91" s="627"/>
      <c r="BH91" s="711"/>
      <c r="BI91" s="711"/>
      <c r="BJ91" s="627"/>
      <c r="BK91" s="627"/>
      <c r="BL91" s="711"/>
      <c r="BM91" s="711"/>
    </row>
    <row r="92" spans="2:65" ht="17.25" customHeight="1">
      <c r="H92" s="559"/>
      <c r="M92" s="627"/>
      <c r="N92" s="627"/>
      <c r="O92" s="627"/>
      <c r="P92" s="627"/>
      <c r="S92" s="370"/>
      <c r="T92" s="370"/>
      <c r="U92" s="370"/>
      <c r="V92" s="370"/>
      <c r="X92" s="541" t="str">
        <f>IF(ISBLANK(人物卡!AB49),"",人物卡!AB49)</f>
        <v/>
      </c>
      <c r="Y92" s="578"/>
      <c r="AA92" s="675"/>
      <c r="AE92" s="662">
        <v>1949</v>
      </c>
      <c r="AF92" s="370" t="s">
        <v>2109</v>
      </c>
      <c r="AG92" s="370"/>
      <c r="AH92" s="370"/>
      <c r="AI92" s="370" t="s">
        <v>2110</v>
      </c>
      <c r="AJ92" s="370"/>
      <c r="AK92" s="370"/>
      <c r="AL92" s="370" t="s">
        <v>2041</v>
      </c>
      <c r="AM92" s="370" t="s">
        <v>2111</v>
      </c>
      <c r="AN92" s="370" t="s">
        <v>2112</v>
      </c>
      <c r="AO92" s="524" t="s">
        <v>2113</v>
      </c>
      <c r="AP92" s="524" t="s">
        <v>2090</v>
      </c>
      <c r="AQ92" s="370" t="s">
        <v>2114</v>
      </c>
      <c r="AR92" s="524" t="s">
        <v>2115</v>
      </c>
      <c r="AS92" s="524" t="s">
        <v>2116</v>
      </c>
      <c r="AT92" s="662">
        <v>1949</v>
      </c>
      <c r="BB92" s="370"/>
      <c r="BE92" s="688"/>
      <c r="BF92" s="627"/>
      <c r="BG92" s="627"/>
      <c r="BH92" s="711"/>
      <c r="BI92" s="711"/>
      <c r="BJ92" s="627"/>
      <c r="BK92" s="627"/>
      <c r="BL92" s="711"/>
      <c r="BM92" s="711"/>
    </row>
    <row r="93" spans="2:65" ht="17.25" customHeight="1">
      <c r="B93" s="692"/>
      <c r="C93" s="693">
        <v>2</v>
      </c>
      <c r="D93" s="693">
        <v>3</v>
      </c>
      <c r="E93" s="529">
        <v>4</v>
      </c>
      <c r="F93" s="529">
        <v>5</v>
      </c>
      <c r="G93" s="693">
        <v>6</v>
      </c>
      <c r="H93" s="693">
        <v>7</v>
      </c>
      <c r="I93" s="529">
        <v>8</v>
      </c>
      <c r="J93" s="529">
        <v>9</v>
      </c>
      <c r="K93" s="527">
        <v>10</v>
      </c>
      <c r="M93" s="627"/>
      <c r="N93" s="627"/>
      <c r="O93" s="627"/>
      <c r="P93" s="627"/>
      <c r="S93" s="370"/>
      <c r="T93" s="370"/>
      <c r="U93" s="370"/>
      <c r="V93" s="370"/>
      <c r="X93" s="700"/>
      <c r="Y93" s="700"/>
      <c r="AA93" s="675"/>
      <c r="AE93" s="662">
        <v>1950</v>
      </c>
      <c r="AF93" s="370" t="s">
        <v>2117</v>
      </c>
      <c r="AG93" s="370"/>
      <c r="AH93" s="370"/>
      <c r="AI93" s="370" t="s">
        <v>2118</v>
      </c>
      <c r="AJ93" s="370" t="s">
        <v>2119</v>
      </c>
      <c r="AK93" s="370"/>
      <c r="AL93" s="370" t="s">
        <v>2120</v>
      </c>
      <c r="AM93" s="370" t="s">
        <v>1546</v>
      </c>
      <c r="AN93" s="370" t="s">
        <v>2121</v>
      </c>
      <c r="AO93" s="524" t="s">
        <v>2122</v>
      </c>
      <c r="AP93" s="524" t="s">
        <v>2090</v>
      </c>
      <c r="AQ93" s="370" t="s">
        <v>2123</v>
      </c>
      <c r="AR93" s="524" t="s">
        <v>2124</v>
      </c>
      <c r="AS93" s="524" t="s">
        <v>2125</v>
      </c>
      <c r="AT93" s="662">
        <v>1950</v>
      </c>
      <c r="BB93" s="370"/>
      <c r="BE93" s="688"/>
      <c r="BF93" s="689"/>
      <c r="BG93" s="689"/>
      <c r="BH93" s="689"/>
      <c r="BI93" s="689"/>
      <c r="BJ93" s="689"/>
      <c r="BK93" s="689"/>
      <c r="BL93" s="689"/>
      <c r="BM93" s="689"/>
    </row>
    <row r="94" spans="2:65" ht="17.25" customHeight="1">
      <c r="B94" s="672" t="s">
        <v>54</v>
      </c>
      <c r="C94" s="559" t="s">
        <v>89</v>
      </c>
      <c r="D94" s="559" t="s">
        <v>2126</v>
      </c>
      <c r="E94" s="559" t="s">
        <v>2127</v>
      </c>
      <c r="F94" s="559" t="s">
        <v>2128</v>
      </c>
      <c r="G94" s="559" t="s">
        <v>2129</v>
      </c>
      <c r="H94" s="559" t="s">
        <v>2130</v>
      </c>
      <c r="I94" s="559" t="s">
        <v>2131</v>
      </c>
      <c r="J94" s="559" t="s">
        <v>2132</v>
      </c>
      <c r="K94" s="531" t="s">
        <v>2133</v>
      </c>
      <c r="L94" s="1488"/>
      <c r="M94" s="627"/>
      <c r="N94" s="627"/>
      <c r="O94" s="627"/>
      <c r="P94" s="627"/>
      <c r="S94" s="370"/>
      <c r="T94" s="370"/>
      <c r="U94" s="370"/>
      <c r="V94" s="370"/>
      <c r="AA94" s="675"/>
      <c r="AE94" s="662">
        <v>1951</v>
      </c>
      <c r="AF94" s="370" t="s">
        <v>2117</v>
      </c>
      <c r="AG94" s="370"/>
      <c r="AH94" s="370"/>
      <c r="AI94" s="370" t="s">
        <v>2134</v>
      </c>
      <c r="AJ94" s="370" t="s">
        <v>2135</v>
      </c>
      <c r="AK94" s="370"/>
      <c r="AL94" s="370" t="s">
        <v>2120</v>
      </c>
      <c r="AM94" s="370" t="s">
        <v>1555</v>
      </c>
      <c r="AN94" s="370" t="s">
        <v>2136</v>
      </c>
      <c r="AO94" s="524" t="s">
        <v>2137</v>
      </c>
      <c r="AP94" s="524" t="s">
        <v>2090</v>
      </c>
      <c r="AQ94" s="370" t="s">
        <v>2138</v>
      </c>
      <c r="AR94" s="524" t="s">
        <v>2139</v>
      </c>
      <c r="AS94" s="524" t="s">
        <v>2140</v>
      </c>
      <c r="AT94" s="662">
        <v>1951</v>
      </c>
      <c r="BB94" s="370"/>
      <c r="BE94" s="688"/>
      <c r="BF94" s="689"/>
      <c r="BG94" s="689"/>
      <c r="BH94" s="689"/>
      <c r="BI94" s="689"/>
      <c r="BJ94" s="689"/>
      <c r="BK94" s="689"/>
      <c r="BL94" s="689"/>
      <c r="BM94" s="689"/>
    </row>
    <row r="95" spans="2:65" ht="17.25" customHeight="1">
      <c r="B95" s="672" t="s">
        <v>60</v>
      </c>
      <c r="C95" s="613" t="s">
        <v>2141</v>
      </c>
      <c r="D95" s="524" t="s">
        <v>92</v>
      </c>
      <c r="E95" s="524" t="s">
        <v>2142</v>
      </c>
      <c r="F95" s="524" t="s">
        <v>2143</v>
      </c>
      <c r="G95" s="524" t="s">
        <v>2144</v>
      </c>
      <c r="H95" s="524" t="s">
        <v>2145</v>
      </c>
      <c r="I95" s="524" t="s">
        <v>2146</v>
      </c>
      <c r="J95" s="524" t="s">
        <v>2147</v>
      </c>
      <c r="K95" s="531" t="s">
        <v>2148</v>
      </c>
      <c r="L95" s="1488"/>
      <c r="M95" s="627"/>
      <c r="N95" s="627"/>
      <c r="O95" s="627"/>
      <c r="P95" s="627"/>
      <c r="S95" s="370"/>
      <c r="T95" s="370"/>
      <c r="U95" s="370"/>
      <c r="V95" s="370"/>
      <c r="AE95" s="662">
        <v>1952</v>
      </c>
      <c r="AF95" s="370" t="s">
        <v>2117</v>
      </c>
      <c r="AG95" s="370" t="s">
        <v>2149</v>
      </c>
      <c r="AH95" s="370"/>
      <c r="AI95" s="370" t="s">
        <v>92</v>
      </c>
      <c r="AJ95" s="370"/>
      <c r="AK95" s="370"/>
      <c r="AL95" s="370" t="s">
        <v>2120</v>
      </c>
      <c r="AM95" s="370" t="s">
        <v>1562</v>
      </c>
      <c r="AN95" s="370" t="s">
        <v>2150</v>
      </c>
      <c r="AO95" s="524" t="s">
        <v>2151</v>
      </c>
      <c r="AP95" s="370" t="s">
        <v>2152</v>
      </c>
      <c r="AQ95" s="370" t="s">
        <v>2153</v>
      </c>
      <c r="AR95" s="524" t="s">
        <v>2154</v>
      </c>
      <c r="AS95" s="524" t="s">
        <v>2155</v>
      </c>
      <c r="AT95" s="662">
        <v>1952</v>
      </c>
      <c r="BB95" s="370"/>
      <c r="BE95" s="688"/>
      <c r="BF95" s="689"/>
      <c r="BG95" s="689"/>
      <c r="BH95" s="689"/>
      <c r="BI95" s="689"/>
      <c r="BJ95" s="689"/>
      <c r="BK95" s="689"/>
      <c r="BL95" s="689"/>
      <c r="BM95" s="689"/>
    </row>
    <row r="96" spans="2:65" ht="17.25" customHeight="1">
      <c r="B96" s="672" t="s">
        <v>62</v>
      </c>
      <c r="C96" s="613" t="s">
        <v>2156</v>
      </c>
      <c r="D96" s="524" t="s">
        <v>92</v>
      </c>
      <c r="E96" s="524" t="s">
        <v>92</v>
      </c>
      <c r="F96" s="524" t="s">
        <v>2157</v>
      </c>
      <c r="G96" s="524" t="s">
        <v>2158</v>
      </c>
      <c r="H96" s="524" t="s">
        <v>2159</v>
      </c>
      <c r="I96" s="524" t="s">
        <v>2160</v>
      </c>
      <c r="J96" s="524" t="s">
        <v>2161</v>
      </c>
      <c r="K96" s="531" t="s">
        <v>2162</v>
      </c>
      <c r="L96" s="1488"/>
      <c r="M96" s="627"/>
      <c r="N96" s="627"/>
      <c r="O96" s="627"/>
      <c r="P96" s="627"/>
      <c r="S96" s="370"/>
      <c r="T96" s="370"/>
      <c r="U96" s="370"/>
      <c r="V96" s="370"/>
      <c r="AE96" s="662">
        <v>1953</v>
      </c>
      <c r="AF96" s="370" t="s">
        <v>92</v>
      </c>
      <c r="AG96" s="370"/>
      <c r="AH96" s="370"/>
      <c r="AI96" s="370" t="s">
        <v>2163</v>
      </c>
      <c r="AJ96" s="370"/>
      <c r="AK96" s="370"/>
      <c r="AL96" s="370" t="s">
        <v>2120</v>
      </c>
      <c r="AM96" s="370" t="s">
        <v>1573</v>
      </c>
      <c r="AN96" s="370" t="s">
        <v>2164</v>
      </c>
      <c r="AO96" s="524" t="s">
        <v>2165</v>
      </c>
      <c r="AP96" s="524" t="s">
        <v>2166</v>
      </c>
      <c r="AQ96" s="370" t="s">
        <v>2167</v>
      </c>
      <c r="AR96" s="524" t="s">
        <v>2168</v>
      </c>
      <c r="AS96" s="524" t="s">
        <v>2169</v>
      </c>
      <c r="AT96" s="662">
        <v>1953</v>
      </c>
      <c r="BB96" s="370"/>
      <c r="BE96" s="688"/>
      <c r="BF96" s="689"/>
      <c r="BG96" s="689"/>
      <c r="BH96" s="689"/>
      <c r="BI96" s="689"/>
      <c r="BJ96" s="689"/>
      <c r="BK96" s="689"/>
      <c r="BL96" s="689"/>
      <c r="BM96" s="689"/>
    </row>
    <row r="97" spans="1:65" ht="17.25" customHeight="1">
      <c r="B97" s="672" t="s">
        <v>66</v>
      </c>
      <c r="C97" s="613" t="s">
        <v>2141</v>
      </c>
      <c r="D97" s="524" t="s">
        <v>92</v>
      </c>
      <c r="E97" s="524" t="s">
        <v>92</v>
      </c>
      <c r="F97" s="524" t="s">
        <v>2170</v>
      </c>
      <c r="G97" s="524" t="s">
        <v>2171</v>
      </c>
      <c r="H97" s="686" t="s">
        <v>2172</v>
      </c>
      <c r="I97" s="524" t="s">
        <v>2173</v>
      </c>
      <c r="J97" s="674" t="s">
        <v>2174</v>
      </c>
      <c r="K97" s="696" t="s">
        <v>2175</v>
      </c>
      <c r="L97" s="1488"/>
      <c r="M97" s="627"/>
      <c r="N97" s="627"/>
      <c r="O97" s="627"/>
      <c r="P97" s="627"/>
      <c r="S97" s="370"/>
      <c r="T97" s="370"/>
      <c r="U97" s="370"/>
      <c r="V97" s="370"/>
      <c r="AE97" s="662">
        <v>1954</v>
      </c>
      <c r="AF97" s="370" t="s">
        <v>92</v>
      </c>
      <c r="AG97" s="370"/>
      <c r="AH97" s="370"/>
      <c r="AI97" s="370" t="s">
        <v>92</v>
      </c>
      <c r="AJ97" s="370"/>
      <c r="AK97" s="370"/>
      <c r="AL97" s="370" t="s">
        <v>2120</v>
      </c>
      <c r="AM97" s="370" t="s">
        <v>1589</v>
      </c>
      <c r="AN97" s="370" t="s">
        <v>2176</v>
      </c>
      <c r="AO97" s="524" t="s">
        <v>2177</v>
      </c>
      <c r="AP97" s="524" t="s">
        <v>2178</v>
      </c>
      <c r="AQ97" s="370" t="s">
        <v>2179</v>
      </c>
      <c r="AR97" s="524" t="s">
        <v>2180</v>
      </c>
      <c r="AS97" s="524" t="s">
        <v>2181</v>
      </c>
      <c r="AT97" s="662">
        <v>1954</v>
      </c>
      <c r="BB97" s="370"/>
      <c r="BE97" s="688"/>
      <c r="BF97" s="689"/>
      <c r="BG97" s="689"/>
      <c r="BH97" s="689"/>
      <c r="BI97" s="689"/>
      <c r="BJ97" s="689"/>
      <c r="BK97" s="689"/>
      <c r="BL97" s="689"/>
      <c r="BM97" s="689"/>
    </row>
    <row r="98" spans="1:65" ht="17.25" customHeight="1">
      <c r="B98" s="672" t="s">
        <v>69</v>
      </c>
      <c r="C98" s="613" t="s">
        <v>2156</v>
      </c>
      <c r="D98" s="524" t="s">
        <v>92</v>
      </c>
      <c r="E98" s="524" t="s">
        <v>92</v>
      </c>
      <c r="F98" s="524" t="s">
        <v>2182</v>
      </c>
      <c r="G98" s="686" t="s">
        <v>2183</v>
      </c>
      <c r="H98" s="674" t="s">
        <v>2184</v>
      </c>
      <c r="I98" s="688" t="s">
        <v>2185</v>
      </c>
      <c r="J98" s="688" t="s">
        <v>2186</v>
      </c>
      <c r="K98" s="531" t="s">
        <v>2187</v>
      </c>
      <c r="L98" s="1488"/>
      <c r="M98" s="627"/>
      <c r="N98" s="627"/>
      <c r="O98" s="627"/>
      <c r="P98" s="627"/>
      <c r="S98" s="370"/>
      <c r="T98" s="370"/>
      <c r="U98" s="370"/>
      <c r="V98" s="370"/>
      <c r="AE98" s="662">
        <v>1955</v>
      </c>
      <c r="AF98" s="370" t="s">
        <v>2188</v>
      </c>
      <c r="AG98" s="370"/>
      <c r="AH98" s="370"/>
      <c r="AI98" s="370" t="s">
        <v>2189</v>
      </c>
      <c r="AJ98" s="370"/>
      <c r="AK98" s="370"/>
      <c r="AL98" s="370" t="s">
        <v>2120</v>
      </c>
      <c r="AM98" s="370" t="s">
        <v>1605</v>
      </c>
      <c r="AN98" s="370" t="s">
        <v>2190</v>
      </c>
      <c r="AO98" s="524" t="s">
        <v>2191</v>
      </c>
      <c r="AP98" s="524" t="s">
        <v>2178</v>
      </c>
      <c r="AQ98" s="370" t="s">
        <v>2192</v>
      </c>
      <c r="AR98" s="524" t="s">
        <v>2193</v>
      </c>
      <c r="AS98" s="524" t="s">
        <v>2194</v>
      </c>
      <c r="AT98" s="662">
        <v>1955</v>
      </c>
      <c r="BB98" s="370"/>
      <c r="BE98" s="688"/>
      <c r="BF98" s="689"/>
      <c r="BG98" s="689"/>
      <c r="BH98" s="689"/>
      <c r="BI98" s="689"/>
      <c r="BJ98" s="689"/>
      <c r="BK98" s="689"/>
      <c r="BL98" s="689"/>
      <c r="BM98" s="689"/>
    </row>
    <row r="99" spans="1:65" ht="17.25" customHeight="1">
      <c r="B99" s="532" t="s">
        <v>2195</v>
      </c>
      <c r="C99" s="613" t="s">
        <v>212</v>
      </c>
      <c r="D99" s="524" t="s">
        <v>212</v>
      </c>
      <c r="E99" s="524" t="s">
        <v>212</v>
      </c>
      <c r="F99" s="524" t="s">
        <v>212</v>
      </c>
      <c r="G99" s="524" t="s">
        <v>212</v>
      </c>
      <c r="H99" s="524" t="s">
        <v>212</v>
      </c>
      <c r="I99" s="524" t="s">
        <v>212</v>
      </c>
      <c r="J99" s="524" t="s">
        <v>212</v>
      </c>
      <c r="K99" s="531" t="s">
        <v>212</v>
      </c>
      <c r="L99" s="1488"/>
      <c r="M99" s="627"/>
      <c r="N99" s="627"/>
      <c r="O99" s="627"/>
      <c r="P99" s="627"/>
      <c r="S99" s="370"/>
      <c r="T99" s="370"/>
      <c r="U99" s="370"/>
      <c r="V99" s="370"/>
      <c r="AE99" s="662">
        <v>1956</v>
      </c>
      <c r="AF99" s="370" t="s">
        <v>2196</v>
      </c>
      <c r="AG99" s="370"/>
      <c r="AH99" s="370"/>
      <c r="AI99" s="370" t="s">
        <v>2197</v>
      </c>
      <c r="AJ99" s="370"/>
      <c r="AK99" s="370"/>
      <c r="AL99" s="370" t="s">
        <v>2120</v>
      </c>
      <c r="AM99" s="370" t="s">
        <v>1620</v>
      </c>
      <c r="AN99" s="370" t="s">
        <v>2198</v>
      </c>
      <c r="AO99" s="524" t="s">
        <v>2199</v>
      </c>
      <c r="AP99" s="524" t="s">
        <v>2178</v>
      </c>
      <c r="AQ99" s="370" t="s">
        <v>2200</v>
      </c>
      <c r="AR99" s="524" t="s">
        <v>2201</v>
      </c>
      <c r="AS99" s="524" t="s">
        <v>2202</v>
      </c>
      <c r="AT99" s="662">
        <v>1956</v>
      </c>
      <c r="BB99" s="370"/>
      <c r="BE99" s="688"/>
      <c r="BF99" s="689"/>
      <c r="BG99" s="689"/>
      <c r="BH99" s="689"/>
      <c r="BI99" s="689"/>
      <c r="BJ99" s="689"/>
      <c r="BK99" s="689"/>
      <c r="BL99" s="689"/>
      <c r="BM99" s="689"/>
    </row>
    <row r="100" spans="1:65" ht="17.25" customHeight="1">
      <c r="B100" s="672" t="s">
        <v>2203</v>
      </c>
      <c r="C100" s="613" t="s">
        <v>92</v>
      </c>
      <c r="D100" s="524" t="s">
        <v>2204</v>
      </c>
      <c r="E100" s="524" t="s">
        <v>92</v>
      </c>
      <c r="F100" s="524" t="s">
        <v>2205</v>
      </c>
      <c r="G100" s="677" t="s">
        <v>2206</v>
      </c>
      <c r="H100" s="559" t="s">
        <v>2207</v>
      </c>
      <c r="I100" s="697" t="s">
        <v>2208</v>
      </c>
      <c r="J100" s="524" t="s">
        <v>2209</v>
      </c>
      <c r="K100" s="531" t="s">
        <v>2210</v>
      </c>
      <c r="L100" s="1488"/>
      <c r="M100" s="627"/>
      <c r="N100" s="627"/>
      <c r="O100" s="627"/>
      <c r="P100" s="627"/>
      <c r="S100" s="370"/>
      <c r="T100" s="370"/>
      <c r="U100" s="370"/>
      <c r="V100" s="370"/>
      <c r="AE100" s="662">
        <v>1957</v>
      </c>
      <c r="AF100" s="370" t="s">
        <v>2211</v>
      </c>
      <c r="AG100" s="370" t="s">
        <v>2212</v>
      </c>
      <c r="AH100" s="370"/>
      <c r="AI100" s="370" t="s">
        <v>92</v>
      </c>
      <c r="AJ100" s="370"/>
      <c r="AK100" s="370"/>
      <c r="AL100" s="370" t="s">
        <v>2120</v>
      </c>
      <c r="AM100" s="370" t="s">
        <v>1632</v>
      </c>
      <c r="AN100" s="370" t="s">
        <v>2213</v>
      </c>
      <c r="AO100" s="524" t="s">
        <v>2214</v>
      </c>
      <c r="AP100" s="524" t="s">
        <v>2178</v>
      </c>
      <c r="AQ100" s="370" t="s">
        <v>2215</v>
      </c>
      <c r="AR100" s="524" t="s">
        <v>2216</v>
      </c>
      <c r="AS100" s="524" t="s">
        <v>2217</v>
      </c>
      <c r="AT100" s="662">
        <v>1957</v>
      </c>
      <c r="BB100" s="370"/>
      <c r="BE100" s="688"/>
      <c r="BF100" s="712"/>
      <c r="BG100" s="712"/>
      <c r="BH100" s="712"/>
      <c r="BI100" s="712"/>
      <c r="BJ100" s="712"/>
      <c r="BK100" s="712"/>
      <c r="BL100" s="712"/>
      <c r="BM100" s="712"/>
    </row>
    <row r="101" spans="1:65" ht="17.25" customHeight="1">
      <c r="A101" s="694" t="s">
        <v>1371</v>
      </c>
      <c r="B101" s="694" t="s">
        <v>1371</v>
      </c>
      <c r="C101" s="613" t="s">
        <v>2141</v>
      </c>
      <c r="D101" s="559" t="s">
        <v>2218</v>
      </c>
      <c r="E101" s="524" t="s">
        <v>92</v>
      </c>
      <c r="F101" s="524" t="s">
        <v>2219</v>
      </c>
      <c r="G101" s="677" t="s">
        <v>2206</v>
      </c>
      <c r="H101" s="559" t="s">
        <v>2207</v>
      </c>
      <c r="I101" s="697" t="s">
        <v>2208</v>
      </c>
      <c r="J101" s="524" t="s">
        <v>2209</v>
      </c>
      <c r="K101" s="531" t="s">
        <v>2210</v>
      </c>
      <c r="L101" s="1488"/>
      <c r="S101" s="370"/>
      <c r="T101" s="370"/>
      <c r="U101" s="370"/>
      <c r="V101" s="370"/>
      <c r="AE101" s="662">
        <v>1958</v>
      </c>
      <c r="AF101" s="370" t="s">
        <v>92</v>
      </c>
      <c r="AG101" s="370"/>
      <c r="AH101" s="370"/>
      <c r="AI101" s="370" t="s">
        <v>2220</v>
      </c>
      <c r="AJ101" s="370"/>
      <c r="AK101" s="370"/>
      <c r="AL101" s="370" t="s">
        <v>2120</v>
      </c>
      <c r="AM101" s="370" t="s">
        <v>1649</v>
      </c>
      <c r="AN101" s="370" t="s">
        <v>2221</v>
      </c>
      <c r="AO101" s="524" t="s">
        <v>2222</v>
      </c>
      <c r="AP101" s="370" t="s">
        <v>2178</v>
      </c>
      <c r="AQ101" s="370" t="s">
        <v>2223</v>
      </c>
      <c r="AR101" s="524" t="s">
        <v>2224</v>
      </c>
      <c r="AS101" s="524" t="s">
        <v>2225</v>
      </c>
      <c r="AT101" s="662">
        <v>1958</v>
      </c>
      <c r="BB101" s="370"/>
      <c r="BE101" s="688"/>
      <c r="BF101" s="712"/>
      <c r="BG101" s="712"/>
      <c r="BH101" s="712"/>
      <c r="BI101" s="712"/>
      <c r="BJ101" s="712"/>
      <c r="BK101" s="712"/>
      <c r="BL101" s="712"/>
      <c r="BM101" s="712"/>
    </row>
    <row r="102" spans="1:65" ht="17.25" customHeight="1">
      <c r="A102" s="694" t="s">
        <v>2226</v>
      </c>
      <c r="B102" s="694" t="s">
        <v>2226</v>
      </c>
      <c r="C102" s="613" t="s">
        <v>2141</v>
      </c>
      <c r="D102" s="559" t="s">
        <v>2218</v>
      </c>
      <c r="E102" s="524" t="s">
        <v>92</v>
      </c>
      <c r="F102" s="524" t="s">
        <v>2227</v>
      </c>
      <c r="G102" s="677" t="s">
        <v>2206</v>
      </c>
      <c r="H102" s="559" t="s">
        <v>2207</v>
      </c>
      <c r="I102" s="697" t="s">
        <v>2208</v>
      </c>
      <c r="J102" s="524" t="s">
        <v>2209</v>
      </c>
      <c r="K102" s="531" t="s">
        <v>2210</v>
      </c>
      <c r="L102" s="1488"/>
      <c r="M102" s="676"/>
      <c r="AE102" s="662">
        <v>1959</v>
      </c>
      <c r="AF102" s="370" t="s">
        <v>92</v>
      </c>
      <c r="AG102" s="370"/>
      <c r="AH102" s="370"/>
      <c r="AI102" s="370" t="s">
        <v>2228</v>
      </c>
      <c r="AJ102" s="370" t="s">
        <v>2229</v>
      </c>
      <c r="AK102" s="370"/>
      <c r="AL102" s="370" t="s">
        <v>2120</v>
      </c>
      <c r="AM102" s="370" t="s">
        <v>1664</v>
      </c>
      <c r="AN102" s="370" t="s">
        <v>2230</v>
      </c>
      <c r="AO102" s="524" t="s">
        <v>2231</v>
      </c>
      <c r="AP102" s="524" t="s">
        <v>2178</v>
      </c>
      <c r="AQ102" s="370" t="s">
        <v>2232</v>
      </c>
      <c r="AR102" s="524" t="s">
        <v>2233</v>
      </c>
      <c r="AS102" s="524" t="s">
        <v>2234</v>
      </c>
      <c r="AT102" s="662">
        <v>1959</v>
      </c>
      <c r="BB102" s="370"/>
      <c r="BE102" s="688"/>
      <c r="BF102" s="712"/>
      <c r="BG102" s="712"/>
      <c r="BH102" s="712"/>
      <c r="BI102" s="712"/>
      <c r="BJ102" s="712"/>
      <c r="BK102" s="712"/>
      <c r="BL102" s="712"/>
      <c r="BM102" s="712"/>
    </row>
    <row r="103" spans="1:65" ht="17.25" customHeight="1">
      <c r="A103" s="532" t="s">
        <v>1376</v>
      </c>
      <c r="B103" s="532" t="s">
        <v>1376</v>
      </c>
      <c r="C103" s="613" t="s">
        <v>2141</v>
      </c>
      <c r="D103" s="559" t="s">
        <v>2218</v>
      </c>
      <c r="E103" s="524" t="s">
        <v>92</v>
      </c>
      <c r="F103" s="524" t="s">
        <v>2235</v>
      </c>
      <c r="G103" s="677" t="s">
        <v>2206</v>
      </c>
      <c r="H103" s="559" t="s">
        <v>2207</v>
      </c>
      <c r="I103" s="697" t="s">
        <v>2208</v>
      </c>
      <c r="J103" s="524" t="s">
        <v>2209</v>
      </c>
      <c r="K103" s="531" t="s">
        <v>2210</v>
      </c>
      <c r="L103" s="1488"/>
      <c r="AE103" s="662">
        <v>1960</v>
      </c>
      <c r="AF103" s="370" t="s">
        <v>2236</v>
      </c>
      <c r="AG103" s="370"/>
      <c r="AH103" s="370"/>
      <c r="AI103" s="370" t="s">
        <v>92</v>
      </c>
      <c r="AJ103" s="370"/>
      <c r="AK103" s="370"/>
      <c r="AL103" s="370" t="s">
        <v>2237</v>
      </c>
      <c r="AM103" s="370" t="s">
        <v>1681</v>
      </c>
      <c r="AN103" s="370" t="s">
        <v>2238</v>
      </c>
      <c r="AO103" s="524" t="s">
        <v>2239</v>
      </c>
      <c r="AP103" s="524" t="s">
        <v>2178</v>
      </c>
      <c r="AQ103" s="370" t="s">
        <v>2240</v>
      </c>
      <c r="AR103" s="524" t="s">
        <v>2241</v>
      </c>
      <c r="AS103" s="524" t="s">
        <v>2242</v>
      </c>
      <c r="AT103" s="662">
        <v>1960</v>
      </c>
      <c r="BB103" s="370"/>
      <c r="BE103" s="688"/>
      <c r="BF103" s="712"/>
      <c r="BG103" s="712"/>
      <c r="BH103" s="712"/>
      <c r="BI103" s="712"/>
      <c r="BJ103" s="712"/>
      <c r="BK103" s="712"/>
      <c r="BL103" s="712"/>
      <c r="BM103" s="712"/>
    </row>
    <row r="104" spans="1:65" ht="17.25" customHeight="1">
      <c r="A104" s="532" t="s">
        <v>1375</v>
      </c>
      <c r="B104" s="532" t="s">
        <v>1375</v>
      </c>
      <c r="C104" s="613" t="s">
        <v>2141</v>
      </c>
      <c r="D104" s="559" t="s">
        <v>2218</v>
      </c>
      <c r="E104" s="524" t="s">
        <v>92</v>
      </c>
      <c r="F104" s="524" t="s">
        <v>2243</v>
      </c>
      <c r="G104" s="677" t="s">
        <v>2206</v>
      </c>
      <c r="H104" s="559" t="s">
        <v>2207</v>
      </c>
      <c r="I104" s="697" t="s">
        <v>2208</v>
      </c>
      <c r="J104" s="524" t="s">
        <v>2209</v>
      </c>
      <c r="K104" s="531" t="s">
        <v>2210</v>
      </c>
      <c r="L104" s="1488"/>
      <c r="AE104" s="662">
        <v>1961</v>
      </c>
      <c r="AF104" s="370" t="s">
        <v>2244</v>
      </c>
      <c r="AG104" s="370"/>
      <c r="AH104" s="370"/>
      <c r="AI104" s="370" t="s">
        <v>92</v>
      </c>
      <c r="AJ104" s="370"/>
      <c r="AK104" s="370"/>
      <c r="AL104" s="370" t="s">
        <v>2237</v>
      </c>
      <c r="AM104" s="370" t="s">
        <v>1694</v>
      </c>
      <c r="AN104" s="370" t="s">
        <v>2245</v>
      </c>
      <c r="AO104" s="524" t="s">
        <v>2246</v>
      </c>
      <c r="AP104" s="524" t="s">
        <v>2247</v>
      </c>
      <c r="AQ104" s="370" t="s">
        <v>2248</v>
      </c>
      <c r="AR104" s="524" t="s">
        <v>2249</v>
      </c>
      <c r="AS104" s="524" t="s">
        <v>2250</v>
      </c>
      <c r="AT104" s="662">
        <v>1961</v>
      </c>
      <c r="BB104" s="370"/>
      <c r="BE104" s="688"/>
      <c r="BF104" s="712"/>
      <c r="BG104" s="712"/>
      <c r="BH104" s="712"/>
      <c r="BI104" s="712"/>
      <c r="BJ104" s="712"/>
      <c r="BK104" s="712"/>
      <c r="BL104" s="712"/>
      <c r="BM104" s="712"/>
    </row>
    <row r="105" spans="1:65" ht="17.25" customHeight="1">
      <c r="A105" s="532" t="s">
        <v>1387</v>
      </c>
      <c r="B105" s="532" t="s">
        <v>1387</v>
      </c>
      <c r="C105" s="613" t="s">
        <v>2141</v>
      </c>
      <c r="D105" s="559" t="s">
        <v>2218</v>
      </c>
      <c r="E105" s="524" t="s">
        <v>92</v>
      </c>
      <c r="F105" s="370" t="s">
        <v>2251</v>
      </c>
      <c r="G105" s="677" t="s">
        <v>2206</v>
      </c>
      <c r="H105" s="559" t="s">
        <v>2207</v>
      </c>
      <c r="I105" s="697" t="s">
        <v>2208</v>
      </c>
      <c r="J105" s="524" t="s">
        <v>2209</v>
      </c>
      <c r="K105" s="531" t="s">
        <v>2210</v>
      </c>
      <c r="L105" s="1488"/>
      <c r="AE105" s="662">
        <v>1962</v>
      </c>
      <c r="AF105" s="370" t="s">
        <v>92</v>
      </c>
      <c r="AG105" s="370"/>
      <c r="AH105" s="370"/>
      <c r="AI105" s="370" t="s">
        <v>2252</v>
      </c>
      <c r="AJ105" s="370"/>
      <c r="AK105" s="370"/>
      <c r="AL105" s="370" t="s">
        <v>2237</v>
      </c>
      <c r="AM105" s="370" t="s">
        <v>1708</v>
      </c>
      <c r="AN105" s="370" t="s">
        <v>2253</v>
      </c>
      <c r="AO105" s="524" t="s">
        <v>2254</v>
      </c>
      <c r="AP105" s="524" t="s">
        <v>2255</v>
      </c>
      <c r="AQ105" s="370" t="s">
        <v>2256</v>
      </c>
      <c r="AR105" s="524" t="s">
        <v>2257</v>
      </c>
      <c r="AS105" s="524" t="s">
        <v>2258</v>
      </c>
      <c r="AT105" s="662">
        <v>1962</v>
      </c>
      <c r="BB105" s="370"/>
      <c r="BE105" s="688"/>
      <c r="BF105" s="712"/>
      <c r="BG105" s="712"/>
      <c r="BH105" s="712"/>
      <c r="BI105" s="712"/>
      <c r="BJ105" s="712"/>
      <c r="BK105" s="712"/>
      <c r="BL105" s="712"/>
      <c r="BM105" s="712"/>
    </row>
    <row r="106" spans="1:65" ht="17.25" customHeight="1">
      <c r="A106" s="532" t="s">
        <v>1382</v>
      </c>
      <c r="B106" s="532" t="s">
        <v>1382</v>
      </c>
      <c r="C106" s="613" t="s">
        <v>2141</v>
      </c>
      <c r="D106" s="559" t="s">
        <v>2218</v>
      </c>
      <c r="E106" s="524" t="s">
        <v>92</v>
      </c>
      <c r="F106" s="524" t="s">
        <v>2259</v>
      </c>
      <c r="G106" s="677" t="s">
        <v>2206</v>
      </c>
      <c r="H106" s="559" t="s">
        <v>2207</v>
      </c>
      <c r="I106" s="697" t="s">
        <v>2208</v>
      </c>
      <c r="J106" s="524" t="s">
        <v>2209</v>
      </c>
      <c r="K106" s="531" t="s">
        <v>2210</v>
      </c>
      <c r="L106" s="1488"/>
      <c r="AE106" s="662">
        <v>1963</v>
      </c>
      <c r="AF106" s="370" t="s">
        <v>92</v>
      </c>
      <c r="AG106" s="370"/>
      <c r="AH106" s="370"/>
      <c r="AI106" s="370" t="s">
        <v>92</v>
      </c>
      <c r="AJ106" s="370"/>
      <c r="AK106" s="370"/>
      <c r="AL106" s="370" t="s">
        <v>2237</v>
      </c>
      <c r="AM106" s="370" t="s">
        <v>1723</v>
      </c>
      <c r="AN106" s="370" t="s">
        <v>2260</v>
      </c>
      <c r="AO106" s="524" t="s">
        <v>2261</v>
      </c>
      <c r="AP106" s="524" t="s">
        <v>2262</v>
      </c>
      <c r="AQ106" s="370" t="s">
        <v>2256</v>
      </c>
      <c r="AR106" s="524" t="s">
        <v>2257</v>
      </c>
      <c r="AT106" s="662">
        <v>1963</v>
      </c>
      <c r="BB106" s="370"/>
      <c r="BE106" s="688"/>
      <c r="BF106" s="712"/>
      <c r="BG106" s="712"/>
      <c r="BH106" s="712"/>
      <c r="BI106" s="712"/>
      <c r="BJ106" s="712"/>
      <c r="BK106" s="712"/>
      <c r="BL106" s="712"/>
      <c r="BM106" s="712"/>
    </row>
    <row r="107" spans="1:65" ht="17.25" customHeight="1">
      <c r="A107" s="532" t="s">
        <v>2263</v>
      </c>
      <c r="B107" s="532" t="s">
        <v>2263</v>
      </c>
      <c r="C107" s="613" t="s">
        <v>2141</v>
      </c>
      <c r="D107" s="559" t="s">
        <v>2218</v>
      </c>
      <c r="E107" s="524" t="s">
        <v>92</v>
      </c>
      <c r="F107" s="524" t="s">
        <v>2264</v>
      </c>
      <c r="G107" s="677" t="s">
        <v>2206</v>
      </c>
      <c r="H107" s="559" t="s">
        <v>2207</v>
      </c>
      <c r="I107" s="697" t="s">
        <v>2208</v>
      </c>
      <c r="J107" s="524" t="s">
        <v>2209</v>
      </c>
      <c r="K107" s="531" t="s">
        <v>2210</v>
      </c>
      <c r="L107" s="1488"/>
      <c r="AE107" s="662">
        <v>1964</v>
      </c>
      <c r="AF107" s="370" t="s">
        <v>2265</v>
      </c>
      <c r="AG107" s="370"/>
      <c r="AH107" s="370"/>
      <c r="AI107" s="370" t="s">
        <v>2266</v>
      </c>
      <c r="AJ107" s="370"/>
      <c r="AK107" s="370"/>
      <c r="AL107" s="370" t="s">
        <v>2237</v>
      </c>
      <c r="AM107" s="370" t="s">
        <v>1736</v>
      </c>
      <c r="AN107" s="370" t="s">
        <v>2267</v>
      </c>
      <c r="AO107" s="524" t="s">
        <v>2268</v>
      </c>
      <c r="AP107" s="524" t="s">
        <v>2269</v>
      </c>
      <c r="AQ107" s="370" t="s">
        <v>2270</v>
      </c>
      <c r="AR107" s="524" t="s">
        <v>2271</v>
      </c>
      <c r="AS107" s="524" t="s">
        <v>2272</v>
      </c>
      <c r="AT107" s="662">
        <v>1964</v>
      </c>
      <c r="BB107" s="370"/>
      <c r="BE107" s="688"/>
      <c r="BF107" s="712"/>
      <c r="BG107" s="712"/>
      <c r="BH107" s="712"/>
      <c r="BI107" s="712"/>
      <c r="BJ107" s="712"/>
      <c r="BK107" s="712"/>
      <c r="BL107" s="712"/>
      <c r="BM107" s="712"/>
    </row>
    <row r="108" spans="1:65" ht="17.25" customHeight="1">
      <c r="A108" s="532" t="s">
        <v>1385</v>
      </c>
      <c r="B108" s="532" t="s">
        <v>1385</v>
      </c>
      <c r="C108" s="613" t="s">
        <v>2141</v>
      </c>
      <c r="D108" s="559" t="s">
        <v>2218</v>
      </c>
      <c r="E108" s="524" t="s">
        <v>92</v>
      </c>
      <c r="F108" s="524" t="s">
        <v>2273</v>
      </c>
      <c r="G108" s="677" t="s">
        <v>2206</v>
      </c>
      <c r="H108" s="559" t="s">
        <v>2207</v>
      </c>
      <c r="I108" s="697" t="s">
        <v>2208</v>
      </c>
      <c r="J108" s="524" t="s">
        <v>2209</v>
      </c>
      <c r="K108" s="531" t="s">
        <v>2210</v>
      </c>
      <c r="L108" s="1488"/>
      <c r="AE108" s="662">
        <v>1965</v>
      </c>
      <c r="AF108" s="370" t="s">
        <v>92</v>
      </c>
      <c r="AG108" s="370"/>
      <c r="AH108" s="370"/>
      <c r="AI108" s="370" t="s">
        <v>92</v>
      </c>
      <c r="AJ108" s="370" t="s">
        <v>2274</v>
      </c>
      <c r="AK108" s="370"/>
      <c r="AL108" s="370" t="s">
        <v>2237</v>
      </c>
      <c r="AM108" s="370" t="s">
        <v>1748</v>
      </c>
      <c r="AN108" s="370" t="s">
        <v>2275</v>
      </c>
      <c r="AO108" s="524" t="s">
        <v>2276</v>
      </c>
      <c r="AP108" s="524" t="s">
        <v>2269</v>
      </c>
      <c r="AQ108" s="370" t="s">
        <v>2277</v>
      </c>
      <c r="AR108" s="524" t="s">
        <v>2278</v>
      </c>
      <c r="AS108" s="524" t="s">
        <v>2279</v>
      </c>
      <c r="AT108" s="662">
        <v>1965</v>
      </c>
      <c r="BB108" s="370"/>
      <c r="BE108" s="688"/>
      <c r="BF108" s="712"/>
      <c r="BG108" s="712"/>
      <c r="BH108" s="712"/>
      <c r="BI108" s="712"/>
      <c r="BJ108" s="712"/>
      <c r="BK108" s="712"/>
      <c r="BL108" s="712"/>
      <c r="BM108" s="712"/>
    </row>
    <row r="109" spans="1:65" ht="17.25" customHeight="1">
      <c r="A109" s="532" t="s">
        <v>2280</v>
      </c>
      <c r="B109" s="532" t="s">
        <v>2280</v>
      </c>
      <c r="C109" s="613" t="s">
        <v>2141</v>
      </c>
      <c r="D109" s="559" t="s">
        <v>2218</v>
      </c>
      <c r="E109" s="524" t="s">
        <v>92</v>
      </c>
      <c r="F109" s="524" t="s">
        <v>2281</v>
      </c>
      <c r="G109" s="677" t="s">
        <v>2206</v>
      </c>
      <c r="H109" s="559" t="s">
        <v>2207</v>
      </c>
      <c r="I109" s="697" t="s">
        <v>2208</v>
      </c>
      <c r="J109" s="524" t="s">
        <v>2209</v>
      </c>
      <c r="K109" s="531" t="s">
        <v>2210</v>
      </c>
      <c r="L109" s="1488"/>
      <c r="AE109" s="662">
        <v>1966</v>
      </c>
      <c r="AF109" s="370" t="s">
        <v>92</v>
      </c>
      <c r="AG109" s="370"/>
      <c r="AH109" s="370"/>
      <c r="AI109" s="370" t="s">
        <v>2282</v>
      </c>
      <c r="AJ109" s="370" t="s">
        <v>2283</v>
      </c>
      <c r="AK109" s="370"/>
      <c r="AL109" s="370" t="s">
        <v>2237</v>
      </c>
      <c r="AM109" s="370" t="s">
        <v>1758</v>
      </c>
      <c r="AN109" s="370" t="s">
        <v>2284</v>
      </c>
      <c r="AO109" s="524" t="s">
        <v>2285</v>
      </c>
      <c r="AP109" s="524" t="s">
        <v>2269</v>
      </c>
      <c r="AQ109" s="370" t="s">
        <v>2286</v>
      </c>
      <c r="AR109" s="524" t="s">
        <v>2287</v>
      </c>
      <c r="AS109" s="524" t="s">
        <v>2288</v>
      </c>
      <c r="AT109" s="662">
        <v>1966</v>
      </c>
      <c r="BB109" s="370"/>
      <c r="BE109" s="688"/>
      <c r="BF109" s="689"/>
      <c r="BG109" s="689"/>
      <c r="BH109" s="689"/>
      <c r="BI109" s="689"/>
      <c r="BJ109" s="689"/>
      <c r="BK109" s="689"/>
      <c r="BL109" s="689"/>
      <c r="BM109" s="689"/>
    </row>
    <row r="110" spans="1:65" ht="17.25" customHeight="1">
      <c r="A110" s="532" t="s">
        <v>2289</v>
      </c>
      <c r="B110" s="532" t="s">
        <v>2289</v>
      </c>
      <c r="C110" s="613" t="s">
        <v>2141</v>
      </c>
      <c r="D110" s="559" t="s">
        <v>2218</v>
      </c>
      <c r="E110" s="524" t="s">
        <v>92</v>
      </c>
      <c r="F110" s="524" t="s">
        <v>2290</v>
      </c>
      <c r="G110" s="677" t="s">
        <v>2206</v>
      </c>
      <c r="H110" s="559" t="s">
        <v>2207</v>
      </c>
      <c r="I110" s="697" t="s">
        <v>2208</v>
      </c>
      <c r="J110" s="524" t="s">
        <v>2209</v>
      </c>
      <c r="K110" s="531" t="s">
        <v>2210</v>
      </c>
      <c r="L110" s="1488"/>
      <c r="AE110" s="662">
        <v>1967</v>
      </c>
      <c r="AF110" s="370" t="s">
        <v>92</v>
      </c>
      <c r="AG110" s="370"/>
      <c r="AH110" s="370"/>
      <c r="AI110" s="370" t="s">
        <v>92</v>
      </c>
      <c r="AJ110" s="370"/>
      <c r="AK110" s="370"/>
      <c r="AL110" s="370" t="s">
        <v>2237</v>
      </c>
      <c r="AM110" s="370" t="s">
        <v>1765</v>
      </c>
      <c r="AN110" s="370" t="s">
        <v>2291</v>
      </c>
      <c r="AO110" s="524" t="s">
        <v>2292</v>
      </c>
      <c r="AP110" s="524" t="s">
        <v>2269</v>
      </c>
      <c r="AQ110" s="370" t="s">
        <v>2293</v>
      </c>
      <c r="AR110" s="524" t="s">
        <v>2294</v>
      </c>
      <c r="AS110" s="524" t="s">
        <v>2295</v>
      </c>
      <c r="AT110" s="662">
        <v>1967</v>
      </c>
      <c r="BB110" s="370"/>
      <c r="BE110" s="688"/>
      <c r="BF110" s="689"/>
      <c r="BG110" s="689"/>
      <c r="BH110" s="689"/>
      <c r="BI110" s="689"/>
      <c r="BJ110" s="689"/>
      <c r="BK110" s="689"/>
      <c r="BL110" s="689"/>
      <c r="BM110" s="689"/>
    </row>
    <row r="111" spans="1:65" ht="17.25" customHeight="1">
      <c r="A111" s="532" t="s">
        <v>2296</v>
      </c>
      <c r="B111" s="532" t="s">
        <v>2296</v>
      </c>
      <c r="C111" s="613" t="s">
        <v>2141</v>
      </c>
      <c r="D111" s="559" t="s">
        <v>2218</v>
      </c>
      <c r="E111" s="524" t="s">
        <v>92</v>
      </c>
      <c r="F111" s="524" t="s">
        <v>2297</v>
      </c>
      <c r="G111" s="677" t="s">
        <v>2206</v>
      </c>
      <c r="H111" s="559" t="s">
        <v>2207</v>
      </c>
      <c r="I111" s="697" t="s">
        <v>2208</v>
      </c>
      <c r="J111" s="524" t="s">
        <v>2209</v>
      </c>
      <c r="K111" s="531" t="s">
        <v>2210</v>
      </c>
      <c r="L111" s="1488"/>
      <c r="AE111" s="662">
        <v>1968</v>
      </c>
      <c r="AF111" s="370" t="s">
        <v>2298</v>
      </c>
      <c r="AG111" s="370"/>
      <c r="AH111" s="370"/>
      <c r="AI111" s="370" t="s">
        <v>92</v>
      </c>
      <c r="AJ111" s="370"/>
      <c r="AK111" s="370"/>
      <c r="AL111" s="370" t="s">
        <v>2237</v>
      </c>
      <c r="AM111" s="370" t="s">
        <v>1773</v>
      </c>
      <c r="AN111" s="370" t="s">
        <v>2299</v>
      </c>
      <c r="AO111" s="559" t="s">
        <v>2300</v>
      </c>
      <c r="AP111" s="524" t="s">
        <v>2269</v>
      </c>
      <c r="AQ111" s="370" t="s">
        <v>2301</v>
      </c>
      <c r="AR111" s="524" t="s">
        <v>2302</v>
      </c>
      <c r="AS111" s="559" t="s">
        <v>2303</v>
      </c>
      <c r="AT111" s="662">
        <v>1968</v>
      </c>
      <c r="AV111" s="707"/>
      <c r="AW111" s="707"/>
      <c r="AX111" s="688"/>
      <c r="AY111" s="688"/>
      <c r="AZ111" s="707"/>
      <c r="BA111" s="707"/>
      <c r="BB111" s="370"/>
      <c r="BC111" s="688"/>
      <c r="BD111" s="688"/>
      <c r="BE111" s="688"/>
      <c r="BF111" s="689"/>
      <c r="BG111" s="689"/>
      <c r="BH111" s="689"/>
      <c r="BI111" s="689"/>
      <c r="BJ111" s="689"/>
      <c r="BK111" s="689"/>
      <c r="BL111" s="689"/>
      <c r="BM111" s="689"/>
    </row>
    <row r="112" spans="1:65" ht="17.25" customHeight="1">
      <c r="A112" s="532" t="s">
        <v>1391</v>
      </c>
      <c r="B112" s="532" t="s">
        <v>1391</v>
      </c>
      <c r="C112" s="613" t="s">
        <v>2141</v>
      </c>
      <c r="D112" s="559" t="s">
        <v>2218</v>
      </c>
      <c r="E112" s="524" t="s">
        <v>92</v>
      </c>
      <c r="F112" s="524" t="s">
        <v>2304</v>
      </c>
      <c r="G112" s="677" t="s">
        <v>2206</v>
      </c>
      <c r="H112" s="559" t="s">
        <v>2207</v>
      </c>
      <c r="I112" s="697" t="s">
        <v>2208</v>
      </c>
      <c r="J112" s="524" t="s">
        <v>2209</v>
      </c>
      <c r="K112" s="531" t="s">
        <v>2210</v>
      </c>
      <c r="L112" s="1488"/>
      <c r="M112" s="698"/>
      <c r="N112" s="2283" t="s">
        <v>2305</v>
      </c>
      <c r="O112" s="2283"/>
      <c r="P112" s="2283"/>
      <c r="Q112" s="2283"/>
      <c r="R112" s="2284"/>
      <c r="S112" s="701"/>
      <c r="T112" s="2283" t="s">
        <v>2306</v>
      </c>
      <c r="U112" s="2283"/>
      <c r="V112" s="2283"/>
      <c r="W112" s="2283"/>
      <c r="X112" s="2284"/>
      <c r="AE112" s="662">
        <v>1969</v>
      </c>
      <c r="AF112" s="370" t="s">
        <v>2307</v>
      </c>
      <c r="AG112" s="370" t="s">
        <v>2308</v>
      </c>
      <c r="AH112" s="370"/>
      <c r="AI112" s="370" t="s">
        <v>92</v>
      </c>
      <c r="AJ112" s="370"/>
      <c r="AK112" s="370"/>
      <c r="AL112" s="370" t="s">
        <v>2237</v>
      </c>
      <c r="AM112" s="370" t="s">
        <v>1782</v>
      </c>
      <c r="AN112" s="370" t="s">
        <v>2309</v>
      </c>
      <c r="AO112" s="559" t="s">
        <v>2310</v>
      </c>
      <c r="AP112" s="524" t="s">
        <v>2311</v>
      </c>
      <c r="AQ112" s="370" t="s">
        <v>2312</v>
      </c>
      <c r="AR112" s="524" t="s">
        <v>2313</v>
      </c>
      <c r="AS112" s="559" t="s">
        <v>2314</v>
      </c>
      <c r="AT112" s="662">
        <v>1969</v>
      </c>
      <c r="AV112" s="707"/>
      <c r="AW112" s="707"/>
      <c r="AX112" s="688"/>
      <c r="AY112" s="688"/>
      <c r="AZ112" s="707"/>
      <c r="BA112" s="707"/>
      <c r="BB112" s="370"/>
      <c r="BC112" s="688"/>
      <c r="BD112" s="688"/>
      <c r="BE112" s="688"/>
      <c r="BF112" s="689"/>
      <c r="BG112" s="689"/>
      <c r="BH112" s="689"/>
      <c r="BI112" s="689"/>
      <c r="BJ112" s="689"/>
      <c r="BK112" s="689"/>
      <c r="BL112" s="689"/>
      <c r="BM112" s="689"/>
    </row>
    <row r="113" spans="1:65" ht="17.25" customHeight="1">
      <c r="A113" s="532" t="s">
        <v>2315</v>
      </c>
      <c r="B113" s="532" t="s">
        <v>2315</v>
      </c>
      <c r="C113" s="613" t="s">
        <v>2141</v>
      </c>
      <c r="D113" s="559" t="s">
        <v>2218</v>
      </c>
      <c r="E113" s="524" t="s">
        <v>92</v>
      </c>
      <c r="F113" s="524" t="s">
        <v>2316</v>
      </c>
      <c r="G113" s="677" t="s">
        <v>2206</v>
      </c>
      <c r="H113" s="559" t="s">
        <v>2207</v>
      </c>
      <c r="I113" s="697" t="s">
        <v>2208</v>
      </c>
      <c r="J113" s="524" t="s">
        <v>2209</v>
      </c>
      <c r="K113" s="531" t="s">
        <v>2210</v>
      </c>
      <c r="L113" s="1488"/>
      <c r="M113" s="699">
        <v>0</v>
      </c>
      <c r="N113" s="2243" t="s">
        <v>2317</v>
      </c>
      <c r="O113" s="2243"/>
      <c r="P113" s="2243"/>
      <c r="Q113" s="2243"/>
      <c r="R113" s="2244"/>
      <c r="S113" s="702">
        <v>0</v>
      </c>
      <c r="T113" s="2243" t="s">
        <v>2318</v>
      </c>
      <c r="U113" s="2243"/>
      <c r="V113" s="2243"/>
      <c r="W113" s="2243"/>
      <c r="X113" s="2244"/>
      <c r="AE113" s="662">
        <v>1970</v>
      </c>
      <c r="AF113" s="370" t="s">
        <v>92</v>
      </c>
      <c r="AG113" s="370"/>
      <c r="AH113" s="370"/>
      <c r="AI113" s="370" t="s">
        <v>2319</v>
      </c>
      <c r="AJ113" s="370"/>
      <c r="AK113" s="370"/>
      <c r="AL113" s="370" t="s">
        <v>2320</v>
      </c>
      <c r="AM113" s="370" t="s">
        <v>1791</v>
      </c>
      <c r="AN113" s="370" t="s">
        <v>2321</v>
      </c>
      <c r="AO113" s="559" t="s">
        <v>2322</v>
      </c>
      <c r="AP113" s="524" t="s">
        <v>2323</v>
      </c>
      <c r="AQ113" s="370" t="s">
        <v>2324</v>
      </c>
      <c r="AR113" s="524" t="s">
        <v>2325</v>
      </c>
      <c r="AS113" s="559" t="s">
        <v>2326</v>
      </c>
      <c r="AT113" s="662">
        <v>1970</v>
      </c>
      <c r="AV113" s="689"/>
      <c r="AW113" s="689"/>
      <c r="AX113" s="709"/>
      <c r="AY113" s="709"/>
      <c r="AZ113" s="689"/>
      <c r="BA113" s="689"/>
      <c r="BB113" s="370"/>
      <c r="BC113" s="709"/>
      <c r="BD113" s="709"/>
      <c r="BE113" s="709"/>
      <c r="BF113" s="689"/>
      <c r="BG113" s="689"/>
      <c r="BH113" s="689"/>
      <c r="BI113" s="689"/>
      <c r="BJ113" s="689"/>
      <c r="BK113" s="689"/>
      <c r="BL113" s="689"/>
      <c r="BM113" s="689"/>
    </row>
    <row r="114" spans="1:65" ht="17.25" customHeight="1">
      <c r="A114" s="532" t="s">
        <v>2327</v>
      </c>
      <c r="B114" s="532" t="s">
        <v>2327</v>
      </c>
      <c r="C114" s="613" t="s">
        <v>2141</v>
      </c>
      <c r="D114" s="559" t="s">
        <v>2218</v>
      </c>
      <c r="E114" s="524" t="s">
        <v>92</v>
      </c>
      <c r="F114" s="524" t="s">
        <v>2328</v>
      </c>
      <c r="G114" s="677" t="s">
        <v>2206</v>
      </c>
      <c r="H114" s="559" t="s">
        <v>2207</v>
      </c>
      <c r="I114" s="697" t="s">
        <v>2208</v>
      </c>
      <c r="J114" s="524" t="s">
        <v>2209</v>
      </c>
      <c r="K114" s="531" t="s">
        <v>2210</v>
      </c>
      <c r="L114" s="1488"/>
      <c r="M114" s="699">
        <v>1</v>
      </c>
      <c r="N114" s="2243" t="s">
        <v>2329</v>
      </c>
      <c r="O114" s="2243"/>
      <c r="P114" s="2243"/>
      <c r="Q114" s="2243"/>
      <c r="R114" s="2244"/>
      <c r="S114" s="702">
        <v>1</v>
      </c>
      <c r="T114" s="2243" t="s">
        <v>2330</v>
      </c>
      <c r="U114" s="2243"/>
      <c r="V114" s="2243"/>
      <c r="W114" s="2243"/>
      <c r="X114" s="2244"/>
      <c r="AE114" s="662">
        <v>1971</v>
      </c>
      <c r="AF114" s="370" t="s">
        <v>92</v>
      </c>
      <c r="AG114" s="370"/>
      <c r="AH114" s="370"/>
      <c r="AI114" s="370" t="s">
        <v>2331</v>
      </c>
      <c r="AJ114" s="370"/>
      <c r="AK114" s="370"/>
      <c r="AL114" s="370" t="s">
        <v>2320</v>
      </c>
      <c r="AM114" s="370" t="s">
        <v>1801</v>
      </c>
      <c r="AN114" s="370" t="s">
        <v>2332</v>
      </c>
      <c r="AO114" s="559" t="s">
        <v>2333</v>
      </c>
      <c r="AP114" s="524" t="s">
        <v>2323</v>
      </c>
      <c r="AQ114" s="370" t="s">
        <v>2334</v>
      </c>
      <c r="AR114" s="524" t="s">
        <v>2335</v>
      </c>
      <c r="AS114" s="559" t="s">
        <v>2336</v>
      </c>
      <c r="AT114" s="662">
        <v>1971</v>
      </c>
      <c r="AV114" s="689"/>
      <c r="AW114" s="689"/>
      <c r="AX114" s="709"/>
      <c r="AY114" s="709"/>
      <c r="AZ114" s="689"/>
      <c r="BA114" s="689"/>
      <c r="BB114" s="370"/>
      <c r="BC114" s="709"/>
      <c r="BD114" s="709"/>
      <c r="BE114" s="709"/>
      <c r="BF114" s="689"/>
      <c r="BG114" s="689"/>
      <c r="BH114" s="689"/>
      <c r="BI114" s="689"/>
      <c r="BJ114" s="689"/>
      <c r="BK114" s="689"/>
      <c r="BL114" s="689"/>
      <c r="BM114" s="689"/>
    </row>
    <row r="115" spans="1:65" ht="17.25" customHeight="1">
      <c r="A115" s="532" t="s">
        <v>1384</v>
      </c>
      <c r="B115" s="532" t="s">
        <v>1384</v>
      </c>
      <c r="C115" s="613" t="s">
        <v>2141</v>
      </c>
      <c r="D115" s="559" t="s">
        <v>2218</v>
      </c>
      <c r="E115" s="524" t="s">
        <v>92</v>
      </c>
      <c r="F115" s="524" t="s">
        <v>2337</v>
      </c>
      <c r="G115" s="677" t="s">
        <v>2206</v>
      </c>
      <c r="H115" s="559" t="s">
        <v>2207</v>
      </c>
      <c r="I115" s="697" t="s">
        <v>2208</v>
      </c>
      <c r="J115" s="524" t="s">
        <v>2209</v>
      </c>
      <c r="K115" s="531" t="s">
        <v>2210</v>
      </c>
      <c r="L115" s="1488"/>
      <c r="M115" s="699">
        <v>2</v>
      </c>
      <c r="N115" s="2243" t="s">
        <v>2338</v>
      </c>
      <c r="O115" s="2243"/>
      <c r="P115" s="2243"/>
      <c r="Q115" s="2243"/>
      <c r="R115" s="2244"/>
      <c r="S115" s="702">
        <v>2</v>
      </c>
      <c r="T115" s="2243" t="s">
        <v>2339</v>
      </c>
      <c r="U115" s="2243"/>
      <c r="V115" s="2243"/>
      <c r="W115" s="2243"/>
      <c r="X115" s="2244"/>
      <c r="AE115" s="662">
        <v>1972</v>
      </c>
      <c r="AF115" s="370" t="s">
        <v>2340</v>
      </c>
      <c r="AG115" s="370"/>
      <c r="AH115" s="370"/>
      <c r="AI115" s="370" t="s">
        <v>2341</v>
      </c>
      <c r="AJ115" s="370"/>
      <c r="AK115" s="370"/>
      <c r="AL115" s="370" t="s">
        <v>2320</v>
      </c>
      <c r="AM115" s="370" t="s">
        <v>1814</v>
      </c>
      <c r="AN115" s="370" t="s">
        <v>2342</v>
      </c>
      <c r="AO115" s="559" t="s">
        <v>2343</v>
      </c>
      <c r="AP115" s="524" t="s">
        <v>2323</v>
      </c>
      <c r="AQ115" s="370" t="s">
        <v>2344</v>
      </c>
      <c r="AR115" s="524" t="s">
        <v>2345</v>
      </c>
      <c r="AS115" s="559" t="s">
        <v>2346</v>
      </c>
      <c r="AT115" s="662">
        <v>1972</v>
      </c>
      <c r="AV115" s="689"/>
      <c r="AW115" s="689"/>
      <c r="AX115" s="709"/>
      <c r="AY115" s="709"/>
      <c r="AZ115" s="689"/>
      <c r="BA115" s="689"/>
      <c r="BB115" s="370"/>
      <c r="BC115" s="709"/>
      <c r="BD115" s="709"/>
      <c r="BE115" s="709"/>
      <c r="BF115" s="689"/>
      <c r="BG115" s="689"/>
      <c r="BH115" s="689"/>
      <c r="BI115" s="689"/>
      <c r="BJ115" s="689"/>
      <c r="BK115" s="689"/>
      <c r="BL115" s="689"/>
      <c r="BM115" s="689"/>
    </row>
    <row r="116" spans="1:65" ht="17.25" customHeight="1">
      <c r="A116" s="532" t="s">
        <v>2347</v>
      </c>
      <c r="B116" s="532" t="s">
        <v>2347</v>
      </c>
      <c r="C116" s="613" t="s">
        <v>2141</v>
      </c>
      <c r="D116" s="559" t="s">
        <v>2218</v>
      </c>
      <c r="E116" s="524" t="s">
        <v>92</v>
      </c>
      <c r="F116" s="524" t="s">
        <v>2348</v>
      </c>
      <c r="G116" s="677" t="s">
        <v>2206</v>
      </c>
      <c r="H116" s="559" t="s">
        <v>2207</v>
      </c>
      <c r="I116" s="697" t="s">
        <v>2208</v>
      </c>
      <c r="J116" s="524" t="s">
        <v>2209</v>
      </c>
      <c r="K116" s="531" t="s">
        <v>2210</v>
      </c>
      <c r="L116" s="1488"/>
      <c r="M116" s="699">
        <v>3</v>
      </c>
      <c r="N116" s="2243" t="s">
        <v>2349</v>
      </c>
      <c r="O116" s="2243"/>
      <c r="P116" s="2243"/>
      <c r="Q116" s="2243"/>
      <c r="R116" s="2244"/>
      <c r="S116" s="702">
        <v>3</v>
      </c>
      <c r="T116" s="2243" t="s">
        <v>2350</v>
      </c>
      <c r="U116" s="2243"/>
      <c r="V116" s="2243"/>
      <c r="W116" s="2243"/>
      <c r="X116" s="2244"/>
      <c r="AE116" s="662">
        <v>1973</v>
      </c>
      <c r="AF116" s="370" t="s">
        <v>92</v>
      </c>
      <c r="AG116" s="370"/>
      <c r="AH116" s="370"/>
      <c r="AI116" s="370" t="s">
        <v>2351</v>
      </c>
      <c r="AJ116" s="370"/>
      <c r="AK116" s="370"/>
      <c r="AL116" s="370" t="s">
        <v>2320</v>
      </c>
      <c r="AM116" s="370" t="s">
        <v>1823</v>
      </c>
      <c r="AN116" s="370" t="s">
        <v>2352</v>
      </c>
      <c r="AO116" s="559" t="s">
        <v>2353</v>
      </c>
      <c r="AP116" s="524" t="s">
        <v>2323</v>
      </c>
      <c r="AQ116" s="370" t="s">
        <v>2354</v>
      </c>
      <c r="AR116" s="524" t="s">
        <v>2355</v>
      </c>
      <c r="AS116" s="559" t="s">
        <v>2356</v>
      </c>
      <c r="AT116" s="662">
        <v>1973</v>
      </c>
      <c r="AV116" s="689"/>
      <c r="AW116" s="689"/>
      <c r="AX116" s="709"/>
      <c r="AY116" s="709"/>
      <c r="AZ116" s="689"/>
      <c r="BA116" s="689"/>
      <c r="BB116" s="370"/>
      <c r="BC116" s="709"/>
      <c r="BD116" s="709"/>
      <c r="BE116" s="709"/>
      <c r="BF116" s="689"/>
      <c r="BG116" s="689"/>
      <c r="BH116" s="689"/>
      <c r="BI116" s="689"/>
      <c r="BJ116" s="689"/>
      <c r="BK116" s="689"/>
      <c r="BL116" s="689"/>
      <c r="BM116" s="689"/>
    </row>
    <row r="117" spans="1:65" ht="17.25" customHeight="1">
      <c r="A117" s="532" t="s">
        <v>2357</v>
      </c>
      <c r="B117" s="532" t="s">
        <v>2357</v>
      </c>
      <c r="C117" s="613" t="s">
        <v>2141</v>
      </c>
      <c r="D117" s="559" t="s">
        <v>2218</v>
      </c>
      <c r="E117" s="524" t="s">
        <v>92</v>
      </c>
      <c r="F117" s="524" t="s">
        <v>2358</v>
      </c>
      <c r="G117" s="677" t="s">
        <v>2206</v>
      </c>
      <c r="H117" s="559" t="s">
        <v>2207</v>
      </c>
      <c r="I117" s="697" t="s">
        <v>2208</v>
      </c>
      <c r="J117" s="524" t="s">
        <v>2209</v>
      </c>
      <c r="K117" s="531" t="s">
        <v>2210</v>
      </c>
      <c r="L117" s="1488"/>
      <c r="M117" s="699">
        <v>4</v>
      </c>
      <c r="N117" s="2243" t="s">
        <v>2359</v>
      </c>
      <c r="O117" s="2243"/>
      <c r="P117" s="2243"/>
      <c r="Q117" s="2243"/>
      <c r="R117" s="2244"/>
      <c r="S117" s="702">
        <v>4</v>
      </c>
      <c r="T117" s="2243" t="s">
        <v>2360</v>
      </c>
      <c r="U117" s="2243"/>
      <c r="V117" s="2243"/>
      <c r="W117" s="2243"/>
      <c r="X117" s="2244"/>
      <c r="AE117" s="662">
        <v>1974</v>
      </c>
      <c r="AF117" s="370" t="s">
        <v>92</v>
      </c>
      <c r="AG117" s="370"/>
      <c r="AH117" s="370"/>
      <c r="AI117" s="370" t="s">
        <v>92</v>
      </c>
      <c r="AJ117" s="370"/>
      <c r="AK117" s="370"/>
      <c r="AL117" s="370" t="s">
        <v>2320</v>
      </c>
      <c r="AM117" s="370" t="s">
        <v>1829</v>
      </c>
      <c r="AN117" s="370" t="s">
        <v>2361</v>
      </c>
      <c r="AO117" s="524" t="s">
        <v>2362</v>
      </c>
      <c r="AP117" s="524" t="s">
        <v>2363</v>
      </c>
      <c r="AQ117" s="370" t="s">
        <v>2354</v>
      </c>
      <c r="AR117" s="524" t="s">
        <v>2355</v>
      </c>
      <c r="AT117" s="662">
        <v>1974</v>
      </c>
      <c r="BB117" s="370"/>
    </row>
    <row r="118" spans="1:65" ht="17.25" customHeight="1">
      <c r="A118" s="532" t="s">
        <v>1396</v>
      </c>
      <c r="B118" s="532" t="s">
        <v>1396</v>
      </c>
      <c r="C118" s="613" t="s">
        <v>2141</v>
      </c>
      <c r="D118" s="559" t="s">
        <v>2218</v>
      </c>
      <c r="E118" s="524" t="s">
        <v>92</v>
      </c>
      <c r="F118" s="524" t="s">
        <v>2364</v>
      </c>
      <c r="G118" s="677" t="s">
        <v>2206</v>
      </c>
      <c r="H118" s="559" t="s">
        <v>2207</v>
      </c>
      <c r="I118" s="697" t="s">
        <v>2208</v>
      </c>
      <c r="J118" s="524" t="s">
        <v>2209</v>
      </c>
      <c r="K118" s="531" t="s">
        <v>2210</v>
      </c>
      <c r="L118" s="1488"/>
      <c r="M118" s="699">
        <v>5</v>
      </c>
      <c r="N118" s="2243" t="s">
        <v>2365</v>
      </c>
      <c r="O118" s="2243"/>
      <c r="P118" s="2243"/>
      <c r="Q118" s="2243"/>
      <c r="R118" s="2244"/>
      <c r="S118" s="702">
        <v>5</v>
      </c>
      <c r="T118" s="2243" t="s">
        <v>2366</v>
      </c>
      <c r="U118" s="2243"/>
      <c r="V118" s="2243"/>
      <c r="W118" s="2243"/>
      <c r="X118" s="2244"/>
      <c r="AE118" s="662">
        <v>1975</v>
      </c>
      <c r="AF118" s="370" t="s">
        <v>2367</v>
      </c>
      <c r="AG118" s="370"/>
      <c r="AH118" s="370"/>
      <c r="AI118" s="370" t="s">
        <v>2368</v>
      </c>
      <c r="AJ118" s="370"/>
      <c r="AK118" s="370"/>
      <c r="AL118" s="370" t="s">
        <v>2320</v>
      </c>
      <c r="AM118" s="370" t="s">
        <v>1834</v>
      </c>
      <c r="AN118" s="370" t="s">
        <v>2369</v>
      </c>
      <c r="AO118" s="524" t="s">
        <v>2370</v>
      </c>
      <c r="AP118" s="524" t="s">
        <v>2371</v>
      </c>
      <c r="AQ118" s="370" t="s">
        <v>2372</v>
      </c>
      <c r="AR118" s="524" t="s">
        <v>2373</v>
      </c>
      <c r="AS118" s="524" t="s">
        <v>2374</v>
      </c>
      <c r="AT118" s="662">
        <v>1975</v>
      </c>
      <c r="BB118" s="370"/>
    </row>
    <row r="119" spans="1:65" ht="17.25" customHeight="1">
      <c r="A119" s="532" t="s">
        <v>2375</v>
      </c>
      <c r="B119" s="532" t="s">
        <v>2375</v>
      </c>
      <c r="C119" s="613" t="s">
        <v>2141</v>
      </c>
      <c r="D119" s="559" t="s">
        <v>2218</v>
      </c>
      <c r="E119" s="524" t="s">
        <v>92</v>
      </c>
      <c r="F119" s="524" t="s">
        <v>2376</v>
      </c>
      <c r="G119" s="677" t="s">
        <v>2206</v>
      </c>
      <c r="H119" s="559" t="s">
        <v>2207</v>
      </c>
      <c r="I119" s="697" t="s">
        <v>2208</v>
      </c>
      <c r="J119" s="524" t="s">
        <v>2209</v>
      </c>
      <c r="K119" s="531" t="s">
        <v>2210</v>
      </c>
      <c r="L119" s="1488"/>
      <c r="M119" s="699">
        <v>6</v>
      </c>
      <c r="N119" s="2243" t="s">
        <v>2377</v>
      </c>
      <c r="O119" s="2243"/>
      <c r="P119" s="2243"/>
      <c r="Q119" s="2243"/>
      <c r="R119" s="2244"/>
      <c r="S119" s="702">
        <v>6</v>
      </c>
      <c r="T119" s="2243" t="s">
        <v>2378</v>
      </c>
      <c r="U119" s="2243"/>
      <c r="V119" s="2243"/>
      <c r="W119" s="2243"/>
      <c r="X119" s="2244"/>
      <c r="AE119" s="662">
        <v>1976</v>
      </c>
      <c r="AF119" s="370" t="s">
        <v>2379</v>
      </c>
      <c r="AG119" s="370"/>
      <c r="AH119" s="370"/>
      <c r="AI119" s="370" t="s">
        <v>2380</v>
      </c>
      <c r="AJ119" s="370" t="s">
        <v>2381</v>
      </c>
      <c r="AK119" s="370" t="s">
        <v>2382</v>
      </c>
      <c r="AL119" s="370" t="s">
        <v>2320</v>
      </c>
      <c r="AM119" s="370" t="s">
        <v>1841</v>
      </c>
      <c r="AN119" s="370" t="s">
        <v>2383</v>
      </c>
      <c r="AO119" s="524" t="s">
        <v>2384</v>
      </c>
      <c r="AP119" s="524" t="s">
        <v>2371</v>
      </c>
      <c r="AQ119" s="370" t="s">
        <v>2385</v>
      </c>
      <c r="AR119" s="524" t="s">
        <v>2386</v>
      </c>
      <c r="AS119" s="524" t="s">
        <v>2387</v>
      </c>
      <c r="AT119" s="662">
        <v>1976</v>
      </c>
      <c r="BB119" s="370"/>
    </row>
    <row r="120" spans="1:65" ht="17.25" customHeight="1">
      <c r="A120" s="532" t="s">
        <v>2388</v>
      </c>
      <c r="B120" s="532" t="s">
        <v>2388</v>
      </c>
      <c r="C120" s="613" t="s">
        <v>2141</v>
      </c>
      <c r="D120" s="559" t="s">
        <v>2218</v>
      </c>
      <c r="E120" s="524" t="s">
        <v>92</v>
      </c>
      <c r="F120" s="524" t="s">
        <v>2389</v>
      </c>
      <c r="G120" s="677" t="s">
        <v>2206</v>
      </c>
      <c r="H120" s="559" t="s">
        <v>2207</v>
      </c>
      <c r="I120" s="697" t="s">
        <v>2208</v>
      </c>
      <c r="J120" s="524" t="s">
        <v>2209</v>
      </c>
      <c r="K120" s="531" t="s">
        <v>2210</v>
      </c>
      <c r="L120" s="1488"/>
      <c r="M120" s="699">
        <v>7</v>
      </c>
      <c r="N120" s="2243" t="s">
        <v>2390</v>
      </c>
      <c r="O120" s="2243"/>
      <c r="P120" s="2243"/>
      <c r="Q120" s="2243"/>
      <c r="R120" s="2244"/>
      <c r="S120" s="702">
        <v>7</v>
      </c>
      <c r="T120" s="2243" t="s">
        <v>2391</v>
      </c>
      <c r="U120" s="2243"/>
      <c r="V120" s="2243"/>
      <c r="W120" s="2243"/>
      <c r="X120" s="2244"/>
      <c r="AE120" s="662">
        <v>1977</v>
      </c>
      <c r="AF120" s="370" t="s">
        <v>92</v>
      </c>
      <c r="AG120" s="370"/>
      <c r="AH120" s="370"/>
      <c r="AI120" s="370" t="s">
        <v>92</v>
      </c>
      <c r="AJ120" s="370"/>
      <c r="AK120" s="370"/>
      <c r="AL120" s="370" t="s">
        <v>2320</v>
      </c>
      <c r="AM120" s="370" t="s">
        <v>1850</v>
      </c>
      <c r="AN120" s="370" t="s">
        <v>2392</v>
      </c>
      <c r="AO120" s="524" t="s">
        <v>2393</v>
      </c>
      <c r="AP120" s="524" t="s">
        <v>2394</v>
      </c>
      <c r="AQ120" s="370" t="s">
        <v>2395</v>
      </c>
      <c r="AR120" s="524" t="s">
        <v>2396</v>
      </c>
      <c r="AS120" s="524" t="s">
        <v>2397</v>
      </c>
      <c r="AT120" s="662">
        <v>1977</v>
      </c>
      <c r="BB120" s="370"/>
    </row>
    <row r="121" spans="1:65" ht="17.25" customHeight="1">
      <c r="A121" s="532" t="s">
        <v>1378</v>
      </c>
      <c r="B121" s="532" t="s">
        <v>1378</v>
      </c>
      <c r="C121" s="613" t="s">
        <v>2141</v>
      </c>
      <c r="D121" s="559" t="s">
        <v>2218</v>
      </c>
      <c r="E121" s="524" t="s">
        <v>92</v>
      </c>
      <c r="F121" s="524" t="s">
        <v>2398</v>
      </c>
      <c r="G121" s="677" t="s">
        <v>2206</v>
      </c>
      <c r="H121" s="559" t="s">
        <v>2207</v>
      </c>
      <c r="I121" s="697" t="s">
        <v>2208</v>
      </c>
      <c r="J121" s="524" t="s">
        <v>2209</v>
      </c>
      <c r="K121" s="531" t="s">
        <v>2210</v>
      </c>
      <c r="L121" s="1488"/>
      <c r="M121" s="699">
        <v>8</v>
      </c>
      <c r="N121" s="2243" t="s">
        <v>2399</v>
      </c>
      <c r="O121" s="2243"/>
      <c r="P121" s="2243"/>
      <c r="Q121" s="2243"/>
      <c r="R121" s="2244"/>
      <c r="S121" s="702">
        <v>8</v>
      </c>
      <c r="T121" s="2243" t="s">
        <v>2400</v>
      </c>
      <c r="U121" s="2243"/>
      <c r="V121" s="2243"/>
      <c r="W121" s="2243"/>
      <c r="X121" s="2244"/>
      <c r="AE121" s="662">
        <v>1978</v>
      </c>
      <c r="AF121" s="370" t="s">
        <v>92</v>
      </c>
      <c r="AG121" s="370"/>
      <c r="AH121" s="370"/>
      <c r="AI121" s="370" t="s">
        <v>92</v>
      </c>
      <c r="AJ121" s="370"/>
      <c r="AK121" s="370"/>
      <c r="AL121" s="370" t="s">
        <v>2320</v>
      </c>
      <c r="AM121" s="370" t="s">
        <v>1856</v>
      </c>
      <c r="AN121" s="370" t="s">
        <v>2401</v>
      </c>
      <c r="AO121" s="524" t="s">
        <v>2402</v>
      </c>
      <c r="AP121" s="524" t="s">
        <v>2403</v>
      </c>
      <c r="AQ121" s="370" t="s">
        <v>2404</v>
      </c>
      <c r="AR121" s="524" t="s">
        <v>2405</v>
      </c>
      <c r="AS121" s="524" t="s">
        <v>2406</v>
      </c>
      <c r="AT121" s="662">
        <v>1978</v>
      </c>
      <c r="BB121" s="370"/>
    </row>
    <row r="122" spans="1:65" ht="17.25" customHeight="1">
      <c r="A122" s="532" t="s">
        <v>2407</v>
      </c>
      <c r="B122" s="532" t="s">
        <v>2407</v>
      </c>
      <c r="C122" s="613" t="s">
        <v>2141</v>
      </c>
      <c r="D122" s="559" t="s">
        <v>2218</v>
      </c>
      <c r="E122" s="524" t="s">
        <v>92</v>
      </c>
      <c r="F122" s="524" t="s">
        <v>2408</v>
      </c>
      <c r="G122" s="677" t="s">
        <v>2206</v>
      </c>
      <c r="H122" s="559" t="s">
        <v>2207</v>
      </c>
      <c r="I122" s="697" t="s">
        <v>2208</v>
      </c>
      <c r="J122" s="524" t="s">
        <v>2209</v>
      </c>
      <c r="K122" s="531" t="s">
        <v>2210</v>
      </c>
      <c r="L122" s="1488"/>
      <c r="M122" s="699">
        <v>9</v>
      </c>
      <c r="N122" s="2243" t="s">
        <v>2409</v>
      </c>
      <c r="O122" s="2243"/>
      <c r="P122" s="2243"/>
      <c r="Q122" s="2243"/>
      <c r="R122" s="2244"/>
      <c r="S122" s="702">
        <v>9</v>
      </c>
      <c r="T122" s="2243" t="s">
        <v>2410</v>
      </c>
      <c r="U122" s="2243"/>
      <c r="V122" s="2243"/>
      <c r="W122" s="2243"/>
      <c r="X122" s="2244"/>
      <c r="AE122" s="662">
        <v>1979</v>
      </c>
      <c r="AF122" s="370" t="s">
        <v>92</v>
      </c>
      <c r="AG122" s="370"/>
      <c r="AH122" s="370"/>
      <c r="AI122" s="370" t="s">
        <v>92</v>
      </c>
      <c r="AJ122" s="370"/>
      <c r="AK122" s="370"/>
      <c r="AL122" s="370" t="s">
        <v>2320</v>
      </c>
      <c r="AM122" s="370" t="s">
        <v>1864</v>
      </c>
      <c r="AN122" s="370" t="s">
        <v>2411</v>
      </c>
      <c r="AO122" s="524" t="s">
        <v>2412</v>
      </c>
      <c r="AP122" s="524" t="s">
        <v>2403</v>
      </c>
      <c r="AQ122" s="370" t="s">
        <v>2413</v>
      </c>
      <c r="AR122" s="524" t="s">
        <v>2414</v>
      </c>
      <c r="AS122" s="524" t="s">
        <v>2415</v>
      </c>
      <c r="AT122" s="662">
        <v>1979</v>
      </c>
      <c r="BB122" s="370"/>
    </row>
    <row r="123" spans="1:65" ht="17.25" customHeight="1">
      <c r="A123" s="532" t="s">
        <v>2416</v>
      </c>
      <c r="B123" s="532" t="s">
        <v>2416</v>
      </c>
      <c r="C123" s="613" t="s">
        <v>2141</v>
      </c>
      <c r="D123" s="559" t="s">
        <v>2218</v>
      </c>
      <c r="E123" s="524" t="s">
        <v>92</v>
      </c>
      <c r="F123" s="524" t="s">
        <v>2417</v>
      </c>
      <c r="G123" s="677" t="s">
        <v>2206</v>
      </c>
      <c r="H123" s="559" t="s">
        <v>2207</v>
      </c>
      <c r="I123" s="697" t="s">
        <v>2208</v>
      </c>
      <c r="J123" s="524" t="s">
        <v>2209</v>
      </c>
      <c r="K123" s="531" t="s">
        <v>2210</v>
      </c>
      <c r="L123" s="1488"/>
      <c r="M123" s="699">
        <v>10</v>
      </c>
      <c r="N123" s="2243" t="s">
        <v>2418</v>
      </c>
      <c r="O123" s="2243"/>
      <c r="P123" s="2243"/>
      <c r="Q123" s="2243"/>
      <c r="R123" s="2244"/>
      <c r="S123" s="702">
        <v>10</v>
      </c>
      <c r="T123" s="2243" t="s">
        <v>2419</v>
      </c>
      <c r="U123" s="2243"/>
      <c r="V123" s="2243"/>
      <c r="W123" s="2243"/>
      <c r="X123" s="2244"/>
      <c r="AE123" s="662">
        <v>1980</v>
      </c>
      <c r="AF123" s="370" t="s">
        <v>2420</v>
      </c>
      <c r="AG123" s="370"/>
      <c r="AH123" s="370"/>
      <c r="AI123" s="370" t="s">
        <v>92</v>
      </c>
      <c r="AJ123" s="370"/>
      <c r="AK123" s="370"/>
      <c r="AL123" s="370" t="s">
        <v>2421</v>
      </c>
      <c r="AM123" s="370" t="s">
        <v>1875</v>
      </c>
      <c r="AN123" s="370" t="s">
        <v>2422</v>
      </c>
      <c r="AO123" s="524" t="s">
        <v>2423</v>
      </c>
      <c r="AP123" s="524" t="s">
        <v>2403</v>
      </c>
      <c r="AQ123" s="370" t="s">
        <v>2424</v>
      </c>
      <c r="AR123" s="524" t="s">
        <v>2425</v>
      </c>
      <c r="AS123" s="524" t="s">
        <v>2426</v>
      </c>
      <c r="AT123" s="662">
        <v>1980</v>
      </c>
      <c r="BB123" s="370"/>
    </row>
    <row r="124" spans="1:65" ht="17.25" customHeight="1">
      <c r="A124" s="532" t="s">
        <v>1383</v>
      </c>
      <c r="B124" s="532" t="s">
        <v>1383</v>
      </c>
      <c r="C124" s="613" t="s">
        <v>2141</v>
      </c>
      <c r="D124" s="559" t="s">
        <v>2218</v>
      </c>
      <c r="E124" s="524" t="s">
        <v>92</v>
      </c>
      <c r="F124" s="524" t="s">
        <v>2427</v>
      </c>
      <c r="G124" s="677" t="s">
        <v>2206</v>
      </c>
      <c r="H124" s="559" t="s">
        <v>2207</v>
      </c>
      <c r="I124" s="697" t="s">
        <v>2208</v>
      </c>
      <c r="J124" s="524" t="s">
        <v>2209</v>
      </c>
      <c r="K124" s="531" t="s">
        <v>2210</v>
      </c>
      <c r="L124" s="1488"/>
      <c r="M124" s="699">
        <v>11</v>
      </c>
      <c r="N124" s="2243" t="s">
        <v>2428</v>
      </c>
      <c r="O124" s="2243"/>
      <c r="P124" s="2243"/>
      <c r="Q124" s="2243"/>
      <c r="R124" s="2244"/>
      <c r="S124" s="702">
        <v>11</v>
      </c>
      <c r="T124" s="2243" t="s">
        <v>2429</v>
      </c>
      <c r="U124" s="2243"/>
      <c r="V124" s="2243"/>
      <c r="W124" s="2243"/>
      <c r="X124" s="2244"/>
      <c r="AE124" s="662">
        <v>1981</v>
      </c>
      <c r="AF124" s="370" t="s">
        <v>92</v>
      </c>
      <c r="AG124" s="370"/>
      <c r="AH124" s="370"/>
      <c r="AI124" s="370" t="s">
        <v>2430</v>
      </c>
      <c r="AJ124" s="370"/>
      <c r="AK124" s="370"/>
      <c r="AL124" s="370" t="s">
        <v>2421</v>
      </c>
      <c r="AM124" s="370" t="s">
        <v>1883</v>
      </c>
      <c r="AN124" s="370" t="s">
        <v>2431</v>
      </c>
      <c r="AO124" s="524" t="s">
        <v>2432</v>
      </c>
      <c r="AP124" s="524" t="s">
        <v>2433</v>
      </c>
      <c r="AQ124" s="370" t="s">
        <v>2424</v>
      </c>
      <c r="AR124" s="524" t="s">
        <v>2425</v>
      </c>
      <c r="AT124" s="662">
        <v>1981</v>
      </c>
      <c r="BB124" s="370"/>
    </row>
    <row r="125" spans="1:65" ht="17.25" customHeight="1">
      <c r="A125" s="532" t="s">
        <v>2434</v>
      </c>
      <c r="B125" s="532" t="s">
        <v>2434</v>
      </c>
      <c r="C125" s="613" t="s">
        <v>2141</v>
      </c>
      <c r="D125" s="559" t="s">
        <v>2218</v>
      </c>
      <c r="E125" s="524" t="s">
        <v>92</v>
      </c>
      <c r="F125" s="370" t="s">
        <v>2435</v>
      </c>
      <c r="G125" s="677" t="s">
        <v>2206</v>
      </c>
      <c r="H125" s="559" t="s">
        <v>2207</v>
      </c>
      <c r="I125" s="697" t="s">
        <v>2208</v>
      </c>
      <c r="J125" s="524" t="s">
        <v>2209</v>
      </c>
      <c r="K125" s="531" t="s">
        <v>2210</v>
      </c>
      <c r="L125" s="1488"/>
      <c r="M125" s="699">
        <v>12</v>
      </c>
      <c r="N125" s="2243" t="s">
        <v>2436</v>
      </c>
      <c r="O125" s="2243"/>
      <c r="P125" s="2243"/>
      <c r="Q125" s="2243"/>
      <c r="R125" s="2244"/>
      <c r="S125" s="702">
        <v>12</v>
      </c>
      <c r="T125" s="2243" t="s">
        <v>2437</v>
      </c>
      <c r="U125" s="2243"/>
      <c r="V125" s="2243"/>
      <c r="W125" s="2243"/>
      <c r="X125" s="2244"/>
      <c r="AE125" s="662">
        <v>1982</v>
      </c>
      <c r="AF125" s="370" t="s">
        <v>92</v>
      </c>
      <c r="AG125" s="370"/>
      <c r="AH125" s="370"/>
      <c r="AI125" s="370" t="s">
        <v>92</v>
      </c>
      <c r="AJ125" s="370"/>
      <c r="AK125" s="370"/>
      <c r="AL125" s="370" t="s">
        <v>2421</v>
      </c>
      <c r="AM125" s="370" t="s">
        <v>1890</v>
      </c>
      <c r="AN125" s="370" t="s">
        <v>2438</v>
      </c>
      <c r="AO125" s="524" t="s">
        <v>2439</v>
      </c>
      <c r="AP125" s="524" t="s">
        <v>2440</v>
      </c>
      <c r="AQ125" s="370" t="s">
        <v>2424</v>
      </c>
      <c r="AR125" s="524" t="s">
        <v>2425</v>
      </c>
      <c r="AT125" s="662">
        <v>1982</v>
      </c>
      <c r="BB125" s="370"/>
    </row>
    <row r="126" spans="1:65" ht="17.25" customHeight="1">
      <c r="A126" s="532" t="s">
        <v>2441</v>
      </c>
      <c r="B126" s="532" t="s">
        <v>2441</v>
      </c>
      <c r="C126" s="613" t="s">
        <v>2141</v>
      </c>
      <c r="D126" s="559" t="s">
        <v>2218</v>
      </c>
      <c r="E126" s="524" t="s">
        <v>92</v>
      </c>
      <c r="F126" s="524" t="s">
        <v>2442</v>
      </c>
      <c r="G126" s="677" t="s">
        <v>2206</v>
      </c>
      <c r="H126" s="559" t="s">
        <v>2207</v>
      </c>
      <c r="I126" s="697" t="s">
        <v>2208</v>
      </c>
      <c r="J126" s="524" t="s">
        <v>2209</v>
      </c>
      <c r="K126" s="531" t="s">
        <v>2210</v>
      </c>
      <c r="L126" s="1488"/>
      <c r="M126" s="699">
        <v>13</v>
      </c>
      <c r="N126" s="2243" t="s">
        <v>2443</v>
      </c>
      <c r="O126" s="2243"/>
      <c r="P126" s="2243"/>
      <c r="Q126" s="2243"/>
      <c r="R126" s="2244"/>
      <c r="S126" s="702">
        <v>13</v>
      </c>
      <c r="T126" s="2243" t="s">
        <v>2444</v>
      </c>
      <c r="U126" s="2243"/>
      <c r="V126" s="2243"/>
      <c r="W126" s="2243"/>
      <c r="X126" s="2244"/>
      <c r="AE126" s="662">
        <v>1983</v>
      </c>
      <c r="AF126" s="370" t="s">
        <v>92</v>
      </c>
      <c r="AG126" s="370"/>
      <c r="AH126" s="370"/>
      <c r="AI126" s="370" t="s">
        <v>2445</v>
      </c>
      <c r="AJ126" s="370"/>
      <c r="AK126" s="370"/>
      <c r="AL126" s="370" t="s">
        <v>2421</v>
      </c>
      <c r="AM126" s="370" t="s">
        <v>1897</v>
      </c>
      <c r="AN126" s="370" t="s">
        <v>2446</v>
      </c>
      <c r="AO126" s="524" t="s">
        <v>2447</v>
      </c>
      <c r="AP126" s="524" t="s">
        <v>2440</v>
      </c>
      <c r="AQ126" s="370" t="s">
        <v>2424</v>
      </c>
      <c r="AR126" s="524" t="s">
        <v>2425</v>
      </c>
      <c r="AT126" s="662">
        <v>1983</v>
      </c>
      <c r="BB126" s="370"/>
    </row>
    <row r="127" spans="1:65" ht="17.25" customHeight="1">
      <c r="A127" s="532" t="s">
        <v>2448</v>
      </c>
      <c r="B127" s="532" t="s">
        <v>2448</v>
      </c>
      <c r="C127" s="613" t="s">
        <v>2141</v>
      </c>
      <c r="D127" s="559" t="s">
        <v>2218</v>
      </c>
      <c r="E127" s="524" t="s">
        <v>92</v>
      </c>
      <c r="F127" s="524" t="s">
        <v>2449</v>
      </c>
      <c r="G127" s="677" t="s">
        <v>2206</v>
      </c>
      <c r="H127" s="559" t="s">
        <v>2207</v>
      </c>
      <c r="I127" s="697" t="s">
        <v>2208</v>
      </c>
      <c r="J127" s="524" t="s">
        <v>2209</v>
      </c>
      <c r="K127" s="531" t="s">
        <v>2210</v>
      </c>
      <c r="L127" s="1488"/>
      <c r="M127" s="699">
        <v>14</v>
      </c>
      <c r="N127" s="2243" t="s">
        <v>2450</v>
      </c>
      <c r="O127" s="2243"/>
      <c r="P127" s="2243"/>
      <c r="Q127" s="2243"/>
      <c r="R127" s="2244"/>
      <c r="S127" s="702">
        <v>14</v>
      </c>
      <c r="T127" s="2243" t="s">
        <v>2451</v>
      </c>
      <c r="U127" s="2243"/>
      <c r="V127" s="2243"/>
      <c r="W127" s="2243"/>
      <c r="X127" s="2244"/>
      <c r="AE127" s="662">
        <v>1984</v>
      </c>
      <c r="AF127" s="370" t="s">
        <v>1972</v>
      </c>
      <c r="AG127" s="370"/>
      <c r="AH127" s="370"/>
      <c r="AI127" s="370" t="s">
        <v>92</v>
      </c>
      <c r="AJ127" s="370"/>
      <c r="AK127" s="370"/>
      <c r="AL127" s="370" t="s">
        <v>2421</v>
      </c>
      <c r="AM127" s="370" t="s">
        <v>1905</v>
      </c>
      <c r="AN127" s="370" t="s">
        <v>2452</v>
      </c>
      <c r="AO127" s="524" t="s">
        <v>2453</v>
      </c>
      <c r="AP127" s="524" t="s">
        <v>2440</v>
      </c>
      <c r="AQ127" s="370" t="s">
        <v>2454</v>
      </c>
      <c r="AR127" s="524" t="s">
        <v>2455</v>
      </c>
      <c r="AS127" s="524" t="s">
        <v>2456</v>
      </c>
      <c r="AT127" s="662">
        <v>1984</v>
      </c>
      <c r="BB127" s="370"/>
    </row>
    <row r="128" spans="1:65" ht="17.25" customHeight="1">
      <c r="A128" s="532" t="s">
        <v>2457</v>
      </c>
      <c r="B128" s="532" t="s">
        <v>2457</v>
      </c>
      <c r="C128" s="613" t="s">
        <v>2141</v>
      </c>
      <c r="D128" s="559" t="s">
        <v>2218</v>
      </c>
      <c r="E128" s="524" t="s">
        <v>92</v>
      </c>
      <c r="F128" s="370" t="s">
        <v>2458</v>
      </c>
      <c r="G128" s="677" t="s">
        <v>2206</v>
      </c>
      <c r="H128" s="559" t="s">
        <v>2207</v>
      </c>
      <c r="I128" s="697" t="s">
        <v>2208</v>
      </c>
      <c r="J128" s="524" t="s">
        <v>2209</v>
      </c>
      <c r="K128" s="531" t="s">
        <v>2210</v>
      </c>
      <c r="L128" s="1488"/>
      <c r="M128" s="699">
        <v>15</v>
      </c>
      <c r="N128" s="2243" t="s">
        <v>2459</v>
      </c>
      <c r="O128" s="2243"/>
      <c r="P128" s="2243"/>
      <c r="Q128" s="2243"/>
      <c r="R128" s="2244"/>
      <c r="S128" s="702">
        <v>15</v>
      </c>
      <c r="T128" s="2243" t="s">
        <v>2460</v>
      </c>
      <c r="U128" s="2243"/>
      <c r="V128" s="2243"/>
      <c r="W128" s="2243"/>
      <c r="X128" s="2244"/>
      <c r="AE128" s="662">
        <v>1985</v>
      </c>
      <c r="AF128" s="370" t="s">
        <v>92</v>
      </c>
      <c r="AG128" s="370"/>
      <c r="AH128" s="370"/>
      <c r="AI128" s="370" t="s">
        <v>92</v>
      </c>
      <c r="AJ128" s="370"/>
      <c r="AK128" s="370"/>
      <c r="AL128" s="370" t="s">
        <v>2421</v>
      </c>
      <c r="AM128" s="370" t="s">
        <v>1913</v>
      </c>
      <c r="AN128" s="370" t="s">
        <v>2461</v>
      </c>
      <c r="AO128" s="524" t="s">
        <v>2462</v>
      </c>
      <c r="AP128" s="524" t="s">
        <v>2440</v>
      </c>
      <c r="AQ128" s="370" t="s">
        <v>2454</v>
      </c>
      <c r="AR128" s="524" t="s">
        <v>2455</v>
      </c>
      <c r="AT128" s="662">
        <v>1985</v>
      </c>
      <c r="BB128" s="370"/>
    </row>
    <row r="129" spans="1:54" ht="17.25" customHeight="1">
      <c r="A129" s="524" t="str">
        <f>Q226</f>
        <v/>
      </c>
      <c r="B129" s="532" t="s">
        <v>2195</v>
      </c>
      <c r="C129" s="613" t="s">
        <v>212</v>
      </c>
      <c r="D129" s="524" t="s">
        <v>212</v>
      </c>
      <c r="E129" s="524" t="s">
        <v>212</v>
      </c>
      <c r="F129" s="524" t="s">
        <v>212</v>
      </c>
      <c r="G129" s="524" t="s">
        <v>212</v>
      </c>
      <c r="H129" s="524" t="s">
        <v>212</v>
      </c>
      <c r="I129" s="524" t="s">
        <v>212</v>
      </c>
      <c r="J129" s="524" t="s">
        <v>212</v>
      </c>
      <c r="K129" s="531" t="s">
        <v>212</v>
      </c>
      <c r="L129" s="1488"/>
      <c r="M129" s="699">
        <v>16</v>
      </c>
      <c r="N129" s="2243" t="s">
        <v>2463</v>
      </c>
      <c r="O129" s="2243"/>
      <c r="P129" s="2243"/>
      <c r="Q129" s="2243"/>
      <c r="R129" s="2244"/>
      <c r="S129" s="702">
        <v>16</v>
      </c>
      <c r="T129" s="2243" t="s">
        <v>2464</v>
      </c>
      <c r="U129" s="2243"/>
      <c r="V129" s="2243"/>
      <c r="W129" s="2243"/>
      <c r="X129" s="2244"/>
      <c r="AE129" s="662">
        <v>1986</v>
      </c>
      <c r="AF129" s="370" t="s">
        <v>2465</v>
      </c>
      <c r="AG129" s="370"/>
      <c r="AH129" s="370"/>
      <c r="AI129" s="370" t="s">
        <v>92</v>
      </c>
      <c r="AJ129" s="370"/>
      <c r="AK129" s="370"/>
      <c r="AL129" s="370" t="s">
        <v>2421</v>
      </c>
      <c r="AM129" s="370" t="s">
        <v>1922</v>
      </c>
      <c r="AN129" s="370" t="s">
        <v>2466</v>
      </c>
      <c r="AO129" s="524" t="s">
        <v>2467</v>
      </c>
      <c r="AP129" s="524" t="s">
        <v>2440</v>
      </c>
      <c r="AQ129" s="370" t="s">
        <v>2468</v>
      </c>
      <c r="AR129" s="524" t="s">
        <v>2469</v>
      </c>
      <c r="AS129" s="524" t="s">
        <v>2470</v>
      </c>
      <c r="AT129" s="662">
        <v>1986</v>
      </c>
      <c r="BB129" s="370"/>
    </row>
    <row r="130" spans="1:54" ht="17.25" customHeight="1">
      <c r="B130" s="532" t="s">
        <v>78</v>
      </c>
      <c r="C130" s="613" t="s">
        <v>2471</v>
      </c>
      <c r="D130" s="524" t="s">
        <v>2472</v>
      </c>
      <c r="E130" s="524" t="s">
        <v>2473</v>
      </c>
      <c r="F130" s="370" t="s">
        <v>2474</v>
      </c>
      <c r="G130" s="524" t="s">
        <v>2475</v>
      </c>
      <c r="H130" s="524" t="s">
        <v>2476</v>
      </c>
      <c r="I130" s="524" t="s">
        <v>2477</v>
      </c>
      <c r="J130" s="524" t="s">
        <v>2478</v>
      </c>
      <c r="K130" s="531" t="s">
        <v>2479</v>
      </c>
      <c r="L130" s="1488"/>
      <c r="M130" s="699">
        <v>17</v>
      </c>
      <c r="N130" s="2243" t="s">
        <v>2480</v>
      </c>
      <c r="O130" s="2243"/>
      <c r="P130" s="2243"/>
      <c r="Q130" s="2243"/>
      <c r="R130" s="2244"/>
      <c r="S130" s="702">
        <v>17</v>
      </c>
      <c r="T130" s="2243" t="s">
        <v>2481</v>
      </c>
      <c r="U130" s="2243"/>
      <c r="V130" s="2243"/>
      <c r="W130" s="2243"/>
      <c r="X130" s="2244"/>
      <c r="AE130" s="662">
        <v>1987</v>
      </c>
      <c r="AF130" s="370" t="s">
        <v>2465</v>
      </c>
      <c r="AG130" s="715"/>
      <c r="AH130" s="715"/>
      <c r="AI130" s="370" t="s">
        <v>92</v>
      </c>
      <c r="AJ130" s="370"/>
      <c r="AK130" s="370"/>
      <c r="AL130" s="370" t="s">
        <v>2421</v>
      </c>
      <c r="AM130" s="370" t="s">
        <v>1931</v>
      </c>
      <c r="AN130" s="370" t="s">
        <v>2482</v>
      </c>
      <c r="AO130" s="524" t="s">
        <v>2483</v>
      </c>
      <c r="AP130" s="524" t="s">
        <v>2440</v>
      </c>
      <c r="AQ130" s="370" t="s">
        <v>2468</v>
      </c>
      <c r="AR130" s="524" t="s">
        <v>2469</v>
      </c>
      <c r="AT130" s="662">
        <v>1987</v>
      </c>
      <c r="BB130" s="370"/>
    </row>
    <row r="131" spans="1:54" ht="17.25" customHeight="1">
      <c r="B131" s="532" t="s">
        <v>81</v>
      </c>
      <c r="C131" s="613" t="s">
        <v>2484</v>
      </c>
      <c r="D131" s="524" t="s">
        <v>92</v>
      </c>
      <c r="E131" s="524" t="s">
        <v>2485</v>
      </c>
      <c r="F131" s="524" t="s">
        <v>2486</v>
      </c>
      <c r="G131" s="524" t="s">
        <v>2487</v>
      </c>
      <c r="H131" s="524" t="s">
        <v>2488</v>
      </c>
      <c r="I131" s="524" t="s">
        <v>2489</v>
      </c>
      <c r="J131" s="524" t="s">
        <v>2490</v>
      </c>
      <c r="K131" s="531" t="s">
        <v>2491</v>
      </c>
      <c r="L131" s="1488"/>
      <c r="M131" s="699">
        <v>18</v>
      </c>
      <c r="N131" s="2243" t="s">
        <v>2492</v>
      </c>
      <c r="O131" s="2243"/>
      <c r="P131" s="2243"/>
      <c r="Q131" s="2243"/>
      <c r="R131" s="2244"/>
      <c r="S131" s="702">
        <v>18</v>
      </c>
      <c r="T131" s="2243" t="s">
        <v>2493</v>
      </c>
      <c r="U131" s="2243"/>
      <c r="V131" s="2243"/>
      <c r="W131" s="2243"/>
      <c r="X131" s="2244"/>
      <c r="AE131" s="662">
        <v>1988</v>
      </c>
      <c r="AF131" s="370" t="s">
        <v>2465</v>
      </c>
      <c r="AG131" s="715" t="s">
        <v>2494</v>
      </c>
      <c r="AH131" s="715"/>
      <c r="AI131" s="370" t="s">
        <v>2495</v>
      </c>
      <c r="AJ131" s="370" t="s">
        <v>2496</v>
      </c>
      <c r="AK131" s="370"/>
      <c r="AL131" s="370" t="s">
        <v>2421</v>
      </c>
      <c r="AM131" s="370" t="s">
        <v>1940</v>
      </c>
      <c r="AN131" s="370" t="s">
        <v>2497</v>
      </c>
      <c r="AO131" s="370" t="s">
        <v>2498</v>
      </c>
      <c r="AP131" s="524" t="s">
        <v>2440</v>
      </c>
      <c r="AQ131" s="370" t="s">
        <v>2499</v>
      </c>
      <c r="AR131" s="524" t="s">
        <v>2500</v>
      </c>
      <c r="AS131" s="524" t="s">
        <v>2501</v>
      </c>
      <c r="AT131" s="662">
        <v>1988</v>
      </c>
      <c r="BB131" s="370"/>
    </row>
    <row r="132" spans="1:54" ht="17.25" customHeight="1">
      <c r="B132" s="532" t="s">
        <v>2502</v>
      </c>
      <c r="C132" s="613" t="s">
        <v>2141</v>
      </c>
      <c r="D132" s="524" t="s">
        <v>2503</v>
      </c>
      <c r="E132" s="524" t="s">
        <v>92</v>
      </c>
      <c r="F132" s="524" t="s">
        <v>2504</v>
      </c>
      <c r="G132" s="524" t="s">
        <v>2505</v>
      </c>
      <c r="H132" s="524" t="s">
        <v>2506</v>
      </c>
      <c r="I132" s="524" t="s">
        <v>2507</v>
      </c>
      <c r="J132" s="524" t="s">
        <v>2508</v>
      </c>
      <c r="K132" s="531" t="s">
        <v>2509</v>
      </c>
      <c r="L132" s="1488"/>
      <c r="M132" s="699">
        <v>19</v>
      </c>
      <c r="N132" s="2243" t="s">
        <v>2510</v>
      </c>
      <c r="O132" s="2243"/>
      <c r="P132" s="2243"/>
      <c r="Q132" s="2243"/>
      <c r="R132" s="2244"/>
      <c r="S132" s="702">
        <v>19</v>
      </c>
      <c r="T132" s="2243" t="s">
        <v>2511</v>
      </c>
      <c r="U132" s="2243"/>
      <c r="V132" s="2243"/>
      <c r="W132" s="2243"/>
      <c r="X132" s="2244"/>
      <c r="AE132" s="662">
        <v>1989</v>
      </c>
      <c r="AF132" s="370" t="s">
        <v>2465</v>
      </c>
      <c r="AG132" s="715" t="s">
        <v>2512</v>
      </c>
      <c r="AH132" s="715"/>
      <c r="AI132" s="370" t="s">
        <v>92</v>
      </c>
      <c r="AJ132" s="370"/>
      <c r="AK132" s="370"/>
      <c r="AL132" s="370" t="s">
        <v>2421</v>
      </c>
      <c r="AM132" s="370" t="s">
        <v>1948</v>
      </c>
      <c r="AN132" s="370" t="s">
        <v>2513</v>
      </c>
      <c r="AO132" s="524" t="s">
        <v>2514</v>
      </c>
      <c r="AP132" s="524" t="s">
        <v>2515</v>
      </c>
      <c r="AQ132" s="524" t="s">
        <v>2516</v>
      </c>
      <c r="AR132" s="524" t="s">
        <v>2517</v>
      </c>
      <c r="AS132" s="524" t="s">
        <v>2518</v>
      </c>
      <c r="AT132" s="662">
        <v>1989</v>
      </c>
      <c r="BB132" s="370"/>
    </row>
    <row r="133" spans="1:54" ht="17.25" customHeight="1">
      <c r="B133" s="532" t="s">
        <v>94</v>
      </c>
      <c r="C133" s="613" t="s">
        <v>2519</v>
      </c>
      <c r="D133" s="524" t="s">
        <v>92</v>
      </c>
      <c r="E133" s="524" t="s">
        <v>92</v>
      </c>
      <c r="F133" s="524" t="s">
        <v>2520</v>
      </c>
      <c r="G133" s="524" t="s">
        <v>2521</v>
      </c>
      <c r="H133" s="524" t="s">
        <v>2522</v>
      </c>
      <c r="I133" s="524" t="s">
        <v>2523</v>
      </c>
      <c r="J133" s="524" t="s">
        <v>2524</v>
      </c>
      <c r="K133" s="531" t="s">
        <v>2525</v>
      </c>
      <c r="L133" s="1488"/>
      <c r="M133" s="699">
        <v>20</v>
      </c>
      <c r="N133" s="2243" t="s">
        <v>2526</v>
      </c>
      <c r="O133" s="2243"/>
      <c r="P133" s="2243"/>
      <c r="Q133" s="2243"/>
      <c r="R133" s="2244"/>
      <c r="S133" s="702">
        <v>20</v>
      </c>
      <c r="T133" s="2243" t="s">
        <v>2527</v>
      </c>
      <c r="U133" s="2243"/>
      <c r="V133" s="2243"/>
      <c r="W133" s="2243"/>
      <c r="X133" s="2244"/>
      <c r="AE133" s="662">
        <v>1990</v>
      </c>
      <c r="AF133" s="370" t="s">
        <v>2465</v>
      </c>
      <c r="AG133" s="715"/>
      <c r="AH133" s="715"/>
      <c r="AI133" s="370" t="s">
        <v>2528</v>
      </c>
      <c r="AJ133" s="370"/>
      <c r="AK133" s="370"/>
      <c r="AL133" s="370" t="s">
        <v>2529</v>
      </c>
      <c r="AM133" s="370" t="s">
        <v>1956</v>
      </c>
      <c r="AN133" s="370" t="s">
        <v>2530</v>
      </c>
      <c r="AO133" s="524" t="s">
        <v>2531</v>
      </c>
      <c r="AP133" s="524" t="s">
        <v>2532</v>
      </c>
      <c r="AQ133" s="524" t="s">
        <v>2516</v>
      </c>
      <c r="AR133" s="524" t="s">
        <v>2517</v>
      </c>
      <c r="AT133" s="662">
        <v>1990</v>
      </c>
      <c r="BB133" s="370"/>
    </row>
    <row r="134" spans="1:54" ht="17.25" customHeight="1">
      <c r="B134" s="532" t="s">
        <v>96</v>
      </c>
      <c r="C134" s="613" t="s">
        <v>2519</v>
      </c>
      <c r="D134" s="524" t="s">
        <v>92</v>
      </c>
      <c r="E134" s="524" t="s">
        <v>92</v>
      </c>
      <c r="F134" s="524" t="s">
        <v>2533</v>
      </c>
      <c r="G134" s="524" t="s">
        <v>2534</v>
      </c>
      <c r="H134" s="524" t="s">
        <v>2535</v>
      </c>
      <c r="I134" s="524" t="s">
        <v>2536</v>
      </c>
      <c r="J134" s="524" t="s">
        <v>2537</v>
      </c>
      <c r="K134" s="531" t="s">
        <v>2538</v>
      </c>
      <c r="L134" s="1488"/>
      <c r="M134" s="699">
        <v>21</v>
      </c>
      <c r="N134" s="2243" t="s">
        <v>2539</v>
      </c>
      <c r="O134" s="2243"/>
      <c r="P134" s="2243"/>
      <c r="Q134" s="2243"/>
      <c r="R134" s="2244"/>
      <c r="S134" s="702">
        <v>21</v>
      </c>
      <c r="T134" s="2243" t="s">
        <v>2540</v>
      </c>
      <c r="U134" s="2243"/>
      <c r="V134" s="2243"/>
      <c r="W134" s="2243"/>
      <c r="X134" s="2244"/>
      <c r="AE134" s="662">
        <v>1991</v>
      </c>
      <c r="AF134" s="370" t="s">
        <v>92</v>
      </c>
      <c r="AG134" s="370"/>
      <c r="AH134" s="370"/>
      <c r="AI134" s="370" t="s">
        <v>92</v>
      </c>
      <c r="AJ134" s="370"/>
      <c r="AK134" s="370"/>
      <c r="AL134" s="370" t="s">
        <v>2529</v>
      </c>
      <c r="AM134" s="370" t="s">
        <v>1965</v>
      </c>
      <c r="AN134" s="370" t="s">
        <v>2541</v>
      </c>
      <c r="AO134" s="524" t="s">
        <v>2542</v>
      </c>
      <c r="AP134" s="524" t="s">
        <v>2532</v>
      </c>
      <c r="AQ134" s="524" t="s">
        <v>2516</v>
      </c>
      <c r="AR134" s="524" t="s">
        <v>2517</v>
      </c>
      <c r="AT134" s="662">
        <v>1991</v>
      </c>
      <c r="BB134" s="370"/>
    </row>
    <row r="135" spans="1:54" ht="17.25" customHeight="1">
      <c r="B135" s="532" t="s">
        <v>103</v>
      </c>
      <c r="C135" s="613" t="s">
        <v>2141</v>
      </c>
      <c r="D135" s="524" t="s">
        <v>92</v>
      </c>
      <c r="E135" s="524" t="s">
        <v>92</v>
      </c>
      <c r="F135" s="370" t="s">
        <v>2543</v>
      </c>
      <c r="G135" s="524" t="s">
        <v>2544</v>
      </c>
      <c r="H135" s="524" t="s">
        <v>2545</v>
      </c>
      <c r="I135" s="524" t="s">
        <v>2546</v>
      </c>
      <c r="J135" s="524" t="s">
        <v>2547</v>
      </c>
      <c r="K135" s="531" t="s">
        <v>2548</v>
      </c>
      <c r="L135" s="1488"/>
      <c r="M135" s="699">
        <v>22</v>
      </c>
      <c r="N135" s="2243" t="s">
        <v>2549</v>
      </c>
      <c r="O135" s="2243"/>
      <c r="P135" s="2243"/>
      <c r="Q135" s="2243"/>
      <c r="R135" s="2244"/>
      <c r="S135" s="702">
        <v>22</v>
      </c>
      <c r="T135" s="2243" t="s">
        <v>2550</v>
      </c>
      <c r="U135" s="2243"/>
      <c r="V135" s="2243"/>
      <c r="W135" s="2243"/>
      <c r="X135" s="2244"/>
      <c r="AE135" s="662">
        <v>1992</v>
      </c>
      <c r="AF135" s="370" t="s">
        <v>2551</v>
      </c>
      <c r="AG135" s="370"/>
      <c r="AH135" s="370"/>
      <c r="AI135" s="370" t="s">
        <v>2552</v>
      </c>
      <c r="AJ135" s="370"/>
      <c r="AK135" s="370"/>
      <c r="AL135" s="370" t="s">
        <v>2529</v>
      </c>
      <c r="AM135" s="370" t="s">
        <v>1975</v>
      </c>
      <c r="AN135" s="370" t="s">
        <v>2553</v>
      </c>
      <c r="AO135" s="524" t="s">
        <v>2554</v>
      </c>
      <c r="AP135" s="524" t="s">
        <v>2532</v>
      </c>
      <c r="AQ135" s="524" t="s">
        <v>2516</v>
      </c>
      <c r="AR135" s="524" t="s">
        <v>2517</v>
      </c>
      <c r="AT135" s="662">
        <v>1992</v>
      </c>
      <c r="BB135" s="370"/>
    </row>
    <row r="136" spans="1:54" ht="17.25" customHeight="1">
      <c r="B136" s="532" t="s">
        <v>105</v>
      </c>
      <c r="C136" s="613" t="s">
        <v>2555</v>
      </c>
      <c r="D136" s="524" t="s">
        <v>92</v>
      </c>
      <c r="E136" s="524" t="s">
        <v>2556</v>
      </c>
      <c r="F136" s="524" t="s">
        <v>2557</v>
      </c>
      <c r="G136" s="524" t="s">
        <v>92</v>
      </c>
      <c r="H136" s="524" t="s">
        <v>92</v>
      </c>
      <c r="I136" s="524" t="s">
        <v>2558</v>
      </c>
      <c r="J136" s="524" t="s">
        <v>92</v>
      </c>
      <c r="K136" s="531" t="s">
        <v>92</v>
      </c>
      <c r="L136" s="1488"/>
      <c r="M136" s="699">
        <v>23</v>
      </c>
      <c r="N136" s="2243" t="s">
        <v>2559</v>
      </c>
      <c r="O136" s="2243"/>
      <c r="P136" s="2243"/>
      <c r="Q136" s="2243"/>
      <c r="R136" s="2244"/>
      <c r="S136" s="702">
        <v>23</v>
      </c>
      <c r="T136" s="2243" t="s">
        <v>2560</v>
      </c>
      <c r="U136" s="2243"/>
      <c r="V136" s="2243"/>
      <c r="W136" s="2243"/>
      <c r="X136" s="2244"/>
      <c r="AE136" s="662">
        <v>1993</v>
      </c>
      <c r="AF136" s="370" t="s">
        <v>92</v>
      </c>
      <c r="AG136" s="370"/>
      <c r="AH136" s="370"/>
      <c r="AI136" s="370" t="s">
        <v>2561</v>
      </c>
      <c r="AJ136" s="370"/>
      <c r="AK136" s="370"/>
      <c r="AL136" s="370" t="s">
        <v>2529</v>
      </c>
      <c r="AM136" s="370" t="s">
        <v>1984</v>
      </c>
      <c r="AN136" s="370" t="s">
        <v>2562</v>
      </c>
      <c r="AO136" s="524" t="s">
        <v>2563</v>
      </c>
      <c r="AP136" s="524" t="s">
        <v>2564</v>
      </c>
      <c r="AQ136" s="524" t="s">
        <v>2516</v>
      </c>
      <c r="AR136" s="524" t="s">
        <v>2517</v>
      </c>
      <c r="AT136" s="662">
        <v>1993</v>
      </c>
      <c r="BB136" s="370"/>
    </row>
    <row r="137" spans="1:54" ht="17.25" customHeight="1">
      <c r="B137" s="532" t="s">
        <v>109</v>
      </c>
      <c r="C137" s="613" t="s">
        <v>2484</v>
      </c>
      <c r="D137" s="524" t="s">
        <v>2565</v>
      </c>
      <c r="E137" s="524" t="s">
        <v>92</v>
      </c>
      <c r="F137" s="524" t="s">
        <v>2566</v>
      </c>
      <c r="G137" s="524" t="s">
        <v>2567</v>
      </c>
      <c r="H137" s="524" t="s">
        <v>2568</v>
      </c>
      <c r="I137" s="524" t="s">
        <v>2569</v>
      </c>
      <c r="J137" s="524" t="s">
        <v>2570</v>
      </c>
      <c r="K137" s="531" t="s">
        <v>2571</v>
      </c>
      <c r="L137" s="1488"/>
      <c r="M137" s="699">
        <v>24</v>
      </c>
      <c r="N137" s="2243" t="s">
        <v>2572</v>
      </c>
      <c r="O137" s="2243"/>
      <c r="P137" s="2243"/>
      <c r="Q137" s="2243"/>
      <c r="R137" s="2244"/>
      <c r="S137" s="702">
        <v>24</v>
      </c>
      <c r="T137" s="2243" t="s">
        <v>2573</v>
      </c>
      <c r="U137" s="2243"/>
      <c r="V137" s="2243"/>
      <c r="W137" s="2243"/>
      <c r="X137" s="2244"/>
      <c r="AE137" s="662">
        <v>1994</v>
      </c>
      <c r="AF137" s="370" t="s">
        <v>92</v>
      </c>
      <c r="AG137" s="370"/>
      <c r="AH137" s="370"/>
      <c r="AI137" s="370" t="s">
        <v>92</v>
      </c>
      <c r="AJ137" s="370"/>
      <c r="AK137" s="370"/>
      <c r="AL137" s="370" t="s">
        <v>2529</v>
      </c>
      <c r="AM137" s="370" t="s">
        <v>1992</v>
      </c>
      <c r="AN137" s="370" t="s">
        <v>2574</v>
      </c>
      <c r="AO137" s="524" t="s">
        <v>2575</v>
      </c>
      <c r="AP137" s="524" t="s">
        <v>2576</v>
      </c>
      <c r="AQ137" s="524" t="s">
        <v>2516</v>
      </c>
      <c r="AR137" s="524" t="s">
        <v>2517</v>
      </c>
      <c r="AT137" s="662">
        <v>1994</v>
      </c>
      <c r="BB137" s="370"/>
    </row>
    <row r="138" spans="1:54" ht="17.25" customHeight="1">
      <c r="B138" s="532" t="s">
        <v>111</v>
      </c>
      <c r="C138" s="613" t="s">
        <v>2577</v>
      </c>
      <c r="D138" s="524" t="s">
        <v>92</v>
      </c>
      <c r="E138" s="524" t="s">
        <v>92</v>
      </c>
      <c r="F138" s="524" t="s">
        <v>2578</v>
      </c>
      <c r="G138" s="524" t="s">
        <v>2579</v>
      </c>
      <c r="H138" s="524" t="s">
        <v>2580</v>
      </c>
      <c r="I138" s="524" t="s">
        <v>2581</v>
      </c>
      <c r="J138" s="524" t="s">
        <v>2582</v>
      </c>
      <c r="K138" s="531" t="s">
        <v>2583</v>
      </c>
      <c r="L138" s="1488"/>
      <c r="M138" s="699">
        <v>25</v>
      </c>
      <c r="N138" s="2243" t="s">
        <v>2584</v>
      </c>
      <c r="O138" s="2243"/>
      <c r="P138" s="2243"/>
      <c r="Q138" s="2243"/>
      <c r="R138" s="2244"/>
      <c r="S138" s="702">
        <v>25</v>
      </c>
      <c r="T138" s="2243" t="s">
        <v>2585</v>
      </c>
      <c r="U138" s="2243"/>
      <c r="V138" s="2243"/>
      <c r="W138" s="2243"/>
      <c r="X138" s="2244"/>
      <c r="AE138" s="662">
        <v>1995</v>
      </c>
      <c r="AF138" s="370" t="s">
        <v>92</v>
      </c>
      <c r="AG138" s="370"/>
      <c r="AH138" s="370"/>
      <c r="AI138" s="370" t="s">
        <v>92</v>
      </c>
      <c r="AJ138" s="370"/>
      <c r="AK138" s="370"/>
      <c r="AL138" s="370" t="s">
        <v>2529</v>
      </c>
      <c r="AM138" s="370" t="s">
        <v>2001</v>
      </c>
      <c r="AN138" s="370" t="s">
        <v>2586</v>
      </c>
      <c r="AO138" s="524" t="s">
        <v>2587</v>
      </c>
      <c r="AP138" s="524" t="s">
        <v>2576</v>
      </c>
      <c r="AQ138" s="524" t="s">
        <v>2516</v>
      </c>
      <c r="AR138" s="524" t="s">
        <v>2517</v>
      </c>
      <c r="AT138" s="662">
        <v>1995</v>
      </c>
      <c r="BB138" s="370"/>
    </row>
    <row r="139" spans="1:54" ht="17.25" customHeight="1">
      <c r="B139" s="532" t="s">
        <v>114</v>
      </c>
      <c r="C139" s="613" t="s">
        <v>2156</v>
      </c>
      <c r="D139" s="524" t="s">
        <v>2503</v>
      </c>
      <c r="E139" s="524" t="s">
        <v>2588</v>
      </c>
      <c r="F139" s="524" t="s">
        <v>2589</v>
      </c>
      <c r="G139" s="524" t="s">
        <v>2590</v>
      </c>
      <c r="H139" s="524" t="s">
        <v>2591</v>
      </c>
      <c r="I139" s="524" t="s">
        <v>2592</v>
      </c>
      <c r="J139" s="524" t="s">
        <v>2593</v>
      </c>
      <c r="K139" s="531" t="s">
        <v>2594</v>
      </c>
      <c r="L139" s="1488"/>
      <c r="M139" s="699">
        <v>26</v>
      </c>
      <c r="N139" s="2243" t="s">
        <v>2595</v>
      </c>
      <c r="O139" s="2243"/>
      <c r="P139" s="2243"/>
      <c r="Q139" s="2243"/>
      <c r="R139" s="2244"/>
      <c r="S139" s="702">
        <v>26</v>
      </c>
      <c r="T139" s="2243" t="s">
        <v>2596</v>
      </c>
      <c r="U139" s="2243"/>
      <c r="V139" s="2243"/>
      <c r="W139" s="2243"/>
      <c r="X139" s="2244"/>
      <c r="AE139" s="662">
        <v>1996</v>
      </c>
      <c r="AF139" s="370" t="s">
        <v>2597</v>
      </c>
      <c r="AG139" s="370"/>
      <c r="AH139" s="370"/>
      <c r="AI139" s="370" t="s">
        <v>92</v>
      </c>
      <c r="AJ139" s="370"/>
      <c r="AK139" s="370"/>
      <c r="AL139" s="370" t="s">
        <v>2529</v>
      </c>
      <c r="AM139" s="370" t="s">
        <v>2010</v>
      </c>
      <c r="AN139" s="370" t="s">
        <v>2598</v>
      </c>
      <c r="AO139" s="524" t="s">
        <v>2599</v>
      </c>
      <c r="AP139" s="524" t="s">
        <v>2576</v>
      </c>
      <c r="AQ139" s="524" t="s">
        <v>2516</v>
      </c>
      <c r="AR139" s="524" t="s">
        <v>2517</v>
      </c>
      <c r="AT139" s="662">
        <v>1996</v>
      </c>
      <c r="BB139" s="370"/>
    </row>
    <row r="140" spans="1:54" ht="17.25" customHeight="1">
      <c r="B140" s="532" t="s">
        <v>116</v>
      </c>
      <c r="C140" s="613" t="s">
        <v>2141</v>
      </c>
      <c r="D140" s="524" t="s">
        <v>2472</v>
      </c>
      <c r="E140" s="524" t="s">
        <v>2473</v>
      </c>
      <c r="F140" s="524" t="s">
        <v>2600</v>
      </c>
      <c r="G140" s="524" t="s">
        <v>2475</v>
      </c>
      <c r="H140" s="524" t="s">
        <v>2476</v>
      </c>
      <c r="I140" s="524" t="s">
        <v>2601</v>
      </c>
      <c r="J140" s="524" t="s">
        <v>2602</v>
      </c>
      <c r="K140" s="531" t="s">
        <v>2603</v>
      </c>
      <c r="L140" s="1488"/>
      <c r="M140" s="699">
        <v>27</v>
      </c>
      <c r="N140" s="2243" t="s">
        <v>2604</v>
      </c>
      <c r="O140" s="2243"/>
      <c r="P140" s="2243"/>
      <c r="Q140" s="2243"/>
      <c r="R140" s="2244"/>
      <c r="S140" s="702">
        <v>27</v>
      </c>
      <c r="T140" s="2243" t="s">
        <v>2605</v>
      </c>
      <c r="U140" s="2243"/>
      <c r="V140" s="2243"/>
      <c r="W140" s="2243"/>
      <c r="X140" s="2244"/>
      <c r="AE140" s="662">
        <v>1997</v>
      </c>
      <c r="AF140" s="370" t="s">
        <v>92</v>
      </c>
      <c r="AG140" s="370"/>
      <c r="AH140" s="370"/>
      <c r="AI140" s="370" t="s">
        <v>2606</v>
      </c>
      <c r="AJ140" s="370"/>
      <c r="AK140" s="370"/>
      <c r="AL140" s="370" t="s">
        <v>2529</v>
      </c>
      <c r="AM140" s="370" t="s">
        <v>2019</v>
      </c>
      <c r="AN140" s="370" t="s">
        <v>2607</v>
      </c>
      <c r="AO140" s="524" t="s">
        <v>2608</v>
      </c>
      <c r="AP140" s="524" t="s">
        <v>2576</v>
      </c>
      <c r="AQ140" s="524" t="s">
        <v>2516</v>
      </c>
      <c r="AR140" s="524" t="s">
        <v>2517</v>
      </c>
      <c r="AT140" s="662">
        <v>1997</v>
      </c>
      <c r="BB140" s="370"/>
    </row>
    <row r="141" spans="1:54" ht="17.25" customHeight="1">
      <c r="B141" s="532" t="s">
        <v>2195</v>
      </c>
      <c r="C141" s="613" t="s">
        <v>212</v>
      </c>
      <c r="D141" s="524" t="s">
        <v>212</v>
      </c>
      <c r="E141" s="524" t="s">
        <v>212</v>
      </c>
      <c r="F141" s="524" t="s">
        <v>212</v>
      </c>
      <c r="G141" s="524" t="s">
        <v>212</v>
      </c>
      <c r="H141" s="524" t="s">
        <v>212</v>
      </c>
      <c r="I141" s="524" t="s">
        <v>212</v>
      </c>
      <c r="J141" s="524" t="s">
        <v>212</v>
      </c>
      <c r="K141" s="531" t="s">
        <v>212</v>
      </c>
      <c r="L141" s="1488"/>
      <c r="M141" s="699">
        <v>28</v>
      </c>
      <c r="N141" s="2243" t="s">
        <v>2609</v>
      </c>
      <c r="O141" s="2243"/>
      <c r="P141" s="2243"/>
      <c r="Q141" s="2243"/>
      <c r="R141" s="2244"/>
      <c r="S141" s="702">
        <v>28</v>
      </c>
      <c r="T141" s="2243" t="s">
        <v>2610</v>
      </c>
      <c r="U141" s="2243"/>
      <c r="V141" s="2243"/>
      <c r="W141" s="2243"/>
      <c r="X141" s="2244"/>
      <c r="AE141" s="662">
        <v>1998</v>
      </c>
      <c r="AF141" s="370" t="s">
        <v>92</v>
      </c>
      <c r="AG141" s="370"/>
      <c r="AH141" s="370"/>
      <c r="AI141" s="370" t="s">
        <v>2611</v>
      </c>
      <c r="AJ141" s="370"/>
      <c r="AK141" s="370"/>
      <c r="AL141" s="370" t="s">
        <v>2529</v>
      </c>
      <c r="AM141" s="370" t="s">
        <v>2027</v>
      </c>
      <c r="AN141" s="370" t="s">
        <v>2612</v>
      </c>
      <c r="AO141" s="524" t="s">
        <v>2613</v>
      </c>
      <c r="AP141" s="524" t="s">
        <v>2576</v>
      </c>
      <c r="AQ141" s="524" t="s">
        <v>2516</v>
      </c>
      <c r="AR141" s="524" t="s">
        <v>2517</v>
      </c>
      <c r="AT141" s="662">
        <v>1998</v>
      </c>
      <c r="BB141" s="370"/>
    </row>
    <row r="142" spans="1:54" ht="17.25" customHeight="1">
      <c r="B142" s="532" t="s">
        <v>160</v>
      </c>
      <c r="C142" s="613" t="s">
        <v>92</v>
      </c>
      <c r="D142" s="524" t="s">
        <v>2614</v>
      </c>
      <c r="E142" s="524" t="s">
        <v>92</v>
      </c>
      <c r="F142" s="524" t="s">
        <v>2615</v>
      </c>
      <c r="G142" s="524" t="s">
        <v>92</v>
      </c>
      <c r="H142" s="524" t="s">
        <v>92</v>
      </c>
      <c r="I142" s="524" t="s">
        <v>2616</v>
      </c>
      <c r="J142" s="524" t="s">
        <v>92</v>
      </c>
      <c r="K142" s="531" t="s">
        <v>92</v>
      </c>
      <c r="L142" s="1488"/>
      <c r="M142" s="699">
        <v>29</v>
      </c>
      <c r="N142" s="2243" t="s">
        <v>2617</v>
      </c>
      <c r="O142" s="2243"/>
      <c r="P142" s="2243"/>
      <c r="Q142" s="2243"/>
      <c r="R142" s="2244"/>
      <c r="S142" s="702">
        <v>29</v>
      </c>
      <c r="T142" s="2243" t="s">
        <v>2618</v>
      </c>
      <c r="U142" s="2243"/>
      <c r="V142" s="2243"/>
      <c r="W142" s="2243"/>
      <c r="X142" s="2244"/>
      <c r="AE142" s="662">
        <v>1999</v>
      </c>
      <c r="AF142" s="370" t="s">
        <v>2619</v>
      </c>
      <c r="AG142" s="370"/>
      <c r="AH142" s="370"/>
      <c r="AI142" s="370" t="s">
        <v>2620</v>
      </c>
      <c r="AJ142" s="370" t="s">
        <v>2621</v>
      </c>
      <c r="AK142" s="370"/>
      <c r="AL142" s="370" t="s">
        <v>2529</v>
      </c>
      <c r="AM142" s="370" t="s">
        <v>2034</v>
      </c>
      <c r="AN142" s="370" t="s">
        <v>2622</v>
      </c>
      <c r="AO142" s="370" t="s">
        <v>2623</v>
      </c>
      <c r="AP142" s="524" t="s">
        <v>2576</v>
      </c>
      <c r="AQ142" s="524" t="s">
        <v>2516</v>
      </c>
      <c r="AR142" s="524" t="s">
        <v>2517</v>
      </c>
      <c r="AT142" s="662">
        <v>1999</v>
      </c>
      <c r="BB142" s="370"/>
    </row>
    <row r="143" spans="1:54" ht="17.25" customHeight="1">
      <c r="A143" s="532" t="s">
        <v>2624</v>
      </c>
      <c r="B143" s="532" t="s">
        <v>2624</v>
      </c>
      <c r="C143" s="613" t="s">
        <v>2141</v>
      </c>
      <c r="D143" s="524" t="s">
        <v>2625</v>
      </c>
      <c r="E143" s="524" t="s">
        <v>92</v>
      </c>
      <c r="F143" s="524" t="s">
        <v>2626</v>
      </c>
      <c r="G143" s="524" t="s">
        <v>92</v>
      </c>
      <c r="H143" s="524" t="s">
        <v>92</v>
      </c>
      <c r="I143" s="524" t="s">
        <v>2616</v>
      </c>
      <c r="J143" s="524" t="s">
        <v>92</v>
      </c>
      <c r="K143" s="531" t="s">
        <v>92</v>
      </c>
      <c r="L143" s="1488"/>
      <c r="M143" s="699">
        <v>30</v>
      </c>
      <c r="N143" s="2243" t="s">
        <v>2627</v>
      </c>
      <c r="O143" s="2243"/>
      <c r="P143" s="2243"/>
      <c r="Q143" s="2243"/>
      <c r="R143" s="2244"/>
      <c r="S143" s="702">
        <v>30</v>
      </c>
      <c r="T143" s="2243" t="s">
        <v>2628</v>
      </c>
      <c r="U143" s="2243"/>
      <c r="V143" s="2243"/>
      <c r="W143" s="2243"/>
      <c r="X143" s="2244"/>
      <c r="AE143" s="662">
        <v>2000</v>
      </c>
      <c r="AF143" s="370" t="s">
        <v>2629</v>
      </c>
      <c r="AG143" s="370" t="s">
        <v>2630</v>
      </c>
      <c r="AH143" s="370"/>
      <c r="AI143" s="370" t="s">
        <v>2631</v>
      </c>
      <c r="AJ143" s="370"/>
      <c r="AK143" s="370"/>
      <c r="AL143" s="370" t="s">
        <v>2632</v>
      </c>
      <c r="AM143" s="370" t="s">
        <v>2042</v>
      </c>
      <c r="AN143" s="370" t="s">
        <v>2633</v>
      </c>
      <c r="AO143" s="524" t="s">
        <v>2634</v>
      </c>
      <c r="AP143" s="524" t="s">
        <v>2576</v>
      </c>
      <c r="AQ143" s="524" t="s">
        <v>2516</v>
      </c>
      <c r="AR143" s="524" t="s">
        <v>2517</v>
      </c>
      <c r="AT143" s="662">
        <v>2000</v>
      </c>
      <c r="BB143" s="370"/>
    </row>
    <row r="144" spans="1:54" ht="17.25" customHeight="1">
      <c r="A144" s="532" t="s">
        <v>2635</v>
      </c>
      <c r="B144" s="532" t="s">
        <v>2635</v>
      </c>
      <c r="C144" s="613" t="s">
        <v>2577</v>
      </c>
      <c r="D144" s="524" t="s">
        <v>2625</v>
      </c>
      <c r="E144" s="524" t="s">
        <v>92</v>
      </c>
      <c r="F144" s="524" t="s">
        <v>2636</v>
      </c>
      <c r="G144" s="524" t="s">
        <v>92</v>
      </c>
      <c r="H144" s="524" t="s">
        <v>92</v>
      </c>
      <c r="I144" s="524" t="s">
        <v>2616</v>
      </c>
      <c r="J144" s="524" t="s">
        <v>92</v>
      </c>
      <c r="K144" s="531" t="s">
        <v>92</v>
      </c>
      <c r="L144" s="1488"/>
      <c r="M144" s="699">
        <v>31</v>
      </c>
      <c r="N144" s="2243" t="s">
        <v>2637</v>
      </c>
      <c r="O144" s="2243"/>
      <c r="P144" s="2243"/>
      <c r="Q144" s="2243"/>
      <c r="R144" s="2244"/>
      <c r="S144" s="702">
        <v>31</v>
      </c>
      <c r="T144" s="2243" t="s">
        <v>2638</v>
      </c>
      <c r="U144" s="2243"/>
      <c r="V144" s="2243"/>
      <c r="W144" s="2243"/>
      <c r="X144" s="2244"/>
      <c r="AE144" s="662">
        <v>2001</v>
      </c>
      <c r="AF144" s="370" t="s">
        <v>92</v>
      </c>
      <c r="AG144" s="370"/>
      <c r="AH144" s="370"/>
      <c r="AI144" s="370" t="s">
        <v>2639</v>
      </c>
      <c r="AJ144" s="370"/>
      <c r="AK144" s="370"/>
      <c r="AL144" s="370" t="s">
        <v>2632</v>
      </c>
      <c r="AM144" s="370" t="s">
        <v>2050</v>
      </c>
      <c r="AN144" s="370" t="s">
        <v>2640</v>
      </c>
      <c r="AO144" s="524" t="s">
        <v>2641</v>
      </c>
      <c r="AP144" s="524" t="s">
        <v>2642</v>
      </c>
      <c r="AQ144" s="370" t="s">
        <v>2643</v>
      </c>
      <c r="AR144" s="524" t="s">
        <v>2644</v>
      </c>
      <c r="AS144" s="524" t="s">
        <v>2645</v>
      </c>
      <c r="AT144" s="662">
        <v>2001</v>
      </c>
      <c r="BB144" s="370"/>
    </row>
    <row r="145" spans="1:70" ht="17.25" customHeight="1">
      <c r="A145" s="532" t="s">
        <v>2646</v>
      </c>
      <c r="B145" s="532" t="s">
        <v>120</v>
      </c>
      <c r="C145" s="613" t="s">
        <v>2647</v>
      </c>
      <c r="D145" s="524" t="s">
        <v>2625</v>
      </c>
      <c r="E145" s="524" t="s">
        <v>92</v>
      </c>
      <c r="F145" s="524" t="s">
        <v>2648</v>
      </c>
      <c r="G145" s="524" t="s">
        <v>92</v>
      </c>
      <c r="H145" s="524" t="s">
        <v>92</v>
      </c>
      <c r="I145" s="524" t="s">
        <v>2616</v>
      </c>
      <c r="J145" s="524" t="s">
        <v>92</v>
      </c>
      <c r="K145" s="531" t="s">
        <v>92</v>
      </c>
      <c r="L145" s="1488"/>
      <c r="M145" s="699">
        <v>32</v>
      </c>
      <c r="N145" s="2243" t="s">
        <v>2649</v>
      </c>
      <c r="O145" s="2243"/>
      <c r="P145" s="2243"/>
      <c r="Q145" s="2243"/>
      <c r="R145" s="2244"/>
      <c r="S145" s="702">
        <v>32</v>
      </c>
      <c r="T145" s="2243" t="s">
        <v>2650</v>
      </c>
      <c r="U145" s="2243"/>
      <c r="V145" s="2243"/>
      <c r="W145" s="2243"/>
      <c r="X145" s="2244"/>
      <c r="AE145" s="662">
        <v>2002</v>
      </c>
      <c r="AF145" s="370" t="s">
        <v>2651</v>
      </c>
      <c r="AG145" s="370"/>
      <c r="AH145" s="370"/>
      <c r="AI145" s="370" t="s">
        <v>2652</v>
      </c>
      <c r="AJ145" s="370"/>
      <c r="AK145" s="370"/>
      <c r="AL145" s="370" t="s">
        <v>2632</v>
      </c>
      <c r="AM145" s="370" t="s">
        <v>2056</v>
      </c>
      <c r="AN145" s="370" t="s">
        <v>2653</v>
      </c>
      <c r="AO145" s="524" t="s">
        <v>2654</v>
      </c>
      <c r="AP145" s="524" t="s">
        <v>2655</v>
      </c>
      <c r="AQ145" s="370" t="s">
        <v>2643</v>
      </c>
      <c r="AR145" s="524" t="s">
        <v>2644</v>
      </c>
      <c r="AT145" s="662">
        <v>2002</v>
      </c>
      <c r="BB145" s="370"/>
    </row>
    <row r="146" spans="1:70" ht="17.25" customHeight="1">
      <c r="A146" s="532" t="s">
        <v>1401</v>
      </c>
      <c r="B146" s="532" t="s">
        <v>2646</v>
      </c>
      <c r="C146" s="613" t="s">
        <v>2471</v>
      </c>
      <c r="D146" s="524" t="s">
        <v>2625</v>
      </c>
      <c r="E146" s="524" t="s">
        <v>92</v>
      </c>
      <c r="F146" s="524" t="s">
        <v>2656</v>
      </c>
      <c r="G146" s="524" t="s">
        <v>92</v>
      </c>
      <c r="H146" s="524" t="s">
        <v>92</v>
      </c>
      <c r="I146" s="524" t="s">
        <v>2616</v>
      </c>
      <c r="J146" s="524" t="s">
        <v>92</v>
      </c>
      <c r="K146" s="531" t="s">
        <v>92</v>
      </c>
      <c r="L146" s="1488"/>
      <c r="M146" s="699">
        <v>33</v>
      </c>
      <c r="N146" s="2243" t="s">
        <v>2657</v>
      </c>
      <c r="O146" s="2243"/>
      <c r="P146" s="2243"/>
      <c r="Q146" s="2243"/>
      <c r="R146" s="2244"/>
      <c r="S146" s="702">
        <v>33</v>
      </c>
      <c r="T146" s="2243" t="s">
        <v>2658</v>
      </c>
      <c r="U146" s="2243"/>
      <c r="V146" s="2243"/>
      <c r="W146" s="2243"/>
      <c r="X146" s="2244"/>
      <c r="AE146" s="662">
        <v>2003</v>
      </c>
      <c r="AF146" s="370" t="s">
        <v>92</v>
      </c>
      <c r="AG146" s="370"/>
      <c r="AH146" s="370"/>
      <c r="AI146" s="370" t="s">
        <v>2659</v>
      </c>
      <c r="AJ146" s="370" t="s">
        <v>2660</v>
      </c>
      <c r="AK146" s="370"/>
      <c r="AL146" s="370" t="s">
        <v>2632</v>
      </c>
      <c r="AM146" s="370" t="s">
        <v>2062</v>
      </c>
      <c r="AN146" s="370" t="s">
        <v>2661</v>
      </c>
      <c r="AO146" s="524" t="s">
        <v>2662</v>
      </c>
      <c r="AP146" s="524" t="s">
        <v>2655</v>
      </c>
      <c r="AQ146" s="370" t="s">
        <v>2643</v>
      </c>
      <c r="AR146" s="524" t="s">
        <v>2644</v>
      </c>
      <c r="AT146" s="662">
        <v>2003</v>
      </c>
      <c r="BB146" s="370"/>
    </row>
    <row r="147" spans="1:70" ht="17.25" customHeight="1">
      <c r="A147" s="532" t="s">
        <v>2663</v>
      </c>
      <c r="B147" s="532" t="s">
        <v>1401</v>
      </c>
      <c r="C147" s="613" t="s">
        <v>2484</v>
      </c>
      <c r="D147" s="524" t="s">
        <v>2625</v>
      </c>
      <c r="E147" s="524" t="s">
        <v>92</v>
      </c>
      <c r="F147" s="524" t="s">
        <v>2664</v>
      </c>
      <c r="G147" s="524" t="s">
        <v>92</v>
      </c>
      <c r="H147" s="524" t="s">
        <v>92</v>
      </c>
      <c r="I147" s="524" t="s">
        <v>2616</v>
      </c>
      <c r="J147" s="524" t="s">
        <v>92</v>
      </c>
      <c r="K147" s="531" t="s">
        <v>92</v>
      </c>
      <c r="L147" s="1488"/>
      <c r="M147" s="699">
        <v>34</v>
      </c>
      <c r="N147" s="2243" t="s">
        <v>2665</v>
      </c>
      <c r="O147" s="2243"/>
      <c r="P147" s="2243"/>
      <c r="Q147" s="2243"/>
      <c r="R147" s="2244"/>
      <c r="S147" s="702">
        <v>34</v>
      </c>
      <c r="T147" s="2243" t="s">
        <v>2666</v>
      </c>
      <c r="U147" s="2243"/>
      <c r="V147" s="2243"/>
      <c r="W147" s="2243"/>
      <c r="X147" s="2244"/>
      <c r="AE147" s="662">
        <v>2004</v>
      </c>
      <c r="AF147" s="370" t="s">
        <v>1618</v>
      </c>
      <c r="AG147" s="370"/>
      <c r="AH147" s="370"/>
      <c r="AI147" s="370" t="s">
        <v>92</v>
      </c>
      <c r="AJ147" s="370"/>
      <c r="AK147" s="370"/>
      <c r="AL147" s="370" t="s">
        <v>2632</v>
      </c>
      <c r="AM147" s="370" t="s">
        <v>2070</v>
      </c>
      <c r="AN147" s="370" t="s">
        <v>2667</v>
      </c>
      <c r="AO147" s="524" t="s">
        <v>2668</v>
      </c>
      <c r="AP147" s="524" t="s">
        <v>2655</v>
      </c>
      <c r="AQ147" s="370" t="s">
        <v>2643</v>
      </c>
      <c r="AR147" s="524" t="s">
        <v>2644</v>
      </c>
      <c r="AT147" s="662">
        <v>2004</v>
      </c>
    </row>
    <row r="148" spans="1:70" ht="17.25" customHeight="1">
      <c r="A148" s="532" t="s">
        <v>2669</v>
      </c>
      <c r="B148" s="532" t="s">
        <v>2663</v>
      </c>
      <c r="C148" s="613" t="s">
        <v>2471</v>
      </c>
      <c r="D148" s="524" t="s">
        <v>2625</v>
      </c>
      <c r="E148" s="524" t="s">
        <v>92</v>
      </c>
      <c r="F148" s="524" t="s">
        <v>2670</v>
      </c>
      <c r="G148" s="524" t="s">
        <v>92</v>
      </c>
      <c r="H148" s="524" t="s">
        <v>92</v>
      </c>
      <c r="I148" s="524" t="s">
        <v>2616</v>
      </c>
      <c r="J148" s="524" t="s">
        <v>92</v>
      </c>
      <c r="K148" s="531" t="s">
        <v>92</v>
      </c>
      <c r="L148" s="1488"/>
      <c r="M148" s="699">
        <v>35</v>
      </c>
      <c r="N148" s="2243" t="s">
        <v>2671</v>
      </c>
      <c r="O148" s="2243"/>
      <c r="P148" s="2243"/>
      <c r="Q148" s="2243"/>
      <c r="R148" s="2244"/>
      <c r="S148" s="702">
        <v>35</v>
      </c>
      <c r="T148" s="2243" t="s">
        <v>2672</v>
      </c>
      <c r="U148" s="2243"/>
      <c r="V148" s="2243"/>
      <c r="W148" s="2243"/>
      <c r="X148" s="2244"/>
      <c r="AE148" s="662">
        <v>2005</v>
      </c>
      <c r="AF148" s="370" t="s">
        <v>92</v>
      </c>
      <c r="AG148" s="370"/>
      <c r="AH148" s="370"/>
      <c r="AI148" s="370" t="s">
        <v>92</v>
      </c>
      <c r="AJ148" s="370"/>
      <c r="AK148" s="370"/>
      <c r="AL148" s="370" t="s">
        <v>2632</v>
      </c>
      <c r="AM148" s="370" t="s">
        <v>2079</v>
      </c>
      <c r="AN148" s="370" t="s">
        <v>2673</v>
      </c>
      <c r="AO148" s="524" t="s">
        <v>2674</v>
      </c>
      <c r="AP148" s="524" t="s">
        <v>2655</v>
      </c>
      <c r="AQ148" s="370" t="s">
        <v>2643</v>
      </c>
      <c r="AR148" s="524" t="s">
        <v>2644</v>
      </c>
      <c r="AT148" s="662">
        <v>2005</v>
      </c>
    </row>
    <row r="149" spans="1:70" ht="17.25" customHeight="1">
      <c r="A149" s="532" t="s">
        <v>1400</v>
      </c>
      <c r="B149" s="532" t="s">
        <v>2669</v>
      </c>
      <c r="C149" s="613" t="s">
        <v>2577</v>
      </c>
      <c r="D149" s="524" t="s">
        <v>2625</v>
      </c>
      <c r="E149" s="524" t="s">
        <v>92</v>
      </c>
      <c r="F149" s="524" t="s">
        <v>2675</v>
      </c>
      <c r="G149" s="524" t="s">
        <v>92</v>
      </c>
      <c r="H149" s="524" t="s">
        <v>92</v>
      </c>
      <c r="I149" s="524" t="s">
        <v>2616</v>
      </c>
      <c r="J149" s="524" t="s">
        <v>92</v>
      </c>
      <c r="K149" s="531" t="s">
        <v>92</v>
      </c>
      <c r="L149" s="1488"/>
      <c r="M149" s="699">
        <v>36</v>
      </c>
      <c r="N149" s="2243" t="s">
        <v>2676</v>
      </c>
      <c r="O149" s="2243"/>
      <c r="P149" s="2243"/>
      <c r="Q149" s="2243"/>
      <c r="R149" s="2244"/>
      <c r="S149" s="702">
        <v>36</v>
      </c>
      <c r="T149" s="2243" t="s">
        <v>2677</v>
      </c>
      <c r="U149" s="2243"/>
      <c r="V149" s="2243"/>
      <c r="W149" s="2243"/>
      <c r="X149" s="2244"/>
      <c r="AE149" s="662">
        <v>2006</v>
      </c>
      <c r="AF149" s="370" t="s">
        <v>92</v>
      </c>
      <c r="AG149" s="370"/>
      <c r="AH149" s="370"/>
      <c r="AI149" s="370" t="s">
        <v>2678</v>
      </c>
      <c r="AJ149" s="370"/>
      <c r="AK149" s="370"/>
      <c r="AL149" s="370" t="s">
        <v>2632</v>
      </c>
      <c r="AM149" s="370" t="s">
        <v>2087</v>
      </c>
      <c r="AN149" s="370" t="s">
        <v>2679</v>
      </c>
      <c r="AO149" s="370" t="s">
        <v>2680</v>
      </c>
      <c r="AP149" s="524" t="s">
        <v>2655</v>
      </c>
      <c r="AQ149" s="370" t="s">
        <v>2643</v>
      </c>
      <c r="AR149" s="524" t="s">
        <v>2644</v>
      </c>
      <c r="AT149" s="662">
        <v>2006</v>
      </c>
    </row>
    <row r="150" spans="1:70" ht="17.25" customHeight="1">
      <c r="B150" s="532" t="s">
        <v>1400</v>
      </c>
      <c r="C150" s="613" t="s">
        <v>2484</v>
      </c>
      <c r="D150" s="524" t="s">
        <v>2625</v>
      </c>
      <c r="E150" s="524" t="s">
        <v>92</v>
      </c>
      <c r="F150" s="524" t="s">
        <v>2681</v>
      </c>
      <c r="G150" s="524" t="s">
        <v>92</v>
      </c>
      <c r="H150" s="524" t="s">
        <v>92</v>
      </c>
      <c r="I150" s="524" t="s">
        <v>2616</v>
      </c>
      <c r="J150" s="524" t="s">
        <v>92</v>
      </c>
      <c r="K150" s="531" t="s">
        <v>92</v>
      </c>
      <c r="L150" s="1488"/>
      <c r="M150" s="699">
        <v>37</v>
      </c>
      <c r="N150" s="2243" t="s">
        <v>2682</v>
      </c>
      <c r="O150" s="2243"/>
      <c r="P150" s="2243"/>
      <c r="Q150" s="2243"/>
      <c r="R150" s="2244"/>
      <c r="S150" s="702">
        <v>37</v>
      </c>
      <c r="T150" s="2243" t="s">
        <v>2683</v>
      </c>
      <c r="U150" s="2243"/>
      <c r="V150" s="2243"/>
      <c r="W150" s="2243"/>
      <c r="X150" s="2244"/>
      <c r="AE150" s="662">
        <v>2007</v>
      </c>
      <c r="AF150" s="370" t="s">
        <v>92</v>
      </c>
      <c r="AG150" s="370"/>
      <c r="AH150" s="370"/>
      <c r="AI150" s="370" t="s">
        <v>92</v>
      </c>
      <c r="AJ150" s="370"/>
      <c r="AK150" s="370"/>
      <c r="AL150" s="370" t="s">
        <v>2632</v>
      </c>
      <c r="AM150" s="370" t="s">
        <v>2095</v>
      </c>
      <c r="AN150" s="370" t="s">
        <v>2684</v>
      </c>
      <c r="AO150" s="524" t="s">
        <v>2685</v>
      </c>
      <c r="AP150" s="524" t="s">
        <v>2655</v>
      </c>
      <c r="AQ150" s="370" t="s">
        <v>2643</v>
      </c>
      <c r="AR150" s="524" t="s">
        <v>2644</v>
      </c>
      <c r="AT150" s="662">
        <v>2007</v>
      </c>
    </row>
    <row r="151" spans="1:70" ht="17.25" customHeight="1">
      <c r="B151" s="532" t="s">
        <v>2195</v>
      </c>
      <c r="C151" s="613" t="s">
        <v>212</v>
      </c>
      <c r="D151" s="524" t="s">
        <v>212</v>
      </c>
      <c r="E151" s="524" t="s">
        <v>212</v>
      </c>
      <c r="F151" s="524" t="s">
        <v>212</v>
      </c>
      <c r="G151" s="524" t="s">
        <v>212</v>
      </c>
      <c r="H151" s="524" t="s">
        <v>212</v>
      </c>
      <c r="I151" s="524" t="s">
        <v>212</v>
      </c>
      <c r="J151" s="524" t="s">
        <v>212</v>
      </c>
      <c r="K151" s="531" t="s">
        <v>212</v>
      </c>
      <c r="L151" s="1488"/>
      <c r="M151" s="699">
        <v>38</v>
      </c>
      <c r="N151" s="2243" t="s">
        <v>2686</v>
      </c>
      <c r="O151" s="2243"/>
      <c r="P151" s="2243"/>
      <c r="Q151" s="2243"/>
      <c r="R151" s="2244"/>
      <c r="S151" s="702">
        <v>38</v>
      </c>
      <c r="T151" s="2243" t="s">
        <v>2687</v>
      </c>
      <c r="U151" s="2243"/>
      <c r="V151" s="2243"/>
      <c r="W151" s="2243"/>
      <c r="X151" s="2244"/>
      <c r="AE151" s="662">
        <v>2008</v>
      </c>
      <c r="AF151" s="370" t="s">
        <v>2688</v>
      </c>
      <c r="AG151" s="370"/>
      <c r="AH151" s="370"/>
      <c r="AI151" s="370" t="s">
        <v>2688</v>
      </c>
      <c r="AJ151" s="370" t="s">
        <v>2689</v>
      </c>
      <c r="AK151" s="370"/>
      <c r="AL151" s="370" t="s">
        <v>2632</v>
      </c>
      <c r="AM151" s="370" t="s">
        <v>2103</v>
      </c>
      <c r="AN151" s="370" t="s">
        <v>2690</v>
      </c>
      <c r="AO151" s="524" t="s">
        <v>2691</v>
      </c>
      <c r="AP151" s="524" t="s">
        <v>2655</v>
      </c>
      <c r="AQ151" s="370" t="s">
        <v>2643</v>
      </c>
      <c r="AR151" s="524" t="s">
        <v>2692</v>
      </c>
      <c r="AT151" s="662">
        <v>2008</v>
      </c>
    </row>
    <row r="152" spans="1:70" ht="17.25" customHeight="1">
      <c r="B152" s="629" t="s">
        <v>2693</v>
      </c>
      <c r="C152" s="613" t="s">
        <v>92</v>
      </c>
      <c r="D152" s="524" t="s">
        <v>2614</v>
      </c>
      <c r="E152" s="524" t="s">
        <v>2694</v>
      </c>
      <c r="F152" s="524" t="s">
        <v>2695</v>
      </c>
      <c r="G152" s="524" t="s">
        <v>92</v>
      </c>
      <c r="H152" s="524" t="s">
        <v>92</v>
      </c>
      <c r="I152" s="524" t="s">
        <v>2616</v>
      </c>
      <c r="J152" s="524" t="s">
        <v>92</v>
      </c>
      <c r="K152" s="531" t="s">
        <v>92</v>
      </c>
      <c r="L152" s="1488"/>
      <c r="M152" s="699">
        <v>39</v>
      </c>
      <c r="N152" s="2243" t="s">
        <v>2696</v>
      </c>
      <c r="O152" s="2243"/>
      <c r="P152" s="2243"/>
      <c r="Q152" s="2243"/>
      <c r="R152" s="2244"/>
      <c r="S152" s="702">
        <v>39</v>
      </c>
      <c r="T152" s="2243" t="s">
        <v>2697</v>
      </c>
      <c r="U152" s="2243"/>
      <c r="V152" s="2243"/>
      <c r="W152" s="2243"/>
      <c r="X152" s="2244"/>
      <c r="AE152" s="662">
        <v>2009</v>
      </c>
      <c r="AF152" s="370" t="s">
        <v>92</v>
      </c>
      <c r="AG152" s="370"/>
      <c r="AH152" s="370"/>
      <c r="AI152" s="370" t="s">
        <v>92</v>
      </c>
      <c r="AJ152" s="370"/>
      <c r="AK152" s="370"/>
      <c r="AL152" s="370" t="s">
        <v>2632</v>
      </c>
      <c r="AM152" s="370" t="s">
        <v>2111</v>
      </c>
      <c r="AN152" s="370" t="s">
        <v>2698</v>
      </c>
      <c r="AO152" s="370" t="s">
        <v>2699</v>
      </c>
      <c r="AP152" s="370" t="s">
        <v>2700</v>
      </c>
      <c r="AQ152" s="370" t="s">
        <v>2701</v>
      </c>
      <c r="AR152" s="524" t="s">
        <v>2692</v>
      </c>
      <c r="AS152" s="524" t="s">
        <v>2702</v>
      </c>
      <c r="AT152" s="662">
        <v>2009</v>
      </c>
    </row>
    <row r="153" spans="1:70" ht="17.25" customHeight="1">
      <c r="A153" s="532" t="s">
        <v>370</v>
      </c>
      <c r="B153" s="532" t="s">
        <v>370</v>
      </c>
      <c r="C153" s="613" t="s">
        <v>2647</v>
      </c>
      <c r="D153" s="524" t="s">
        <v>2703</v>
      </c>
      <c r="E153" s="524" t="s">
        <v>2694</v>
      </c>
      <c r="F153" s="524" t="s">
        <v>2704</v>
      </c>
      <c r="G153" s="524" t="s">
        <v>92</v>
      </c>
      <c r="H153" s="524" t="s">
        <v>92</v>
      </c>
      <c r="I153" s="524" t="s">
        <v>2616</v>
      </c>
      <c r="J153" s="524" t="s">
        <v>92</v>
      </c>
      <c r="K153" s="531" t="s">
        <v>92</v>
      </c>
      <c r="L153" s="1488"/>
      <c r="M153" s="699">
        <v>40</v>
      </c>
      <c r="N153" s="2243" t="s">
        <v>2705</v>
      </c>
      <c r="O153" s="2243"/>
      <c r="P153" s="2243"/>
      <c r="Q153" s="2243"/>
      <c r="R153" s="2244"/>
      <c r="S153" s="702">
        <v>40</v>
      </c>
      <c r="T153" s="2243" t="s">
        <v>2706</v>
      </c>
      <c r="U153" s="2243"/>
      <c r="V153" s="2243"/>
      <c r="W153" s="2243"/>
      <c r="X153" s="2244"/>
      <c r="AE153" s="662">
        <v>2010</v>
      </c>
      <c r="AF153" s="370" t="s">
        <v>92</v>
      </c>
      <c r="AG153" s="370"/>
      <c r="AH153" s="370"/>
      <c r="AI153" s="370" t="s">
        <v>2707</v>
      </c>
      <c r="AJ153" s="370" t="s">
        <v>2708</v>
      </c>
      <c r="AK153" s="370"/>
      <c r="AL153" s="370" t="s">
        <v>2709</v>
      </c>
      <c r="AM153" s="370" t="s">
        <v>1546</v>
      </c>
      <c r="AN153" s="370" t="s">
        <v>2710</v>
      </c>
      <c r="AO153" s="524" t="s">
        <v>2711</v>
      </c>
      <c r="AP153" s="524" t="s">
        <v>2712</v>
      </c>
      <c r="AQ153" s="370" t="s">
        <v>2701</v>
      </c>
      <c r="AR153" s="524" t="s">
        <v>2692</v>
      </c>
      <c r="AT153" s="662">
        <v>2010</v>
      </c>
    </row>
    <row r="154" spans="1:70" ht="17.25" customHeight="1">
      <c r="A154" s="532" t="s">
        <v>2713</v>
      </c>
      <c r="B154" s="532" t="s">
        <v>2713</v>
      </c>
      <c r="C154" s="613" t="s">
        <v>2471</v>
      </c>
      <c r="D154" s="524" t="s">
        <v>2703</v>
      </c>
      <c r="E154" s="524" t="s">
        <v>2694</v>
      </c>
      <c r="F154" s="524" t="s">
        <v>2714</v>
      </c>
      <c r="G154" s="524" t="s">
        <v>92</v>
      </c>
      <c r="H154" s="524" t="s">
        <v>92</v>
      </c>
      <c r="I154" s="524" t="s">
        <v>2616</v>
      </c>
      <c r="J154" s="524" t="s">
        <v>92</v>
      </c>
      <c r="K154" s="531" t="s">
        <v>92</v>
      </c>
      <c r="L154" s="1488"/>
      <c r="M154" s="699">
        <v>41</v>
      </c>
      <c r="N154" s="2243" t="s">
        <v>2715</v>
      </c>
      <c r="O154" s="2243"/>
      <c r="P154" s="2243"/>
      <c r="Q154" s="2243"/>
      <c r="R154" s="2244"/>
      <c r="S154" s="702">
        <v>41</v>
      </c>
      <c r="T154" s="2243" t="s">
        <v>2716</v>
      </c>
      <c r="U154" s="2243"/>
      <c r="V154" s="2243"/>
      <c r="W154" s="2243"/>
      <c r="X154" s="2244"/>
      <c r="AE154" s="662">
        <v>2011</v>
      </c>
      <c r="AF154" s="370" t="s">
        <v>2717</v>
      </c>
      <c r="AG154" s="370"/>
      <c r="AH154" s="370"/>
      <c r="AI154" s="370" t="s">
        <v>92</v>
      </c>
      <c r="AJ154" s="370"/>
      <c r="AK154" s="370"/>
      <c r="AL154" s="370" t="s">
        <v>2709</v>
      </c>
      <c r="AM154" s="370" t="s">
        <v>1555</v>
      </c>
      <c r="AN154" s="370" t="s">
        <v>2718</v>
      </c>
      <c r="AO154" s="524" t="s">
        <v>2719</v>
      </c>
      <c r="AP154" s="524" t="s">
        <v>2712</v>
      </c>
      <c r="AQ154" s="370" t="s">
        <v>2701</v>
      </c>
      <c r="AR154" s="524" t="s">
        <v>2692</v>
      </c>
      <c r="AT154" s="662">
        <v>2011</v>
      </c>
    </row>
    <row r="155" spans="1:70" ht="17.25" customHeight="1">
      <c r="A155" s="532" t="s">
        <v>2720</v>
      </c>
      <c r="B155" s="532" t="s">
        <v>1403</v>
      </c>
      <c r="C155" s="613" t="s">
        <v>2471</v>
      </c>
      <c r="D155" s="524" t="s">
        <v>2703</v>
      </c>
      <c r="E155" s="524" t="s">
        <v>2694</v>
      </c>
      <c r="F155" s="524" t="s">
        <v>2721</v>
      </c>
      <c r="G155" s="524" t="s">
        <v>92</v>
      </c>
      <c r="H155" s="524" t="s">
        <v>92</v>
      </c>
      <c r="I155" s="524" t="s">
        <v>2616</v>
      </c>
      <c r="J155" s="524" t="s">
        <v>92</v>
      </c>
      <c r="K155" s="531" t="s">
        <v>92</v>
      </c>
      <c r="L155" s="1488"/>
      <c r="M155" s="699">
        <v>42</v>
      </c>
      <c r="N155" s="2243" t="s">
        <v>2722</v>
      </c>
      <c r="O155" s="2243"/>
      <c r="P155" s="2243"/>
      <c r="Q155" s="2243"/>
      <c r="R155" s="2244"/>
      <c r="S155" s="702">
        <v>42</v>
      </c>
      <c r="T155" s="2243" t="s">
        <v>2723</v>
      </c>
      <c r="U155" s="2243"/>
      <c r="V155" s="2243"/>
      <c r="W155" s="2243"/>
      <c r="X155" s="2244"/>
      <c r="AE155" s="662">
        <v>2012</v>
      </c>
      <c r="AF155" s="370" t="s">
        <v>1772</v>
      </c>
      <c r="AG155" s="370" t="s">
        <v>2724</v>
      </c>
      <c r="AH155" s="370" t="s">
        <v>2725</v>
      </c>
      <c r="AI155" s="370" t="s">
        <v>2726</v>
      </c>
      <c r="AJ155" s="370"/>
      <c r="AK155" s="370"/>
      <c r="AL155" s="370" t="s">
        <v>2709</v>
      </c>
      <c r="AM155" s="370" t="s">
        <v>1562</v>
      </c>
      <c r="AN155" s="370" t="s">
        <v>2727</v>
      </c>
      <c r="AO155" s="524" t="s">
        <v>2728</v>
      </c>
      <c r="AP155" s="524" t="s">
        <v>2712</v>
      </c>
      <c r="AQ155" s="370" t="s">
        <v>2729</v>
      </c>
      <c r="AR155" s="370" t="s">
        <v>2730</v>
      </c>
      <c r="AS155" s="524" t="s">
        <v>2731</v>
      </c>
      <c r="AT155" s="662">
        <v>2012</v>
      </c>
    </row>
    <row r="156" spans="1:70" ht="17.25" customHeight="1">
      <c r="A156" s="532" t="s">
        <v>2732</v>
      </c>
      <c r="B156" s="532" t="s">
        <v>2732</v>
      </c>
      <c r="C156" s="613" t="s">
        <v>2577</v>
      </c>
      <c r="D156" s="524" t="s">
        <v>2703</v>
      </c>
      <c r="E156" s="524" t="s">
        <v>2694</v>
      </c>
      <c r="F156" s="524" t="s">
        <v>2733</v>
      </c>
      <c r="G156" s="524" t="s">
        <v>92</v>
      </c>
      <c r="H156" s="524" t="s">
        <v>92</v>
      </c>
      <c r="I156" s="524" t="s">
        <v>2616</v>
      </c>
      <c r="J156" s="524" t="s">
        <v>92</v>
      </c>
      <c r="K156" s="531" t="s">
        <v>92</v>
      </c>
      <c r="L156" s="1488"/>
      <c r="M156" s="699">
        <v>43</v>
      </c>
      <c r="N156" s="2243" t="s">
        <v>2734</v>
      </c>
      <c r="O156" s="2243"/>
      <c r="P156" s="2243"/>
      <c r="Q156" s="2243"/>
      <c r="R156" s="2244"/>
      <c r="S156" s="702">
        <v>43</v>
      </c>
      <c r="T156" s="2243" t="s">
        <v>2735</v>
      </c>
      <c r="U156" s="2243"/>
      <c r="V156" s="2243"/>
      <c r="W156" s="2243"/>
      <c r="X156" s="2244"/>
      <c r="AE156" s="662">
        <v>2013</v>
      </c>
      <c r="AF156" s="714" t="s">
        <v>2736</v>
      </c>
      <c r="AG156" s="714" t="s">
        <v>2737</v>
      </c>
      <c r="AH156" s="714"/>
      <c r="AI156" s="714" t="s">
        <v>2738</v>
      </c>
      <c r="AJ156" s="524" t="s">
        <v>2739</v>
      </c>
      <c r="AK156" s="714" t="s">
        <v>2740</v>
      </c>
      <c r="AL156" s="370" t="s">
        <v>2709</v>
      </c>
      <c r="AM156" s="370" t="s">
        <v>1573</v>
      </c>
      <c r="AN156" s="370" t="s">
        <v>2741</v>
      </c>
      <c r="AO156" s="716" t="s">
        <v>2742</v>
      </c>
      <c r="AP156" s="524" t="s">
        <v>2712</v>
      </c>
      <c r="AQ156" s="714" t="s">
        <v>2729</v>
      </c>
      <c r="AR156" s="370" t="s">
        <v>2743</v>
      </c>
      <c r="AT156" s="662">
        <v>2013</v>
      </c>
      <c r="BD156" s="720"/>
      <c r="BE156" s="720"/>
      <c r="BF156" s="720"/>
      <c r="BG156" s="720"/>
      <c r="BH156" s="720"/>
      <c r="BI156" s="720"/>
    </row>
    <row r="157" spans="1:70" ht="17.25" customHeight="1">
      <c r="A157" s="532" t="s">
        <v>2744</v>
      </c>
      <c r="B157" s="532" t="s">
        <v>2744</v>
      </c>
      <c r="C157" s="613" t="s">
        <v>2577</v>
      </c>
      <c r="D157" s="524" t="s">
        <v>2703</v>
      </c>
      <c r="E157" s="524" t="s">
        <v>2694</v>
      </c>
      <c r="F157" s="524" t="s">
        <v>2745</v>
      </c>
      <c r="G157" s="524" t="s">
        <v>92</v>
      </c>
      <c r="H157" s="524" t="s">
        <v>92</v>
      </c>
      <c r="I157" s="524" t="s">
        <v>2616</v>
      </c>
      <c r="J157" s="524" t="s">
        <v>92</v>
      </c>
      <c r="K157" s="531" t="s">
        <v>92</v>
      </c>
      <c r="L157" s="1488"/>
      <c r="M157" s="699">
        <v>44</v>
      </c>
      <c r="N157" s="2243" t="s">
        <v>2746</v>
      </c>
      <c r="O157" s="2243"/>
      <c r="P157" s="2243"/>
      <c r="Q157" s="2243"/>
      <c r="R157" s="2244"/>
      <c r="S157" s="702">
        <v>44</v>
      </c>
      <c r="T157" s="2243" t="s">
        <v>2747</v>
      </c>
      <c r="U157" s="2243"/>
      <c r="V157" s="2243"/>
      <c r="W157" s="2243"/>
      <c r="X157" s="2244"/>
      <c r="AE157" s="662">
        <v>2014</v>
      </c>
      <c r="AF157" s="524" t="s">
        <v>2748</v>
      </c>
      <c r="AG157" s="524" t="s">
        <v>2749</v>
      </c>
      <c r="AH157" s="524" t="s">
        <v>2750</v>
      </c>
      <c r="AI157" s="524" t="s">
        <v>2751</v>
      </c>
      <c r="AJ157" s="524" t="s">
        <v>2752</v>
      </c>
      <c r="AK157" s="524" t="s">
        <v>2753</v>
      </c>
      <c r="AL157" s="370" t="s">
        <v>2709</v>
      </c>
      <c r="AM157" s="370" t="s">
        <v>1589</v>
      </c>
      <c r="AN157" s="370" t="s">
        <v>2754</v>
      </c>
      <c r="AO157" s="370" t="s">
        <v>2755</v>
      </c>
      <c r="AP157" s="524" t="s">
        <v>2712</v>
      </c>
      <c r="AQ157" s="524" t="s">
        <v>2729</v>
      </c>
      <c r="AR157" s="370" t="s">
        <v>2756</v>
      </c>
      <c r="AT157" s="662">
        <v>2014</v>
      </c>
      <c r="BB157" s="721"/>
      <c r="BC157" s="575"/>
      <c r="BD157" s="575"/>
      <c r="BE157" s="575"/>
      <c r="BF157" s="575"/>
      <c r="BG157" s="575"/>
      <c r="BH157" s="575"/>
      <c r="BI157" s="575"/>
      <c r="BK157" s="728"/>
      <c r="BL157" s="728"/>
      <c r="BM157" s="728"/>
      <c r="BN157" s="728"/>
      <c r="BO157" s="728"/>
      <c r="BP157" s="728"/>
      <c r="BQ157" s="728"/>
      <c r="BR157" s="728"/>
    </row>
    <row r="158" spans="1:70" ht="17.25" customHeight="1">
      <c r="A158" s="532" t="s">
        <v>2757</v>
      </c>
      <c r="B158" s="532" t="s">
        <v>134</v>
      </c>
      <c r="C158" s="613" t="s">
        <v>2484</v>
      </c>
      <c r="D158" s="524" t="s">
        <v>2703</v>
      </c>
      <c r="E158" s="524" t="s">
        <v>2694</v>
      </c>
      <c r="F158" s="524" t="s">
        <v>2758</v>
      </c>
      <c r="G158" s="524" t="s">
        <v>92</v>
      </c>
      <c r="H158" s="524" t="s">
        <v>92</v>
      </c>
      <c r="I158" s="524" t="s">
        <v>2616</v>
      </c>
      <c r="J158" s="524" t="s">
        <v>92</v>
      </c>
      <c r="K158" s="531" t="s">
        <v>92</v>
      </c>
      <c r="L158" s="1488"/>
      <c r="M158" s="699">
        <v>45</v>
      </c>
      <c r="N158" s="2243" t="s">
        <v>2759</v>
      </c>
      <c r="O158" s="2243"/>
      <c r="P158" s="2243"/>
      <c r="Q158" s="2243"/>
      <c r="R158" s="2244"/>
      <c r="S158" s="702">
        <v>45</v>
      </c>
      <c r="T158" s="2243" t="s">
        <v>2760</v>
      </c>
      <c r="U158" s="2243"/>
      <c r="V158" s="2243"/>
      <c r="W158" s="2243"/>
      <c r="X158" s="2244"/>
      <c r="AE158" s="662">
        <v>2015</v>
      </c>
      <c r="AF158" s="524" t="s">
        <v>2761</v>
      </c>
      <c r="AI158" s="524" t="s">
        <v>2762</v>
      </c>
      <c r="AJ158" s="524" t="s">
        <v>2763</v>
      </c>
      <c r="AL158" s="370" t="s">
        <v>2709</v>
      </c>
      <c r="AM158" s="370" t="s">
        <v>1605</v>
      </c>
      <c r="AN158" s="370" t="s">
        <v>2764</v>
      </c>
      <c r="AO158" s="370" t="s">
        <v>2765</v>
      </c>
      <c r="AP158" s="524" t="s">
        <v>2712</v>
      </c>
      <c r="AQ158" s="524" t="s">
        <v>2729</v>
      </c>
      <c r="AR158" s="370" t="s">
        <v>2766</v>
      </c>
      <c r="AT158" s="662">
        <v>2015</v>
      </c>
      <c r="BB158" s="721"/>
      <c r="BC158" s="575"/>
      <c r="BD158" s="575"/>
      <c r="BE158" s="575"/>
      <c r="BF158" s="575"/>
      <c r="BG158" s="575"/>
      <c r="BH158" s="575"/>
      <c r="BI158" s="575"/>
      <c r="BJ158" s="728"/>
      <c r="BK158" s="728"/>
      <c r="BL158" s="728"/>
      <c r="BM158" s="728"/>
      <c r="BN158" s="728"/>
      <c r="BO158" s="728"/>
      <c r="BP158" s="728"/>
      <c r="BQ158" s="728"/>
      <c r="BR158" s="728"/>
    </row>
    <row r="159" spans="1:70" ht="17.25" customHeight="1">
      <c r="B159" s="532" t="s">
        <v>2757</v>
      </c>
      <c r="C159" s="613" t="s">
        <v>2577</v>
      </c>
      <c r="D159" s="524" t="s">
        <v>2703</v>
      </c>
      <c r="E159" s="524" t="s">
        <v>2694</v>
      </c>
      <c r="F159" s="524" t="s">
        <v>2767</v>
      </c>
      <c r="G159" s="524" t="s">
        <v>92</v>
      </c>
      <c r="H159" s="524" t="s">
        <v>92</v>
      </c>
      <c r="I159" s="524" t="s">
        <v>2616</v>
      </c>
      <c r="J159" s="524" t="s">
        <v>92</v>
      </c>
      <c r="K159" s="531" t="s">
        <v>92</v>
      </c>
      <c r="L159" s="1488"/>
      <c r="M159" s="699">
        <v>46</v>
      </c>
      <c r="N159" s="2243" t="s">
        <v>2768</v>
      </c>
      <c r="O159" s="2243"/>
      <c r="P159" s="2243"/>
      <c r="Q159" s="2243"/>
      <c r="R159" s="2244"/>
      <c r="S159" s="702">
        <v>46</v>
      </c>
      <c r="T159" s="2243" t="s">
        <v>2769</v>
      </c>
      <c r="U159" s="2243"/>
      <c r="V159" s="2243"/>
      <c r="W159" s="2243"/>
      <c r="X159" s="2244"/>
      <c r="AE159" s="662">
        <v>2016</v>
      </c>
      <c r="AF159" s="524" t="s">
        <v>2770</v>
      </c>
      <c r="AI159" s="524" t="s">
        <v>92</v>
      </c>
      <c r="AL159" s="370" t="s">
        <v>2709</v>
      </c>
      <c r="AM159" s="370" t="s">
        <v>1620</v>
      </c>
      <c r="AN159" s="370" t="s">
        <v>2771</v>
      </c>
      <c r="AO159" s="370" t="s">
        <v>2772</v>
      </c>
      <c r="AP159" s="524" t="s">
        <v>2712</v>
      </c>
      <c r="AR159" s="370" t="s">
        <v>2773</v>
      </c>
      <c r="AS159" s="524" t="s">
        <v>2729</v>
      </c>
      <c r="AT159" s="662">
        <v>2016</v>
      </c>
      <c r="BB159" s="721"/>
      <c r="BC159" s="575"/>
      <c r="BD159" s="575"/>
      <c r="BE159" s="575"/>
      <c r="BF159" s="575"/>
      <c r="BG159" s="575"/>
      <c r="BH159" s="575"/>
      <c r="BI159" s="575"/>
      <c r="BJ159" s="728"/>
      <c r="BK159" s="728"/>
      <c r="BL159" s="728"/>
      <c r="BM159" s="728"/>
      <c r="BN159" s="728"/>
      <c r="BO159" s="728"/>
      <c r="BP159" s="728"/>
      <c r="BQ159" s="728"/>
      <c r="BR159" s="728"/>
    </row>
    <row r="160" spans="1:70" ht="17.25" customHeight="1">
      <c r="B160" s="532" t="s">
        <v>2195</v>
      </c>
      <c r="C160" s="613" t="s">
        <v>212</v>
      </c>
      <c r="D160" s="524" t="s">
        <v>212</v>
      </c>
      <c r="E160" s="524" t="s">
        <v>212</v>
      </c>
      <c r="F160" s="524" t="s">
        <v>212</v>
      </c>
      <c r="G160" s="524" t="s">
        <v>212</v>
      </c>
      <c r="H160" s="524" t="s">
        <v>212</v>
      </c>
      <c r="I160" s="524" t="s">
        <v>212</v>
      </c>
      <c r="J160" s="524" t="s">
        <v>212</v>
      </c>
      <c r="K160" s="531" t="s">
        <v>212</v>
      </c>
      <c r="L160" s="1488"/>
      <c r="M160" s="699">
        <v>47</v>
      </c>
      <c r="N160" s="2243" t="s">
        <v>2774</v>
      </c>
      <c r="O160" s="2243"/>
      <c r="P160" s="2243"/>
      <c r="Q160" s="2243"/>
      <c r="R160" s="2244"/>
      <c r="S160" s="702">
        <v>47</v>
      </c>
      <c r="T160" s="2243" t="s">
        <v>2775</v>
      </c>
      <c r="U160" s="2243"/>
      <c r="V160" s="2243"/>
      <c r="W160" s="2243"/>
      <c r="X160" s="2244"/>
      <c r="AE160" s="662">
        <v>2017</v>
      </c>
      <c r="AF160" s="524" t="s">
        <v>2776</v>
      </c>
      <c r="AG160" s="524" t="s">
        <v>2777</v>
      </c>
      <c r="AI160" s="524" t="s">
        <v>92</v>
      </c>
      <c r="AL160" s="370" t="s">
        <v>2709</v>
      </c>
      <c r="AM160" s="370" t="s">
        <v>1632</v>
      </c>
      <c r="AN160" s="370" t="s">
        <v>2778</v>
      </c>
      <c r="AO160" s="370" t="s">
        <v>2779</v>
      </c>
      <c r="AP160" s="370" t="s">
        <v>2780</v>
      </c>
      <c r="AQ160" s="524" t="s">
        <v>2781</v>
      </c>
      <c r="AR160" s="370" t="s">
        <v>2773</v>
      </c>
      <c r="AS160" s="524" t="s">
        <v>2781</v>
      </c>
      <c r="AT160" s="662">
        <v>2017</v>
      </c>
      <c r="BB160" s="721"/>
      <c r="BC160" s="575"/>
      <c r="BD160" s="575"/>
      <c r="BE160" s="575"/>
      <c r="BF160" s="575"/>
      <c r="BG160" s="575"/>
      <c r="BH160" s="575"/>
      <c r="BI160" s="575"/>
      <c r="BJ160" s="728"/>
      <c r="BK160" s="728"/>
      <c r="BL160" s="728"/>
      <c r="BM160" s="728"/>
      <c r="BN160" s="728"/>
      <c r="BO160" s="728"/>
      <c r="BP160" s="728"/>
      <c r="BQ160" s="728"/>
      <c r="BR160" s="728"/>
    </row>
    <row r="161" spans="2:70" ht="17.25" customHeight="1">
      <c r="B161" s="629" t="s">
        <v>143</v>
      </c>
      <c r="C161" s="613" t="s">
        <v>2782</v>
      </c>
      <c r="D161" s="524" t="s">
        <v>92</v>
      </c>
      <c r="E161" s="524" t="s">
        <v>2783</v>
      </c>
      <c r="F161" s="524" t="s">
        <v>2784</v>
      </c>
      <c r="G161" s="524" t="s">
        <v>92</v>
      </c>
      <c r="H161" s="524" t="s">
        <v>92</v>
      </c>
      <c r="I161" s="524" t="s">
        <v>2785</v>
      </c>
      <c r="J161" s="524" t="s">
        <v>2786</v>
      </c>
      <c r="K161" s="531" t="s">
        <v>2787</v>
      </c>
      <c r="L161" s="1488"/>
      <c r="M161" s="699">
        <v>48</v>
      </c>
      <c r="N161" s="2243" t="s">
        <v>2788</v>
      </c>
      <c r="O161" s="2243"/>
      <c r="P161" s="2243"/>
      <c r="Q161" s="2243"/>
      <c r="R161" s="2244"/>
      <c r="S161" s="702">
        <v>48</v>
      </c>
      <c r="T161" s="2243" t="s">
        <v>2789</v>
      </c>
      <c r="U161" s="2243"/>
      <c r="V161" s="2243"/>
      <c r="W161" s="2243"/>
      <c r="X161" s="2244"/>
      <c r="AE161" s="662">
        <v>2018</v>
      </c>
      <c r="AF161" s="524" t="s">
        <v>2790</v>
      </c>
      <c r="AG161" s="524" t="s">
        <v>2791</v>
      </c>
      <c r="AI161" s="524" t="s">
        <v>2792</v>
      </c>
      <c r="AL161" s="370" t="s">
        <v>2709</v>
      </c>
      <c r="AM161" s="370" t="s">
        <v>1649</v>
      </c>
      <c r="AN161" s="370" t="s">
        <v>2793</v>
      </c>
      <c r="AO161" s="370" t="s">
        <v>2794</v>
      </c>
      <c r="AP161" s="370" t="s">
        <v>2795</v>
      </c>
      <c r="AQ161" s="524" t="s">
        <v>2781</v>
      </c>
      <c r="AR161" s="370" t="s">
        <v>2773</v>
      </c>
      <c r="AS161" s="524" t="s">
        <v>2781</v>
      </c>
      <c r="AT161" s="662">
        <v>2018</v>
      </c>
      <c r="BB161" s="721"/>
      <c r="BC161" s="575"/>
      <c r="BD161" s="575"/>
      <c r="BE161" s="575"/>
      <c r="BF161" s="575"/>
      <c r="BG161" s="575"/>
      <c r="BH161" s="575"/>
      <c r="BI161" s="575"/>
      <c r="BJ161" s="728"/>
      <c r="BK161" s="728"/>
      <c r="BL161" s="728"/>
      <c r="BM161" s="728"/>
      <c r="BN161" s="728"/>
      <c r="BO161" s="728"/>
      <c r="BP161" s="728"/>
      <c r="BQ161" s="728"/>
      <c r="BR161" s="728"/>
    </row>
    <row r="162" spans="2:70" ht="17.25" customHeight="1">
      <c r="B162" s="629" t="s">
        <v>145</v>
      </c>
      <c r="C162" s="613" t="s">
        <v>2141</v>
      </c>
      <c r="D162" s="524" t="s">
        <v>92</v>
      </c>
      <c r="E162" s="524" t="s">
        <v>92</v>
      </c>
      <c r="F162" s="524" t="s">
        <v>2796</v>
      </c>
      <c r="G162" s="524" t="s">
        <v>2797</v>
      </c>
      <c r="H162" s="524" t="s">
        <v>2798</v>
      </c>
      <c r="I162" s="524" t="s">
        <v>2799</v>
      </c>
      <c r="J162" s="524" t="s">
        <v>2800</v>
      </c>
      <c r="K162" s="531" t="s">
        <v>2801</v>
      </c>
      <c r="L162" s="1488"/>
      <c r="M162" s="699">
        <v>49</v>
      </c>
      <c r="N162" s="2243" t="s">
        <v>2802</v>
      </c>
      <c r="O162" s="2243"/>
      <c r="P162" s="2243"/>
      <c r="Q162" s="2243"/>
      <c r="R162" s="2244"/>
      <c r="S162" s="702">
        <v>49</v>
      </c>
      <c r="T162" s="2243" t="s">
        <v>2803</v>
      </c>
      <c r="U162" s="2243"/>
      <c r="V162" s="2243"/>
      <c r="W162" s="2243"/>
      <c r="X162" s="2244"/>
      <c r="AE162" s="662">
        <v>2019</v>
      </c>
      <c r="AF162" s="524" t="s">
        <v>2804</v>
      </c>
      <c r="AG162" s="524" t="s">
        <v>2805</v>
      </c>
      <c r="AH162" s="524" t="s">
        <v>2806</v>
      </c>
      <c r="AI162" s="524" t="s">
        <v>2807</v>
      </c>
      <c r="AL162" s="370" t="s">
        <v>2709</v>
      </c>
      <c r="AM162" s="370" t="s">
        <v>2001</v>
      </c>
      <c r="AN162" s="370" t="s">
        <v>2808</v>
      </c>
      <c r="AO162" s="370" t="s">
        <v>2809</v>
      </c>
      <c r="AP162" s="370" t="s">
        <v>2795</v>
      </c>
      <c r="AQ162" s="524" t="s">
        <v>2781</v>
      </c>
      <c r="AR162" s="370" t="s">
        <v>2773</v>
      </c>
      <c r="AS162" s="524" t="s">
        <v>2781</v>
      </c>
      <c r="AT162" s="662">
        <v>2019</v>
      </c>
      <c r="BB162" s="721"/>
      <c r="BC162" s="575"/>
      <c r="BD162" s="575"/>
      <c r="BE162" s="575"/>
      <c r="BF162" s="575"/>
      <c r="BG162" s="575"/>
      <c r="BH162" s="575"/>
      <c r="BI162" s="575"/>
      <c r="BJ162" s="728"/>
      <c r="BK162" s="728"/>
      <c r="BL162" s="728"/>
      <c r="BM162" s="728"/>
      <c r="BN162" s="728"/>
      <c r="BO162" s="728"/>
      <c r="BP162" s="728"/>
      <c r="BQ162" s="728"/>
      <c r="BR162" s="728"/>
    </row>
    <row r="163" spans="2:70" ht="17.25" customHeight="1">
      <c r="B163" s="629" t="s">
        <v>148</v>
      </c>
      <c r="C163" s="613" t="s">
        <v>2471</v>
      </c>
      <c r="D163" s="524" t="s">
        <v>2472</v>
      </c>
      <c r="E163" s="524" t="s">
        <v>2473</v>
      </c>
      <c r="F163" s="524" t="s">
        <v>2810</v>
      </c>
      <c r="G163" s="524" t="s">
        <v>2475</v>
      </c>
      <c r="H163" s="524" t="s">
        <v>2476</v>
      </c>
      <c r="I163" s="370" t="s">
        <v>2811</v>
      </c>
      <c r="J163" s="524" t="s">
        <v>2812</v>
      </c>
      <c r="K163" s="531" t="s">
        <v>2813</v>
      </c>
      <c r="L163" s="1488"/>
      <c r="M163" s="699">
        <v>50</v>
      </c>
      <c r="N163" s="2243" t="s">
        <v>2814</v>
      </c>
      <c r="O163" s="2243"/>
      <c r="P163" s="2243"/>
      <c r="Q163" s="2243"/>
      <c r="R163" s="2244"/>
      <c r="S163" s="702">
        <v>50</v>
      </c>
      <c r="T163" s="2243" t="s">
        <v>2815</v>
      </c>
      <c r="U163" s="2243"/>
      <c r="V163" s="2243"/>
      <c r="W163" s="2243"/>
      <c r="X163" s="2244"/>
      <c r="AE163" s="662">
        <v>2020</v>
      </c>
      <c r="AF163" s="524" t="s">
        <v>2816</v>
      </c>
      <c r="AG163" s="524" t="s">
        <v>2817</v>
      </c>
      <c r="AH163" s="524" t="s">
        <v>2818</v>
      </c>
      <c r="AI163" s="524" t="s">
        <v>2819</v>
      </c>
      <c r="AJ163" s="524" t="s">
        <v>2820</v>
      </c>
      <c r="AK163" s="524" t="s">
        <v>2821</v>
      </c>
      <c r="AL163" s="370" t="s">
        <v>2822</v>
      </c>
      <c r="AM163" s="370" t="s">
        <v>1681</v>
      </c>
      <c r="AN163" s="370" t="s">
        <v>2823</v>
      </c>
      <c r="AO163" s="370" t="s">
        <v>2824</v>
      </c>
      <c r="AP163" s="370" t="s">
        <v>2795</v>
      </c>
      <c r="AQ163" s="524" t="s">
        <v>2781</v>
      </c>
      <c r="AR163" s="370" t="s">
        <v>2773</v>
      </c>
      <c r="AS163" s="524" t="s">
        <v>2781</v>
      </c>
      <c r="AT163" s="662">
        <v>2020</v>
      </c>
      <c r="AU163" s="717"/>
      <c r="AV163" s="718"/>
      <c r="AW163" s="718"/>
      <c r="AX163" s="718"/>
      <c r="AY163" s="718"/>
      <c r="AZ163" s="718"/>
      <c r="BA163" s="718"/>
      <c r="BB163" s="722"/>
      <c r="BC163" s="575"/>
      <c r="BD163" s="575"/>
      <c r="BE163" s="575"/>
      <c r="BF163" s="575"/>
      <c r="BG163" s="575"/>
      <c r="BH163" s="575"/>
      <c r="BI163" s="575"/>
      <c r="BJ163" s="728"/>
      <c r="BK163" s="728"/>
      <c r="BL163" s="728"/>
      <c r="BM163" s="728"/>
      <c r="BN163" s="728"/>
      <c r="BO163" s="728"/>
      <c r="BP163" s="728"/>
      <c r="BQ163" s="728"/>
      <c r="BR163" s="728"/>
    </row>
    <row r="164" spans="2:70" ht="15.6" customHeight="1">
      <c r="B164" s="629" t="s">
        <v>150</v>
      </c>
      <c r="C164" s="613" t="s">
        <v>2484</v>
      </c>
      <c r="D164" s="524" t="s">
        <v>92</v>
      </c>
      <c r="E164" s="524" t="s">
        <v>92</v>
      </c>
      <c r="F164" s="524" t="s">
        <v>2825</v>
      </c>
      <c r="G164" s="524" t="s">
        <v>2826</v>
      </c>
      <c r="H164" s="524" t="s">
        <v>2827</v>
      </c>
      <c r="I164" s="524" t="s">
        <v>2828</v>
      </c>
      <c r="J164" s="524" t="s">
        <v>2829</v>
      </c>
      <c r="K164" s="531" t="s">
        <v>2830</v>
      </c>
      <c r="L164" s="1488"/>
      <c r="M164" s="699">
        <v>51</v>
      </c>
      <c r="N164" s="2243" t="s">
        <v>2831</v>
      </c>
      <c r="O164" s="2243"/>
      <c r="P164" s="2243"/>
      <c r="Q164" s="2243"/>
      <c r="R164" s="2244"/>
      <c r="S164" s="702">
        <v>51</v>
      </c>
      <c r="T164" s="2243" t="s">
        <v>2832</v>
      </c>
      <c r="U164" s="2243"/>
      <c r="V164" s="2243"/>
      <c r="W164" s="2243"/>
      <c r="X164" s="2244"/>
      <c r="AE164" s="524">
        <v>2021</v>
      </c>
      <c r="AF164" s="524" t="s">
        <v>2833</v>
      </c>
      <c r="AG164" s="524" t="s">
        <v>2834</v>
      </c>
      <c r="AH164" s="524" t="s">
        <v>2835</v>
      </c>
      <c r="AI164" s="524" t="s">
        <v>2836</v>
      </c>
      <c r="AJ164" s="524" t="s">
        <v>2837</v>
      </c>
      <c r="AK164" s="524" t="s">
        <v>2838</v>
      </c>
      <c r="AL164" s="370" t="s">
        <v>2822</v>
      </c>
      <c r="AM164" s="704" t="s">
        <v>1694</v>
      </c>
      <c r="AN164" s="524" t="s">
        <v>2839</v>
      </c>
      <c r="AO164" s="719" t="s">
        <v>2840</v>
      </c>
      <c r="AP164" s="370" t="s">
        <v>2795</v>
      </c>
      <c r="AQ164" s="524" t="s">
        <v>2781</v>
      </c>
      <c r="AR164" s="370" t="s">
        <v>2773</v>
      </c>
      <c r="AS164" s="524" t="s">
        <v>2781</v>
      </c>
      <c r="AT164" s="524">
        <v>2021</v>
      </c>
    </row>
    <row r="165" spans="2:70" ht="15.6" customHeight="1">
      <c r="B165" s="629" t="s">
        <v>2841</v>
      </c>
      <c r="C165" s="613" t="s">
        <v>2156</v>
      </c>
      <c r="D165" s="524" t="s">
        <v>2204</v>
      </c>
      <c r="E165" s="524" t="s">
        <v>92</v>
      </c>
      <c r="F165" s="524" t="s">
        <v>2842</v>
      </c>
      <c r="G165" s="524" t="s">
        <v>2843</v>
      </c>
      <c r="H165" s="524" t="s">
        <v>2844</v>
      </c>
      <c r="I165" s="524" t="s">
        <v>2845</v>
      </c>
      <c r="J165" s="524" t="s">
        <v>2846</v>
      </c>
      <c r="K165" s="531" t="s">
        <v>2847</v>
      </c>
      <c r="L165" s="1488"/>
      <c r="M165" s="699">
        <v>52</v>
      </c>
      <c r="N165" s="2243" t="s">
        <v>2848</v>
      </c>
      <c r="O165" s="2243"/>
      <c r="P165" s="2243"/>
      <c r="Q165" s="2243"/>
      <c r="R165" s="2244"/>
      <c r="S165" s="702">
        <v>52</v>
      </c>
      <c r="T165" s="2243" t="s">
        <v>2849</v>
      </c>
      <c r="U165" s="2243"/>
      <c r="V165" s="2243"/>
      <c r="W165" s="2243"/>
      <c r="X165" s="2244"/>
      <c r="AE165" s="524">
        <v>2022</v>
      </c>
      <c r="AF165" s="524" t="s">
        <v>2850</v>
      </c>
      <c r="AG165" s="524" t="s">
        <v>2851</v>
      </c>
      <c r="AH165" s="370" t="s">
        <v>2852</v>
      </c>
      <c r="AI165" s="524" t="s">
        <v>2853</v>
      </c>
      <c r="AJ165" s="524" t="s">
        <v>2854</v>
      </c>
      <c r="AK165" s="524" t="s">
        <v>2855</v>
      </c>
      <c r="AL165" s="370" t="s">
        <v>2822</v>
      </c>
      <c r="AM165" s="370" t="s">
        <v>1708</v>
      </c>
      <c r="AN165" s="524" t="s">
        <v>2856</v>
      </c>
      <c r="AO165" s="370" t="s">
        <v>2857</v>
      </c>
      <c r="AP165" s="370" t="s">
        <v>2795</v>
      </c>
      <c r="AQ165" s="524" t="s">
        <v>2781</v>
      </c>
      <c r="AS165" s="524" t="s">
        <v>2781</v>
      </c>
      <c r="AT165" s="524">
        <v>2022</v>
      </c>
      <c r="AW165" s="546"/>
      <c r="AY165" s="529"/>
      <c r="AZ165" s="529"/>
      <c r="BA165" s="529"/>
      <c r="BB165" s="529"/>
      <c r="BC165" s="529"/>
      <c r="BD165" s="723"/>
    </row>
    <row r="166" spans="2:70" ht="15.6" customHeight="1">
      <c r="B166" s="629" t="s">
        <v>158</v>
      </c>
      <c r="C166" s="613" t="s">
        <v>2858</v>
      </c>
      <c r="D166" s="524" t="s">
        <v>92</v>
      </c>
      <c r="E166" s="524" t="s">
        <v>92</v>
      </c>
      <c r="F166" s="524" t="s">
        <v>2859</v>
      </c>
      <c r="G166" s="524" t="s">
        <v>92</v>
      </c>
      <c r="H166" s="524" t="s">
        <v>92</v>
      </c>
      <c r="I166" s="524" t="s">
        <v>2845</v>
      </c>
      <c r="J166" s="524" t="s">
        <v>2846</v>
      </c>
      <c r="K166" s="531" t="s">
        <v>2847</v>
      </c>
      <c r="L166" s="1488"/>
      <c r="M166" s="699">
        <v>53</v>
      </c>
      <c r="N166" s="2243" t="s">
        <v>2860</v>
      </c>
      <c r="O166" s="2243"/>
      <c r="P166" s="2243"/>
      <c r="Q166" s="2243"/>
      <c r="R166" s="2244"/>
      <c r="S166" s="702">
        <v>53</v>
      </c>
      <c r="T166" s="2243" t="s">
        <v>2861</v>
      </c>
      <c r="U166" s="2243"/>
      <c r="V166" s="2243"/>
      <c r="W166" s="2243"/>
      <c r="X166" s="2244"/>
      <c r="AE166" s="524">
        <v>2023</v>
      </c>
      <c r="AF166" s="370" t="s">
        <v>92</v>
      </c>
      <c r="AI166" s="524" t="s">
        <v>2862</v>
      </c>
      <c r="AJ166" s="524" t="s">
        <v>2863</v>
      </c>
      <c r="AL166" s="370" t="s">
        <v>2822</v>
      </c>
      <c r="AM166" s="370" t="s">
        <v>1723</v>
      </c>
      <c r="AN166" s="524" t="s">
        <v>2864</v>
      </c>
      <c r="AO166" s="370" t="s">
        <v>92</v>
      </c>
      <c r="AP166" s="370" t="s">
        <v>2795</v>
      </c>
      <c r="AQ166" s="524" t="s">
        <v>2781</v>
      </c>
      <c r="AS166" s="524" t="s">
        <v>2781</v>
      </c>
      <c r="AT166" s="524">
        <v>2023</v>
      </c>
      <c r="AW166" s="532"/>
      <c r="AX166" s="524" t="s">
        <v>2865</v>
      </c>
      <c r="BA166" s="524" t="s">
        <v>2866</v>
      </c>
      <c r="BC166" s="724" t="s">
        <v>2867</v>
      </c>
      <c r="BD166" s="371"/>
    </row>
    <row r="167" spans="2:70" ht="15.6" customHeight="1">
      <c r="B167" s="629" t="s">
        <v>61</v>
      </c>
      <c r="C167" s="613" t="s">
        <v>2141</v>
      </c>
      <c r="D167" s="524" t="s">
        <v>92</v>
      </c>
      <c r="E167" s="524" t="s">
        <v>92</v>
      </c>
      <c r="F167" s="524" t="s">
        <v>2868</v>
      </c>
      <c r="G167" s="524" t="s">
        <v>2869</v>
      </c>
      <c r="H167" s="524" t="s">
        <v>2870</v>
      </c>
      <c r="I167" s="524" t="s">
        <v>2871</v>
      </c>
      <c r="J167" s="524" t="s">
        <v>2872</v>
      </c>
      <c r="K167" s="531" t="s">
        <v>2873</v>
      </c>
      <c r="L167" s="1488"/>
      <c r="M167" s="699">
        <v>54</v>
      </c>
      <c r="N167" s="2243" t="s">
        <v>2874</v>
      </c>
      <c r="O167" s="2243"/>
      <c r="P167" s="2243"/>
      <c r="Q167" s="2243"/>
      <c r="R167" s="2244"/>
      <c r="S167" s="702">
        <v>54</v>
      </c>
      <c r="T167" s="2243" t="s">
        <v>2875</v>
      </c>
      <c r="U167" s="2243"/>
      <c r="V167" s="2243"/>
      <c r="W167" s="2243"/>
      <c r="X167" s="2244"/>
      <c r="AM167" s="370" t="s">
        <v>1736</v>
      </c>
      <c r="AP167" s="370"/>
      <c r="AW167" s="532"/>
      <c r="AX167" s="524" t="s">
        <v>2876</v>
      </c>
      <c r="BA167" s="524" t="s">
        <v>2877</v>
      </c>
      <c r="BC167" s="725" t="s">
        <v>2878</v>
      </c>
      <c r="BD167" s="531"/>
    </row>
    <row r="168" spans="2:70" ht="15.6" customHeight="1">
      <c r="B168" s="629" t="s">
        <v>63</v>
      </c>
      <c r="C168" s="613" t="s">
        <v>2484</v>
      </c>
      <c r="D168" s="524" t="s">
        <v>92</v>
      </c>
      <c r="E168" s="524" t="s">
        <v>92</v>
      </c>
      <c r="F168" s="370" t="s">
        <v>2879</v>
      </c>
      <c r="G168" s="524" t="s">
        <v>2869</v>
      </c>
      <c r="H168" s="524" t="s">
        <v>2870</v>
      </c>
      <c r="I168" s="524" t="s">
        <v>2880</v>
      </c>
      <c r="J168" s="524" t="s">
        <v>2881</v>
      </c>
      <c r="K168" s="531" t="s">
        <v>2882</v>
      </c>
      <c r="L168" s="1488"/>
      <c r="M168" s="699">
        <v>55</v>
      </c>
      <c r="N168" s="2243" t="s">
        <v>2883</v>
      </c>
      <c r="O168" s="2243"/>
      <c r="P168" s="2243"/>
      <c r="Q168" s="2243"/>
      <c r="R168" s="2244"/>
      <c r="S168" s="702">
        <v>55</v>
      </c>
      <c r="T168" s="2243" t="s">
        <v>2884</v>
      </c>
      <c r="U168" s="2243"/>
      <c r="V168" s="2243"/>
      <c r="W168" s="2243"/>
      <c r="X168" s="2244"/>
      <c r="AM168" s="370" t="s">
        <v>1748</v>
      </c>
      <c r="AW168" s="532"/>
      <c r="AX168" s="524" t="s">
        <v>2885</v>
      </c>
      <c r="BC168" s="725" t="s">
        <v>2886</v>
      </c>
      <c r="BD168" s="371"/>
    </row>
    <row r="169" spans="2:70" ht="15.6" customHeight="1">
      <c r="B169" s="629" t="s">
        <v>67</v>
      </c>
      <c r="C169" s="613" t="s">
        <v>2484</v>
      </c>
      <c r="D169" s="524" t="s">
        <v>92</v>
      </c>
      <c r="E169" s="524" t="s">
        <v>2887</v>
      </c>
      <c r="F169" s="524" t="s">
        <v>2888</v>
      </c>
      <c r="G169" s="524" t="s">
        <v>2889</v>
      </c>
      <c r="H169" s="524" t="s">
        <v>2890</v>
      </c>
      <c r="I169" s="524" t="s">
        <v>2891</v>
      </c>
      <c r="J169" s="524" t="s">
        <v>2892</v>
      </c>
      <c r="K169" s="531" t="s">
        <v>2893</v>
      </c>
      <c r="L169" s="1488"/>
      <c r="M169" s="699">
        <v>56</v>
      </c>
      <c r="N169" s="2243" t="s">
        <v>2894</v>
      </c>
      <c r="O169" s="2243"/>
      <c r="P169" s="2243"/>
      <c r="Q169" s="2243"/>
      <c r="R169" s="2244"/>
      <c r="S169" s="702">
        <v>56</v>
      </c>
      <c r="T169" s="2243" t="s">
        <v>2895</v>
      </c>
      <c r="U169" s="2243"/>
      <c r="V169" s="2243"/>
      <c r="W169" s="2243"/>
      <c r="X169" s="2244"/>
      <c r="AM169" s="370" t="s">
        <v>1758</v>
      </c>
      <c r="AW169" s="532"/>
      <c r="AX169" s="726" t="s">
        <v>2896</v>
      </c>
      <c r="BA169" s="524" t="s">
        <v>2897</v>
      </c>
      <c r="BC169" s="725" t="s">
        <v>2898</v>
      </c>
      <c r="BD169" s="371"/>
    </row>
    <row r="170" spans="2:70" ht="15.6" customHeight="1">
      <c r="B170" s="629" t="s">
        <v>70</v>
      </c>
      <c r="C170" s="613" t="s">
        <v>2156</v>
      </c>
      <c r="D170" s="524" t="s">
        <v>92</v>
      </c>
      <c r="E170" s="524" t="s">
        <v>92</v>
      </c>
      <c r="F170" s="524" t="s">
        <v>2899</v>
      </c>
      <c r="G170" s="524" t="s">
        <v>2900</v>
      </c>
      <c r="H170" s="524" t="s">
        <v>2901</v>
      </c>
      <c r="I170" s="524" t="s">
        <v>2902</v>
      </c>
      <c r="J170" s="713" t="s">
        <v>2903</v>
      </c>
      <c r="K170" s="531" t="s">
        <v>2904</v>
      </c>
      <c r="L170" s="1488"/>
      <c r="M170" s="699">
        <v>57</v>
      </c>
      <c r="N170" s="2243" t="s">
        <v>2905</v>
      </c>
      <c r="O170" s="2243"/>
      <c r="P170" s="2243"/>
      <c r="Q170" s="2243"/>
      <c r="R170" s="2244"/>
      <c r="S170" s="702">
        <v>57</v>
      </c>
      <c r="T170" s="2243" t="s">
        <v>2906</v>
      </c>
      <c r="U170" s="2243"/>
      <c r="V170" s="2243"/>
      <c r="W170" s="2243"/>
      <c r="X170" s="2244"/>
      <c r="AM170" s="370" t="s">
        <v>1765</v>
      </c>
      <c r="AW170" s="532"/>
      <c r="AX170" s="726" t="s">
        <v>2907</v>
      </c>
      <c r="BA170" s="524" t="s">
        <v>2908</v>
      </c>
      <c r="BC170" s="725" t="s">
        <v>2909</v>
      </c>
      <c r="BD170" s="371"/>
    </row>
    <row r="171" spans="2:70" ht="15.6" customHeight="1">
      <c r="B171" s="629" t="s">
        <v>72</v>
      </c>
      <c r="C171" s="613" t="s">
        <v>2577</v>
      </c>
      <c r="D171" s="524" t="s">
        <v>92</v>
      </c>
      <c r="E171" s="524" t="s">
        <v>92</v>
      </c>
      <c r="F171" s="524" t="s">
        <v>2910</v>
      </c>
      <c r="G171" s="524" t="s">
        <v>2911</v>
      </c>
      <c r="H171" s="524" t="s">
        <v>2911</v>
      </c>
      <c r="I171" s="524" t="s">
        <v>2912</v>
      </c>
      <c r="J171" s="713" t="s">
        <v>2913</v>
      </c>
      <c r="K171" s="531" t="s">
        <v>2914</v>
      </c>
      <c r="L171" s="1488"/>
      <c r="M171" s="699">
        <v>58</v>
      </c>
      <c r="N171" s="2243" t="s">
        <v>2915</v>
      </c>
      <c r="O171" s="2243"/>
      <c r="P171" s="2243"/>
      <c r="Q171" s="2243"/>
      <c r="R171" s="2244"/>
      <c r="S171" s="702">
        <v>58</v>
      </c>
      <c r="T171" s="2243" t="s">
        <v>2916</v>
      </c>
      <c r="U171" s="2243"/>
      <c r="V171" s="2243"/>
      <c r="W171" s="2243"/>
      <c r="X171" s="2244"/>
      <c r="AM171" s="370" t="s">
        <v>1773</v>
      </c>
      <c r="AW171" s="532"/>
      <c r="AX171" s="727" t="s">
        <v>2917</v>
      </c>
      <c r="BA171" s="524" t="s">
        <v>2918</v>
      </c>
      <c r="BC171" s="725" t="s">
        <v>2919</v>
      </c>
      <c r="BD171" s="371"/>
    </row>
    <row r="172" spans="2:70" ht="15.6" customHeight="1">
      <c r="B172" s="629" t="s">
        <v>74</v>
      </c>
      <c r="C172" s="613" t="s">
        <v>2156</v>
      </c>
      <c r="D172" s="524" t="s">
        <v>92</v>
      </c>
      <c r="E172" s="524" t="s">
        <v>92</v>
      </c>
      <c r="F172" s="524" t="s">
        <v>2920</v>
      </c>
      <c r="G172" s="524" t="s">
        <v>2921</v>
      </c>
      <c r="H172" s="524" t="s">
        <v>2922</v>
      </c>
      <c r="I172" s="524" t="s">
        <v>2923</v>
      </c>
      <c r="J172" s="713" t="s">
        <v>2924</v>
      </c>
      <c r="K172" s="531" t="s">
        <v>2925</v>
      </c>
      <c r="L172" s="1488"/>
      <c r="M172" s="699">
        <v>59</v>
      </c>
      <c r="N172" s="2243" t="s">
        <v>2926</v>
      </c>
      <c r="O172" s="2243"/>
      <c r="P172" s="2243"/>
      <c r="Q172" s="2243"/>
      <c r="R172" s="2244"/>
      <c r="S172" s="702">
        <v>59</v>
      </c>
      <c r="T172" s="2243" t="s">
        <v>2927</v>
      </c>
      <c r="U172" s="2243"/>
      <c r="V172" s="2243"/>
      <c r="W172" s="2243"/>
      <c r="X172" s="2244"/>
      <c r="AM172" s="370" t="s">
        <v>1782</v>
      </c>
      <c r="AW172" s="532"/>
      <c r="AX172" s="524" t="s">
        <v>2928</v>
      </c>
      <c r="BA172" s="524" t="s">
        <v>2929</v>
      </c>
      <c r="BC172" s="725" t="s">
        <v>212</v>
      </c>
      <c r="BD172" s="371"/>
    </row>
    <row r="173" spans="2:70" ht="15.6" customHeight="1">
      <c r="B173" s="629" t="s">
        <v>76</v>
      </c>
      <c r="C173" s="613" t="s">
        <v>2577</v>
      </c>
      <c r="D173" s="524" t="s">
        <v>92</v>
      </c>
      <c r="E173" s="524" t="s">
        <v>92</v>
      </c>
      <c r="F173" s="524" t="s">
        <v>2930</v>
      </c>
      <c r="G173" s="524" t="s">
        <v>2931</v>
      </c>
      <c r="H173" s="524" t="s">
        <v>2932</v>
      </c>
      <c r="I173" s="524" t="s">
        <v>2933</v>
      </c>
      <c r="J173" s="713" t="s">
        <v>2934</v>
      </c>
      <c r="K173" s="531" t="s">
        <v>2935</v>
      </c>
      <c r="L173" s="1488"/>
      <c r="M173" s="699">
        <v>60</v>
      </c>
      <c r="N173" s="2243" t="s">
        <v>2936</v>
      </c>
      <c r="O173" s="2243"/>
      <c r="P173" s="2243"/>
      <c r="Q173" s="2243"/>
      <c r="R173" s="2244"/>
      <c r="S173" s="702">
        <v>60</v>
      </c>
      <c r="T173" s="2243" t="s">
        <v>2937</v>
      </c>
      <c r="U173" s="2243"/>
      <c r="V173" s="2243"/>
      <c r="W173" s="2243"/>
      <c r="X173" s="2244"/>
      <c r="AM173" s="370" t="s">
        <v>1791</v>
      </c>
      <c r="AW173" s="532"/>
      <c r="AX173" s="524" t="s">
        <v>2938</v>
      </c>
      <c r="BC173" s="725" t="s">
        <v>2939</v>
      </c>
      <c r="BD173" s="371"/>
    </row>
    <row r="174" spans="2:70" ht="15.6" customHeight="1">
      <c r="B174" s="629" t="s">
        <v>79</v>
      </c>
      <c r="C174" s="613" t="s">
        <v>2577</v>
      </c>
      <c r="D174" s="524" t="s">
        <v>92</v>
      </c>
      <c r="E174" s="524" t="s">
        <v>92</v>
      </c>
      <c r="F174" s="370" t="s">
        <v>2940</v>
      </c>
      <c r="G174" s="524" t="s">
        <v>2941</v>
      </c>
      <c r="H174" s="524" t="s">
        <v>2942</v>
      </c>
      <c r="I174" s="713" t="s">
        <v>2943</v>
      </c>
      <c r="J174" s="713" t="s">
        <v>2944</v>
      </c>
      <c r="K174" s="531" t="s">
        <v>2945</v>
      </c>
      <c r="L174" s="1488"/>
      <c r="M174" s="699">
        <v>61</v>
      </c>
      <c r="N174" s="2243" t="s">
        <v>2946</v>
      </c>
      <c r="O174" s="2243"/>
      <c r="P174" s="2243"/>
      <c r="Q174" s="2243"/>
      <c r="R174" s="2244"/>
      <c r="S174" s="702">
        <v>61</v>
      </c>
      <c r="T174" s="2243" t="s">
        <v>2947</v>
      </c>
      <c r="U174" s="2243"/>
      <c r="V174" s="2243"/>
      <c r="W174" s="2243"/>
      <c r="X174" s="2244"/>
      <c r="AM174" s="370" t="s">
        <v>1801</v>
      </c>
      <c r="AW174" s="532"/>
      <c r="AX174" s="524" t="s">
        <v>2948</v>
      </c>
      <c r="BA174" s="524" t="s">
        <v>2949</v>
      </c>
      <c r="BC174" s="725" t="s">
        <v>2950</v>
      </c>
      <c r="BD174" s="371"/>
    </row>
    <row r="175" spans="2:70" ht="15.6" customHeight="1">
      <c r="B175" s="629" t="s">
        <v>82</v>
      </c>
      <c r="C175" s="613" t="s">
        <v>2141</v>
      </c>
      <c r="D175" s="524" t="s">
        <v>92</v>
      </c>
      <c r="E175" s="524" t="s">
        <v>92</v>
      </c>
      <c r="F175" s="524" t="s">
        <v>2951</v>
      </c>
      <c r="G175" s="524" t="s">
        <v>2952</v>
      </c>
      <c r="H175" s="524" t="s">
        <v>2953</v>
      </c>
      <c r="I175" s="713" t="s">
        <v>2954</v>
      </c>
      <c r="J175" s="524" t="s">
        <v>2955</v>
      </c>
      <c r="K175" s="531" t="s">
        <v>2956</v>
      </c>
      <c r="L175" s="1488"/>
      <c r="M175" s="699">
        <v>62</v>
      </c>
      <c r="N175" s="2243" t="s">
        <v>2957</v>
      </c>
      <c r="O175" s="2243"/>
      <c r="P175" s="2243"/>
      <c r="Q175" s="2243"/>
      <c r="R175" s="2244"/>
      <c r="S175" s="702">
        <v>62</v>
      </c>
      <c r="T175" s="2243" t="s">
        <v>2958</v>
      </c>
      <c r="U175" s="2243"/>
      <c r="V175" s="2243"/>
      <c r="W175" s="2243"/>
      <c r="X175" s="2244"/>
      <c r="AM175" s="370" t="s">
        <v>1814</v>
      </c>
      <c r="AW175" s="532"/>
      <c r="AX175" s="524" t="s">
        <v>2959</v>
      </c>
      <c r="BA175" s="524" t="s">
        <v>2960</v>
      </c>
      <c r="BC175" s="725" t="s">
        <v>2961</v>
      </c>
      <c r="BD175" s="371"/>
    </row>
    <row r="176" spans="2:70" ht="15.6" customHeight="1">
      <c r="B176" s="629" t="s">
        <v>87</v>
      </c>
      <c r="C176" s="613" t="s">
        <v>2156</v>
      </c>
      <c r="D176" s="524" t="s">
        <v>92</v>
      </c>
      <c r="E176" s="524" t="s">
        <v>92</v>
      </c>
      <c r="F176" s="524" t="s">
        <v>2962</v>
      </c>
      <c r="G176" s="524" t="s">
        <v>2963</v>
      </c>
      <c r="H176" s="713" t="s">
        <v>2964</v>
      </c>
      <c r="I176" s="713" t="s">
        <v>2965</v>
      </c>
      <c r="J176" s="524" t="s">
        <v>2966</v>
      </c>
      <c r="K176" s="531" t="s">
        <v>2967</v>
      </c>
      <c r="L176" s="1488"/>
      <c r="M176" s="699">
        <v>63</v>
      </c>
      <c r="N176" s="2243" t="s">
        <v>2968</v>
      </c>
      <c r="O176" s="2243"/>
      <c r="P176" s="2243"/>
      <c r="Q176" s="2243"/>
      <c r="R176" s="2244"/>
      <c r="S176" s="702">
        <v>63</v>
      </c>
      <c r="T176" s="2243" t="s">
        <v>2969</v>
      </c>
      <c r="U176" s="2243"/>
      <c r="V176" s="2243"/>
      <c r="W176" s="2243"/>
      <c r="X176" s="2244"/>
      <c r="AM176" s="370" t="s">
        <v>1823</v>
      </c>
      <c r="AW176" s="532"/>
      <c r="AX176" s="524" t="s">
        <v>2970</v>
      </c>
      <c r="BA176" s="524" t="s">
        <v>2971</v>
      </c>
      <c r="BC176" s="725" t="s">
        <v>2972</v>
      </c>
      <c r="BD176" s="371"/>
    </row>
    <row r="177" spans="2:56" ht="15.6" customHeight="1">
      <c r="B177" s="629" t="s">
        <v>95</v>
      </c>
      <c r="C177" s="613" t="s">
        <v>2577</v>
      </c>
      <c r="D177" s="524" t="s">
        <v>2472</v>
      </c>
      <c r="E177" s="524" t="s">
        <v>2473</v>
      </c>
      <c r="F177" s="524" t="s">
        <v>2973</v>
      </c>
      <c r="G177" s="524" t="s">
        <v>2475</v>
      </c>
      <c r="H177" s="524" t="s">
        <v>2476</v>
      </c>
      <c r="I177" s="370" t="s">
        <v>2974</v>
      </c>
      <c r="J177" s="524" t="s">
        <v>2975</v>
      </c>
      <c r="K177" s="531" t="s">
        <v>2976</v>
      </c>
      <c r="L177" s="1488"/>
      <c r="M177" s="699">
        <v>64</v>
      </c>
      <c r="N177" s="2243" t="s">
        <v>2977</v>
      </c>
      <c r="O177" s="2243"/>
      <c r="P177" s="2243"/>
      <c r="Q177" s="2243"/>
      <c r="R177" s="2244"/>
      <c r="S177" s="702">
        <v>64</v>
      </c>
      <c r="T177" s="2243" t="s">
        <v>2978</v>
      </c>
      <c r="U177" s="2243"/>
      <c r="V177" s="2243"/>
      <c r="W177" s="2243"/>
      <c r="X177" s="2244"/>
      <c r="AM177" s="370" t="s">
        <v>1829</v>
      </c>
      <c r="AW177" s="532"/>
      <c r="AX177" s="726" t="s">
        <v>2979</v>
      </c>
      <c r="BA177" s="524" t="s">
        <v>2980</v>
      </c>
      <c r="BC177" s="725" t="s">
        <v>2981</v>
      </c>
      <c r="BD177" s="371"/>
    </row>
    <row r="178" spans="2:56" ht="15.6" customHeight="1">
      <c r="B178" s="629" t="s">
        <v>361</v>
      </c>
      <c r="C178" s="613" t="s">
        <v>2156</v>
      </c>
      <c r="D178" s="524" t="s">
        <v>2204</v>
      </c>
      <c r="E178" s="524" t="s">
        <v>92</v>
      </c>
      <c r="F178" s="524" t="s">
        <v>2982</v>
      </c>
      <c r="G178" s="524" t="s">
        <v>92</v>
      </c>
      <c r="H178" s="524" t="s">
        <v>92</v>
      </c>
      <c r="I178" s="524" t="s">
        <v>92</v>
      </c>
      <c r="J178" s="524" t="s">
        <v>92</v>
      </c>
      <c r="K178" s="531" t="s">
        <v>92</v>
      </c>
      <c r="L178" s="1488"/>
      <c r="M178" s="699">
        <v>65</v>
      </c>
      <c r="N178" s="2243" t="s">
        <v>2983</v>
      </c>
      <c r="O178" s="2243"/>
      <c r="P178" s="2243"/>
      <c r="Q178" s="2243"/>
      <c r="R178" s="2244"/>
      <c r="S178" s="702">
        <v>65</v>
      </c>
      <c r="T178" s="2243" t="s">
        <v>2984</v>
      </c>
      <c r="U178" s="2243"/>
      <c r="V178" s="2243"/>
      <c r="W178" s="2243"/>
      <c r="X178" s="2244"/>
      <c r="AM178" s="370" t="s">
        <v>1834</v>
      </c>
      <c r="AW178" s="532"/>
      <c r="AX178" s="726" t="s">
        <v>2985</v>
      </c>
      <c r="BA178" s="524" t="s">
        <v>2986</v>
      </c>
      <c r="BC178" s="725" t="s">
        <v>2987</v>
      </c>
      <c r="BD178" s="371"/>
    </row>
    <row r="179" spans="2:56" ht="15.6" customHeight="1">
      <c r="B179" s="629" t="s">
        <v>104</v>
      </c>
      <c r="C179" s="613" t="s">
        <v>2156</v>
      </c>
      <c r="D179" s="524" t="s">
        <v>92</v>
      </c>
      <c r="E179" s="524" t="s">
        <v>92</v>
      </c>
      <c r="F179" s="524" t="s">
        <v>2988</v>
      </c>
      <c r="G179" s="524" t="s">
        <v>2989</v>
      </c>
      <c r="H179" s="524" t="s">
        <v>2990</v>
      </c>
      <c r="I179" s="524" t="s">
        <v>2991</v>
      </c>
      <c r="J179" s="524" t="s">
        <v>2992</v>
      </c>
      <c r="K179" s="531" t="s">
        <v>2993</v>
      </c>
      <c r="L179" s="1488"/>
      <c r="M179" s="699">
        <v>66</v>
      </c>
      <c r="N179" s="2243" t="s">
        <v>2994</v>
      </c>
      <c r="O179" s="2243"/>
      <c r="P179" s="2243"/>
      <c r="Q179" s="2243"/>
      <c r="R179" s="2244"/>
      <c r="S179" s="702">
        <v>66</v>
      </c>
      <c r="T179" s="2243" t="s">
        <v>2995</v>
      </c>
      <c r="U179" s="2243"/>
      <c r="V179" s="2243"/>
      <c r="W179" s="2243"/>
      <c r="X179" s="2244"/>
      <c r="AM179" s="370" t="s">
        <v>1841</v>
      </c>
      <c r="AW179" s="532"/>
      <c r="AX179" s="726" t="s">
        <v>2996</v>
      </c>
      <c r="BA179" s="524" t="s">
        <v>2997</v>
      </c>
      <c r="BC179" s="725" t="s">
        <v>2998</v>
      </c>
      <c r="BD179" s="531"/>
    </row>
    <row r="180" spans="2:56" ht="15.6" customHeight="1">
      <c r="B180" s="629" t="s">
        <v>106</v>
      </c>
      <c r="C180" s="613" t="s">
        <v>2577</v>
      </c>
      <c r="D180" s="524" t="s">
        <v>2472</v>
      </c>
      <c r="E180" s="370" t="s">
        <v>2999</v>
      </c>
      <c r="F180" s="524" t="s">
        <v>3000</v>
      </c>
      <c r="G180" s="524" t="s">
        <v>2475</v>
      </c>
      <c r="H180" s="524" t="s">
        <v>2476</v>
      </c>
      <c r="I180" s="524" t="s">
        <v>3001</v>
      </c>
      <c r="J180" s="524" t="s">
        <v>3002</v>
      </c>
      <c r="K180" s="531" t="s">
        <v>3003</v>
      </c>
      <c r="L180" s="1488"/>
      <c r="M180" s="699">
        <v>67</v>
      </c>
      <c r="N180" s="2243" t="s">
        <v>3004</v>
      </c>
      <c r="O180" s="2243"/>
      <c r="P180" s="2243"/>
      <c r="Q180" s="2243"/>
      <c r="R180" s="2244"/>
      <c r="S180" s="702">
        <v>67</v>
      </c>
      <c r="T180" s="2243" t="s">
        <v>3005</v>
      </c>
      <c r="U180" s="2243"/>
      <c r="V180" s="2243"/>
      <c r="W180" s="2243"/>
      <c r="X180" s="2244"/>
      <c r="AM180" s="370" t="s">
        <v>1850</v>
      </c>
      <c r="AW180" s="532"/>
      <c r="AX180" s="726" t="s">
        <v>3006</v>
      </c>
      <c r="BA180" s="524" t="s">
        <v>3007</v>
      </c>
      <c r="BC180" s="725" t="s">
        <v>3008</v>
      </c>
      <c r="BD180" s="371"/>
    </row>
    <row r="181" spans="2:56" ht="15.6" customHeight="1">
      <c r="B181" s="629" t="s">
        <v>110</v>
      </c>
      <c r="C181" s="613" t="s">
        <v>2141</v>
      </c>
      <c r="D181" s="524" t="s">
        <v>92</v>
      </c>
      <c r="E181" s="524" t="s">
        <v>3009</v>
      </c>
      <c r="F181" s="524" t="s">
        <v>3010</v>
      </c>
      <c r="G181" s="524" t="s">
        <v>3011</v>
      </c>
      <c r="H181" s="524" t="s">
        <v>3012</v>
      </c>
      <c r="I181" s="524" t="s">
        <v>3013</v>
      </c>
      <c r="J181" s="524" t="s">
        <v>3014</v>
      </c>
      <c r="K181" s="531" t="s">
        <v>3015</v>
      </c>
      <c r="L181" s="1488"/>
      <c r="M181" s="699">
        <v>68</v>
      </c>
      <c r="N181" s="2243" t="s">
        <v>3016</v>
      </c>
      <c r="O181" s="2243"/>
      <c r="P181" s="2243"/>
      <c r="Q181" s="2243"/>
      <c r="R181" s="2244"/>
      <c r="S181" s="702">
        <v>68</v>
      </c>
      <c r="T181" s="2243" t="s">
        <v>3017</v>
      </c>
      <c r="U181" s="2243"/>
      <c r="V181" s="2243"/>
      <c r="W181" s="2243"/>
      <c r="X181" s="2244"/>
      <c r="AM181" s="370" t="s">
        <v>1856</v>
      </c>
      <c r="AW181" s="532"/>
      <c r="AX181" s="726" t="s">
        <v>3018</v>
      </c>
      <c r="BC181" s="725" t="s">
        <v>3019</v>
      </c>
      <c r="BD181" s="371"/>
    </row>
    <row r="182" spans="2:56" ht="15.6" customHeight="1">
      <c r="B182" s="532" t="s">
        <v>2195</v>
      </c>
      <c r="C182" s="613" t="s">
        <v>212</v>
      </c>
      <c r="D182" s="524" t="s">
        <v>212</v>
      </c>
      <c r="E182" s="524" t="s">
        <v>212</v>
      </c>
      <c r="F182" s="524" t="s">
        <v>212</v>
      </c>
      <c r="G182" s="524" t="s">
        <v>212</v>
      </c>
      <c r="H182" s="524" t="s">
        <v>212</v>
      </c>
      <c r="I182" s="524" t="s">
        <v>212</v>
      </c>
      <c r="J182" s="524" t="s">
        <v>212</v>
      </c>
      <c r="K182" s="531" t="s">
        <v>212</v>
      </c>
      <c r="L182" s="1488"/>
      <c r="M182" s="699">
        <v>69</v>
      </c>
      <c r="N182" s="2243" t="s">
        <v>3020</v>
      </c>
      <c r="O182" s="2243"/>
      <c r="P182" s="2243"/>
      <c r="Q182" s="2243"/>
      <c r="R182" s="2244"/>
      <c r="S182" s="702">
        <v>69</v>
      </c>
      <c r="T182" s="2243" t="s">
        <v>3021</v>
      </c>
      <c r="U182" s="2243"/>
      <c r="V182" s="2243"/>
      <c r="W182" s="2243"/>
      <c r="X182" s="2244"/>
      <c r="AM182" s="370" t="s">
        <v>1864</v>
      </c>
      <c r="AW182" s="532"/>
      <c r="AX182" s="726" t="s">
        <v>3022</v>
      </c>
      <c r="BA182" s="524" t="s">
        <v>3023</v>
      </c>
      <c r="BC182" s="725" t="s">
        <v>3024</v>
      </c>
      <c r="BD182" s="371"/>
    </row>
    <row r="183" spans="2:56" ht="15.6" customHeight="1">
      <c r="B183" s="631" t="s">
        <v>3025</v>
      </c>
      <c r="C183" s="613" t="s">
        <v>2156</v>
      </c>
      <c r="D183" s="524" t="s">
        <v>2204</v>
      </c>
      <c r="E183" s="524" t="s">
        <v>92</v>
      </c>
      <c r="F183" s="524" t="s">
        <v>3026</v>
      </c>
      <c r="G183" s="524" t="s">
        <v>3027</v>
      </c>
      <c r="H183" s="524" t="s">
        <v>3028</v>
      </c>
      <c r="I183" s="524" t="s">
        <v>3029</v>
      </c>
      <c r="J183" s="524" t="s">
        <v>3030</v>
      </c>
      <c r="K183" s="531" t="s">
        <v>3031</v>
      </c>
      <c r="L183" s="1488"/>
      <c r="M183" s="699">
        <v>70</v>
      </c>
      <c r="N183" s="2243" t="s">
        <v>3032</v>
      </c>
      <c r="O183" s="2243"/>
      <c r="P183" s="2243"/>
      <c r="Q183" s="2243"/>
      <c r="R183" s="2244"/>
      <c r="S183" s="702">
        <v>70</v>
      </c>
      <c r="T183" s="2243" t="s">
        <v>3033</v>
      </c>
      <c r="U183" s="2243"/>
      <c r="V183" s="2243"/>
      <c r="W183" s="2243"/>
      <c r="X183" s="2244"/>
      <c r="AM183" s="370" t="s">
        <v>1875</v>
      </c>
      <c r="AW183" s="532"/>
      <c r="AX183" s="726" t="s">
        <v>3034</v>
      </c>
      <c r="BA183" s="524" t="s">
        <v>3035</v>
      </c>
      <c r="BC183" s="725" t="s">
        <v>3036</v>
      </c>
      <c r="BD183" s="371"/>
    </row>
    <row r="184" spans="2:56" ht="15.6" customHeight="1">
      <c r="B184" s="532" t="s">
        <v>3037</v>
      </c>
      <c r="C184" s="613" t="s">
        <v>2156</v>
      </c>
      <c r="D184" s="524" t="s">
        <v>3038</v>
      </c>
      <c r="E184" s="524" t="s">
        <v>92</v>
      </c>
      <c r="F184" s="524" t="s">
        <v>3039</v>
      </c>
      <c r="G184" s="524" t="s">
        <v>3027</v>
      </c>
      <c r="H184" s="524" t="s">
        <v>3028</v>
      </c>
      <c r="I184" s="524" t="s">
        <v>3029</v>
      </c>
      <c r="J184" s="524" t="s">
        <v>3030</v>
      </c>
      <c r="K184" s="531" t="s">
        <v>3031</v>
      </c>
      <c r="L184" s="1488"/>
      <c r="M184" s="699">
        <v>71</v>
      </c>
      <c r="N184" s="2243" t="s">
        <v>3040</v>
      </c>
      <c r="O184" s="2243"/>
      <c r="P184" s="2243"/>
      <c r="Q184" s="2243"/>
      <c r="R184" s="2244"/>
      <c r="S184" s="702">
        <v>71</v>
      </c>
      <c r="T184" s="2243" t="s">
        <v>3041</v>
      </c>
      <c r="U184" s="2243"/>
      <c r="V184" s="2243"/>
      <c r="W184" s="2243"/>
      <c r="X184" s="2244"/>
      <c r="AM184" s="370" t="s">
        <v>1883</v>
      </c>
      <c r="AW184" s="532"/>
      <c r="AX184" s="726" t="s">
        <v>3042</v>
      </c>
      <c r="BA184" s="524" t="s">
        <v>3043</v>
      </c>
      <c r="BC184" s="725" t="s">
        <v>3044</v>
      </c>
      <c r="BD184" s="371"/>
    </row>
    <row r="185" spans="2:56" ht="15.6" customHeight="1">
      <c r="B185" s="532" t="s">
        <v>1419</v>
      </c>
      <c r="C185" s="613" t="s">
        <v>2156</v>
      </c>
      <c r="D185" s="524" t="s">
        <v>3038</v>
      </c>
      <c r="E185" s="524" t="s">
        <v>92</v>
      </c>
      <c r="F185" s="524" t="s">
        <v>3045</v>
      </c>
      <c r="G185" s="524" t="s">
        <v>3027</v>
      </c>
      <c r="H185" s="524" t="s">
        <v>3028</v>
      </c>
      <c r="I185" s="524" t="s">
        <v>3029</v>
      </c>
      <c r="J185" s="524" t="s">
        <v>3030</v>
      </c>
      <c r="K185" s="531" t="s">
        <v>3031</v>
      </c>
      <c r="L185" s="1488"/>
      <c r="M185" s="699">
        <v>72</v>
      </c>
      <c r="N185" s="2243" t="s">
        <v>3046</v>
      </c>
      <c r="O185" s="2243"/>
      <c r="P185" s="2243"/>
      <c r="Q185" s="2243"/>
      <c r="R185" s="2244"/>
      <c r="S185" s="702">
        <v>72</v>
      </c>
      <c r="T185" s="2243" t="s">
        <v>3047</v>
      </c>
      <c r="U185" s="2243"/>
      <c r="V185" s="2243"/>
      <c r="W185" s="2243"/>
      <c r="X185" s="2244"/>
      <c r="AM185" s="370" t="s">
        <v>1890</v>
      </c>
      <c r="AW185" s="532"/>
      <c r="AX185" s="726" t="s">
        <v>3048</v>
      </c>
      <c r="BA185" s="524" t="s">
        <v>3049</v>
      </c>
      <c r="BC185" s="725" t="s">
        <v>3050</v>
      </c>
      <c r="BD185" s="371"/>
    </row>
    <row r="186" spans="2:56" ht="15.6" customHeight="1">
      <c r="B186" s="532" t="s">
        <v>3051</v>
      </c>
      <c r="C186" s="613" t="s">
        <v>2156</v>
      </c>
      <c r="D186" s="524" t="s">
        <v>3038</v>
      </c>
      <c r="E186" s="524" t="s">
        <v>92</v>
      </c>
      <c r="F186" s="524" t="s">
        <v>3052</v>
      </c>
      <c r="G186" s="524" t="s">
        <v>3027</v>
      </c>
      <c r="H186" s="524" t="s">
        <v>3028</v>
      </c>
      <c r="I186" s="524" t="s">
        <v>3029</v>
      </c>
      <c r="J186" s="524" t="s">
        <v>3030</v>
      </c>
      <c r="K186" s="531" t="s">
        <v>3031</v>
      </c>
      <c r="L186" s="1488"/>
      <c r="M186" s="699">
        <v>73</v>
      </c>
      <c r="N186" s="2243" t="s">
        <v>3053</v>
      </c>
      <c r="O186" s="2243"/>
      <c r="P186" s="2243"/>
      <c r="Q186" s="2243"/>
      <c r="R186" s="2244"/>
      <c r="S186" s="702">
        <v>73</v>
      </c>
      <c r="T186" s="2243" t="s">
        <v>3054</v>
      </c>
      <c r="U186" s="2243"/>
      <c r="V186" s="2243"/>
      <c r="W186" s="2243"/>
      <c r="X186" s="2244"/>
      <c r="AM186" s="370" t="s">
        <v>1897</v>
      </c>
      <c r="AW186" s="532"/>
      <c r="AX186" s="726" t="s">
        <v>3055</v>
      </c>
      <c r="BC186" s="725" t="s">
        <v>212</v>
      </c>
      <c r="BD186" s="371"/>
    </row>
    <row r="187" spans="2:56" ht="15.6" customHeight="1">
      <c r="B187" s="532" t="s">
        <v>1417</v>
      </c>
      <c r="C187" s="613" t="s">
        <v>2577</v>
      </c>
      <c r="D187" s="524" t="s">
        <v>3038</v>
      </c>
      <c r="E187" s="524" t="s">
        <v>92</v>
      </c>
      <c r="F187" s="524" t="s">
        <v>3056</v>
      </c>
      <c r="G187" s="524" t="s">
        <v>3027</v>
      </c>
      <c r="H187" s="524" t="s">
        <v>3028</v>
      </c>
      <c r="I187" s="524" t="s">
        <v>3029</v>
      </c>
      <c r="J187" s="524" t="s">
        <v>3030</v>
      </c>
      <c r="K187" s="531" t="s">
        <v>3031</v>
      </c>
      <c r="L187" s="1488"/>
      <c r="M187" s="699">
        <v>74</v>
      </c>
      <c r="N187" s="2243" t="s">
        <v>3057</v>
      </c>
      <c r="O187" s="2243"/>
      <c r="P187" s="2243"/>
      <c r="Q187" s="2243"/>
      <c r="R187" s="2244"/>
      <c r="S187" s="702">
        <v>74</v>
      </c>
      <c r="T187" s="2243" t="s">
        <v>3058</v>
      </c>
      <c r="U187" s="2243"/>
      <c r="V187" s="2243"/>
      <c r="W187" s="2243"/>
      <c r="X187" s="2244"/>
      <c r="AM187" s="370" t="s">
        <v>1905</v>
      </c>
      <c r="AW187" s="541"/>
      <c r="AX187" s="726" t="s">
        <v>3059</v>
      </c>
      <c r="AY187" s="542"/>
      <c r="AZ187" s="542"/>
      <c r="BA187" s="524" t="s">
        <v>3060</v>
      </c>
      <c r="BB187" s="542"/>
      <c r="BC187" s="725" t="s">
        <v>3061</v>
      </c>
      <c r="BD187" s="391"/>
    </row>
    <row r="188" spans="2:56" ht="15.6" customHeight="1">
      <c r="B188" s="532" t="s">
        <v>1422</v>
      </c>
      <c r="C188" s="613" t="s">
        <v>2156</v>
      </c>
      <c r="D188" s="524" t="s">
        <v>3038</v>
      </c>
      <c r="E188" s="524" t="s">
        <v>92</v>
      </c>
      <c r="F188" s="524" t="s">
        <v>3062</v>
      </c>
      <c r="G188" s="524" t="s">
        <v>3027</v>
      </c>
      <c r="H188" s="524" t="s">
        <v>3028</v>
      </c>
      <c r="I188" s="524" t="s">
        <v>3029</v>
      </c>
      <c r="J188" s="524" t="s">
        <v>3030</v>
      </c>
      <c r="K188" s="531" t="s">
        <v>3031</v>
      </c>
      <c r="L188" s="1488"/>
      <c r="M188" s="699">
        <v>75</v>
      </c>
      <c r="N188" s="2243" t="s">
        <v>3063</v>
      </c>
      <c r="O188" s="2243"/>
      <c r="P188" s="2243"/>
      <c r="Q188" s="2243"/>
      <c r="R188" s="2244"/>
      <c r="S188" s="702">
        <v>75</v>
      </c>
      <c r="T188" s="2243" t="s">
        <v>3064</v>
      </c>
      <c r="U188" s="2243"/>
      <c r="V188" s="2243"/>
      <c r="W188" s="2243"/>
      <c r="X188" s="2244"/>
      <c r="AM188" s="370" t="s">
        <v>1913</v>
      </c>
      <c r="AX188" s="524" t="s">
        <v>303</v>
      </c>
      <c r="BA188" s="524" t="s">
        <v>3065</v>
      </c>
      <c r="BC188" s="725" t="s">
        <v>3066</v>
      </c>
      <c r="BD188" s="370"/>
    </row>
    <row r="189" spans="2:56" ht="15.6" customHeight="1">
      <c r="B189" s="532" t="s">
        <v>3067</v>
      </c>
      <c r="C189" s="613" t="s">
        <v>2156</v>
      </c>
      <c r="D189" s="524" t="s">
        <v>3038</v>
      </c>
      <c r="E189" s="524" t="s">
        <v>92</v>
      </c>
      <c r="F189" s="524" t="s">
        <v>3068</v>
      </c>
      <c r="G189" s="524" t="s">
        <v>3027</v>
      </c>
      <c r="H189" s="524" t="s">
        <v>3028</v>
      </c>
      <c r="I189" s="524" t="s">
        <v>3029</v>
      </c>
      <c r="J189" s="524" t="s">
        <v>3030</v>
      </c>
      <c r="K189" s="531" t="s">
        <v>3031</v>
      </c>
      <c r="L189" s="1488"/>
      <c r="M189" s="699">
        <v>76</v>
      </c>
      <c r="N189" s="2243" t="s">
        <v>3069</v>
      </c>
      <c r="O189" s="2243"/>
      <c r="P189" s="2243"/>
      <c r="Q189" s="2243"/>
      <c r="R189" s="2244"/>
      <c r="S189" s="702">
        <v>76</v>
      </c>
      <c r="T189" s="2243" t="s">
        <v>3070</v>
      </c>
      <c r="U189" s="2243"/>
      <c r="V189" s="2243"/>
      <c r="W189" s="2243"/>
      <c r="X189" s="2244"/>
      <c r="AM189" s="370" t="s">
        <v>1922</v>
      </c>
      <c r="BA189" s="524" t="s">
        <v>3071</v>
      </c>
      <c r="BC189" s="725" t="s">
        <v>3072</v>
      </c>
      <c r="BD189" s="370"/>
    </row>
    <row r="190" spans="2:56" ht="15.6" customHeight="1">
      <c r="B190" s="532" t="s">
        <v>1424</v>
      </c>
      <c r="C190" s="613" t="s">
        <v>2156</v>
      </c>
      <c r="D190" s="524" t="s">
        <v>3038</v>
      </c>
      <c r="E190" s="524" t="s">
        <v>92</v>
      </c>
      <c r="F190" s="524" t="s">
        <v>3073</v>
      </c>
      <c r="G190" s="524" t="s">
        <v>3027</v>
      </c>
      <c r="H190" s="524" t="s">
        <v>3028</v>
      </c>
      <c r="I190" s="524" t="s">
        <v>3029</v>
      </c>
      <c r="J190" s="524" t="s">
        <v>3030</v>
      </c>
      <c r="K190" s="531" t="s">
        <v>3031</v>
      </c>
      <c r="L190" s="1488"/>
      <c r="M190" s="699">
        <v>77</v>
      </c>
      <c r="N190" s="2243" t="s">
        <v>3074</v>
      </c>
      <c r="O190" s="2243"/>
      <c r="P190" s="2243"/>
      <c r="Q190" s="2243"/>
      <c r="R190" s="2244"/>
      <c r="S190" s="702">
        <v>77</v>
      </c>
      <c r="T190" s="2243" t="s">
        <v>3075</v>
      </c>
      <c r="U190" s="2243"/>
      <c r="V190" s="2243"/>
      <c r="W190" s="2243"/>
      <c r="X190" s="2244"/>
      <c r="AM190" s="370" t="s">
        <v>1931</v>
      </c>
      <c r="BA190" s="524" t="s">
        <v>3076</v>
      </c>
      <c r="BC190" s="725" t="s">
        <v>3077</v>
      </c>
      <c r="BD190" s="370"/>
    </row>
    <row r="191" spans="2:56" ht="15.6" customHeight="1">
      <c r="B191" s="532" t="s">
        <v>3078</v>
      </c>
      <c r="C191" s="613" t="s">
        <v>2156</v>
      </c>
      <c r="D191" s="524" t="s">
        <v>3038</v>
      </c>
      <c r="E191" s="524" t="s">
        <v>92</v>
      </c>
      <c r="F191" s="524" t="s">
        <v>3079</v>
      </c>
      <c r="G191" s="524" t="s">
        <v>3027</v>
      </c>
      <c r="H191" s="524" t="s">
        <v>3028</v>
      </c>
      <c r="I191" s="524" t="s">
        <v>3029</v>
      </c>
      <c r="J191" s="524" t="s">
        <v>3030</v>
      </c>
      <c r="K191" s="531" t="s">
        <v>3031</v>
      </c>
      <c r="L191" s="1488"/>
      <c r="M191" s="699">
        <v>78</v>
      </c>
      <c r="N191" s="2243" t="s">
        <v>3080</v>
      </c>
      <c r="O191" s="2243"/>
      <c r="P191" s="2243"/>
      <c r="Q191" s="2243"/>
      <c r="R191" s="2244"/>
      <c r="S191" s="702">
        <v>78</v>
      </c>
      <c r="T191" s="2243" t="s">
        <v>3081</v>
      </c>
      <c r="U191" s="2243"/>
      <c r="V191" s="2243"/>
      <c r="W191" s="2243"/>
      <c r="X191" s="2244"/>
      <c r="AM191" s="370" t="s">
        <v>1940</v>
      </c>
      <c r="BA191" s="524" t="s">
        <v>3082</v>
      </c>
      <c r="BC191" s="725" t="s">
        <v>3083</v>
      </c>
    </row>
    <row r="192" spans="2:56" ht="15.6" customHeight="1">
      <c r="B192" s="532" t="s">
        <v>3084</v>
      </c>
      <c r="C192" s="613" t="s">
        <v>2156</v>
      </c>
      <c r="D192" s="524" t="s">
        <v>3038</v>
      </c>
      <c r="E192" s="524" t="s">
        <v>92</v>
      </c>
      <c r="F192" s="524" t="s">
        <v>3085</v>
      </c>
      <c r="G192" s="524" t="s">
        <v>3027</v>
      </c>
      <c r="H192" s="524" t="s">
        <v>3028</v>
      </c>
      <c r="I192" s="524" t="s">
        <v>3029</v>
      </c>
      <c r="J192" s="524" t="s">
        <v>3030</v>
      </c>
      <c r="K192" s="531" t="s">
        <v>3031</v>
      </c>
      <c r="L192" s="1488"/>
      <c r="M192" s="699">
        <v>79</v>
      </c>
      <c r="N192" s="2243" t="s">
        <v>3086</v>
      </c>
      <c r="O192" s="2243"/>
      <c r="P192" s="2243"/>
      <c r="Q192" s="2243"/>
      <c r="R192" s="2244"/>
      <c r="S192" s="702">
        <v>79</v>
      </c>
      <c r="T192" s="2243" t="s">
        <v>3087</v>
      </c>
      <c r="U192" s="2243"/>
      <c r="V192" s="2243"/>
      <c r="W192" s="2243"/>
      <c r="X192" s="2244"/>
      <c r="AM192" s="370" t="s">
        <v>1948</v>
      </c>
      <c r="BA192" s="524" t="s">
        <v>3088</v>
      </c>
      <c r="BC192" s="725" t="s">
        <v>3089</v>
      </c>
      <c r="BD192" s="370"/>
    </row>
    <row r="193" spans="2:56" ht="15.6" customHeight="1">
      <c r="B193" s="532" t="s">
        <v>3090</v>
      </c>
      <c r="C193" s="613" t="s">
        <v>2156</v>
      </c>
      <c r="D193" s="524" t="s">
        <v>3038</v>
      </c>
      <c r="E193" s="524" t="s">
        <v>92</v>
      </c>
      <c r="F193" s="524" t="s">
        <v>3091</v>
      </c>
      <c r="G193" s="524" t="s">
        <v>3027</v>
      </c>
      <c r="H193" s="524" t="s">
        <v>3028</v>
      </c>
      <c r="I193" s="524" t="s">
        <v>3029</v>
      </c>
      <c r="J193" s="524" t="s">
        <v>3030</v>
      </c>
      <c r="K193" s="531" t="s">
        <v>3031</v>
      </c>
      <c r="L193" s="1488"/>
      <c r="M193" s="699">
        <v>80</v>
      </c>
      <c r="N193" s="2243" t="s">
        <v>3092</v>
      </c>
      <c r="O193" s="2243"/>
      <c r="P193" s="2243"/>
      <c r="Q193" s="2243"/>
      <c r="R193" s="2244"/>
      <c r="S193" s="702">
        <v>80</v>
      </c>
      <c r="T193" s="2243" t="s">
        <v>3093</v>
      </c>
      <c r="U193" s="2243"/>
      <c r="V193" s="2243"/>
      <c r="W193" s="2243"/>
      <c r="X193" s="2244"/>
      <c r="AM193" s="370" t="s">
        <v>1956</v>
      </c>
      <c r="BC193" s="725" t="s">
        <v>3094</v>
      </c>
      <c r="BD193" s="370"/>
    </row>
    <row r="194" spans="2:56" ht="15.6" customHeight="1">
      <c r="B194" s="532" t="s">
        <v>3095</v>
      </c>
      <c r="C194" s="613" t="s">
        <v>2156</v>
      </c>
      <c r="D194" s="524" t="s">
        <v>3038</v>
      </c>
      <c r="E194" s="524" t="s">
        <v>92</v>
      </c>
      <c r="F194" s="524" t="s">
        <v>3096</v>
      </c>
      <c r="G194" s="524" t="s">
        <v>3027</v>
      </c>
      <c r="H194" s="524" t="s">
        <v>3028</v>
      </c>
      <c r="I194" s="524" t="s">
        <v>3029</v>
      </c>
      <c r="J194" s="524" t="s">
        <v>3030</v>
      </c>
      <c r="K194" s="531" t="s">
        <v>3031</v>
      </c>
      <c r="L194" s="1488"/>
      <c r="M194" s="699">
        <v>81</v>
      </c>
      <c r="N194" s="2243" t="s">
        <v>3097</v>
      </c>
      <c r="O194" s="2243"/>
      <c r="P194" s="2243"/>
      <c r="Q194" s="2243"/>
      <c r="R194" s="2244"/>
      <c r="S194" s="702">
        <v>81</v>
      </c>
      <c r="T194" s="2243" t="s">
        <v>3098</v>
      </c>
      <c r="U194" s="2243"/>
      <c r="V194" s="2243"/>
      <c r="W194" s="2243"/>
      <c r="X194" s="2244"/>
      <c r="AM194" s="370" t="s">
        <v>1965</v>
      </c>
      <c r="BA194" s="524" t="s">
        <v>3099</v>
      </c>
      <c r="BC194" s="725" t="s">
        <v>3100</v>
      </c>
      <c r="BD194" s="370"/>
    </row>
    <row r="195" spans="2:56" ht="15.6" customHeight="1">
      <c r="B195" s="532" t="s">
        <v>3101</v>
      </c>
      <c r="C195" s="613" t="s">
        <v>2156</v>
      </c>
      <c r="D195" s="524" t="s">
        <v>3038</v>
      </c>
      <c r="E195" s="524" t="s">
        <v>92</v>
      </c>
      <c r="F195" s="524" t="s">
        <v>3102</v>
      </c>
      <c r="G195" s="524" t="s">
        <v>3027</v>
      </c>
      <c r="H195" s="524" t="s">
        <v>3028</v>
      </c>
      <c r="I195" s="524" t="s">
        <v>3029</v>
      </c>
      <c r="J195" s="524" t="s">
        <v>3030</v>
      </c>
      <c r="K195" s="531" t="s">
        <v>3031</v>
      </c>
      <c r="L195" s="1488"/>
      <c r="M195" s="699">
        <v>82</v>
      </c>
      <c r="N195" s="2243" t="s">
        <v>3103</v>
      </c>
      <c r="O195" s="2243"/>
      <c r="P195" s="2243"/>
      <c r="Q195" s="2243"/>
      <c r="R195" s="2244"/>
      <c r="S195" s="702">
        <v>82</v>
      </c>
      <c r="T195" s="2243" t="s">
        <v>3104</v>
      </c>
      <c r="U195" s="2243"/>
      <c r="V195" s="2243"/>
      <c r="W195" s="2243"/>
      <c r="X195" s="2244"/>
      <c r="AM195" s="370" t="s">
        <v>1975</v>
      </c>
      <c r="BA195" s="524" t="s">
        <v>3105</v>
      </c>
      <c r="BC195" s="725" t="s">
        <v>3106</v>
      </c>
      <c r="BD195" s="370"/>
    </row>
    <row r="196" spans="2:56" ht="15.6" customHeight="1">
      <c r="B196" s="532" t="s">
        <v>3107</v>
      </c>
      <c r="C196" s="613" t="s">
        <v>2156</v>
      </c>
      <c r="D196" s="524" t="s">
        <v>3038</v>
      </c>
      <c r="E196" s="524" t="s">
        <v>92</v>
      </c>
      <c r="F196" s="524" t="s">
        <v>3108</v>
      </c>
      <c r="G196" s="524" t="s">
        <v>3027</v>
      </c>
      <c r="H196" s="524" t="s">
        <v>3028</v>
      </c>
      <c r="I196" s="524" t="s">
        <v>3029</v>
      </c>
      <c r="J196" s="524" t="s">
        <v>3030</v>
      </c>
      <c r="K196" s="531" t="s">
        <v>3031</v>
      </c>
      <c r="L196" s="1488"/>
      <c r="M196" s="699">
        <v>83</v>
      </c>
      <c r="N196" s="2243" t="s">
        <v>3109</v>
      </c>
      <c r="O196" s="2243"/>
      <c r="P196" s="2243"/>
      <c r="Q196" s="2243"/>
      <c r="R196" s="2244"/>
      <c r="S196" s="702">
        <v>83</v>
      </c>
      <c r="T196" s="2243" t="s">
        <v>3110</v>
      </c>
      <c r="U196" s="2243"/>
      <c r="V196" s="2243"/>
      <c r="W196" s="2243"/>
      <c r="X196" s="2244"/>
      <c r="AM196" s="370" t="s">
        <v>1984</v>
      </c>
      <c r="BA196" s="524" t="s">
        <v>3111</v>
      </c>
      <c r="BC196" s="725" t="s">
        <v>3112</v>
      </c>
      <c r="BD196" s="370"/>
    </row>
    <row r="197" spans="2:56" ht="15.6" customHeight="1">
      <c r="B197" s="532" t="s">
        <v>2195</v>
      </c>
      <c r="C197" s="613" t="s">
        <v>212</v>
      </c>
      <c r="D197" s="524" t="s">
        <v>212</v>
      </c>
      <c r="E197" s="524" t="s">
        <v>212</v>
      </c>
      <c r="F197" s="524" t="s">
        <v>212</v>
      </c>
      <c r="G197" s="524" t="s">
        <v>212</v>
      </c>
      <c r="H197" s="524" t="s">
        <v>212</v>
      </c>
      <c r="I197" s="524" t="s">
        <v>212</v>
      </c>
      <c r="J197" s="524" t="s">
        <v>212</v>
      </c>
      <c r="K197" s="531" t="s">
        <v>212</v>
      </c>
      <c r="L197" s="1488"/>
      <c r="M197" s="699">
        <v>84</v>
      </c>
      <c r="N197" s="2243" t="s">
        <v>3113</v>
      </c>
      <c r="O197" s="2243"/>
      <c r="P197" s="2243"/>
      <c r="Q197" s="2243"/>
      <c r="R197" s="2244"/>
      <c r="S197" s="702">
        <v>84</v>
      </c>
      <c r="T197" s="2243" t="s">
        <v>3114</v>
      </c>
      <c r="U197" s="2243"/>
      <c r="V197" s="2243"/>
      <c r="W197" s="2243"/>
      <c r="X197" s="2244"/>
      <c r="AM197" s="370" t="s">
        <v>1992</v>
      </c>
      <c r="BA197" s="524" t="s">
        <v>3115</v>
      </c>
      <c r="BC197" s="725" t="s">
        <v>3116</v>
      </c>
      <c r="BD197" s="370"/>
    </row>
    <row r="198" spans="2:56" ht="15.6" customHeight="1">
      <c r="B198" s="629" t="s">
        <v>121</v>
      </c>
      <c r="C198" s="613" t="s">
        <v>2577</v>
      </c>
      <c r="D198" s="524" t="s">
        <v>92</v>
      </c>
      <c r="E198" s="524" t="s">
        <v>3117</v>
      </c>
      <c r="F198" s="524" t="s">
        <v>3118</v>
      </c>
      <c r="G198" s="524" t="s">
        <v>3119</v>
      </c>
      <c r="H198" s="524" t="s">
        <v>3120</v>
      </c>
      <c r="I198" s="524" t="s">
        <v>3121</v>
      </c>
      <c r="J198" s="524" t="s">
        <v>3122</v>
      </c>
      <c r="K198" s="531" t="s">
        <v>3123</v>
      </c>
      <c r="L198" s="1488"/>
      <c r="M198" s="699">
        <v>85</v>
      </c>
      <c r="N198" s="2243" t="s">
        <v>3124</v>
      </c>
      <c r="O198" s="2243"/>
      <c r="P198" s="2243"/>
      <c r="Q198" s="2243"/>
      <c r="R198" s="2244"/>
      <c r="S198" s="702">
        <v>85</v>
      </c>
      <c r="T198" s="2243" t="s">
        <v>3125</v>
      </c>
      <c r="U198" s="2243"/>
      <c r="V198" s="2243"/>
      <c r="W198" s="2243"/>
      <c r="X198" s="2244"/>
      <c r="AM198" s="370" t="s">
        <v>2001</v>
      </c>
      <c r="BA198" s="524" t="s">
        <v>3126</v>
      </c>
      <c r="BC198" s="725" t="s">
        <v>3127</v>
      </c>
    </row>
    <row r="199" spans="2:56" ht="15.6" customHeight="1">
      <c r="B199" s="629" t="s">
        <v>123</v>
      </c>
      <c r="C199" s="613" t="s">
        <v>2647</v>
      </c>
      <c r="D199" s="524" t="s">
        <v>92</v>
      </c>
      <c r="E199" s="524" t="s">
        <v>3128</v>
      </c>
      <c r="F199" s="524" t="s">
        <v>3129</v>
      </c>
      <c r="G199" s="524" t="s">
        <v>3130</v>
      </c>
      <c r="H199" s="524" t="s">
        <v>3131</v>
      </c>
      <c r="I199" s="524" t="s">
        <v>3132</v>
      </c>
      <c r="J199" s="524" t="s">
        <v>3133</v>
      </c>
      <c r="K199" s="531" t="s">
        <v>3134</v>
      </c>
      <c r="L199" s="1488"/>
      <c r="M199" s="699">
        <v>86</v>
      </c>
      <c r="N199" s="2243" t="s">
        <v>3135</v>
      </c>
      <c r="O199" s="2243"/>
      <c r="P199" s="2243"/>
      <c r="Q199" s="2243"/>
      <c r="R199" s="2244"/>
      <c r="S199" s="702">
        <v>86</v>
      </c>
      <c r="T199" s="2243" t="s">
        <v>3136</v>
      </c>
      <c r="U199" s="2243"/>
      <c r="V199" s="2243"/>
      <c r="W199" s="2243"/>
      <c r="X199" s="2244"/>
      <c r="AM199" s="370" t="s">
        <v>2010</v>
      </c>
      <c r="BA199" s="524" t="s">
        <v>3137</v>
      </c>
      <c r="BC199" s="725" t="s">
        <v>212</v>
      </c>
      <c r="BD199" s="370"/>
    </row>
    <row r="200" spans="2:56" ht="15.6" customHeight="1">
      <c r="B200" s="629" t="s">
        <v>127</v>
      </c>
      <c r="C200" s="613" t="s">
        <v>2484</v>
      </c>
      <c r="D200" s="524" t="s">
        <v>92</v>
      </c>
      <c r="E200" s="524" t="s">
        <v>3138</v>
      </c>
      <c r="F200" s="524" t="s">
        <v>3139</v>
      </c>
      <c r="G200" s="524" t="s">
        <v>3140</v>
      </c>
      <c r="H200" s="524" t="s">
        <v>3141</v>
      </c>
      <c r="I200" s="524" t="s">
        <v>3142</v>
      </c>
      <c r="J200" s="524" t="s">
        <v>3143</v>
      </c>
      <c r="K200" s="531" t="s">
        <v>3144</v>
      </c>
      <c r="L200" s="1488"/>
      <c r="M200" s="699">
        <v>87</v>
      </c>
      <c r="N200" s="2243" t="s">
        <v>3145</v>
      </c>
      <c r="O200" s="2243"/>
      <c r="P200" s="2243"/>
      <c r="Q200" s="2243"/>
      <c r="R200" s="2244"/>
      <c r="S200" s="702">
        <v>87</v>
      </c>
      <c r="T200" s="2243" t="s">
        <v>3146</v>
      </c>
      <c r="U200" s="2243"/>
      <c r="V200" s="2243"/>
      <c r="W200" s="2243"/>
      <c r="X200" s="2244"/>
      <c r="AM200" s="370" t="s">
        <v>2019</v>
      </c>
      <c r="BA200" s="524" t="s">
        <v>3147</v>
      </c>
      <c r="BC200" s="725" t="s">
        <v>3148</v>
      </c>
      <c r="BD200" s="370"/>
    </row>
    <row r="201" spans="2:56" ht="15.6" customHeight="1">
      <c r="B201" s="629" t="s">
        <v>132</v>
      </c>
      <c r="C201" s="613" t="s">
        <v>2577</v>
      </c>
      <c r="D201" s="524" t="s">
        <v>2204</v>
      </c>
      <c r="E201" s="524" t="s">
        <v>3149</v>
      </c>
      <c r="F201" s="524" t="s">
        <v>3150</v>
      </c>
      <c r="G201" s="524" t="s">
        <v>3151</v>
      </c>
      <c r="H201" s="524" t="s">
        <v>3152</v>
      </c>
      <c r="I201" s="524" t="s">
        <v>3153</v>
      </c>
      <c r="J201" s="524" t="s">
        <v>3154</v>
      </c>
      <c r="K201" s="730" t="s">
        <v>3155</v>
      </c>
      <c r="L201" s="1488"/>
      <c r="M201" s="699">
        <v>88</v>
      </c>
      <c r="N201" s="2243" t="s">
        <v>3156</v>
      </c>
      <c r="O201" s="2243"/>
      <c r="P201" s="2243"/>
      <c r="Q201" s="2243"/>
      <c r="R201" s="2244"/>
      <c r="S201" s="702">
        <v>88</v>
      </c>
      <c r="T201" s="2243" t="s">
        <v>3157</v>
      </c>
      <c r="U201" s="2243"/>
      <c r="V201" s="2243"/>
      <c r="W201" s="2243"/>
      <c r="X201" s="2244"/>
      <c r="AM201" s="370" t="s">
        <v>2027</v>
      </c>
      <c r="BA201" s="524" t="s">
        <v>3158</v>
      </c>
      <c r="BC201" s="725" t="s">
        <v>3159</v>
      </c>
      <c r="BD201" s="370"/>
    </row>
    <row r="202" spans="2:56" ht="15.6" customHeight="1">
      <c r="B202" s="629" t="s">
        <v>135</v>
      </c>
      <c r="C202" s="613" t="s">
        <v>2484</v>
      </c>
      <c r="D202" s="524" t="s">
        <v>92</v>
      </c>
      <c r="E202" s="524" t="s">
        <v>3160</v>
      </c>
      <c r="F202" s="524" t="s">
        <v>3161</v>
      </c>
      <c r="G202" s="524" t="s">
        <v>3162</v>
      </c>
      <c r="H202" s="524" t="s">
        <v>3163</v>
      </c>
      <c r="I202" s="524" t="s">
        <v>3164</v>
      </c>
      <c r="J202" s="524" t="s">
        <v>3165</v>
      </c>
      <c r="K202" s="531" t="s">
        <v>3166</v>
      </c>
      <c r="L202" s="1488"/>
      <c r="M202" s="699">
        <v>89</v>
      </c>
      <c r="N202" s="2243" t="s">
        <v>3167</v>
      </c>
      <c r="O202" s="2243"/>
      <c r="P202" s="2243"/>
      <c r="Q202" s="2243"/>
      <c r="R202" s="2244"/>
      <c r="S202" s="702">
        <v>89</v>
      </c>
      <c r="T202" s="2243" t="s">
        <v>3168</v>
      </c>
      <c r="U202" s="2243"/>
      <c r="V202" s="2243"/>
      <c r="W202" s="2243"/>
      <c r="X202" s="2244"/>
      <c r="AM202" s="370" t="s">
        <v>2034</v>
      </c>
      <c r="BA202" s="524" t="s">
        <v>3169</v>
      </c>
      <c r="BC202" s="725" t="s">
        <v>3170</v>
      </c>
      <c r="BD202" s="370"/>
    </row>
    <row r="203" spans="2:56" ht="15.6" customHeight="1">
      <c r="B203" s="629" t="s">
        <v>138</v>
      </c>
      <c r="C203" s="613" t="s">
        <v>2484</v>
      </c>
      <c r="D203" s="524" t="s">
        <v>92</v>
      </c>
      <c r="E203" s="524" t="s">
        <v>3171</v>
      </c>
      <c r="F203" s="524" t="s">
        <v>3172</v>
      </c>
      <c r="G203" s="713" t="s">
        <v>3173</v>
      </c>
      <c r="H203" s="524" t="s">
        <v>3174</v>
      </c>
      <c r="I203" s="524" t="s">
        <v>3175</v>
      </c>
      <c r="J203" s="524" t="s">
        <v>3176</v>
      </c>
      <c r="K203" s="531" t="s">
        <v>3177</v>
      </c>
      <c r="L203" s="1488"/>
      <c r="M203" s="699">
        <v>90</v>
      </c>
      <c r="N203" s="2243" t="s">
        <v>3178</v>
      </c>
      <c r="O203" s="2243"/>
      <c r="P203" s="2243"/>
      <c r="Q203" s="2243"/>
      <c r="R203" s="2244"/>
      <c r="S203" s="702">
        <v>90</v>
      </c>
      <c r="T203" s="2243" t="s">
        <v>3179</v>
      </c>
      <c r="U203" s="2243"/>
      <c r="V203" s="2243"/>
      <c r="W203" s="2243"/>
      <c r="X203" s="2244"/>
      <c r="AM203" s="370" t="s">
        <v>2042</v>
      </c>
      <c r="BA203" s="524" t="s">
        <v>3180</v>
      </c>
      <c r="BC203" s="725" t="s">
        <v>3181</v>
      </c>
    </row>
    <row r="204" spans="2:56" ht="15.6" customHeight="1">
      <c r="B204" s="629" t="s">
        <v>140</v>
      </c>
      <c r="C204" s="613" t="s">
        <v>2577</v>
      </c>
      <c r="D204" s="524" t="s">
        <v>92</v>
      </c>
      <c r="E204" s="524" t="s">
        <v>3182</v>
      </c>
      <c r="F204" s="524" t="s">
        <v>3183</v>
      </c>
      <c r="G204" s="524" t="s">
        <v>3184</v>
      </c>
      <c r="H204" s="524" t="s">
        <v>3185</v>
      </c>
      <c r="I204" s="524" t="s">
        <v>3186</v>
      </c>
      <c r="J204" s="524" t="s">
        <v>3187</v>
      </c>
      <c r="K204" s="531" t="s">
        <v>3188</v>
      </c>
      <c r="L204" s="1488"/>
      <c r="M204" s="699">
        <v>91</v>
      </c>
      <c r="N204" s="2243" t="s">
        <v>3189</v>
      </c>
      <c r="O204" s="2243"/>
      <c r="P204" s="2243"/>
      <c r="Q204" s="2243"/>
      <c r="R204" s="2244"/>
      <c r="S204" s="702">
        <v>91</v>
      </c>
      <c r="T204" s="2243" t="s">
        <v>3190</v>
      </c>
      <c r="U204" s="2243"/>
      <c r="V204" s="2243"/>
      <c r="W204" s="2243"/>
      <c r="X204" s="2244"/>
      <c r="AM204" s="370" t="s">
        <v>2050</v>
      </c>
      <c r="BA204" s="524" t="s">
        <v>3191</v>
      </c>
      <c r="BC204" s="725" t="s">
        <v>3192</v>
      </c>
      <c r="BD204" s="370"/>
    </row>
    <row r="205" spans="2:56" ht="15.6" customHeight="1">
      <c r="B205" s="631" t="s">
        <v>142</v>
      </c>
      <c r="C205" s="613" t="s">
        <v>2141</v>
      </c>
      <c r="D205" s="524" t="s">
        <v>3193</v>
      </c>
      <c r="E205" s="524" t="s">
        <v>92</v>
      </c>
      <c r="F205" s="524" t="s">
        <v>3194</v>
      </c>
      <c r="G205" s="524" t="s">
        <v>3195</v>
      </c>
      <c r="H205" s="524" t="s">
        <v>3196</v>
      </c>
      <c r="I205" s="524" t="s">
        <v>3197</v>
      </c>
      <c r="J205" s="686" t="s">
        <v>3198</v>
      </c>
      <c r="K205" s="531" t="s">
        <v>3199</v>
      </c>
      <c r="L205" s="1488"/>
      <c r="M205" s="699">
        <v>92</v>
      </c>
      <c r="N205" s="2243" t="s">
        <v>3200</v>
      </c>
      <c r="O205" s="2243"/>
      <c r="P205" s="2243"/>
      <c r="Q205" s="2243"/>
      <c r="R205" s="2244"/>
      <c r="S205" s="702">
        <v>92</v>
      </c>
      <c r="T205" s="2243" t="s">
        <v>3201</v>
      </c>
      <c r="U205" s="2243"/>
      <c r="V205" s="2243"/>
      <c r="W205" s="2243"/>
      <c r="X205" s="2244"/>
      <c r="AM205" s="370" t="s">
        <v>2056</v>
      </c>
      <c r="BA205" s="524" t="s">
        <v>3202</v>
      </c>
      <c r="BC205" s="725" t="s">
        <v>3203</v>
      </c>
      <c r="BD205" s="370"/>
    </row>
    <row r="206" spans="2:56" ht="15.6" customHeight="1">
      <c r="B206" s="631" t="s">
        <v>144</v>
      </c>
      <c r="C206" s="613" t="s">
        <v>2156</v>
      </c>
      <c r="D206" s="524" t="s">
        <v>3193</v>
      </c>
      <c r="E206" s="524" t="s">
        <v>92</v>
      </c>
      <c r="F206" s="524" t="s">
        <v>3204</v>
      </c>
      <c r="G206" s="524" t="s">
        <v>3205</v>
      </c>
      <c r="H206" s="524" t="s">
        <v>3206</v>
      </c>
      <c r="I206" s="524" t="s">
        <v>3207</v>
      </c>
      <c r="J206" s="524" t="s">
        <v>3208</v>
      </c>
      <c r="K206" s="531" t="s">
        <v>3209</v>
      </c>
      <c r="L206" s="1488"/>
      <c r="M206" s="699">
        <v>93</v>
      </c>
      <c r="N206" s="2243" t="s">
        <v>3210</v>
      </c>
      <c r="O206" s="2243"/>
      <c r="P206" s="2243"/>
      <c r="Q206" s="2243"/>
      <c r="R206" s="2244"/>
      <c r="S206" s="702">
        <v>93</v>
      </c>
      <c r="T206" s="2243" t="s">
        <v>3211</v>
      </c>
      <c r="U206" s="2243"/>
      <c r="V206" s="2243"/>
      <c r="W206" s="2243"/>
      <c r="X206" s="2244"/>
      <c r="AM206" s="370" t="s">
        <v>2062</v>
      </c>
      <c r="BC206" s="725" t="s">
        <v>3212</v>
      </c>
      <c r="BD206" s="370"/>
    </row>
    <row r="207" spans="2:56" ht="15.6" customHeight="1">
      <c r="B207" s="631" t="s">
        <v>146</v>
      </c>
      <c r="C207" s="613" t="s">
        <v>2156</v>
      </c>
      <c r="D207" s="524" t="s">
        <v>3193</v>
      </c>
      <c r="E207" s="524" t="s">
        <v>92</v>
      </c>
      <c r="F207" s="524" t="s">
        <v>3213</v>
      </c>
      <c r="G207" s="524" t="s">
        <v>3214</v>
      </c>
      <c r="H207" s="713" t="s">
        <v>3215</v>
      </c>
      <c r="I207" s="524" t="s">
        <v>3216</v>
      </c>
      <c r="J207" s="524" t="s">
        <v>3217</v>
      </c>
      <c r="K207" s="531" t="s">
        <v>3218</v>
      </c>
      <c r="L207" s="1488"/>
      <c r="M207" s="699">
        <v>94</v>
      </c>
      <c r="N207" s="2243" t="s">
        <v>3219</v>
      </c>
      <c r="O207" s="2243"/>
      <c r="P207" s="2243"/>
      <c r="Q207" s="2243"/>
      <c r="R207" s="2244"/>
      <c r="S207" s="702">
        <v>94</v>
      </c>
      <c r="T207" s="2243" t="s">
        <v>3220</v>
      </c>
      <c r="U207" s="2243"/>
      <c r="V207" s="2243"/>
      <c r="W207" s="2243"/>
      <c r="X207" s="2244"/>
      <c r="AM207" s="370" t="s">
        <v>2070</v>
      </c>
      <c r="BA207" s="524" t="s">
        <v>3221</v>
      </c>
      <c r="BC207" s="725" t="s">
        <v>3222</v>
      </c>
      <c r="BD207" s="370"/>
    </row>
    <row r="208" spans="2:56" ht="15.6" customHeight="1">
      <c r="B208" s="631" t="s">
        <v>149</v>
      </c>
      <c r="C208" s="613" t="s">
        <v>2156</v>
      </c>
      <c r="D208" s="524" t="s">
        <v>3193</v>
      </c>
      <c r="E208" s="524" t="s">
        <v>3223</v>
      </c>
      <c r="F208" s="524" t="s">
        <v>3224</v>
      </c>
      <c r="G208" s="524" t="s">
        <v>3225</v>
      </c>
      <c r="H208" s="524" t="s">
        <v>3226</v>
      </c>
      <c r="I208" s="524" t="s">
        <v>3227</v>
      </c>
      <c r="J208" s="524" t="s">
        <v>3228</v>
      </c>
      <c r="K208" s="531" t="s">
        <v>3229</v>
      </c>
      <c r="L208" s="1488"/>
      <c r="M208" s="699">
        <v>95</v>
      </c>
      <c r="N208" s="2243" t="s">
        <v>3230</v>
      </c>
      <c r="O208" s="2243"/>
      <c r="P208" s="2243"/>
      <c r="Q208" s="2243"/>
      <c r="R208" s="2244"/>
      <c r="S208" s="702">
        <v>95</v>
      </c>
      <c r="T208" s="2243" t="s">
        <v>3231</v>
      </c>
      <c r="U208" s="2243"/>
      <c r="V208" s="2243"/>
      <c r="W208" s="2243"/>
      <c r="X208" s="2244"/>
      <c r="AM208" s="370" t="s">
        <v>2079</v>
      </c>
      <c r="BA208" s="524" t="s">
        <v>3232</v>
      </c>
      <c r="BC208" s="725" t="s">
        <v>3233</v>
      </c>
      <c r="BD208" s="370"/>
    </row>
    <row r="209" spans="2:56" ht="15.6" customHeight="1">
      <c r="B209" s="631" t="s">
        <v>151</v>
      </c>
      <c r="C209" s="613" t="s">
        <v>2156</v>
      </c>
      <c r="D209" s="524" t="s">
        <v>3193</v>
      </c>
      <c r="E209" s="524" t="s">
        <v>3234</v>
      </c>
      <c r="F209" s="524" t="s">
        <v>3235</v>
      </c>
      <c r="G209" s="524" t="s">
        <v>92</v>
      </c>
      <c r="H209" s="524" t="s">
        <v>92</v>
      </c>
      <c r="I209" s="524" t="s">
        <v>3236</v>
      </c>
      <c r="J209" s="524" t="s">
        <v>3237</v>
      </c>
      <c r="K209" s="531" t="s">
        <v>3238</v>
      </c>
      <c r="L209" s="1488"/>
      <c r="M209" s="699">
        <v>96</v>
      </c>
      <c r="N209" s="2243" t="s">
        <v>3239</v>
      </c>
      <c r="O209" s="2243"/>
      <c r="P209" s="2243"/>
      <c r="Q209" s="2243"/>
      <c r="R209" s="2244"/>
      <c r="S209" s="702">
        <v>96</v>
      </c>
      <c r="T209" s="2243" t="s">
        <v>3240</v>
      </c>
      <c r="U209" s="2243"/>
      <c r="V209" s="2243"/>
      <c r="W209" s="2243"/>
      <c r="X209" s="2244"/>
      <c r="AM209" s="370" t="s">
        <v>2087</v>
      </c>
      <c r="BA209" s="524" t="s">
        <v>3241</v>
      </c>
      <c r="BC209" s="725" t="s">
        <v>212</v>
      </c>
      <c r="BD209" s="370"/>
    </row>
    <row r="210" spans="2:56" ht="15.6" customHeight="1">
      <c r="B210" s="631" t="s">
        <v>153</v>
      </c>
      <c r="C210" s="613" t="s">
        <v>2156</v>
      </c>
      <c r="D210" s="524" t="s">
        <v>3242</v>
      </c>
      <c r="E210" s="524" t="s">
        <v>92</v>
      </c>
      <c r="F210" s="524" t="s">
        <v>3243</v>
      </c>
      <c r="G210" s="524" t="s">
        <v>3244</v>
      </c>
      <c r="H210" s="524" t="s">
        <v>3245</v>
      </c>
      <c r="I210" s="524" t="s">
        <v>2616</v>
      </c>
      <c r="J210" s="524" t="s">
        <v>92</v>
      </c>
      <c r="K210" s="531" t="s">
        <v>92</v>
      </c>
      <c r="L210" s="1488"/>
      <c r="M210" s="699">
        <v>97</v>
      </c>
      <c r="N210" s="2243" t="s">
        <v>3246</v>
      </c>
      <c r="O210" s="2243"/>
      <c r="P210" s="2243"/>
      <c r="Q210" s="2243"/>
      <c r="R210" s="2244"/>
      <c r="S210" s="702">
        <v>97</v>
      </c>
      <c r="T210" s="2243" t="s">
        <v>3247</v>
      </c>
      <c r="U210" s="2243"/>
      <c r="V210" s="2243"/>
      <c r="W210" s="2243"/>
      <c r="X210" s="2244"/>
      <c r="AM210" s="370" t="s">
        <v>2095</v>
      </c>
      <c r="BA210" s="524" t="s">
        <v>3248</v>
      </c>
      <c r="BC210" s="725" t="s">
        <v>3249</v>
      </c>
      <c r="BD210" s="370"/>
    </row>
    <row r="211" spans="2:56" ht="15.6" customHeight="1">
      <c r="B211" s="631" t="s">
        <v>155</v>
      </c>
      <c r="C211" s="613" t="s">
        <v>2156</v>
      </c>
      <c r="D211" s="524" t="s">
        <v>3250</v>
      </c>
      <c r="E211" s="524" t="s">
        <v>92</v>
      </c>
      <c r="F211" s="370" t="s">
        <v>3251</v>
      </c>
      <c r="G211" s="524" t="s">
        <v>92</v>
      </c>
      <c r="H211" s="524" t="s">
        <v>92</v>
      </c>
      <c r="I211" s="524" t="s">
        <v>92</v>
      </c>
      <c r="J211" s="524" t="s">
        <v>92</v>
      </c>
      <c r="K211" s="531" t="s">
        <v>92</v>
      </c>
      <c r="L211" s="1488"/>
      <c r="M211" s="699">
        <v>98</v>
      </c>
      <c r="N211" s="2243" t="s">
        <v>3252</v>
      </c>
      <c r="O211" s="2243"/>
      <c r="P211" s="2243"/>
      <c r="Q211" s="2243"/>
      <c r="R211" s="2244"/>
      <c r="S211" s="702">
        <v>98</v>
      </c>
      <c r="T211" s="2243" t="s">
        <v>3253</v>
      </c>
      <c r="U211" s="2243"/>
      <c r="V211" s="2243"/>
      <c r="W211" s="2243"/>
      <c r="X211" s="2244"/>
      <c r="AM211" s="370" t="s">
        <v>2103</v>
      </c>
      <c r="BA211" s="524" t="s">
        <v>303</v>
      </c>
      <c r="BC211" s="725" t="s">
        <v>3254</v>
      </c>
      <c r="BD211" s="370"/>
    </row>
    <row r="212" spans="2:56" ht="15.6" customHeight="1">
      <c r="B212" s="541">
        <f>人物卡!AU26</f>
        <v>0</v>
      </c>
      <c r="C212" s="729">
        <f>人物卡!BA26</f>
        <v>0</v>
      </c>
      <c r="D212" s="542" t="s">
        <v>157</v>
      </c>
      <c r="E212" s="542" t="s">
        <v>212</v>
      </c>
      <c r="F212" s="542" t="str">
        <f>IF(ISBLANK(人物卡!BA29),"",人物卡!BA29)</f>
        <v>基础值</v>
      </c>
      <c r="G212" s="542" t="s">
        <v>212</v>
      </c>
      <c r="H212" s="542" t="s">
        <v>212</v>
      </c>
      <c r="I212" s="542" t="s">
        <v>212</v>
      </c>
      <c r="J212" s="542" t="s">
        <v>212</v>
      </c>
      <c r="K212" s="578" t="s">
        <v>212</v>
      </c>
      <c r="L212" s="1488"/>
      <c r="M212" s="699">
        <v>99</v>
      </c>
      <c r="N212" s="2243" t="s">
        <v>3255</v>
      </c>
      <c r="O212" s="2243"/>
      <c r="P212" s="2243"/>
      <c r="Q212" s="2243"/>
      <c r="R212" s="2244"/>
      <c r="S212" s="702">
        <v>99</v>
      </c>
      <c r="T212" s="2243" t="s">
        <v>3256</v>
      </c>
      <c r="U212" s="2243"/>
      <c r="V212" s="2243"/>
      <c r="W212" s="2243"/>
      <c r="X212" s="2244"/>
      <c r="AM212" s="370" t="s">
        <v>2111</v>
      </c>
      <c r="BC212" s="725" t="s">
        <v>3257</v>
      </c>
      <c r="BD212" s="370"/>
    </row>
    <row r="213" spans="2:56" ht="15.6" customHeight="1">
      <c r="B213" s="370" t="s">
        <v>3258</v>
      </c>
      <c r="C213" s="524">
        <v>0</v>
      </c>
      <c r="D213" s="524">
        <v>0</v>
      </c>
      <c r="E213" s="524">
        <v>0</v>
      </c>
      <c r="F213" s="524">
        <v>0</v>
      </c>
      <c r="G213" s="524">
        <v>0</v>
      </c>
      <c r="H213" s="524">
        <v>0</v>
      </c>
      <c r="I213" s="524">
        <v>0</v>
      </c>
      <c r="J213" s="524">
        <v>0</v>
      </c>
      <c r="K213" s="524">
        <v>0</v>
      </c>
      <c r="L213" s="1488"/>
      <c r="M213" s="699">
        <v>100</v>
      </c>
      <c r="N213" s="2243" t="s">
        <v>3259</v>
      </c>
      <c r="O213" s="2243"/>
      <c r="P213" s="2243"/>
      <c r="Q213" s="2243"/>
      <c r="R213" s="2244"/>
      <c r="S213" s="702">
        <v>100</v>
      </c>
      <c r="T213" s="2243" t="s">
        <v>3260</v>
      </c>
      <c r="U213" s="2243"/>
      <c r="V213" s="2243"/>
      <c r="W213" s="2243"/>
      <c r="X213" s="2244"/>
      <c r="BC213" s="725" t="s">
        <v>3261</v>
      </c>
      <c r="BD213" s="370"/>
    </row>
    <row r="214" spans="2:56" ht="15.6" customHeight="1">
      <c r="L214" s="1488"/>
      <c r="M214" s="699"/>
      <c r="N214" s="2243" t="s">
        <v>3262</v>
      </c>
      <c r="O214" s="2243"/>
      <c r="P214" s="2243"/>
      <c r="Q214" s="2243"/>
      <c r="R214" s="2244"/>
      <c r="S214" s="697"/>
      <c r="T214" s="2275"/>
      <c r="U214" s="2275"/>
      <c r="V214" s="2275"/>
      <c r="W214" s="2275"/>
      <c r="X214" s="2276"/>
      <c r="BC214" s="725" t="s">
        <v>3263</v>
      </c>
      <c r="BD214" s="370"/>
    </row>
    <row r="215" spans="2:56" ht="15.6" customHeight="1">
      <c r="M215" s="731"/>
      <c r="N215" s="2271" t="s">
        <v>3264</v>
      </c>
      <c r="O215" s="2271"/>
      <c r="P215" s="2271"/>
      <c r="Q215" s="2271"/>
      <c r="R215" s="2272"/>
      <c r="S215" s="746"/>
      <c r="T215" s="2273"/>
      <c r="U215" s="2273"/>
      <c r="V215" s="2273"/>
      <c r="W215" s="2273"/>
      <c r="X215" s="2274"/>
      <c r="BC215" s="725" t="s">
        <v>3265</v>
      </c>
    </row>
    <row r="216" spans="2:56">
      <c r="BC216" s="725" t="s">
        <v>3266</v>
      </c>
      <c r="BD216" s="370"/>
    </row>
    <row r="217" spans="2:56">
      <c r="M217" s="2231" t="s">
        <v>2203</v>
      </c>
      <c r="N217" s="2232"/>
      <c r="O217" s="2231" t="s">
        <v>3025</v>
      </c>
      <c r="P217" s="2232"/>
      <c r="Q217" s="2233" t="s">
        <v>2693</v>
      </c>
      <c r="R217" s="2234"/>
      <c r="S217" s="2235" t="s">
        <v>361</v>
      </c>
      <c r="T217" s="2234"/>
      <c r="U217" s="2236" t="s">
        <v>160</v>
      </c>
      <c r="V217" s="2237"/>
      <c r="BC217" s="725" t="s">
        <v>3267</v>
      </c>
      <c r="BD217" s="370"/>
    </row>
    <row r="218" spans="2:56">
      <c r="M218" s="732" t="s">
        <v>312</v>
      </c>
      <c r="N218" s="733" t="s">
        <v>89</v>
      </c>
      <c r="O218" s="732" t="s">
        <v>312</v>
      </c>
      <c r="P218" s="733" t="s">
        <v>89</v>
      </c>
      <c r="Q218" s="732" t="s">
        <v>312</v>
      </c>
      <c r="R218" s="747" t="s">
        <v>89</v>
      </c>
      <c r="S218" s="748" t="s">
        <v>312</v>
      </c>
      <c r="T218" s="749" t="s">
        <v>89</v>
      </c>
      <c r="U218" s="750" t="s">
        <v>312</v>
      </c>
      <c r="V218" s="747" t="s">
        <v>89</v>
      </c>
      <c r="BC218" s="725" t="s">
        <v>3268</v>
      </c>
      <c r="BD218" s="370"/>
    </row>
    <row r="219" spans="2:56" ht="19.149999999999999" customHeight="1">
      <c r="M219" s="734" t="s">
        <v>1371</v>
      </c>
      <c r="N219" s="675">
        <v>5</v>
      </c>
      <c r="O219" s="734" t="s">
        <v>3037</v>
      </c>
      <c r="P219" s="675">
        <v>1</v>
      </c>
      <c r="Q219" s="735" t="s">
        <v>134</v>
      </c>
      <c r="R219" s="738">
        <v>20</v>
      </c>
      <c r="S219" s="751" t="s">
        <v>3269</v>
      </c>
      <c r="T219" s="752">
        <v>1</v>
      </c>
      <c r="U219" s="753" t="s">
        <v>120</v>
      </c>
      <c r="V219" s="737">
        <v>25</v>
      </c>
      <c r="Z219" s="2064" t="s">
        <v>3270</v>
      </c>
      <c r="AA219" s="2064"/>
      <c r="AB219" s="2064"/>
      <c r="AC219" s="2064"/>
      <c r="AD219" s="2064"/>
      <c r="AE219" s="2064"/>
      <c r="AF219" s="2064"/>
      <c r="AG219" s="2064"/>
      <c r="AH219" s="2064"/>
      <c r="BC219" s="725" t="s">
        <v>212</v>
      </c>
      <c r="BD219" s="370"/>
    </row>
    <row r="220" spans="2:56" ht="18" customHeight="1">
      <c r="M220" s="735" t="s">
        <v>2226</v>
      </c>
      <c r="N220" s="736">
        <v>5</v>
      </c>
      <c r="O220" s="735" t="s">
        <v>1419</v>
      </c>
      <c r="P220" s="736">
        <v>1</v>
      </c>
      <c r="Q220" s="734" t="s">
        <v>370</v>
      </c>
      <c r="R220" s="737">
        <v>25</v>
      </c>
      <c r="S220" s="754" t="s">
        <v>1412</v>
      </c>
      <c r="T220" s="755">
        <v>1</v>
      </c>
      <c r="U220" s="753" t="s">
        <v>2624</v>
      </c>
      <c r="V220" s="737">
        <v>5</v>
      </c>
      <c r="Z220" s="546"/>
      <c r="AA220" s="529"/>
      <c r="AJ220" s="720"/>
      <c r="BC220" s="725" t="s">
        <v>3271</v>
      </c>
      <c r="BD220" s="370"/>
    </row>
    <row r="221" spans="2:56" ht="18" customHeight="1">
      <c r="M221" s="734" t="s">
        <v>1376</v>
      </c>
      <c r="N221" s="675">
        <v>5</v>
      </c>
      <c r="O221" s="734" t="s">
        <v>3051</v>
      </c>
      <c r="P221" s="675">
        <v>1</v>
      </c>
      <c r="Q221" s="735" t="s">
        <v>2713</v>
      </c>
      <c r="R221" s="738">
        <v>15</v>
      </c>
      <c r="S221" s="756" t="str">
        <f>IF(ISBLANK(人物卡!AU26),"",人物卡!AU26)</f>
        <v/>
      </c>
      <c r="T221" s="755" t="str">
        <f>IF(ISBLANK(人物卡!BA26),"",人物卡!BA26)</f>
        <v/>
      </c>
      <c r="U221" s="757" t="s">
        <v>2635</v>
      </c>
      <c r="V221" s="738">
        <v>10</v>
      </c>
      <c r="Z221" s="2238" t="s">
        <v>3272</v>
      </c>
      <c r="AA221" s="2239"/>
      <c r="AB221" s="2206"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小康级别已经可以享受奢侈品的舒适了。住所：真材实料的住地，也许会有一些仆人（管家，主妇，清洁工，园丁，等等）。乡下估计还有小别墅。会住昂贵的宾馆。旅行：头等舱。会买高档车或同等的交通工具。</v>
      </c>
      <c r="AC221" s="2207"/>
      <c r="AD221" s="763" t="s">
        <v>3273</v>
      </c>
      <c r="AE221" s="2240" t="s">
        <v>3274</v>
      </c>
      <c r="AF221" s="2241"/>
      <c r="AG221" s="2242"/>
      <c r="BC221" s="725" t="s">
        <v>3275</v>
      </c>
      <c r="BD221" s="370"/>
    </row>
    <row r="222" spans="2:56" ht="18" customHeight="1">
      <c r="M222" s="735" t="s">
        <v>1375</v>
      </c>
      <c r="N222" s="736">
        <v>5</v>
      </c>
      <c r="O222" s="735" t="s">
        <v>1417</v>
      </c>
      <c r="P222" s="736">
        <v>1</v>
      </c>
      <c r="Q222" s="734" t="s">
        <v>1403</v>
      </c>
      <c r="R222" s="737">
        <v>15</v>
      </c>
      <c r="T222" s="706"/>
      <c r="U222" s="753" t="s">
        <v>2669</v>
      </c>
      <c r="V222" s="737">
        <v>10</v>
      </c>
      <c r="Z222" s="2227" t="s">
        <v>94</v>
      </c>
      <c r="AA222" s="2257"/>
      <c r="AB222" s="2205"/>
      <c r="AC222" s="2208"/>
      <c r="AD222" s="531">
        <f>人物卡!R26</f>
        <v>80</v>
      </c>
      <c r="AE222" s="525"/>
      <c r="AF222" s="525" t="s">
        <v>3276</v>
      </c>
      <c r="AG222" s="779">
        <v>1920</v>
      </c>
      <c r="BC222" s="725" t="s">
        <v>3277</v>
      </c>
      <c r="BD222" s="370"/>
    </row>
    <row r="223" spans="2:56" ht="18" customHeight="1">
      <c r="M223" s="734" t="s">
        <v>1387</v>
      </c>
      <c r="N223" s="675">
        <v>5</v>
      </c>
      <c r="O223" s="734" t="s">
        <v>1422</v>
      </c>
      <c r="P223" s="675">
        <v>1</v>
      </c>
      <c r="Q223" s="735" t="s">
        <v>2732</v>
      </c>
      <c r="R223" s="738">
        <v>10</v>
      </c>
      <c r="T223" s="706"/>
      <c r="U223" s="757" t="s">
        <v>2663</v>
      </c>
      <c r="V223" s="738">
        <v>15</v>
      </c>
      <c r="Z223" s="2258" t="str">
        <f>AD222&amp;"%/"&amp;AD223&amp;"%/"&amp;AD224&amp;"%"</f>
        <v>80%/40%/16%</v>
      </c>
      <c r="AA223" s="2259"/>
      <c r="AB223" s="2205"/>
      <c r="AC223" s="2208"/>
      <c r="AD223" s="531">
        <f>人物卡!T26</f>
        <v>40</v>
      </c>
      <c r="AE223" s="569" t="s">
        <v>182</v>
      </c>
      <c r="AF223" s="524" t="str">
        <f>VLOOKUP(AF226,Z243:AC263,2,FALSE)</f>
        <v>1000</v>
      </c>
      <c r="AG223" s="531" t="str">
        <f>VLOOKUP(AF226,AE243:AH263,2,FALSE)</f>
        <v>1000</v>
      </c>
      <c r="BC223" s="725" t="s">
        <v>3278</v>
      </c>
    </row>
    <row r="224" spans="2:56" ht="18" customHeight="1">
      <c r="M224" s="735" t="s">
        <v>1382</v>
      </c>
      <c r="N224" s="736">
        <v>5</v>
      </c>
      <c r="O224" s="735" t="s">
        <v>3067</v>
      </c>
      <c r="P224" s="736">
        <v>1</v>
      </c>
      <c r="Q224" s="734" t="s">
        <v>2744</v>
      </c>
      <c r="R224" s="737">
        <v>10</v>
      </c>
      <c r="T224" s="706"/>
      <c r="U224" s="757" t="s">
        <v>2646</v>
      </c>
      <c r="V224" s="738">
        <v>15</v>
      </c>
      <c r="Z224" s="2260" t="s">
        <v>181</v>
      </c>
      <c r="AA224" s="2261"/>
      <c r="AB224" s="2205"/>
      <c r="AC224" s="2208"/>
      <c r="AD224" s="578">
        <f>人物卡!V26</f>
        <v>16</v>
      </c>
      <c r="AE224" s="569" t="s">
        <v>3279</v>
      </c>
      <c r="AF224" s="524">
        <f>VLOOKUP(AF226,Z243:AC263,3,FALSE)</f>
        <v>8000</v>
      </c>
      <c r="AG224" s="531">
        <f>VLOOKUP(AF226,AE243:AH263,3,FALSE)</f>
        <v>8000</v>
      </c>
      <c r="BC224" s="725" t="s">
        <v>3280</v>
      </c>
    </row>
    <row r="225" spans="13:55" ht="18" customHeight="1">
      <c r="M225" s="734" t="s">
        <v>2263</v>
      </c>
      <c r="N225" s="675">
        <v>5</v>
      </c>
      <c r="O225" s="734" t="s">
        <v>1424</v>
      </c>
      <c r="P225" s="675">
        <v>1</v>
      </c>
      <c r="Q225" s="739" t="s">
        <v>2757</v>
      </c>
      <c r="R225" s="740">
        <v>10</v>
      </c>
      <c r="T225" s="706"/>
      <c r="U225" s="753" t="s">
        <v>1401</v>
      </c>
      <c r="V225" s="737">
        <v>20</v>
      </c>
      <c r="Z225" s="2262" t="str">
        <f>LOOKUP(AD222,{0,1,10,50,90,99},{"身无分文","贫穷","标准","小康","富裕","富豪"})</f>
        <v>小康</v>
      </c>
      <c r="AA225" s="2263"/>
      <c r="AB225" s="2205"/>
      <c r="AC225" s="2208"/>
      <c r="AE225" s="765" t="s">
        <v>183</v>
      </c>
      <c r="AF225" s="542">
        <f>VLOOKUP(AF226,Z243:AC263,4,FALSE)</f>
        <v>800000</v>
      </c>
      <c r="AG225" s="578">
        <f>VLOOKUP(AF226,AE243:AH263,4,FALSE)</f>
        <v>800000</v>
      </c>
      <c r="BC225" s="725" t="s">
        <v>3281</v>
      </c>
    </row>
    <row r="226" spans="13:55" ht="18" customHeight="1">
      <c r="M226" s="735" t="s">
        <v>1385</v>
      </c>
      <c r="N226" s="736">
        <v>5</v>
      </c>
      <c r="O226" s="735" t="s">
        <v>3078</v>
      </c>
      <c r="P226" s="736">
        <v>1</v>
      </c>
      <c r="Q226" s="739" t="str">
        <f>IF(ISBLANK(人物卡!AU26),"",人物卡!AU26)</f>
        <v/>
      </c>
      <c r="R226" s="741" t="str">
        <f>IF(ISBLANK(人物卡!BA26),"",人物卡!BA26)</f>
        <v/>
      </c>
      <c r="T226" s="706"/>
      <c r="U226" s="758" t="s">
        <v>1400</v>
      </c>
      <c r="V226" s="759">
        <v>20</v>
      </c>
      <c r="Z226" s="2264" t="s">
        <v>182</v>
      </c>
      <c r="AA226" s="2265"/>
      <c r="AB226" s="2205"/>
      <c r="AC226" s="2208"/>
      <c r="AE226" s="583" t="s">
        <v>3282</v>
      </c>
      <c r="AF226" s="545" t="str">
        <f>人物卡!S62</f>
        <v>美元</v>
      </c>
      <c r="BC226" s="725" t="s">
        <v>212</v>
      </c>
    </row>
    <row r="227" spans="13:55" ht="18" customHeight="1">
      <c r="M227" s="734" t="s">
        <v>2280</v>
      </c>
      <c r="N227" s="675">
        <v>5</v>
      </c>
      <c r="O227" s="734" t="s">
        <v>3084</v>
      </c>
      <c r="P227" s="737">
        <v>1</v>
      </c>
      <c r="Q227" s="706"/>
      <c r="T227" s="706"/>
      <c r="U227" s="760" t="str">
        <f>IF(ISBLANK(人物卡!AU26),"",人物卡!AU26)</f>
        <v/>
      </c>
      <c r="V227" s="741" t="str">
        <f>IF(ISBLANK(人物卡!BA26),"",人物卡!BA26)</f>
        <v/>
      </c>
      <c r="Z227" s="2266"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1000</v>
      </c>
      <c r="AA227" s="2267"/>
      <c r="AB227" s="2205"/>
      <c r="AC227" s="2208"/>
      <c r="AE227" s="766" t="s">
        <v>3283</v>
      </c>
      <c r="AF227" s="527" t="str">
        <f>人物卡!M4</f>
        <v>现代</v>
      </c>
      <c r="BC227" s="725" t="s">
        <v>3284</v>
      </c>
    </row>
    <row r="228" spans="13:55" ht="18" customHeight="1">
      <c r="M228" s="735" t="s">
        <v>2289</v>
      </c>
      <c r="N228" s="736">
        <v>5</v>
      </c>
      <c r="O228" s="735" t="s">
        <v>3090</v>
      </c>
      <c r="P228" s="738">
        <v>1</v>
      </c>
      <c r="Q228" s="706"/>
      <c r="T228" s="706"/>
      <c r="U228" s="675"/>
      <c r="V228" s="675"/>
      <c r="Z228" s="2268" t="s">
        <v>183</v>
      </c>
      <c r="AA228" s="2228"/>
      <c r="AB228" s="2205"/>
      <c r="AC228" s="2208"/>
      <c r="AE228" s="2245" t="s">
        <v>3285</v>
      </c>
      <c r="AF228" s="2246"/>
      <c r="AG228" s="2247"/>
      <c r="BC228" s="725" t="s">
        <v>3286</v>
      </c>
    </row>
    <row r="229" spans="13:55" ht="18" customHeight="1">
      <c r="M229" s="734" t="s">
        <v>2296</v>
      </c>
      <c r="N229" s="675">
        <v>5</v>
      </c>
      <c r="O229" s="734" t="s">
        <v>3095</v>
      </c>
      <c r="P229" s="737">
        <v>1</v>
      </c>
      <c r="Q229" s="706"/>
      <c r="T229" s="706"/>
      <c r="U229" s="675"/>
      <c r="V229" s="675"/>
      <c r="Z229" s="2269">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800000</v>
      </c>
      <c r="AA229" s="2270"/>
      <c r="AB229" s="2205"/>
      <c r="AC229" s="2208"/>
      <c r="AE229" s="769" t="s">
        <v>182</v>
      </c>
      <c r="AF229" s="770" t="s">
        <v>3279</v>
      </c>
      <c r="AG229" s="772" t="s">
        <v>183</v>
      </c>
      <c r="BC229" s="725" t="s">
        <v>3287</v>
      </c>
    </row>
    <row r="230" spans="13:55" ht="18" customHeight="1">
      <c r="M230" s="735" t="s">
        <v>1391</v>
      </c>
      <c r="N230" s="736">
        <v>5</v>
      </c>
      <c r="O230" s="735" t="s">
        <v>3101</v>
      </c>
      <c r="P230" s="738">
        <v>1</v>
      </c>
      <c r="Q230" s="706"/>
      <c r="T230" s="706"/>
      <c r="U230" s="675"/>
      <c r="V230" s="675"/>
      <c r="Z230" s="2227" t="s">
        <v>184</v>
      </c>
      <c r="AA230" s="2228"/>
      <c r="AB230" s="2205"/>
      <c r="AC230" s="2208"/>
      <c r="AE230" s="541" t="str">
        <f>IF(AF227="1920s",AG223,IF(AF227="现代",AF223,IF(AF227="其他","——")))</f>
        <v>1000</v>
      </c>
      <c r="AF230" s="542">
        <f>IF(AF227="1920s",AG224,IF(AF227="现代",AF224,IF(AF227="其他","——")))</f>
        <v>8000</v>
      </c>
      <c r="AG230" s="578">
        <f>IF(AF227="1920s",AG225,IF(AF227="现代",AF225,IF(AF227="其他","——")))</f>
        <v>800000</v>
      </c>
      <c r="BC230" s="725" t="s">
        <v>3288</v>
      </c>
    </row>
    <row r="231" spans="13:55" ht="18" customHeight="1">
      <c r="M231" s="734" t="s">
        <v>2315</v>
      </c>
      <c r="N231" s="675">
        <v>5</v>
      </c>
      <c r="O231" s="739" t="s">
        <v>3107</v>
      </c>
      <c r="P231" s="740">
        <v>1</v>
      </c>
      <c r="Q231" s="706"/>
      <c r="T231" s="706"/>
      <c r="U231" s="675"/>
      <c r="V231" s="675"/>
      <c r="Z231" s="2229">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8000</v>
      </c>
      <c r="AA231" s="2230"/>
      <c r="AB231" s="2209"/>
      <c r="AC231" s="2210"/>
      <c r="AE231" s="771">
        <f>ABS(AE230)</f>
        <v>1000</v>
      </c>
      <c r="AF231" s="771">
        <f>ABS(AF230)</f>
        <v>8000</v>
      </c>
      <c r="AG231" s="771">
        <f>IF(AG230="没有",0,ABS(AG230))</f>
        <v>800000</v>
      </c>
      <c r="BC231" s="725" t="s">
        <v>3289</v>
      </c>
    </row>
    <row r="232" spans="13:55" ht="18" customHeight="1">
      <c r="M232" s="735" t="s">
        <v>2327</v>
      </c>
      <c r="N232" s="736">
        <v>5</v>
      </c>
      <c r="O232" s="739" t="str">
        <f>IF(ISBLANK(人物卡!AU26),"",人物卡!AU26)</f>
        <v/>
      </c>
      <c r="P232" s="741" t="str">
        <f>IF(ISBLANK(人物卡!BA26),"",人物卡!BA26)</f>
        <v/>
      </c>
      <c r="Q232" s="706"/>
      <c r="T232" s="706"/>
      <c r="U232" s="675"/>
      <c r="V232" s="675"/>
      <c r="AE232" s="2245" t="s">
        <v>3290</v>
      </c>
      <c r="AF232" s="2246"/>
      <c r="AG232" s="2247"/>
      <c r="BC232" s="725" t="s">
        <v>3291</v>
      </c>
    </row>
    <row r="233" spans="13:55" ht="18" customHeight="1">
      <c r="M233" s="734" t="s">
        <v>1384</v>
      </c>
      <c r="N233" s="737">
        <v>5</v>
      </c>
      <c r="Q233" s="706"/>
      <c r="T233" s="706"/>
      <c r="Z233" s="2245" t="s">
        <v>3292</v>
      </c>
      <c r="AA233" s="2246"/>
      <c r="AB233" s="2246"/>
      <c r="AC233" s="2247"/>
      <c r="AE233" s="769" t="s">
        <v>182</v>
      </c>
      <c r="AF233" s="770" t="s">
        <v>3279</v>
      </c>
      <c r="AG233" s="772" t="s">
        <v>183</v>
      </c>
      <c r="BC233" s="725" t="s">
        <v>3293</v>
      </c>
    </row>
    <row r="234" spans="13:55" ht="18" customHeight="1">
      <c r="M234" s="735" t="s">
        <v>2347</v>
      </c>
      <c r="N234" s="738">
        <v>5</v>
      </c>
      <c r="Q234" s="706"/>
      <c r="R234" s="761"/>
      <c r="Z234" s="655"/>
      <c r="AA234" s="770" t="s">
        <v>182</v>
      </c>
      <c r="AB234" s="770" t="s">
        <v>3279</v>
      </c>
      <c r="AC234" s="772" t="s">
        <v>183</v>
      </c>
      <c r="AE234" s="541" t="str">
        <f>AE230/10000&amp;"万"</f>
        <v>0.1万</v>
      </c>
      <c r="AF234" s="542" t="str">
        <f>AF230/10000&amp;"万"</f>
        <v>0.8万</v>
      </c>
      <c r="AG234" s="578" t="str">
        <f>IF(AG230="没有","没有",AG230/10000&amp;"万")</f>
        <v>80万</v>
      </c>
      <c r="BC234" s="725" t="s">
        <v>3294</v>
      </c>
    </row>
    <row r="235" spans="13:55" ht="18" customHeight="1">
      <c r="M235" s="734" t="s">
        <v>2357</v>
      </c>
      <c r="N235" s="737">
        <v>5</v>
      </c>
      <c r="Q235" s="706"/>
      <c r="R235" s="761"/>
      <c r="S235" s="762"/>
      <c r="T235" s="706"/>
      <c r="Z235" s="655" t="s">
        <v>3290</v>
      </c>
      <c r="AA235" s="524">
        <f>IF((AE231&gt;=AA237),1,0)</f>
        <v>0</v>
      </c>
      <c r="AB235" s="524">
        <f>IF(AF231&gt;=AA237,1,0)</f>
        <v>0</v>
      </c>
      <c r="AC235" s="531">
        <f>IF(AG231&gt;=AA237,1,0)</f>
        <v>1</v>
      </c>
      <c r="AE235" s="2245" t="s">
        <v>3295</v>
      </c>
      <c r="AF235" s="2246"/>
      <c r="AG235" s="2247"/>
      <c r="BC235" s="725" t="s">
        <v>212</v>
      </c>
    </row>
    <row r="236" spans="13:55" ht="18" customHeight="1">
      <c r="M236" s="735" t="s">
        <v>1396</v>
      </c>
      <c r="N236" s="738">
        <v>5</v>
      </c>
      <c r="Q236" s="706"/>
      <c r="R236" s="761"/>
      <c r="S236" s="762"/>
      <c r="X236" s="496"/>
      <c r="Z236" s="657" t="s">
        <v>3295</v>
      </c>
      <c r="AA236" s="542">
        <f>IF(AE231&gt;=AC237,1,0)</f>
        <v>0</v>
      </c>
      <c r="AB236" s="542">
        <f>IF(AF231&gt;=AC237,1,0)</f>
        <v>0</v>
      </c>
      <c r="AC236" s="578">
        <f>IF(AG231&gt;=AC237,1,0)</f>
        <v>0</v>
      </c>
      <c r="AE236" s="769" t="s">
        <v>182</v>
      </c>
      <c r="AF236" s="770" t="s">
        <v>3279</v>
      </c>
      <c r="AG236" s="772" t="s">
        <v>183</v>
      </c>
      <c r="BC236" s="725" t="s">
        <v>3296</v>
      </c>
    </row>
    <row r="237" spans="13:55" ht="18" customHeight="1">
      <c r="M237" s="734" t="s">
        <v>2375</v>
      </c>
      <c r="N237" s="737">
        <v>5</v>
      </c>
      <c r="Q237" s="706"/>
      <c r="R237" s="761"/>
      <c r="S237" s="762"/>
      <c r="AA237" s="771">
        <v>10000</v>
      </c>
      <c r="AC237" s="773">
        <v>100000000</v>
      </c>
      <c r="AE237" s="541" t="str">
        <f>AE230/100000000&amp;"亿"</f>
        <v>0.00001亿</v>
      </c>
      <c r="AF237" s="542" t="str">
        <f>AF230/100000000&amp;"亿"</f>
        <v>0.00008亿</v>
      </c>
      <c r="AG237" s="578" t="str">
        <f>IF(AG230="没有","没有",AG230/100000000&amp;"亿")</f>
        <v>0.008亿</v>
      </c>
      <c r="BC237" s="725" t="s">
        <v>3297</v>
      </c>
    </row>
    <row r="238" spans="13:55" ht="18" customHeight="1">
      <c r="M238" s="735" t="s">
        <v>2388</v>
      </c>
      <c r="N238" s="738">
        <v>5</v>
      </c>
      <c r="Q238" s="706"/>
      <c r="R238" s="761"/>
      <c r="S238" s="762"/>
      <c r="AE238" s="2245" t="s">
        <v>1487</v>
      </c>
      <c r="AF238" s="2246"/>
      <c r="AG238" s="2247"/>
      <c r="BC238" s="725" t="s">
        <v>3298</v>
      </c>
    </row>
    <row r="239" spans="13:55" ht="18" customHeight="1">
      <c r="M239" s="734" t="s">
        <v>1378</v>
      </c>
      <c r="N239" s="737">
        <v>5</v>
      </c>
      <c r="Q239" s="706"/>
      <c r="R239" s="761"/>
      <c r="S239" s="762"/>
      <c r="AE239" s="769" t="s">
        <v>182</v>
      </c>
      <c r="AF239" s="770" t="s">
        <v>3279</v>
      </c>
      <c r="AG239" s="772" t="s">
        <v>183</v>
      </c>
      <c r="BC239" s="725" t="s">
        <v>3299</v>
      </c>
    </row>
    <row r="240" spans="13:55" ht="18" customHeight="1">
      <c r="M240" s="735" t="s">
        <v>2407</v>
      </c>
      <c r="N240" s="738">
        <v>5</v>
      </c>
      <c r="Q240" s="706"/>
      <c r="R240" s="761"/>
      <c r="S240" s="762"/>
      <c r="AE240" s="541" t="str">
        <f>IF(AF227="其他",AE230,IF(AA236=1,AE237,IF(AA235=1,AE234,AE230)))</f>
        <v>1000</v>
      </c>
      <c r="AF240" s="542">
        <f>IF(AF227="其他",AE230,IF(AB236=1,AF237,IF(AB235=1,AF234,AF230)))</f>
        <v>8000</v>
      </c>
      <c r="AG240" s="578" t="str">
        <f>IF(AF227="其他",AE230,IF(AC236=1,AG237,IF(AC235=1,AG234,AG230)))</f>
        <v>80万</v>
      </c>
      <c r="BC240" s="725" t="s">
        <v>212</v>
      </c>
    </row>
    <row r="241" spans="13:55" ht="18" customHeight="1">
      <c r="M241" s="734" t="s">
        <v>2416</v>
      </c>
      <c r="N241" s="737">
        <v>5</v>
      </c>
      <c r="Q241" s="706"/>
      <c r="R241" s="761"/>
      <c r="S241" s="762"/>
      <c r="Z241" s="2248" t="s">
        <v>3300</v>
      </c>
      <c r="AA241" s="2249"/>
      <c r="AB241" s="2249"/>
      <c r="AC241" s="2249"/>
      <c r="AD241" s="2249"/>
      <c r="AE241" s="2249"/>
      <c r="AF241" s="2249"/>
      <c r="AG241" s="2250"/>
      <c r="BC241" s="725" t="s">
        <v>3301</v>
      </c>
    </row>
    <row r="242" spans="13:55" ht="18" customHeight="1">
      <c r="M242" s="742" t="s">
        <v>1383</v>
      </c>
      <c r="N242" s="540">
        <v>5</v>
      </c>
      <c r="Q242" s="706"/>
      <c r="R242" s="761"/>
      <c r="Z242" s="767"/>
      <c r="AA242" s="567" t="s">
        <v>182</v>
      </c>
      <c r="AB242" s="567" t="s">
        <v>3279</v>
      </c>
      <c r="AC242" s="567" t="s">
        <v>183</v>
      </c>
      <c r="AD242" s="768"/>
      <c r="AE242" s="764"/>
      <c r="AF242" s="567" t="s">
        <v>182</v>
      </c>
      <c r="AG242" s="567" t="s">
        <v>3279</v>
      </c>
      <c r="AH242" s="568" t="s">
        <v>183</v>
      </c>
      <c r="BC242" s="725" t="s">
        <v>3302</v>
      </c>
    </row>
    <row r="243" spans="13:55" ht="18" customHeight="1">
      <c r="M243" s="734" t="s">
        <v>2434</v>
      </c>
      <c r="N243" s="531">
        <v>5</v>
      </c>
      <c r="Q243" s="706"/>
      <c r="R243" s="761"/>
      <c r="S243" s="762"/>
      <c r="Z243" s="543" t="s">
        <v>187</v>
      </c>
      <c r="AA243" s="544" t="str">
        <f>Z227</f>
        <v>1000</v>
      </c>
      <c r="AB243" s="544">
        <f>Z231</f>
        <v>8000</v>
      </c>
      <c r="AC243" s="544">
        <f>Z229</f>
        <v>800000</v>
      </c>
      <c r="AD243" s="544"/>
      <c r="AE243" s="543" t="s">
        <v>187</v>
      </c>
      <c r="AF243" s="544" t="str">
        <f>Z227</f>
        <v>1000</v>
      </c>
      <c r="AG243" s="544">
        <f>Z231</f>
        <v>8000</v>
      </c>
      <c r="AH243" s="545">
        <f>Z229</f>
        <v>800000</v>
      </c>
      <c r="BC243" s="725" t="s">
        <v>3303</v>
      </c>
    </row>
    <row r="244" spans="13:55" ht="18" customHeight="1">
      <c r="M244" s="742" t="s">
        <v>2441</v>
      </c>
      <c r="N244" s="540">
        <v>5</v>
      </c>
      <c r="Q244" s="706"/>
      <c r="R244" s="761"/>
      <c r="S244" s="762"/>
      <c r="Z244" s="532" t="s">
        <v>3304</v>
      </c>
      <c r="AE244" s="532" t="s">
        <v>3305</v>
      </c>
      <c r="AH244" s="531"/>
      <c r="BC244" s="725" t="s">
        <v>212</v>
      </c>
    </row>
    <row r="245" spans="13:55" ht="18" customHeight="1">
      <c r="M245" s="734" t="s">
        <v>2448</v>
      </c>
      <c r="N245" s="531">
        <v>5</v>
      </c>
      <c r="Q245" s="706"/>
      <c r="R245" s="761"/>
      <c r="S245" s="762"/>
      <c r="Z245" s="774" t="s">
        <v>3306</v>
      </c>
      <c r="AA245" s="775">
        <f>Z227*AD245</f>
        <v>7030</v>
      </c>
      <c r="AB245" s="775">
        <f>Z231*AD245</f>
        <v>56240</v>
      </c>
      <c r="AC245" s="775">
        <f>IF(Z229="没有","没有",Z229*AD245)</f>
        <v>5624000</v>
      </c>
      <c r="AD245" s="524">
        <v>7.03</v>
      </c>
      <c r="AE245" s="774" t="s">
        <v>3306</v>
      </c>
      <c r="AF245" s="776">
        <f t="shared" ref="AF245:AH247" si="4">AA245</f>
        <v>7030</v>
      </c>
      <c r="AG245" s="776">
        <f t="shared" si="4"/>
        <v>56240</v>
      </c>
      <c r="AH245" s="780">
        <f t="shared" si="4"/>
        <v>5624000</v>
      </c>
      <c r="BC245" s="725" t="s">
        <v>3307</v>
      </c>
    </row>
    <row r="246" spans="13:55" ht="18" customHeight="1">
      <c r="M246" s="743" t="s">
        <v>2457</v>
      </c>
      <c r="N246" s="744">
        <v>5</v>
      </c>
      <c r="Z246" s="769" t="s">
        <v>3308</v>
      </c>
      <c r="AA246" s="776">
        <f>附表!Z227*AD246</f>
        <v>7830</v>
      </c>
      <c r="AB246" s="776">
        <f>附表!Z231*AD246</f>
        <v>62640</v>
      </c>
      <c r="AC246" s="776">
        <f>IF(Z229="没有","没有",Z229*AD246)</f>
        <v>6264000</v>
      </c>
      <c r="AD246" s="524">
        <v>7.83</v>
      </c>
      <c r="AE246" s="769" t="s">
        <v>3308</v>
      </c>
      <c r="AF246" s="776">
        <f t="shared" si="4"/>
        <v>7830</v>
      </c>
      <c r="AG246" s="776">
        <f t="shared" si="4"/>
        <v>62640</v>
      </c>
      <c r="AH246" s="780">
        <f t="shared" si="4"/>
        <v>6264000</v>
      </c>
      <c r="BC246" s="725" t="s">
        <v>3309</v>
      </c>
    </row>
    <row r="247" spans="13:55" ht="18" customHeight="1">
      <c r="M247" s="745" t="str">
        <f>IF(ISBLANK(人物卡!AU26),"",人物卡!AU26)</f>
        <v/>
      </c>
      <c r="N247" s="578" t="str">
        <f>IF(ISBLANK(人物卡!BA26),"",人物卡!BA26)</f>
        <v/>
      </c>
      <c r="Z247" s="777" t="s">
        <v>3310</v>
      </c>
      <c r="AA247" s="776">
        <f>Z227*AD247</f>
        <v>31340</v>
      </c>
      <c r="AB247" s="776">
        <f>Z231*AD247</f>
        <v>250720</v>
      </c>
      <c r="AC247" s="776">
        <f>IF(Z229="没有","没有",Z229*AD247)</f>
        <v>25072000</v>
      </c>
      <c r="AD247" s="524">
        <v>31.34</v>
      </c>
      <c r="AE247" s="777" t="s">
        <v>3310</v>
      </c>
      <c r="AF247" s="776">
        <f t="shared" si="4"/>
        <v>31340</v>
      </c>
      <c r="AG247" s="776">
        <f t="shared" si="4"/>
        <v>250720</v>
      </c>
      <c r="AH247" s="780">
        <f t="shared" si="4"/>
        <v>25072000</v>
      </c>
      <c r="BC247" s="725" t="s">
        <v>3311</v>
      </c>
    </row>
    <row r="248" spans="13:55" ht="18" customHeight="1">
      <c r="Z248" s="777" t="s">
        <v>3312</v>
      </c>
      <c r="AA248" s="775">
        <f>Z227*AD248</f>
        <v>108880</v>
      </c>
      <c r="AB248" s="775">
        <f>Z231*AD248</f>
        <v>871040</v>
      </c>
      <c r="AC248" s="775">
        <f>IF(Z229="没有","没有",Z229*AD248)</f>
        <v>87104000</v>
      </c>
      <c r="AD248" s="524">
        <v>108.88</v>
      </c>
      <c r="AE248" s="777" t="s">
        <v>3312</v>
      </c>
      <c r="AF248" s="776">
        <f t="shared" ref="AF248:AH248" si="5">AA248</f>
        <v>108880</v>
      </c>
      <c r="AG248" s="776">
        <f t="shared" si="5"/>
        <v>871040</v>
      </c>
      <c r="AH248" s="780">
        <f t="shared" si="5"/>
        <v>87104000</v>
      </c>
      <c r="BC248" s="725" t="s">
        <v>212</v>
      </c>
    </row>
    <row r="249" spans="13:55" ht="18" customHeight="1">
      <c r="Z249" s="777" t="s">
        <v>3313</v>
      </c>
      <c r="AA249" s="776">
        <f>Z227*AD249</f>
        <v>1173410</v>
      </c>
      <c r="AB249" s="776">
        <f>Z231*AD249</f>
        <v>9387280</v>
      </c>
      <c r="AC249" s="776">
        <f>IF(Z229="没有","没有",Z229*AD249)</f>
        <v>938728000.00000012</v>
      </c>
      <c r="AD249" s="564">
        <v>1173.4100000000001</v>
      </c>
      <c r="AE249" s="777" t="s">
        <v>3313</v>
      </c>
      <c r="AF249" s="776">
        <f t="shared" ref="AF249:AH251" si="6">AA249</f>
        <v>1173410</v>
      </c>
      <c r="AG249" s="776">
        <f t="shared" si="6"/>
        <v>9387280</v>
      </c>
      <c r="AH249" s="780">
        <f t="shared" si="6"/>
        <v>938728000.00000012</v>
      </c>
      <c r="BC249" s="725" t="s">
        <v>3314</v>
      </c>
    </row>
    <row r="250" spans="13:55" ht="18" customHeight="1">
      <c r="Z250" s="777" t="s">
        <v>3315</v>
      </c>
      <c r="AA250" s="775">
        <f>Z227*AD250</f>
        <v>30230</v>
      </c>
      <c r="AB250" s="775">
        <f>Z231*AD250</f>
        <v>241840</v>
      </c>
      <c r="AC250" s="775">
        <f>IF(Z229="没有","没有",Z229*AD250)</f>
        <v>24184000</v>
      </c>
      <c r="AD250" s="524">
        <v>30.23</v>
      </c>
      <c r="AE250" s="777" t="s">
        <v>3315</v>
      </c>
      <c r="AF250" s="776">
        <f t="shared" si="6"/>
        <v>30230</v>
      </c>
      <c r="AG250" s="776">
        <f t="shared" si="6"/>
        <v>241840</v>
      </c>
      <c r="AH250" s="780">
        <f t="shared" si="6"/>
        <v>24184000</v>
      </c>
      <c r="BC250" s="725" t="s">
        <v>3316</v>
      </c>
    </row>
    <row r="251" spans="13:55" ht="18" customHeight="1">
      <c r="Z251" s="769" t="s">
        <v>3317</v>
      </c>
      <c r="AA251" s="775">
        <f>Z227*AD251</f>
        <v>1370</v>
      </c>
      <c r="AB251" s="775">
        <f>Z231*AD251</f>
        <v>10960</v>
      </c>
      <c r="AC251" s="775">
        <f>IF(Z229="没有","没有",Z229*AD251)</f>
        <v>1096000</v>
      </c>
      <c r="AD251" s="564">
        <v>1.37</v>
      </c>
      <c r="AE251" s="769" t="s">
        <v>3317</v>
      </c>
      <c r="AF251" s="776">
        <f t="shared" si="6"/>
        <v>1370</v>
      </c>
      <c r="AG251" s="776">
        <f t="shared" si="6"/>
        <v>10960</v>
      </c>
      <c r="AH251" s="780">
        <f t="shared" si="6"/>
        <v>1096000</v>
      </c>
      <c r="BC251" s="725" t="s">
        <v>3318</v>
      </c>
    </row>
    <row r="252" spans="13:55" ht="18" customHeight="1">
      <c r="Z252" s="532" t="s">
        <v>3319</v>
      </c>
      <c r="AE252" s="532" t="s">
        <v>3320</v>
      </c>
      <c r="AH252" s="531"/>
      <c r="BC252" s="725" t="s">
        <v>212</v>
      </c>
    </row>
    <row r="253" spans="13:55" ht="18" customHeight="1">
      <c r="Z253" s="769" t="s">
        <v>3321</v>
      </c>
      <c r="AA253" s="776">
        <f>附表!Z227*AD253</f>
        <v>910</v>
      </c>
      <c r="AB253" s="776">
        <f>附表!Z231*AD253</f>
        <v>7280</v>
      </c>
      <c r="AC253" s="776">
        <f>IF(Z229="没有","没有",Z229*AD253)</f>
        <v>728000</v>
      </c>
      <c r="AD253" s="524">
        <v>0.91</v>
      </c>
      <c r="AE253" s="769" t="s">
        <v>3321</v>
      </c>
      <c r="AF253" s="776">
        <f t="shared" ref="AF253:AH255" si="7">AA253</f>
        <v>910</v>
      </c>
      <c r="AG253" s="776">
        <f t="shared" si="7"/>
        <v>7280</v>
      </c>
      <c r="AH253" s="780">
        <f t="shared" si="7"/>
        <v>728000</v>
      </c>
      <c r="AI253" s="781"/>
      <c r="BC253" s="725" t="s">
        <v>3322</v>
      </c>
    </row>
    <row r="254" spans="13:55" ht="18" customHeight="1">
      <c r="Z254" s="777" t="s">
        <v>3323</v>
      </c>
      <c r="AA254" s="776">
        <f>附表!Z227*AD254</f>
        <v>780</v>
      </c>
      <c r="AB254" s="776">
        <f>附表!Z231*AD254</f>
        <v>6240</v>
      </c>
      <c r="AC254" s="776">
        <f>IF(Z229="没有","没有",Z229*AD254)</f>
        <v>624000</v>
      </c>
      <c r="AD254" s="524">
        <v>0.78</v>
      </c>
      <c r="AE254" s="777" t="s">
        <v>3323</v>
      </c>
      <c r="AF254" s="776">
        <f t="shared" si="7"/>
        <v>780</v>
      </c>
      <c r="AG254" s="776">
        <f t="shared" si="7"/>
        <v>6240</v>
      </c>
      <c r="AH254" s="780">
        <f t="shared" si="7"/>
        <v>624000</v>
      </c>
      <c r="BC254" s="725" t="s">
        <v>3324</v>
      </c>
    </row>
    <row r="255" spans="13:55" ht="18" customHeight="1">
      <c r="Z255" s="777" t="s">
        <v>3325</v>
      </c>
      <c r="AA255" s="776">
        <f>附表!Z227*AD255</f>
        <v>63900</v>
      </c>
      <c r="AB255" s="776">
        <f>附表!Z231*AD255</f>
        <v>511200</v>
      </c>
      <c r="AC255" s="776">
        <f>IF(Z229="没有","没有",Z229*AD255)</f>
        <v>51120000</v>
      </c>
      <c r="AD255" s="778">
        <v>63.9</v>
      </c>
      <c r="AE255" s="777" t="s">
        <v>3325</v>
      </c>
      <c r="AF255" s="776">
        <f t="shared" si="7"/>
        <v>63900</v>
      </c>
      <c r="AG255" s="776">
        <f t="shared" si="7"/>
        <v>511200</v>
      </c>
      <c r="AH255" s="780">
        <f t="shared" si="7"/>
        <v>51120000</v>
      </c>
      <c r="BC255" s="725" t="s">
        <v>3326</v>
      </c>
    </row>
    <row r="256" spans="13:55" ht="18" customHeight="1">
      <c r="Z256" s="532" t="s">
        <v>3327</v>
      </c>
      <c r="AE256" s="532" t="s">
        <v>3328</v>
      </c>
      <c r="AH256" s="531"/>
      <c r="BC256" s="725" t="s">
        <v>3329</v>
      </c>
    </row>
    <row r="257" spans="26:56" ht="18" customHeight="1">
      <c r="Z257" s="769" t="s">
        <v>3330</v>
      </c>
      <c r="AA257" s="776">
        <f>Z227*AD257</f>
        <v>1330</v>
      </c>
      <c r="AB257" s="776">
        <f>Z231*AD257</f>
        <v>10640</v>
      </c>
      <c r="AC257" s="776">
        <f>IF(Z229="没有","没有",Z229*AD257)</f>
        <v>1064000</v>
      </c>
      <c r="AD257" s="564">
        <v>1.33</v>
      </c>
      <c r="AE257" s="769" t="s">
        <v>3330</v>
      </c>
      <c r="AF257" s="776">
        <f t="shared" ref="AF257:AH259" si="8">AA257</f>
        <v>1330</v>
      </c>
      <c r="AG257" s="776">
        <f t="shared" si="8"/>
        <v>10640</v>
      </c>
      <c r="AH257" s="780">
        <f t="shared" si="8"/>
        <v>1064000</v>
      </c>
      <c r="BC257" s="725" t="s">
        <v>3331</v>
      </c>
    </row>
    <row r="258" spans="26:56" ht="18" customHeight="1">
      <c r="Z258" s="769" t="s">
        <v>3332</v>
      </c>
      <c r="AA258" s="775">
        <f>Z227*AD258</f>
        <v>19400</v>
      </c>
      <c r="AB258" s="775">
        <f>Z231*AD258</f>
        <v>155200</v>
      </c>
      <c r="AC258" s="775">
        <f>IF(Z229="没有","没有",Z229*AD258)</f>
        <v>15519999.999999998</v>
      </c>
      <c r="AD258" s="782">
        <v>19.399999999999999</v>
      </c>
      <c r="AE258" s="769" t="s">
        <v>3332</v>
      </c>
      <c r="AF258" s="776">
        <f t="shared" si="8"/>
        <v>19400</v>
      </c>
      <c r="AG258" s="776">
        <f t="shared" si="8"/>
        <v>155200</v>
      </c>
      <c r="AH258" s="780">
        <f t="shared" si="8"/>
        <v>15519999.999999998</v>
      </c>
      <c r="BC258" s="725" t="s">
        <v>212</v>
      </c>
    </row>
    <row r="259" spans="26:56" ht="18" customHeight="1">
      <c r="Z259" s="777" t="s">
        <v>3333</v>
      </c>
      <c r="AA259" s="775">
        <f>Z227*AD259</f>
        <v>4030.0000000000005</v>
      </c>
      <c r="AB259" s="775">
        <f>Z231*AD259</f>
        <v>32240.000000000004</v>
      </c>
      <c r="AC259" s="775">
        <f>IF(Z229="没有","没有",Z229*AD259)</f>
        <v>3224000</v>
      </c>
      <c r="AD259" s="524">
        <v>4.03</v>
      </c>
      <c r="AE259" s="777" t="s">
        <v>3333</v>
      </c>
      <c r="AF259" s="776">
        <f t="shared" si="8"/>
        <v>4030.0000000000005</v>
      </c>
      <c r="AG259" s="776">
        <f t="shared" si="8"/>
        <v>32240.000000000004</v>
      </c>
      <c r="AH259" s="780">
        <f t="shared" si="8"/>
        <v>3224000</v>
      </c>
      <c r="BC259" s="725" t="s">
        <v>3334</v>
      </c>
    </row>
    <row r="260" spans="26:56" ht="18" customHeight="1">
      <c r="Z260" s="532" t="s">
        <v>3335</v>
      </c>
      <c r="AE260" s="532" t="s">
        <v>1820</v>
      </c>
      <c r="AH260" s="531"/>
      <c r="BC260" s="725" t="s">
        <v>3336</v>
      </c>
    </row>
    <row r="261" spans="26:56" ht="18" customHeight="1">
      <c r="Z261" s="769" t="s">
        <v>3337</v>
      </c>
      <c r="AA261" s="775">
        <f>Z227*AD261</f>
        <v>1480</v>
      </c>
      <c r="AB261" s="775">
        <f>Z231*AD261</f>
        <v>11840</v>
      </c>
      <c r="AC261" s="775">
        <f>IF(Z229="没有","没有",Z229*AD261)</f>
        <v>1184000</v>
      </c>
      <c r="AD261" s="524">
        <v>1.48</v>
      </c>
      <c r="AE261" s="769" t="s">
        <v>3337</v>
      </c>
      <c r="AF261" s="776">
        <f t="shared" ref="AF261:AH262" si="9">AA261</f>
        <v>1480</v>
      </c>
      <c r="AG261" s="776">
        <f t="shared" si="9"/>
        <v>11840</v>
      </c>
      <c r="AH261" s="780">
        <f t="shared" si="9"/>
        <v>1184000</v>
      </c>
      <c r="BC261" s="725" t="s">
        <v>3338</v>
      </c>
    </row>
    <row r="262" spans="26:56" ht="18" customHeight="1">
      <c r="Z262" s="769" t="s">
        <v>3339</v>
      </c>
      <c r="AA262" s="775">
        <f>Z227*AD262</f>
        <v>14770</v>
      </c>
      <c r="AB262" s="775">
        <f>Z231*AD262</f>
        <v>118160</v>
      </c>
      <c r="AC262" s="775">
        <f>IF(Z229="没有","没有",Z229*AD262)</f>
        <v>11816000</v>
      </c>
      <c r="AD262" s="564">
        <v>14.77</v>
      </c>
      <c r="AE262" s="769" t="s">
        <v>3339</v>
      </c>
      <c r="AF262" s="776">
        <f t="shared" si="9"/>
        <v>14770</v>
      </c>
      <c r="AG262" s="776">
        <f t="shared" si="9"/>
        <v>118160</v>
      </c>
      <c r="AH262" s="780">
        <f t="shared" si="9"/>
        <v>11816000</v>
      </c>
      <c r="BC262" s="725" t="s">
        <v>212</v>
      </c>
    </row>
    <row r="263" spans="26:56" ht="18" customHeight="1">
      <c r="Z263" s="783" t="str">
        <f>IF(ISBLANK(人物卡!BK37),"",人物卡!BK37)</f>
        <v/>
      </c>
      <c r="AA263" s="784">
        <f>Z227*AD263</f>
        <v>0</v>
      </c>
      <c r="AB263" s="784">
        <f>Z231*AD263</f>
        <v>0</v>
      </c>
      <c r="AC263" s="784">
        <f>IF(Z229="没有","没有",Z229*AD263)</f>
        <v>0</v>
      </c>
      <c r="AD263" s="573">
        <f>人物卡!BO37</f>
        <v>0</v>
      </c>
      <c r="AE263" s="783" t="str">
        <f>IF(ISBLANK(人物卡!BK37),"",人物卡!BK37)</f>
        <v/>
      </c>
      <c r="AF263" s="785">
        <f>AA263/20</f>
        <v>0</v>
      </c>
      <c r="AG263" s="785">
        <f>AB263/20</f>
        <v>0</v>
      </c>
      <c r="AH263" s="787">
        <f>AC263</f>
        <v>0</v>
      </c>
      <c r="BC263" s="725" t="s">
        <v>3340</v>
      </c>
    </row>
    <row r="264" spans="26:56" ht="18" customHeight="1">
      <c r="BC264" s="725" t="s">
        <v>3341</v>
      </c>
    </row>
    <row r="265" spans="26:56" ht="18" customHeight="1">
      <c r="BC265" s="725" t="s">
        <v>3342</v>
      </c>
    </row>
    <row r="266" spans="26:56" ht="18" customHeight="1">
      <c r="BC266" s="725" t="s">
        <v>3343</v>
      </c>
      <c r="BD266" s="370"/>
    </row>
    <row r="267" spans="26:56" ht="18" customHeight="1">
      <c r="AA267" s="564"/>
      <c r="AB267" s="564"/>
      <c r="AC267" s="564"/>
      <c r="AD267" s="564"/>
      <c r="AF267" s="564"/>
      <c r="AG267" s="564"/>
      <c r="AH267" s="564"/>
      <c r="AI267" s="564"/>
      <c r="BC267" s="725" t="s">
        <v>212</v>
      </c>
      <c r="BD267" s="370"/>
    </row>
    <row r="268" spans="26:56" ht="18" customHeight="1">
      <c r="BC268" s="725" t="s">
        <v>3344</v>
      </c>
      <c r="BD268" s="370"/>
    </row>
    <row r="269" spans="26:56" ht="18" customHeight="1">
      <c r="AA269" s="564"/>
      <c r="AB269" s="564"/>
      <c r="AC269" s="564"/>
      <c r="AD269" s="564"/>
      <c r="AE269" s="564"/>
      <c r="AF269" s="564"/>
      <c r="AG269" s="564"/>
      <c r="AH269" s="564"/>
      <c r="AI269" s="564"/>
      <c r="AM269" s="370"/>
      <c r="BC269" s="725" t="s">
        <v>3345</v>
      </c>
      <c r="BD269" s="370"/>
    </row>
    <row r="270" spans="26:56" ht="18" customHeight="1">
      <c r="AA270" s="564"/>
      <c r="AB270" s="564"/>
      <c r="AC270" s="564"/>
      <c r="AD270" s="564"/>
      <c r="AE270" s="564"/>
      <c r="AF270" s="564"/>
      <c r="AG270" s="564"/>
      <c r="AH270" s="564"/>
      <c r="AI270" s="564"/>
      <c r="BC270" s="725" t="s">
        <v>3346</v>
      </c>
      <c r="BD270" s="370"/>
    </row>
    <row r="271" spans="26:56" ht="18" customHeight="1">
      <c r="AA271" s="564"/>
      <c r="AB271" s="564"/>
      <c r="AC271" s="564"/>
      <c r="AD271" s="564"/>
      <c r="AF271" s="564"/>
      <c r="AG271" s="564"/>
      <c r="AH271" s="564"/>
      <c r="AI271" s="564"/>
      <c r="BC271" s="725" t="s">
        <v>3347</v>
      </c>
      <c r="BD271" s="370"/>
    </row>
    <row r="272" spans="26:56" ht="18" customHeight="1">
      <c r="AA272" s="786"/>
      <c r="AB272" s="564"/>
      <c r="AC272" s="564"/>
      <c r="AD272" s="564"/>
      <c r="AF272" s="786"/>
      <c r="AG272" s="564"/>
      <c r="AH272" s="564"/>
      <c r="AI272" s="564"/>
      <c r="BC272" s="725" t="s">
        <v>212</v>
      </c>
      <c r="BD272" s="370"/>
    </row>
    <row r="273" spans="27:55" ht="18" customHeight="1">
      <c r="AA273" s="564"/>
      <c r="AB273" s="564"/>
      <c r="AC273" s="564"/>
      <c r="AD273" s="564"/>
      <c r="AF273" s="564"/>
      <c r="AG273" s="564"/>
      <c r="AH273" s="564"/>
      <c r="AI273" s="564"/>
      <c r="BC273" s="725" t="s">
        <v>3348</v>
      </c>
    </row>
    <row r="274" spans="27:55" ht="18" customHeight="1">
      <c r="AA274" s="786"/>
      <c r="AB274" s="564"/>
      <c r="AC274" s="564"/>
      <c r="AD274" s="564"/>
      <c r="AF274" s="786"/>
      <c r="AG274" s="564"/>
      <c r="AH274" s="564"/>
      <c r="AI274" s="564"/>
      <c r="BC274" s="725" t="s">
        <v>3349</v>
      </c>
    </row>
    <row r="275" spans="27:55" ht="18" customHeight="1">
      <c r="BC275" s="725" t="s">
        <v>3350</v>
      </c>
    </row>
    <row r="276" spans="27:55" ht="18" customHeight="1">
      <c r="BC276" s="725" t="s">
        <v>212</v>
      </c>
    </row>
    <row r="277" spans="27:55" ht="18" customHeight="1">
      <c r="BC277" s="725" t="s">
        <v>3351</v>
      </c>
    </row>
    <row r="278" spans="27:55" ht="18" customHeight="1">
      <c r="BC278" s="725" t="s">
        <v>3352</v>
      </c>
    </row>
    <row r="279" spans="27:55" ht="18" customHeight="1">
      <c r="BC279" s="725" t="s">
        <v>3353</v>
      </c>
    </row>
    <row r="280" spans="27:55" ht="18" customHeight="1">
      <c r="BC280" s="725" t="s">
        <v>212</v>
      </c>
    </row>
    <row r="281" spans="27:55" ht="18" customHeight="1">
      <c r="BC281" s="725" t="s">
        <v>3354</v>
      </c>
    </row>
    <row r="282" spans="27:55" ht="18" customHeight="1">
      <c r="BC282" s="725" t="s">
        <v>3355</v>
      </c>
    </row>
    <row r="283" spans="27:55" ht="18" customHeight="1">
      <c r="BC283" s="725" t="s">
        <v>212</v>
      </c>
    </row>
    <row r="284" spans="27:55" ht="18" customHeight="1">
      <c r="BC284" s="725" t="s">
        <v>3356</v>
      </c>
    </row>
    <row r="285" spans="27:55" ht="18" customHeight="1">
      <c r="BC285" s="725" t="s">
        <v>3357</v>
      </c>
    </row>
    <row r="286" spans="27:55" ht="18" customHeight="1">
      <c r="BC286" s="725" t="s">
        <v>212</v>
      </c>
    </row>
    <row r="287" spans="27:55" ht="18" customHeight="1">
      <c r="BC287" s="725" t="s">
        <v>3358</v>
      </c>
    </row>
    <row r="288" spans="27:55" ht="18" customHeight="1">
      <c r="BC288" s="725" t="s">
        <v>3359</v>
      </c>
    </row>
    <row r="289" spans="55:55" ht="18" customHeight="1">
      <c r="BC289" s="725" t="s">
        <v>212</v>
      </c>
    </row>
    <row r="290" spans="55:55" ht="18" customHeight="1">
      <c r="BC290" s="725" t="s">
        <v>3360</v>
      </c>
    </row>
    <row r="291" spans="55:55" ht="18" customHeight="1">
      <c r="BC291" s="725" t="s">
        <v>3361</v>
      </c>
    </row>
    <row r="292" spans="55:55" ht="18" customHeight="1">
      <c r="BC292" s="725" t="s">
        <v>212</v>
      </c>
    </row>
    <row r="293" spans="55:55" ht="18" customHeight="1">
      <c r="BC293" s="725" t="s">
        <v>3362</v>
      </c>
    </row>
    <row r="294" spans="55:55" ht="18" customHeight="1">
      <c r="BC294" s="725" t="s">
        <v>3363</v>
      </c>
    </row>
    <row r="295" spans="55:55" ht="18" customHeight="1">
      <c r="BC295" s="725" t="s">
        <v>212</v>
      </c>
    </row>
    <row r="296" spans="55:55" ht="18" customHeight="1">
      <c r="BC296" s="725" t="s">
        <v>3364</v>
      </c>
    </row>
    <row r="297" spans="55:55" ht="18" customHeight="1">
      <c r="BC297" s="725" t="s">
        <v>3365</v>
      </c>
    </row>
    <row r="298" spans="55:55" ht="18" customHeight="1">
      <c r="BC298" s="725" t="s">
        <v>212</v>
      </c>
    </row>
    <row r="299" spans="55:55" ht="18" customHeight="1">
      <c r="BC299" s="725" t="s">
        <v>3366</v>
      </c>
    </row>
    <row r="300" spans="55:55" ht="18" customHeight="1">
      <c r="BC300" s="725" t="s">
        <v>3367</v>
      </c>
    </row>
    <row r="301" spans="55:55" ht="18" customHeight="1">
      <c r="BC301" s="725" t="s">
        <v>212</v>
      </c>
    </row>
    <row r="302" spans="55:55" ht="18" customHeight="1">
      <c r="BC302" s="725" t="s">
        <v>3368</v>
      </c>
    </row>
    <row r="303" spans="55:55" ht="18" customHeight="1">
      <c r="BC303" s="725" t="s">
        <v>3369</v>
      </c>
    </row>
    <row r="304" spans="55:55" ht="18" customHeight="1">
      <c r="BC304" s="725" t="s">
        <v>212</v>
      </c>
    </row>
    <row r="305" spans="55:55" ht="18" customHeight="1">
      <c r="BC305" s="725" t="s">
        <v>3370</v>
      </c>
    </row>
    <row r="306" spans="55:55" ht="18" customHeight="1">
      <c r="BC306" s="725" t="s">
        <v>3371</v>
      </c>
    </row>
    <row r="307" spans="55:55" ht="18" customHeight="1">
      <c r="BC307" s="725" t="s">
        <v>212</v>
      </c>
    </row>
    <row r="308" spans="55:55" ht="18" customHeight="1">
      <c r="BC308" s="725" t="s">
        <v>212</v>
      </c>
    </row>
    <row r="309" spans="55:55" ht="18" customHeight="1">
      <c r="BC309" s="725" t="s">
        <v>3372</v>
      </c>
    </row>
    <row r="310" spans="55:55" ht="18" customHeight="1">
      <c r="BC310" s="725" t="s">
        <v>3373</v>
      </c>
    </row>
    <row r="311" spans="55:55" ht="18" customHeight="1">
      <c r="BC311" s="725" t="s">
        <v>3374</v>
      </c>
    </row>
    <row r="312" spans="55:55" ht="18" customHeight="1">
      <c r="BC312" s="725" t="s">
        <v>3375</v>
      </c>
    </row>
    <row r="313" spans="55:55" ht="18" customHeight="1">
      <c r="BC313" s="725" t="s">
        <v>3376</v>
      </c>
    </row>
    <row r="314" spans="55:55" ht="18" customHeight="1">
      <c r="BC314" s="725" t="s">
        <v>3377</v>
      </c>
    </row>
    <row r="315" spans="55:55" ht="18" customHeight="1">
      <c r="BC315" s="725" t="s">
        <v>3378</v>
      </c>
    </row>
    <row r="316" spans="55:55" ht="18" customHeight="1">
      <c r="BC316" s="725" t="s">
        <v>3379</v>
      </c>
    </row>
    <row r="317" spans="55:55" ht="18" customHeight="1">
      <c r="BC317" s="725" t="s">
        <v>3380</v>
      </c>
    </row>
    <row r="318" spans="55:55" ht="18" customHeight="1">
      <c r="BC318" s="725" t="s">
        <v>3381</v>
      </c>
    </row>
    <row r="319" spans="55:55" ht="18" customHeight="1">
      <c r="BC319" s="725" t="s">
        <v>3382</v>
      </c>
    </row>
    <row r="320" spans="55:55" ht="18" customHeight="1">
      <c r="BC320" s="725" t="s">
        <v>3383</v>
      </c>
    </row>
    <row r="321" spans="55:55" ht="18" customHeight="1">
      <c r="BC321" s="725" t="s">
        <v>3384</v>
      </c>
    </row>
    <row r="322" spans="55:55" ht="18" customHeight="1">
      <c r="BC322" s="725" t="s">
        <v>3385</v>
      </c>
    </row>
    <row r="323" spans="55:55" ht="18" customHeight="1">
      <c r="BC323" s="725" t="s">
        <v>3386</v>
      </c>
    </row>
    <row r="324" spans="55:55">
      <c r="BC324" s="725" t="s">
        <v>3387</v>
      </c>
    </row>
    <row r="325" spans="55:55">
      <c r="BC325" s="725" t="s">
        <v>3388</v>
      </c>
    </row>
    <row r="326" spans="55:55">
      <c r="BC326" s="725" t="s">
        <v>212</v>
      </c>
    </row>
    <row r="327" spans="55:55">
      <c r="BC327" s="725" t="s">
        <v>3389</v>
      </c>
    </row>
    <row r="328" spans="55:55">
      <c r="BC328" s="725" t="s">
        <v>3390</v>
      </c>
    </row>
    <row r="329" spans="55:55">
      <c r="BC329" s="725" t="s">
        <v>3391</v>
      </c>
    </row>
    <row r="330" spans="55:55">
      <c r="BC330" s="725" t="s">
        <v>3392</v>
      </c>
    </row>
    <row r="331" spans="55:55">
      <c r="BC331" s="725" t="s">
        <v>3393</v>
      </c>
    </row>
    <row r="332" spans="55:55">
      <c r="BC332" s="725" t="s">
        <v>3394</v>
      </c>
    </row>
    <row r="333" spans="55:55">
      <c r="BC333" s="725" t="s">
        <v>3395</v>
      </c>
    </row>
    <row r="334" spans="55:55">
      <c r="BC334" s="725" t="s">
        <v>3396</v>
      </c>
    </row>
    <row r="335" spans="55:55">
      <c r="BC335" s="725" t="s">
        <v>3397</v>
      </c>
    </row>
    <row r="336" spans="55:55">
      <c r="BC336" s="725" t="s">
        <v>212</v>
      </c>
    </row>
    <row r="337" spans="55:55">
      <c r="BC337" s="725" t="s">
        <v>3398</v>
      </c>
    </row>
    <row r="338" spans="55:55">
      <c r="BC338" s="725" t="s">
        <v>3399</v>
      </c>
    </row>
    <row r="339" spans="55:55">
      <c r="BC339" s="725" t="s">
        <v>3400</v>
      </c>
    </row>
    <row r="340" spans="55:55">
      <c r="BC340" s="725" t="s">
        <v>3401</v>
      </c>
    </row>
    <row r="341" spans="55:55">
      <c r="BC341" s="725" t="s">
        <v>212</v>
      </c>
    </row>
    <row r="342" spans="55:55">
      <c r="BC342" s="725" t="s">
        <v>3402</v>
      </c>
    </row>
    <row r="343" spans="55:55">
      <c r="BC343" s="725" t="s">
        <v>3403</v>
      </c>
    </row>
    <row r="344" spans="55:55">
      <c r="BC344" s="725" t="s">
        <v>3404</v>
      </c>
    </row>
    <row r="345" spans="55:55">
      <c r="BC345" s="725" t="s">
        <v>3405</v>
      </c>
    </row>
    <row r="346" spans="55:55">
      <c r="BC346" s="725" t="s">
        <v>3406</v>
      </c>
    </row>
    <row r="347" spans="55:55">
      <c r="BC347" s="725" t="s">
        <v>3407</v>
      </c>
    </row>
    <row r="348" spans="55:55">
      <c r="BC348" s="725" t="s">
        <v>3408</v>
      </c>
    </row>
    <row r="349" spans="55:55">
      <c r="BC349" s="725" t="s">
        <v>212</v>
      </c>
    </row>
    <row r="350" spans="55:55">
      <c r="BC350" s="725" t="s">
        <v>3409</v>
      </c>
    </row>
    <row r="351" spans="55:55">
      <c r="BC351" s="725" t="s">
        <v>3410</v>
      </c>
    </row>
    <row r="352" spans="55:55">
      <c r="BC352" s="725" t="s">
        <v>3411</v>
      </c>
    </row>
    <row r="353" spans="55:55">
      <c r="BC353" s="725" t="s">
        <v>3412</v>
      </c>
    </row>
    <row r="354" spans="55:55">
      <c r="BC354" s="725" t="s">
        <v>3413</v>
      </c>
    </row>
    <row r="355" spans="55:55">
      <c r="BC355" s="725" t="s">
        <v>3414</v>
      </c>
    </row>
    <row r="356" spans="55:55">
      <c r="BC356" s="725" t="s">
        <v>3415</v>
      </c>
    </row>
    <row r="357" spans="55:55">
      <c r="BC357" s="725" t="s">
        <v>212</v>
      </c>
    </row>
    <row r="358" spans="55:55">
      <c r="BC358" s="725" t="s">
        <v>3416</v>
      </c>
    </row>
    <row r="359" spans="55:55">
      <c r="BC359" s="725" t="s">
        <v>3417</v>
      </c>
    </row>
    <row r="360" spans="55:55">
      <c r="BC360" s="725" t="s">
        <v>3418</v>
      </c>
    </row>
    <row r="361" spans="55:55">
      <c r="BC361" s="725" t="s">
        <v>212</v>
      </c>
    </row>
    <row r="362" spans="55:55">
      <c r="BC362" s="725" t="s">
        <v>3419</v>
      </c>
    </row>
    <row r="363" spans="55:55">
      <c r="BC363" s="725" t="s">
        <v>3420</v>
      </c>
    </row>
    <row r="364" spans="55:55">
      <c r="BC364" s="725" t="s">
        <v>3421</v>
      </c>
    </row>
    <row r="365" spans="55:55">
      <c r="BC365" s="725" t="s">
        <v>3422</v>
      </c>
    </row>
    <row r="366" spans="55:55">
      <c r="BC366" s="725" t="s">
        <v>212</v>
      </c>
    </row>
    <row r="367" spans="55:55">
      <c r="BC367" s="725" t="s">
        <v>3423</v>
      </c>
    </row>
    <row r="368" spans="55:55">
      <c r="BC368" s="725" t="s">
        <v>3424</v>
      </c>
    </row>
    <row r="369" spans="55:55">
      <c r="BC369" s="725" t="s">
        <v>212</v>
      </c>
    </row>
    <row r="370" spans="55:55">
      <c r="BC370" s="725" t="s">
        <v>3425</v>
      </c>
    </row>
    <row r="371" spans="55:55">
      <c r="BC371" s="725" t="s">
        <v>3426</v>
      </c>
    </row>
    <row r="372" spans="55:55">
      <c r="BC372" s="725" t="s">
        <v>3427</v>
      </c>
    </row>
    <row r="373" spans="55:55">
      <c r="BC373" s="725" t="s">
        <v>3428</v>
      </c>
    </row>
    <row r="374" spans="55:55">
      <c r="BC374" s="725" t="s">
        <v>212</v>
      </c>
    </row>
    <row r="375" spans="55:55">
      <c r="BC375" s="725" t="s">
        <v>3429</v>
      </c>
    </row>
    <row r="376" spans="55:55">
      <c r="BC376" s="725" t="s">
        <v>3430</v>
      </c>
    </row>
    <row r="377" spans="55:55">
      <c r="BC377" s="725" t="s">
        <v>212</v>
      </c>
    </row>
    <row r="378" spans="55:55">
      <c r="BC378" s="725" t="s">
        <v>3431</v>
      </c>
    </row>
    <row r="379" spans="55:55">
      <c r="BC379" s="725" t="s">
        <v>3432</v>
      </c>
    </row>
    <row r="380" spans="55:55">
      <c r="BC380" s="725" t="s">
        <v>3433</v>
      </c>
    </row>
    <row r="381" spans="55:55">
      <c r="BC381" s="725" t="s">
        <v>3434</v>
      </c>
    </row>
    <row r="382" spans="55:55">
      <c r="BC382" s="725" t="s">
        <v>3435</v>
      </c>
    </row>
    <row r="383" spans="55:55">
      <c r="BC383" s="725" t="s">
        <v>3436</v>
      </c>
    </row>
    <row r="384" spans="55:55">
      <c r="BC384" s="725" t="s">
        <v>3437</v>
      </c>
    </row>
    <row r="385" spans="55:55">
      <c r="BC385" s="725" t="s">
        <v>3438</v>
      </c>
    </row>
    <row r="386" spans="55:55">
      <c r="BC386" s="725" t="s">
        <v>212</v>
      </c>
    </row>
    <row r="387" spans="55:55">
      <c r="BC387" s="725" t="s">
        <v>3439</v>
      </c>
    </row>
    <row r="388" spans="55:55">
      <c r="BC388" s="725" t="s">
        <v>3440</v>
      </c>
    </row>
    <row r="389" spans="55:55">
      <c r="BC389" s="725" t="s">
        <v>3441</v>
      </c>
    </row>
    <row r="390" spans="55:55">
      <c r="BC390" s="725" t="s">
        <v>3442</v>
      </c>
    </row>
    <row r="391" spans="55:55">
      <c r="BC391" s="725" t="s">
        <v>3443</v>
      </c>
    </row>
    <row r="392" spans="55:55">
      <c r="BC392" s="725" t="s">
        <v>3444</v>
      </c>
    </row>
    <row r="393" spans="55:55">
      <c r="BC393" s="725" t="s">
        <v>3445</v>
      </c>
    </row>
    <row r="394" spans="55:55">
      <c r="BC394" s="725" t="s">
        <v>212</v>
      </c>
    </row>
    <row r="395" spans="55:55">
      <c r="BC395" s="725" t="s">
        <v>3446</v>
      </c>
    </row>
    <row r="396" spans="55:55">
      <c r="BC396" s="725" t="s">
        <v>3447</v>
      </c>
    </row>
    <row r="397" spans="55:55">
      <c r="BC397" s="725" t="s">
        <v>212</v>
      </c>
    </row>
    <row r="398" spans="55:55">
      <c r="BC398" s="725" t="s">
        <v>3448</v>
      </c>
    </row>
    <row r="399" spans="55:55">
      <c r="BC399" s="725" t="s">
        <v>3449</v>
      </c>
    </row>
    <row r="400" spans="55:55">
      <c r="BC400" s="725" t="s">
        <v>3450</v>
      </c>
    </row>
    <row r="401" spans="55:55">
      <c r="BC401" s="725" t="s">
        <v>212</v>
      </c>
    </row>
    <row r="402" spans="55:55">
      <c r="BC402" s="725" t="s">
        <v>3451</v>
      </c>
    </row>
    <row r="403" spans="55:55">
      <c r="BC403" s="725" t="s">
        <v>3452</v>
      </c>
    </row>
    <row r="404" spans="55:55">
      <c r="BC404" s="725" t="s">
        <v>3453</v>
      </c>
    </row>
    <row r="405" spans="55:55">
      <c r="BC405" s="725" t="s">
        <v>3434</v>
      </c>
    </row>
    <row r="406" spans="55:55">
      <c r="BC406" s="725" t="s">
        <v>212</v>
      </c>
    </row>
    <row r="407" spans="55:55">
      <c r="BC407" s="725" t="s">
        <v>3454</v>
      </c>
    </row>
    <row r="408" spans="55:55">
      <c r="BC408" s="725" t="s">
        <v>3455</v>
      </c>
    </row>
    <row r="409" spans="55:55">
      <c r="BC409" s="725" t="s">
        <v>212</v>
      </c>
    </row>
    <row r="410" spans="55:55">
      <c r="BC410" s="725" t="s">
        <v>3456</v>
      </c>
    </row>
    <row r="411" spans="55:55">
      <c r="BC411" s="725" t="s">
        <v>3457</v>
      </c>
    </row>
    <row r="412" spans="55:55">
      <c r="BC412" s="725" t="s">
        <v>212</v>
      </c>
    </row>
    <row r="413" spans="55:55">
      <c r="BC413" s="725" t="s">
        <v>3458</v>
      </c>
    </row>
    <row r="414" spans="55:55">
      <c r="BC414" s="725" t="s">
        <v>3459</v>
      </c>
    </row>
    <row r="415" spans="55:55">
      <c r="BC415" s="725" t="s">
        <v>3444</v>
      </c>
    </row>
    <row r="416" spans="55:55">
      <c r="BC416" s="725" t="s">
        <v>3460</v>
      </c>
    </row>
    <row r="417" spans="55:55">
      <c r="BC417" s="725" t="s">
        <v>3461</v>
      </c>
    </row>
    <row r="418" spans="55:55">
      <c r="BC418" s="725" t="s">
        <v>212</v>
      </c>
    </row>
    <row r="419" spans="55:55">
      <c r="BC419" s="725" t="s">
        <v>3462</v>
      </c>
    </row>
    <row r="420" spans="55:55">
      <c r="BC420" s="725" t="s">
        <v>3463</v>
      </c>
    </row>
    <row r="421" spans="55:55">
      <c r="BC421" s="725" t="s">
        <v>3464</v>
      </c>
    </row>
    <row r="422" spans="55:55">
      <c r="BC422" s="725" t="s">
        <v>212</v>
      </c>
    </row>
    <row r="423" spans="55:55">
      <c r="BC423" s="725" t="s">
        <v>3465</v>
      </c>
    </row>
    <row r="424" spans="55:55">
      <c r="BC424" s="725" t="s">
        <v>3466</v>
      </c>
    </row>
    <row r="425" spans="55:55">
      <c r="BC425" s="725" t="s">
        <v>3467</v>
      </c>
    </row>
    <row r="426" spans="55:55">
      <c r="BC426" s="725" t="s">
        <v>3468</v>
      </c>
    </row>
    <row r="427" spans="55:55">
      <c r="BC427" s="725" t="s">
        <v>212</v>
      </c>
    </row>
    <row r="428" spans="55:55">
      <c r="BC428" s="725" t="s">
        <v>3469</v>
      </c>
    </row>
    <row r="429" spans="55:55">
      <c r="BC429" s="725" t="s">
        <v>3470</v>
      </c>
    </row>
    <row r="430" spans="55:55">
      <c r="BC430" s="725" t="s">
        <v>3471</v>
      </c>
    </row>
    <row r="431" spans="55:55">
      <c r="BC431" s="725" t="s">
        <v>3472</v>
      </c>
    </row>
    <row r="432" spans="55:55">
      <c r="BC432" s="725" t="s">
        <v>3473</v>
      </c>
    </row>
    <row r="433" spans="55:55">
      <c r="BC433" s="725" t="s">
        <v>3474</v>
      </c>
    </row>
    <row r="434" spans="55:55">
      <c r="BC434" s="725" t="s">
        <v>3475</v>
      </c>
    </row>
    <row r="435" spans="55:55">
      <c r="BC435" s="725" t="s">
        <v>3476</v>
      </c>
    </row>
    <row r="436" spans="55:55">
      <c r="BC436" s="725" t="s">
        <v>212</v>
      </c>
    </row>
    <row r="437" spans="55:55">
      <c r="BC437" s="725" t="s">
        <v>3477</v>
      </c>
    </row>
    <row r="438" spans="55:55">
      <c r="BC438" s="725" t="s">
        <v>3478</v>
      </c>
    </row>
    <row r="439" spans="55:55">
      <c r="BC439" s="725" t="s">
        <v>3479</v>
      </c>
    </row>
    <row r="440" spans="55:55">
      <c r="BC440" s="725" t="s">
        <v>3480</v>
      </c>
    </row>
    <row r="441" spans="55:55">
      <c r="BC441" s="725" t="s">
        <v>3481</v>
      </c>
    </row>
    <row r="442" spans="55:55">
      <c r="BC442" s="725" t="s">
        <v>3482</v>
      </c>
    </row>
    <row r="443" spans="55:55">
      <c r="BC443" s="725" t="s">
        <v>212</v>
      </c>
    </row>
    <row r="444" spans="55:55">
      <c r="BC444" s="725" t="s">
        <v>3483</v>
      </c>
    </row>
    <row r="445" spans="55:55">
      <c r="BC445" s="725" t="s">
        <v>3484</v>
      </c>
    </row>
    <row r="446" spans="55:55">
      <c r="BC446" s="725" t="s">
        <v>3485</v>
      </c>
    </row>
    <row r="447" spans="55:55">
      <c r="BC447" s="725" t="s">
        <v>3486</v>
      </c>
    </row>
    <row r="448" spans="55:55">
      <c r="BC448" s="725" t="s">
        <v>3487</v>
      </c>
    </row>
    <row r="449" spans="55:55">
      <c r="BC449" s="725" t="s">
        <v>212</v>
      </c>
    </row>
    <row r="450" spans="55:55">
      <c r="BC450" s="725" t="s">
        <v>3488</v>
      </c>
    </row>
    <row r="451" spans="55:55">
      <c r="BC451" s="725" t="s">
        <v>3489</v>
      </c>
    </row>
    <row r="452" spans="55:55">
      <c r="BC452" s="725" t="s">
        <v>212</v>
      </c>
    </row>
    <row r="453" spans="55:55">
      <c r="BC453" s="725" t="s">
        <v>3490</v>
      </c>
    </row>
    <row r="454" spans="55:55">
      <c r="BC454" s="725" t="s">
        <v>3491</v>
      </c>
    </row>
    <row r="455" spans="55:55">
      <c r="BC455" s="725" t="s">
        <v>212</v>
      </c>
    </row>
    <row r="456" spans="55:55">
      <c r="BC456" s="725" t="s">
        <v>3492</v>
      </c>
    </row>
    <row r="457" spans="55:55">
      <c r="BC457" s="725" t="s">
        <v>3493</v>
      </c>
    </row>
    <row r="458" spans="55:55">
      <c r="BC458" s="725" t="s">
        <v>3494</v>
      </c>
    </row>
    <row r="459" spans="55:55">
      <c r="BC459" s="725" t="s">
        <v>3495</v>
      </c>
    </row>
    <row r="460" spans="55:55">
      <c r="BC460" s="725" t="s">
        <v>3496</v>
      </c>
    </row>
    <row r="461" spans="55:55">
      <c r="BC461" s="725" t="s">
        <v>3497</v>
      </c>
    </row>
    <row r="462" spans="55:55">
      <c r="BC462" s="725" t="s">
        <v>3498</v>
      </c>
    </row>
    <row r="463" spans="55:55">
      <c r="BC463" s="725" t="s">
        <v>3499</v>
      </c>
    </row>
    <row r="464" spans="55:55">
      <c r="BC464" s="725" t="s">
        <v>212</v>
      </c>
    </row>
    <row r="465" spans="55:55">
      <c r="BC465" s="725" t="s">
        <v>3500</v>
      </c>
    </row>
    <row r="466" spans="55:55">
      <c r="BC466" s="725" t="s">
        <v>3501</v>
      </c>
    </row>
    <row r="467" spans="55:55">
      <c r="BC467" s="725" t="s">
        <v>3461</v>
      </c>
    </row>
    <row r="468" spans="55:55">
      <c r="BC468" s="725" t="s">
        <v>212</v>
      </c>
    </row>
    <row r="469" spans="55:55">
      <c r="BC469" s="725" t="s">
        <v>3502</v>
      </c>
    </row>
    <row r="470" spans="55:55">
      <c r="BC470" s="725" t="s">
        <v>3503</v>
      </c>
    </row>
    <row r="471" spans="55:55">
      <c r="BC471" s="725" t="s">
        <v>3436</v>
      </c>
    </row>
    <row r="472" spans="55:55">
      <c r="BC472" s="725" t="s">
        <v>212</v>
      </c>
    </row>
    <row r="473" spans="55:55">
      <c r="BC473" s="725" t="s">
        <v>3504</v>
      </c>
    </row>
    <row r="474" spans="55:55">
      <c r="BC474" s="725" t="s">
        <v>3505</v>
      </c>
    </row>
    <row r="475" spans="55:55">
      <c r="BC475" s="725" t="s">
        <v>3506</v>
      </c>
    </row>
    <row r="476" spans="55:55">
      <c r="BC476" s="725" t="s">
        <v>3507</v>
      </c>
    </row>
    <row r="477" spans="55:55">
      <c r="BC477" s="725" t="s">
        <v>3508</v>
      </c>
    </row>
    <row r="478" spans="55:55">
      <c r="BC478" s="725" t="s">
        <v>3509</v>
      </c>
    </row>
    <row r="479" spans="55:55">
      <c r="BC479" s="725" t="s">
        <v>212</v>
      </c>
    </row>
    <row r="480" spans="55:55">
      <c r="BC480" s="725" t="s">
        <v>3510</v>
      </c>
    </row>
    <row r="481" spans="55:55">
      <c r="BC481" s="725" t="s">
        <v>3511</v>
      </c>
    </row>
    <row r="482" spans="55:55">
      <c r="BC482" s="725" t="s">
        <v>212</v>
      </c>
    </row>
    <row r="483" spans="55:55">
      <c r="BC483" s="725" t="s">
        <v>3512</v>
      </c>
    </row>
    <row r="484" spans="55:55">
      <c r="BC484" s="725" t="s">
        <v>3513</v>
      </c>
    </row>
    <row r="485" spans="55:55">
      <c r="BC485" s="725" t="s">
        <v>212</v>
      </c>
    </row>
    <row r="486" spans="55:55">
      <c r="BC486" s="725" t="s">
        <v>3514</v>
      </c>
    </row>
    <row r="487" spans="55:55">
      <c r="BC487" s="725" t="s">
        <v>3515</v>
      </c>
    </row>
    <row r="488" spans="55:55">
      <c r="BC488" s="725" t="s">
        <v>3516</v>
      </c>
    </row>
    <row r="489" spans="55:55">
      <c r="BC489" s="725" t="s">
        <v>3517</v>
      </c>
    </row>
    <row r="490" spans="55:55">
      <c r="BC490" s="788" t="s">
        <v>3518</v>
      </c>
    </row>
    <row r="491" spans="55:55">
      <c r="BC491" s="524" t="s">
        <v>303</v>
      </c>
    </row>
  </sheetData>
  <sheetProtection sheet="1" objects="1"/>
  <protectedRanges>
    <protectedRange sqref="M5:M7 H8:L8 G3:G8" name="技能表以上"/>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s>
  <phoneticPr fontId="203" type="noConversion"/>
  <conditionalFormatting sqref="S4:S12">
    <cfRule type="expression" dxfId="3" priority="1">
      <formula>"人物卡!$F$5=1"</formula>
    </cfRule>
  </conditionalFormatting>
  <conditionalFormatting sqref="AJ1">
    <cfRule type="expression" dxfId="2" priority="6">
      <formula>"人物卡!$F$5=1"</formula>
    </cfRule>
  </conditionalFormatting>
  <conditionalFormatting sqref="AK4:AK11">
    <cfRule type="expression" dxfId="1" priority="2">
      <formula>"人物卡!$F$5=1"</formula>
    </cfRule>
  </conditionalFormatting>
  <dataValidations count="120">
    <dataValidation errorStyle="warning" allowBlank="1" sqref="G14:O14" xr:uid="{00000000-0002-0000-0500-000000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500-000001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500-000002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500-000003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500-000004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500-000005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06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500-000007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500-000008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500-000009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500-00000A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500-00000B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500-00000C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500-00000D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500-00000E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500-00000F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500-000010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11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500-000012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500-00001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500-000014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500-000015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500-000016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500-00001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500-000018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500-000019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500-00001A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500-00001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500-00001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500-00001D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500-00001E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500-00001F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500-000020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500-000021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500-000022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23000000}"/>
    <dataValidation allowBlank="1" showInputMessage="1" showErrorMessage="1" promptTitle="Psychology (10%)" prompt="对所有人来说都很通用的察觉方面的技能，允许使用者研究个人并且形成对于其他某人动机和人格的了解。" sqref="X72" xr:uid="{00000000-0002-0000-0500-000024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500-000025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500-000026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500-000027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500-000028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500-000029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500-00002A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500-00002B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500-00002C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2D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500-00002E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500-00002F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500-000030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500-000031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500-000032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500-000033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500-000034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35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36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xr:uid="{00000000-0002-0000-0500-00003700000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xr:uid="{00000000-0002-0000-0500-000038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xr:uid="{00000000-0002-0000-0500-000039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xr:uid="{00000000-0002-0000-0500-00003A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3B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xr:uid="{00000000-0002-0000-0500-00003C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xr:uid="{00000000-0002-0000-0500-00003D000000}"/>
    <dataValidation allowBlank="1" showInputMessage="1" showErrorMessage="1" promptTitle="Whip (05%)" prompt="套索以及鞭子。" sqref="U220" xr:uid="{00000000-0002-0000-0500-00003E000000}"/>
    <dataValidation allowBlank="1" showInputMessage="1" showErrorMessage="1" promptTitle="Photography (05%)" prompt="（这里写不下了所以写进批注）" sqref="M221" xr:uid="{00000000-0002-0000-0500-00003F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40000000}"/>
    <dataValidation allowBlank="1" showInputMessage="1" showErrorMessage="1" promptTitle="Submachine Gun (15%)" prompt="当用任何自动手枪或者冲锋枪开火时使用这个技能；同样也用于突击步枪的全自动模式。" sqref="Q221" xr:uid="{00000000-0002-0000-0500-000041000000}"/>
    <dataValidation allowBlank="1" showInputMessage="1" showErrorMessage="1" promptTitle="Chainsaw (10%)" prompt="第一个以汽油为能源，大量生产的电锯出现于 1927 年；然而，也存在着一些早期版本。" sqref="U221" xr:uid="{00000000-0002-0000-0500-000042000000}"/>
    <dataValidation allowBlank="1" sqref="AB221 AB226:AB227" xr:uid="{00000000-0002-0000-0500-000043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xr:uid="{00000000-0002-0000-0500-000044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5000000}"/>
    <dataValidation allowBlank="1" showInputMessage="1" showErrorMessage="1" promptTitle="Bow (15%)" prompt="用来使用弓以及弩，包括从中世纪的长弓到现代，高性能的复合弓。" sqref="Q222" xr:uid="{00000000-0002-0000-0500-000046000000}"/>
    <dataValidation allowBlank="1" showInputMessage="1" showErrorMessage="1" promptTitle="Flail (10%)" prompt="双节棍，钉锤，以及相似的中世纪兵器。" sqref="U222" xr:uid="{00000000-0002-0000-0500-000047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8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49000000}"/>
    <dataValidation allowBlank="1" showInputMessage="1" showErrorMessage="1" promptTitle="Flamethrower (10%)" prompt="- 喷射出一连串点燃的可燃烧液体或者气体的武器。_x000a_- 可以被操作者携带或者架设在交通工具上。" sqref="Q223" xr:uid="{00000000-0002-0000-0500-00004A000000}"/>
    <dataValidation allowBlank="1" showInputMessage="1" showErrorMessage="1" promptTitle="Garrote (15%)" prompt="任何长度的材料被用于绞死对方。需要受害者进行一个战技检定来逃脱，否则就要遭受每轮 1D6 的伤害。" sqref="U223" xr:uid="{00000000-0002-0000-0500-00004B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4C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4D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xr:uid="{00000000-0002-0000-0500-00004E000000}"/>
    <dataValidation allowBlank="1" showInputMessage="1" showErrorMessage="1" promptTitle="Axe (15%)" prompt="- 当使用大型的木斧时使用这个技能。_x000a_- 短柄小斧则可以用基础的斗殴技能；_x000a_- 如果投掷出去，使用投掷技能。" sqref="U224" xr:uid="{00000000-0002-0000-0500-00004F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0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1000000}"/>
    <dataValidation allowBlank="1" showInputMessage="1" showErrorMessage="1" promptTitle="Heavy Weapons (10%)" prompt="用于使用枪榴弹发射器，反坦克火箭炮等等。" sqref="Q225" xr:uid="{00000000-0002-0000-0500-000052000000}"/>
    <dataValidation allowBlank="1" showInputMessage="1" showErrorMessage="1" promptTitle="Sword (20%)" prompt="所有的长度超过两英尺（半米）的剑器。" sqref="U225" xr:uid="{00000000-0002-0000-0500-000053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54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5000000}"/>
    <dataValidation allowBlank="1" showInputMessage="1" showErrorMessage="1" promptTitle="Spear (20%)" prompt="长枪或者投矛。如果投掷，使用投掷技能。" sqref="U226" xr:uid="{00000000-0002-0000-0500-000056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7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58000000}"/>
    <dataValidation allowBlank="1" showInputMessage="1" showErrorMessage="1" promptTitle="Hairdressing (05%)" prompt="理发师可以使用剪刀等工具帮他人理发，如果要给自己理发建议困难鉴定。该技能偏向于RP，请自行扮演。" sqref="M228" xr:uid="{00000000-0002-0000-0500-000059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5A000000}"/>
    <dataValidation allowBlank="1" showInputMessage="1" showErrorMessage="1" prompt="这是你所有资产加起来的总和。_x000a_包括房屋汽车家具等等等等。" sqref="Z228:AA228" xr:uid="{00000000-0002-0000-0500-00005B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5C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5D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5E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5F000000}"/>
    <dataValidation allowBlank="1" showInputMessage="1" showErrorMessage="1" promptTitle="提示" prompt="现金单位自行更换" sqref="Z230:AA230" xr:uid="{00000000-0002-0000-0500-000060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1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2000000}"/>
    <dataValidation allowBlank="1" showInputMessage="1" showErrorMessage="1" promptTitle="Fishing (05%)" prompt="技艺者可以使用鱼竿、鱼叉、渔网等工具进行捕鱼。大成功说不定能钓到美人鱼上钩喔。" sqref="M232" xr:uid="{00000000-0002-0000-0500-000063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4000000}"/>
    <dataValidation allowBlank="1" showInputMessage="1" showErrorMessage="1" promptTitle="Terracotta (05%)" prompt="使用者可以用来伪造陶瓷器，或者能理解某些陶瓷器的烧制过程。或许在某些时候（荒野求生）能有所帮助吧。" sqref="M234" xr:uid="{00000000-0002-0000-0500-000065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6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7000000}"/>
    <dataValidation allowBlank="1" showInputMessage="1" showErrorMessage="1" promptTitle="提示" prompt="以下汇率的时间为2018年10月" sqref="X236 Z241:AC241 AI253" xr:uid="{00000000-0002-0000-0500-000068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9000000}"/>
    <dataValidation allowBlank="1" showInputMessage="1" showErrorMessage="1" promptTitle="Technical Drawing (05%)" prompt="技术制图，主要是建筑师凭此设计建筑的说法（自行脑补，以下省略XX字）" sqref="M238" xr:uid="{00000000-0002-0000-0500-00006A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B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C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6D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6E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6F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0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1000000}"/>
    <dataValidation allowBlank="1" showErrorMessage="1" sqref="A153:A158 B152:B183 B197:B211" xr:uid="{00000000-0002-0000-0500-000072000000}"/>
    <dataValidation allowBlank="1" showInputMessage="1" showErrorMessage="1" sqref="S4:S12" xr:uid="{00000000-0002-0000-0500-000073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4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500-00007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showRowColHeaders="0" topLeftCell="A62" workbookViewId="0">
      <selection activeCell="F88" sqref="F88"/>
    </sheetView>
  </sheetViews>
  <sheetFormatPr defaultColWidth="8.5" defaultRowHeight="16.5"/>
  <cols>
    <col min="1" max="1" width="16.75" style="16" customWidth="1"/>
    <col min="2" max="12" width="8.5" style="16" customWidth="1"/>
    <col min="13" max="13" width="9" style="16" customWidth="1"/>
    <col min="14" max="14" width="8.5" style="16" customWidth="1"/>
    <col min="15" max="16384" width="8.5" style="16"/>
  </cols>
  <sheetData>
    <row r="2" spans="1:56" s="364" customFormat="1" ht="17.649999999999999" customHeight="1">
      <c r="A2" s="2356" t="s">
        <v>3519</v>
      </c>
      <c r="B2" s="2439" t="s">
        <v>3520</v>
      </c>
      <c r="C2" s="2440"/>
      <c r="D2" s="2440"/>
      <c r="E2" s="2440"/>
      <c r="F2" s="2440"/>
      <c r="G2" s="2440"/>
      <c r="H2" s="2440"/>
      <c r="I2" s="2440"/>
      <c r="J2" s="2440"/>
      <c r="K2" s="2440"/>
      <c r="L2" s="2441"/>
      <c r="M2" s="2358" t="s">
        <v>3521</v>
      </c>
      <c r="N2" s="1715" t="s">
        <v>3522</v>
      </c>
      <c r="O2" s="2442"/>
      <c r="P2" s="2442"/>
      <c r="Q2" s="2442"/>
      <c r="R2" s="2442"/>
      <c r="S2" s="2442"/>
      <c r="T2" s="2442"/>
      <c r="U2" s="2442"/>
      <c r="V2" s="2442"/>
      <c r="W2" s="2442"/>
      <c r="X2" s="2442"/>
      <c r="Y2" s="2442"/>
      <c r="Z2" s="2443"/>
    </row>
    <row r="3" spans="1:56" ht="17.25">
      <c r="A3" s="2357"/>
      <c r="B3" s="2411" t="s">
        <v>54</v>
      </c>
      <c r="C3" s="2412"/>
      <c r="D3" s="2412"/>
      <c r="E3" s="2417" t="s">
        <v>3523</v>
      </c>
      <c r="F3" s="2412"/>
      <c r="G3" s="2417" t="s">
        <v>2126</v>
      </c>
      <c r="H3" s="2412"/>
      <c r="I3" s="2417" t="s">
        <v>3524</v>
      </c>
      <c r="J3" s="2444"/>
      <c r="K3" s="2444"/>
      <c r="L3" s="2445"/>
      <c r="M3" s="2358"/>
      <c r="N3" s="498" t="s">
        <v>164</v>
      </c>
      <c r="O3" s="2446" t="s">
        <v>3525</v>
      </c>
      <c r="P3" s="2447"/>
      <c r="Q3" s="2447"/>
      <c r="R3" s="2447"/>
      <c r="S3" s="2447"/>
      <c r="T3" s="2447"/>
      <c r="U3" s="2447"/>
      <c r="V3" s="2447"/>
      <c r="W3" s="2447"/>
      <c r="X3" s="2447"/>
      <c r="Y3" s="2447"/>
      <c r="Z3" s="2448"/>
    </row>
    <row r="4" spans="1:56">
      <c r="A4" s="2357"/>
      <c r="B4" s="2430" t="s">
        <v>3258</v>
      </c>
      <c r="C4" s="2431"/>
      <c r="D4" s="2431"/>
      <c r="E4" s="2428" t="str">
        <f>IF($B4=附表!B213,"【←下拉框】",VLOOKUP($B4,附表!B95:K212,2,FALSE))</f>
        <v>【←下拉框】</v>
      </c>
      <c r="F4" s="2428"/>
      <c r="G4" s="2429" t="str">
        <f>IF($B4=附表!B213,"",VLOOKUP($B4,附表!B95:K212,3,FALSE))</f>
        <v/>
      </c>
      <c r="H4" s="2429"/>
      <c r="I4" s="2434" t="str">
        <f>IF($B4=附表!B213,"",VLOOKUP($B4,附表!B95:K212,4,FALSE))</f>
        <v/>
      </c>
      <c r="J4" s="2434"/>
      <c r="K4" s="2435"/>
      <c r="L4" s="2436"/>
      <c r="M4" s="2358"/>
      <c r="N4" s="499" t="s">
        <v>3526</v>
      </c>
      <c r="O4" s="2425" t="s">
        <v>3527</v>
      </c>
      <c r="P4" s="2425"/>
      <c r="Q4" s="2425"/>
      <c r="R4" s="2425"/>
      <c r="S4" s="2425"/>
      <c r="T4" s="2425"/>
      <c r="U4" s="2425"/>
      <c r="V4" s="2425"/>
      <c r="W4" s="2425"/>
      <c r="X4" s="2425"/>
      <c r="Y4" s="2425"/>
      <c r="Z4" s="2426"/>
      <c r="AP4" s="363"/>
      <c r="AQ4" s="363"/>
      <c r="AR4" s="363"/>
      <c r="AS4" s="363"/>
      <c r="AT4" s="363"/>
      <c r="AU4" s="363"/>
      <c r="AV4" s="363"/>
      <c r="AW4" s="363"/>
      <c r="AX4" s="363"/>
      <c r="AY4" s="363"/>
      <c r="AZ4" s="363"/>
      <c r="BA4" s="363"/>
      <c r="BB4" s="363"/>
      <c r="BC4" s="363"/>
      <c r="BD4" s="363"/>
    </row>
    <row r="5" spans="1:56">
      <c r="A5" s="2357"/>
      <c r="B5" s="2432"/>
      <c r="C5" s="2433"/>
      <c r="D5" s="2433"/>
      <c r="E5" s="2428"/>
      <c r="F5" s="2428"/>
      <c r="G5" s="2429"/>
      <c r="H5" s="2429"/>
      <c r="I5" s="2434"/>
      <c r="J5" s="2434"/>
      <c r="K5" s="2437"/>
      <c r="L5" s="2438"/>
      <c r="M5" s="2358"/>
      <c r="N5" s="500"/>
      <c r="O5" s="501"/>
      <c r="P5" s="501"/>
      <c r="Q5" s="501"/>
      <c r="R5" s="501"/>
      <c r="S5" s="501"/>
      <c r="T5" s="501"/>
      <c r="U5" s="501"/>
      <c r="V5" s="501"/>
      <c r="W5" s="501"/>
      <c r="X5" s="501"/>
      <c r="Y5" s="501"/>
      <c r="Z5" s="509"/>
      <c r="AP5" s="363"/>
      <c r="AQ5" s="363"/>
      <c r="AR5" s="363"/>
      <c r="AS5" s="363"/>
      <c r="AT5" s="363"/>
      <c r="AU5" s="363"/>
      <c r="AV5" s="363"/>
      <c r="AW5" s="363"/>
      <c r="AX5" s="363"/>
      <c r="AY5" s="363"/>
      <c r="AZ5" s="363"/>
      <c r="BA5" s="363"/>
      <c r="BB5" s="363"/>
      <c r="BC5" s="363"/>
      <c r="BD5" s="363"/>
    </row>
    <row r="6" spans="1:56">
      <c r="A6" s="2357"/>
      <c r="B6" s="2432"/>
      <c r="C6" s="2433"/>
      <c r="D6" s="2433"/>
      <c r="E6" s="2428"/>
      <c r="F6" s="2428"/>
      <c r="G6" s="2429"/>
      <c r="H6" s="2429"/>
      <c r="I6" s="2434"/>
      <c r="J6" s="2434"/>
      <c r="K6" s="2437"/>
      <c r="L6" s="2438"/>
      <c r="M6" s="2358"/>
      <c r="N6" s="502" t="s">
        <v>3528</v>
      </c>
      <c r="O6" s="2383" t="s">
        <v>3529</v>
      </c>
      <c r="P6" s="2383"/>
      <c r="Q6" s="2383"/>
      <c r="R6" s="2383"/>
      <c r="S6" s="2383"/>
      <c r="T6" s="2383"/>
      <c r="U6" s="2383"/>
      <c r="V6" s="2383"/>
      <c r="W6" s="2383"/>
      <c r="X6" s="2383"/>
      <c r="Y6" s="2383"/>
      <c r="Z6" s="2410"/>
      <c r="AP6" s="363"/>
      <c r="AQ6" s="363"/>
      <c r="AR6" s="363"/>
      <c r="AS6" s="363"/>
      <c r="AT6" s="363"/>
      <c r="AU6" s="363"/>
      <c r="AV6" s="363"/>
      <c r="AW6" s="363"/>
      <c r="AX6" s="363"/>
      <c r="AY6" s="363"/>
      <c r="AZ6" s="363"/>
      <c r="BA6" s="363"/>
      <c r="BB6" s="363"/>
      <c r="BC6" s="363"/>
      <c r="BD6" s="363"/>
    </row>
    <row r="7" spans="1:56">
      <c r="A7" s="2357"/>
      <c r="B7" s="2432"/>
      <c r="C7" s="2433"/>
      <c r="D7" s="2433"/>
      <c r="E7" s="2428"/>
      <c r="F7" s="2428"/>
      <c r="G7" s="2429"/>
      <c r="H7" s="2429"/>
      <c r="I7" s="2434"/>
      <c r="J7" s="2434"/>
      <c r="K7" s="2437"/>
      <c r="L7" s="2438"/>
      <c r="M7" s="2358"/>
      <c r="N7" s="504"/>
      <c r="O7" s="503"/>
      <c r="P7" s="503"/>
      <c r="Q7" s="503"/>
      <c r="R7" s="503"/>
      <c r="S7" s="503"/>
      <c r="T7" s="503"/>
      <c r="U7" s="503"/>
      <c r="V7" s="503"/>
      <c r="W7" s="503"/>
      <c r="X7" s="503"/>
      <c r="Y7" s="503"/>
      <c r="Z7" s="510"/>
      <c r="AP7" s="363"/>
      <c r="AQ7" s="363"/>
      <c r="AR7" s="363"/>
      <c r="AS7" s="363"/>
      <c r="AT7" s="363"/>
      <c r="AU7" s="363"/>
      <c r="AV7" s="363"/>
      <c r="AW7" s="363"/>
      <c r="AX7" s="363"/>
      <c r="AY7" s="363"/>
      <c r="AZ7" s="363"/>
      <c r="BA7" s="363"/>
      <c r="BB7" s="363"/>
      <c r="BC7" s="363"/>
      <c r="BD7" s="363"/>
    </row>
    <row r="8" spans="1:56">
      <c r="A8" s="2357"/>
      <c r="B8" s="2432"/>
      <c r="C8" s="2433"/>
      <c r="D8" s="2433"/>
      <c r="E8" s="2428"/>
      <c r="F8" s="2428"/>
      <c r="G8" s="2429"/>
      <c r="H8" s="2429"/>
      <c r="I8" s="2434"/>
      <c r="J8" s="2434"/>
      <c r="K8" s="2437"/>
      <c r="L8" s="2438"/>
      <c r="M8" s="2358"/>
      <c r="N8" s="502" t="s">
        <v>903</v>
      </c>
      <c r="O8" s="2383" t="s">
        <v>3530</v>
      </c>
      <c r="P8" s="2383"/>
      <c r="Q8" s="2383"/>
      <c r="R8" s="2383"/>
      <c r="S8" s="2383"/>
      <c r="T8" s="2383"/>
      <c r="U8" s="2383"/>
      <c r="V8" s="2383"/>
      <c r="W8" s="2383"/>
      <c r="X8" s="2383"/>
      <c r="Y8" s="2383"/>
      <c r="Z8" s="2410"/>
      <c r="AP8" s="363"/>
      <c r="AQ8" s="363"/>
      <c r="AR8" s="363"/>
      <c r="AS8" s="363"/>
      <c r="AT8" s="363"/>
      <c r="AU8" s="363"/>
      <c r="AV8" s="363"/>
      <c r="AW8" s="363"/>
      <c r="AX8" s="363"/>
      <c r="AY8" s="363"/>
      <c r="AZ8" s="363"/>
      <c r="BA8" s="363"/>
      <c r="BB8" s="363"/>
      <c r="BC8" s="363"/>
      <c r="BD8" s="363"/>
    </row>
    <row r="9" spans="1:56">
      <c r="A9" s="2357"/>
      <c r="B9" s="2432"/>
      <c r="C9" s="2433"/>
      <c r="D9" s="2433"/>
      <c r="E9" s="2428"/>
      <c r="F9" s="2428"/>
      <c r="G9" s="2429"/>
      <c r="H9" s="2429"/>
      <c r="I9" s="2434"/>
      <c r="J9" s="2434"/>
      <c r="K9" s="2437"/>
      <c r="L9" s="2438"/>
      <c r="M9" s="2358"/>
      <c r="N9" s="502"/>
      <c r="O9" s="505"/>
      <c r="P9" s="505"/>
      <c r="Q9" s="505"/>
      <c r="R9" s="505"/>
      <c r="S9" s="505"/>
      <c r="T9" s="505"/>
      <c r="U9" s="505"/>
      <c r="V9" s="505"/>
      <c r="W9" s="505"/>
      <c r="X9" s="505"/>
      <c r="Y9" s="505"/>
      <c r="Z9" s="511"/>
      <c r="AP9" s="363"/>
      <c r="AQ9" s="363"/>
      <c r="AR9" s="363"/>
      <c r="AS9" s="363"/>
      <c r="AT9" s="363"/>
      <c r="AU9" s="363"/>
      <c r="AV9" s="363"/>
      <c r="AW9" s="363"/>
      <c r="AX9" s="363"/>
      <c r="AY9" s="363"/>
      <c r="AZ9" s="363"/>
      <c r="BA9" s="363"/>
      <c r="BB9" s="363"/>
      <c r="BC9" s="363"/>
      <c r="BD9" s="363"/>
    </row>
    <row r="10" spans="1:56" ht="17.25">
      <c r="A10" s="2357"/>
      <c r="B10" s="2411" t="s">
        <v>2131</v>
      </c>
      <c r="C10" s="2412"/>
      <c r="D10" s="2416"/>
      <c r="E10" s="2412"/>
      <c r="F10" s="2412"/>
      <c r="G10" s="2412"/>
      <c r="H10" s="2412"/>
      <c r="I10" s="2417" t="s">
        <v>2129</v>
      </c>
      <c r="J10" s="2412"/>
      <c r="K10" s="2427" t="s">
        <v>2130</v>
      </c>
      <c r="L10" s="2413"/>
      <c r="M10" s="2358"/>
      <c r="N10" s="500" t="s">
        <v>3531</v>
      </c>
      <c r="O10" s="2383" t="s">
        <v>3532</v>
      </c>
      <c r="P10" s="2383"/>
      <c r="Q10" s="2383"/>
      <c r="R10" s="2383"/>
      <c r="S10" s="2383"/>
      <c r="T10" s="2383"/>
      <c r="U10" s="2383"/>
      <c r="V10" s="2383"/>
      <c r="W10" s="2383"/>
      <c r="X10" s="2383"/>
      <c r="Y10" s="2383"/>
      <c r="Z10" s="2410"/>
      <c r="AP10" s="363"/>
      <c r="AQ10" s="363"/>
      <c r="AR10" s="363"/>
      <c r="AS10" s="363"/>
      <c r="AT10" s="363"/>
      <c r="AU10" s="363"/>
      <c r="AV10" s="363"/>
      <c r="AW10" s="363"/>
      <c r="AX10" s="363"/>
      <c r="AY10" s="363"/>
      <c r="AZ10" s="363"/>
      <c r="BA10" s="363"/>
      <c r="BB10" s="363"/>
      <c r="BC10" s="363"/>
      <c r="BD10" s="363"/>
    </row>
    <row r="11" spans="1:56">
      <c r="A11" s="2357"/>
      <c r="B11" s="2419" t="str">
        <f>IF($B4=附表!B213,"",VLOOKUP($B4,附表!B95:K212,8,FALSE))</f>
        <v/>
      </c>
      <c r="C11" s="2420"/>
      <c r="D11" s="2421"/>
      <c r="E11" s="2420"/>
      <c r="F11" s="2420"/>
      <c r="G11" s="2420"/>
      <c r="H11" s="2420"/>
      <c r="I11" s="2309" t="str">
        <f>IF($B4=附表!B213,"",VLOOKUP($B4,附表!B95:K212,6,FALSE))</f>
        <v/>
      </c>
      <c r="J11" s="2309"/>
      <c r="K11" s="2310" t="str">
        <f>IF($B4=附表!B213,"",VLOOKUP($B4,附表!B95:K212,7,FALSE))</f>
        <v/>
      </c>
      <c r="L11" s="2311"/>
      <c r="M11" s="2358"/>
      <c r="N11" s="504"/>
      <c r="O11" s="503"/>
      <c r="P11" s="503"/>
      <c r="Q11" s="503"/>
      <c r="R11" s="503"/>
      <c r="S11" s="503"/>
      <c r="T11" s="503"/>
      <c r="U11" s="503"/>
      <c r="V11" s="503"/>
      <c r="W11" s="503"/>
      <c r="X11" s="503"/>
      <c r="Y11" s="503"/>
      <c r="Z11" s="510"/>
      <c r="AP11" s="363"/>
      <c r="AQ11" s="363"/>
      <c r="AR11" s="363"/>
      <c r="AS11" s="363"/>
      <c r="AT11" s="363"/>
      <c r="AU11" s="363"/>
      <c r="AV11" s="363"/>
      <c r="AW11" s="363"/>
      <c r="AX11" s="363"/>
      <c r="AY11" s="363"/>
      <c r="AZ11" s="363"/>
      <c r="BA11" s="363"/>
      <c r="BB11" s="363"/>
      <c r="BC11" s="363"/>
      <c r="BD11" s="363"/>
    </row>
    <row r="12" spans="1:56" ht="15.75" customHeight="1">
      <c r="A12" s="2357"/>
      <c r="B12" s="2419"/>
      <c r="C12" s="2420"/>
      <c r="D12" s="2421"/>
      <c r="E12" s="2420"/>
      <c r="F12" s="2420"/>
      <c r="G12" s="2420"/>
      <c r="H12" s="2420"/>
      <c r="I12" s="2309"/>
      <c r="J12" s="2309"/>
      <c r="K12" s="2310"/>
      <c r="L12" s="2311"/>
      <c r="M12" s="2358"/>
      <c r="N12" s="502" t="s">
        <v>3533</v>
      </c>
      <c r="O12" s="2383" t="s">
        <v>3534</v>
      </c>
      <c r="P12" s="2383"/>
      <c r="Q12" s="2383"/>
      <c r="R12" s="2383"/>
      <c r="S12" s="2383"/>
      <c r="T12" s="2383"/>
      <c r="U12" s="2383"/>
      <c r="V12" s="2383"/>
      <c r="W12" s="2383"/>
      <c r="X12" s="2383"/>
      <c r="Y12" s="2383"/>
      <c r="Z12" s="2410"/>
      <c r="AP12" s="363"/>
      <c r="AQ12" s="363"/>
      <c r="AR12" s="363"/>
      <c r="AS12" s="363"/>
      <c r="AT12" s="363"/>
      <c r="AU12" s="363"/>
      <c r="AV12" s="363"/>
      <c r="AW12" s="363"/>
      <c r="AX12" s="363"/>
      <c r="AY12" s="363"/>
      <c r="AZ12" s="363"/>
      <c r="BA12" s="363"/>
      <c r="BB12" s="363"/>
      <c r="BC12" s="363"/>
      <c r="BD12" s="363"/>
    </row>
    <row r="13" spans="1:56">
      <c r="A13" s="2357"/>
      <c r="B13" s="2419"/>
      <c r="C13" s="2420"/>
      <c r="D13" s="2421"/>
      <c r="E13" s="2420"/>
      <c r="F13" s="2420"/>
      <c r="G13" s="2420"/>
      <c r="H13" s="2420"/>
      <c r="I13" s="2309"/>
      <c r="J13" s="2309"/>
      <c r="K13" s="2310"/>
      <c r="L13" s="2311"/>
      <c r="M13" s="2358"/>
      <c r="N13" s="506"/>
      <c r="Z13" s="512"/>
      <c r="AP13" s="363"/>
      <c r="AQ13" s="363"/>
      <c r="AR13" s="363"/>
      <c r="AS13" s="363"/>
      <c r="AT13" s="363"/>
      <c r="AU13" s="363"/>
      <c r="AV13" s="363"/>
      <c r="AW13" s="363"/>
      <c r="AX13" s="363"/>
      <c r="AY13" s="363"/>
      <c r="AZ13" s="363"/>
      <c r="BA13" s="363"/>
      <c r="BB13" s="363"/>
      <c r="BC13" s="363"/>
      <c r="BD13" s="363"/>
    </row>
    <row r="14" spans="1:56">
      <c r="A14" s="2357"/>
      <c r="B14" s="2419"/>
      <c r="C14" s="2420"/>
      <c r="D14" s="2421"/>
      <c r="E14" s="2420"/>
      <c r="F14" s="2420"/>
      <c r="G14" s="2420"/>
      <c r="H14" s="2420"/>
      <c r="I14" s="2309"/>
      <c r="J14" s="2309"/>
      <c r="K14" s="2310"/>
      <c r="L14" s="2311"/>
      <c r="M14" s="2358"/>
      <c r="N14" s="2359" t="s">
        <v>3535</v>
      </c>
      <c r="O14" s="2383" t="s">
        <v>3536</v>
      </c>
      <c r="P14" s="2383"/>
      <c r="Q14" s="2383"/>
      <c r="R14" s="2383"/>
      <c r="S14" s="2383"/>
      <c r="T14" s="2383"/>
      <c r="U14" s="2383"/>
      <c r="V14" s="2383"/>
      <c r="W14" s="2383"/>
      <c r="X14" s="2383"/>
      <c r="Y14" s="2383"/>
      <c r="Z14" s="2410"/>
      <c r="AP14" s="363"/>
      <c r="AQ14" s="363"/>
      <c r="AR14" s="363"/>
      <c r="AS14" s="363"/>
      <c r="AT14" s="363"/>
      <c r="AU14" s="363"/>
      <c r="AV14" s="363"/>
      <c r="AW14" s="363"/>
      <c r="AX14" s="363"/>
      <c r="AY14" s="363"/>
      <c r="AZ14" s="363"/>
      <c r="BA14" s="363"/>
      <c r="BB14" s="363"/>
      <c r="BC14" s="363"/>
      <c r="BD14" s="363"/>
    </row>
    <row r="15" spans="1:56">
      <c r="A15" s="2357"/>
      <c r="B15" s="2419"/>
      <c r="C15" s="2420"/>
      <c r="D15" s="2421"/>
      <c r="E15" s="2420"/>
      <c r="F15" s="2420"/>
      <c r="G15" s="2420"/>
      <c r="H15" s="2420"/>
      <c r="I15" s="2309"/>
      <c r="J15" s="2309"/>
      <c r="K15" s="2310"/>
      <c r="L15" s="2311"/>
      <c r="M15" s="2358"/>
      <c r="N15" s="2359"/>
      <c r="O15" s="2383"/>
      <c r="P15" s="2383"/>
      <c r="Q15" s="2383"/>
      <c r="R15" s="2383"/>
      <c r="S15" s="2383"/>
      <c r="T15" s="2383"/>
      <c r="U15" s="2383"/>
      <c r="V15" s="2383"/>
      <c r="W15" s="2383"/>
      <c r="X15" s="2383"/>
      <c r="Y15" s="2383"/>
      <c r="Z15" s="2410"/>
      <c r="AP15" s="363"/>
      <c r="AQ15" s="363"/>
      <c r="AR15" s="363"/>
      <c r="AS15" s="363"/>
      <c r="AT15" s="363"/>
      <c r="AU15" s="363"/>
      <c r="AV15" s="363"/>
      <c r="AW15" s="363"/>
      <c r="AX15" s="363"/>
      <c r="AY15" s="363"/>
      <c r="AZ15" s="363"/>
      <c r="BA15" s="363"/>
      <c r="BB15" s="363"/>
      <c r="BC15" s="363"/>
      <c r="BD15" s="363"/>
    </row>
    <row r="16" spans="1:56">
      <c r="A16" s="2357"/>
      <c r="B16" s="2419"/>
      <c r="C16" s="2420"/>
      <c r="D16" s="2421"/>
      <c r="E16" s="2420"/>
      <c r="F16" s="2420"/>
      <c r="G16" s="2420"/>
      <c r="H16" s="2420"/>
      <c r="I16" s="2309"/>
      <c r="J16" s="2309"/>
      <c r="K16" s="2310"/>
      <c r="L16" s="2311"/>
      <c r="M16" s="2358"/>
      <c r="N16" s="506"/>
      <c r="Z16" s="512"/>
      <c r="AP16" s="363"/>
      <c r="AQ16" s="363"/>
      <c r="AR16" s="363"/>
      <c r="AS16" s="363"/>
      <c r="AT16" s="363"/>
      <c r="AU16" s="363"/>
      <c r="AV16" s="363"/>
      <c r="AW16" s="363"/>
      <c r="AX16" s="363"/>
      <c r="AY16" s="363"/>
      <c r="AZ16" s="363"/>
      <c r="BA16" s="363"/>
      <c r="BB16" s="363"/>
      <c r="BC16" s="363"/>
      <c r="BD16" s="363"/>
    </row>
    <row r="17" spans="1:56">
      <c r="A17" s="2357"/>
      <c r="B17" s="2419"/>
      <c r="C17" s="2420"/>
      <c r="D17" s="2421"/>
      <c r="E17" s="2420"/>
      <c r="F17" s="2420"/>
      <c r="G17" s="2420"/>
      <c r="H17" s="2420"/>
      <c r="I17" s="2309"/>
      <c r="J17" s="2309"/>
      <c r="K17" s="2310"/>
      <c r="L17" s="2311"/>
      <c r="M17" s="2358"/>
      <c r="N17" s="2359" t="s">
        <v>3537</v>
      </c>
      <c r="O17" s="2383" t="s">
        <v>3538</v>
      </c>
      <c r="P17" s="2383"/>
      <c r="Q17" s="2383"/>
      <c r="R17" s="2383"/>
      <c r="S17" s="2383"/>
      <c r="T17" s="2383"/>
      <c r="U17" s="2383"/>
      <c r="V17" s="2383"/>
      <c r="W17" s="2383"/>
      <c r="X17" s="2383"/>
      <c r="Y17" s="2383"/>
      <c r="Z17" s="2410"/>
      <c r="AP17" s="363"/>
      <c r="AQ17" s="363"/>
      <c r="AR17" s="363"/>
      <c r="AS17" s="363"/>
      <c r="AT17" s="363"/>
      <c r="AU17" s="363"/>
      <c r="AV17" s="363"/>
      <c r="AW17" s="363"/>
      <c r="AX17" s="363"/>
      <c r="AY17" s="363"/>
      <c r="AZ17" s="363"/>
      <c r="BA17" s="363"/>
      <c r="BB17" s="363"/>
      <c r="BC17" s="363"/>
      <c r="BD17" s="363"/>
    </row>
    <row r="18" spans="1:56">
      <c r="A18" s="2357"/>
      <c r="B18" s="2419"/>
      <c r="C18" s="2420"/>
      <c r="D18" s="2421"/>
      <c r="E18" s="2420"/>
      <c r="F18" s="2420"/>
      <c r="G18" s="2420"/>
      <c r="H18" s="2420"/>
      <c r="I18" s="2309"/>
      <c r="J18" s="2309"/>
      <c r="K18" s="2310"/>
      <c r="L18" s="2311"/>
      <c r="M18" s="2358"/>
      <c r="N18" s="2359"/>
      <c r="O18" s="2383"/>
      <c r="P18" s="2383"/>
      <c r="Q18" s="2383"/>
      <c r="R18" s="2383"/>
      <c r="S18" s="2383"/>
      <c r="T18" s="2383"/>
      <c r="U18" s="2383"/>
      <c r="V18" s="2383"/>
      <c r="W18" s="2383"/>
      <c r="X18" s="2383"/>
      <c r="Y18" s="2383"/>
      <c r="Z18" s="2410"/>
      <c r="AP18" s="363"/>
      <c r="AQ18" s="363"/>
      <c r="AR18" s="363"/>
      <c r="AS18" s="363"/>
      <c r="AT18" s="363"/>
      <c r="AU18" s="363"/>
      <c r="AV18" s="363"/>
      <c r="AW18" s="363"/>
      <c r="AX18" s="363"/>
      <c r="AY18" s="363"/>
      <c r="AZ18" s="363"/>
      <c r="BA18" s="363"/>
      <c r="BB18" s="363"/>
      <c r="BC18" s="363"/>
      <c r="BD18" s="363"/>
    </row>
    <row r="19" spans="1:56">
      <c r="A19" s="2357"/>
      <c r="B19" s="2419"/>
      <c r="C19" s="2420"/>
      <c r="D19" s="2421"/>
      <c r="E19" s="2420"/>
      <c r="F19" s="2420"/>
      <c r="G19" s="2420"/>
      <c r="H19" s="2420"/>
      <c r="I19" s="2309"/>
      <c r="J19" s="2309"/>
      <c r="K19" s="2310"/>
      <c r="L19" s="2311"/>
      <c r="M19" s="2358"/>
      <c r="N19" s="502"/>
      <c r="O19" s="505"/>
      <c r="P19" s="505"/>
      <c r="Q19" s="505"/>
      <c r="R19" s="505"/>
      <c r="S19" s="505"/>
      <c r="T19" s="505"/>
      <c r="U19" s="505"/>
      <c r="V19" s="505"/>
      <c r="W19" s="505"/>
      <c r="X19" s="505"/>
      <c r="Y19" s="505"/>
      <c r="Z19" s="511"/>
      <c r="AP19" s="363"/>
      <c r="AQ19" s="363"/>
      <c r="AR19" s="363"/>
      <c r="AS19" s="363"/>
      <c r="AT19" s="363"/>
      <c r="AU19" s="363"/>
      <c r="AV19" s="363"/>
      <c r="AW19" s="363"/>
      <c r="AX19" s="363"/>
      <c r="AY19" s="363"/>
      <c r="AZ19" s="363"/>
      <c r="BA19" s="363"/>
      <c r="BB19" s="363"/>
      <c r="BC19" s="363"/>
      <c r="BD19" s="363"/>
    </row>
    <row r="20" spans="1:56">
      <c r="A20" s="2357"/>
      <c r="B20" s="2419"/>
      <c r="C20" s="2420"/>
      <c r="D20" s="2421"/>
      <c r="E20" s="2420"/>
      <c r="F20" s="2420"/>
      <c r="G20" s="2420"/>
      <c r="H20" s="2420"/>
      <c r="I20" s="2309"/>
      <c r="J20" s="2309"/>
      <c r="K20" s="2310"/>
      <c r="L20" s="2311"/>
      <c r="M20" s="2358"/>
      <c r="N20" s="2359" t="s">
        <v>3539</v>
      </c>
      <c r="O20" s="2422" t="s">
        <v>3540</v>
      </c>
      <c r="P20" s="2423"/>
      <c r="Q20" s="2423"/>
      <c r="R20" s="2423"/>
      <c r="S20" s="2423"/>
      <c r="T20" s="2423"/>
      <c r="U20" s="2423"/>
      <c r="V20" s="2423"/>
      <c r="W20" s="2423"/>
      <c r="X20" s="2423"/>
      <c r="Y20" s="2423"/>
      <c r="Z20" s="2424"/>
      <c r="AP20" s="363"/>
      <c r="AQ20" s="363"/>
      <c r="AR20" s="363"/>
      <c r="AS20" s="363"/>
      <c r="AT20" s="363"/>
      <c r="AU20" s="363"/>
      <c r="AV20" s="363"/>
      <c r="AW20" s="363"/>
      <c r="AX20" s="363"/>
      <c r="AY20" s="363"/>
      <c r="AZ20" s="363"/>
      <c r="BA20" s="363"/>
      <c r="BB20" s="363"/>
      <c r="BC20" s="363"/>
      <c r="BD20" s="363"/>
    </row>
    <row r="21" spans="1:56">
      <c r="A21" s="2357"/>
      <c r="B21" s="2419"/>
      <c r="C21" s="2420"/>
      <c r="D21" s="2421"/>
      <c r="E21" s="2420"/>
      <c r="F21" s="2420"/>
      <c r="G21" s="2420"/>
      <c r="H21" s="2420"/>
      <c r="I21" s="2309"/>
      <c r="J21" s="2309"/>
      <c r="K21" s="2310"/>
      <c r="L21" s="2311"/>
      <c r="M21" s="2358"/>
      <c r="N21" s="2359"/>
      <c r="O21" s="2423"/>
      <c r="P21" s="2423"/>
      <c r="Q21" s="2423"/>
      <c r="R21" s="2423"/>
      <c r="S21" s="2423"/>
      <c r="T21" s="2423"/>
      <c r="U21" s="2423"/>
      <c r="V21" s="2423"/>
      <c r="W21" s="2423"/>
      <c r="X21" s="2423"/>
      <c r="Y21" s="2423"/>
      <c r="Z21" s="2424"/>
      <c r="AP21" s="363"/>
      <c r="AQ21" s="363"/>
      <c r="AR21" s="363"/>
      <c r="AS21" s="363"/>
      <c r="AT21" s="363"/>
      <c r="AU21" s="363"/>
      <c r="AV21" s="363"/>
      <c r="AW21" s="363"/>
      <c r="AX21" s="363"/>
      <c r="AY21" s="363"/>
      <c r="AZ21" s="363"/>
      <c r="BA21" s="363"/>
      <c r="BB21" s="363"/>
      <c r="BC21" s="363"/>
      <c r="BD21" s="363"/>
    </row>
    <row r="22" spans="1:56">
      <c r="A22" s="2357"/>
      <c r="B22" s="2419"/>
      <c r="C22" s="2420"/>
      <c r="D22" s="2421"/>
      <c r="E22" s="2420"/>
      <c r="F22" s="2420"/>
      <c r="G22" s="2420"/>
      <c r="H22" s="2420"/>
      <c r="I22" s="2309"/>
      <c r="J22" s="2309"/>
      <c r="K22" s="2310"/>
      <c r="L22" s="2311"/>
      <c r="M22" s="2358"/>
      <c r="N22" s="504"/>
      <c r="O22" s="503"/>
      <c r="P22" s="503"/>
      <c r="Q22" s="503"/>
      <c r="R22" s="503"/>
      <c r="S22" s="503"/>
      <c r="T22" s="503"/>
      <c r="U22" s="503"/>
      <c r="V22" s="503"/>
      <c r="W22" s="503"/>
      <c r="X22" s="503"/>
      <c r="Y22" s="503"/>
      <c r="Z22" s="510"/>
      <c r="AP22" s="363"/>
      <c r="AQ22" s="363"/>
      <c r="AR22" s="363"/>
      <c r="AS22" s="363"/>
      <c r="AT22" s="363"/>
      <c r="AU22" s="363"/>
      <c r="AV22" s="363"/>
      <c r="AW22" s="363"/>
      <c r="AX22" s="363"/>
      <c r="AY22" s="363"/>
      <c r="AZ22" s="363"/>
      <c r="BA22" s="363"/>
      <c r="BB22" s="363"/>
      <c r="BC22" s="363"/>
      <c r="BD22" s="363"/>
    </row>
    <row r="23" spans="1:56">
      <c r="A23" s="2357"/>
      <c r="B23" s="2419"/>
      <c r="C23" s="2420"/>
      <c r="D23" s="2421"/>
      <c r="E23" s="2420"/>
      <c r="F23" s="2420"/>
      <c r="G23" s="2420"/>
      <c r="H23" s="2420"/>
      <c r="I23" s="2309"/>
      <c r="J23" s="2309"/>
      <c r="K23" s="2310"/>
      <c r="L23" s="2311"/>
      <c r="M23" s="2358"/>
      <c r="N23" s="502" t="s">
        <v>3541</v>
      </c>
      <c r="O23" s="2383" t="s">
        <v>3542</v>
      </c>
      <c r="P23" s="2383"/>
      <c r="Q23" s="2383"/>
      <c r="R23" s="2383"/>
      <c r="S23" s="2383"/>
      <c r="T23" s="2383"/>
      <c r="U23" s="2383"/>
      <c r="V23" s="2383"/>
      <c r="W23" s="2383"/>
      <c r="X23" s="2383"/>
      <c r="Y23" s="2383"/>
      <c r="Z23" s="2410"/>
      <c r="AP23" s="363"/>
      <c r="AQ23" s="363"/>
      <c r="AR23" s="363"/>
      <c r="AS23" s="363"/>
      <c r="AT23" s="363"/>
      <c r="AU23" s="363"/>
      <c r="AV23" s="363"/>
      <c r="AW23" s="363"/>
      <c r="AX23" s="363"/>
      <c r="AY23" s="363"/>
      <c r="AZ23" s="363"/>
      <c r="BA23" s="363"/>
      <c r="BB23" s="363"/>
      <c r="BC23" s="363"/>
      <c r="BD23" s="363"/>
    </row>
    <row r="24" spans="1:56" ht="17.25">
      <c r="A24" s="363"/>
      <c r="B24" s="2411" t="s">
        <v>2132</v>
      </c>
      <c r="C24" s="2412"/>
      <c r="D24" s="2416"/>
      <c r="E24" s="2412"/>
      <c r="F24" s="2412"/>
      <c r="G24" s="2412"/>
      <c r="H24" s="2417" t="s">
        <v>2133</v>
      </c>
      <c r="I24" s="2412"/>
      <c r="J24" s="2412"/>
      <c r="K24" s="2418"/>
      <c r="L24" s="2413"/>
      <c r="M24" s="2358"/>
      <c r="N24" s="504"/>
      <c r="O24" s="503"/>
      <c r="P24" s="503"/>
      <c r="Q24" s="503"/>
      <c r="R24" s="503"/>
      <c r="S24" s="503"/>
      <c r="T24" s="503"/>
      <c r="U24" s="503"/>
      <c r="V24" s="503"/>
      <c r="W24" s="503"/>
      <c r="X24" s="503"/>
      <c r="Y24" s="503"/>
      <c r="Z24" s="510"/>
      <c r="AP24" s="363"/>
      <c r="AQ24" s="363"/>
      <c r="AR24" s="363"/>
      <c r="AS24" s="363"/>
      <c r="AT24" s="363"/>
      <c r="AU24" s="363"/>
      <c r="AV24" s="363"/>
      <c r="AW24" s="363"/>
      <c r="AX24" s="363"/>
      <c r="AY24" s="363"/>
      <c r="AZ24" s="363"/>
      <c r="BA24" s="363"/>
      <c r="BB24" s="363"/>
      <c r="BC24" s="363"/>
      <c r="BD24" s="363"/>
    </row>
    <row r="25" spans="1:56">
      <c r="A25" s="363"/>
      <c r="B25" s="2419" t="str">
        <f>IF($B4=附表!B213,"",VLOOKUP($B4,附表!B95:K212,9,FALSE))</f>
        <v/>
      </c>
      <c r="C25" s="2420"/>
      <c r="D25" s="2421"/>
      <c r="E25" s="2420"/>
      <c r="F25" s="2420"/>
      <c r="G25" s="2420"/>
      <c r="H25" s="2325" t="str">
        <f>IF($B4=附表!B213,"",VLOOKUP($B4,附表!B95:K212,10,FALSE))</f>
        <v/>
      </c>
      <c r="I25" s="2325"/>
      <c r="J25" s="2325"/>
      <c r="K25" s="2326"/>
      <c r="L25" s="2327"/>
      <c r="M25" s="507"/>
      <c r="N25" s="2359" t="s">
        <v>3543</v>
      </c>
      <c r="O25" s="2383" t="s">
        <v>3544</v>
      </c>
      <c r="P25" s="2383"/>
      <c r="Q25" s="2383"/>
      <c r="R25" s="2383"/>
      <c r="S25" s="2383"/>
      <c r="T25" s="2383"/>
      <c r="U25" s="2383"/>
      <c r="V25" s="2383"/>
      <c r="W25" s="2383"/>
      <c r="X25" s="2383"/>
      <c r="Y25" s="2383"/>
      <c r="Z25" s="2410"/>
      <c r="AP25" s="363"/>
      <c r="AQ25" s="363"/>
      <c r="AR25" s="363"/>
      <c r="AS25" s="363"/>
      <c r="AT25" s="363"/>
      <c r="AU25" s="363"/>
      <c r="AV25" s="363"/>
      <c r="AW25" s="363"/>
      <c r="AX25" s="363"/>
      <c r="AY25" s="363"/>
      <c r="AZ25" s="363"/>
      <c r="BA25" s="363"/>
      <c r="BB25" s="363"/>
      <c r="BC25" s="363"/>
      <c r="BD25" s="363"/>
    </row>
    <row r="26" spans="1:56">
      <c r="A26" s="363"/>
      <c r="B26" s="2419"/>
      <c r="C26" s="2420"/>
      <c r="D26" s="2420"/>
      <c r="E26" s="2420"/>
      <c r="F26" s="2420"/>
      <c r="G26" s="2420"/>
      <c r="H26" s="2325"/>
      <c r="I26" s="2325"/>
      <c r="J26" s="2325"/>
      <c r="K26" s="2325"/>
      <c r="L26" s="2327"/>
      <c r="M26" s="507"/>
      <c r="N26" s="2359"/>
      <c r="O26" s="2383"/>
      <c r="P26" s="2383"/>
      <c r="Q26" s="2383"/>
      <c r="R26" s="2383"/>
      <c r="S26" s="2383"/>
      <c r="T26" s="2383"/>
      <c r="U26" s="2383"/>
      <c r="V26" s="2383"/>
      <c r="W26" s="2383"/>
      <c r="X26" s="2383"/>
      <c r="Y26" s="2383"/>
      <c r="Z26" s="2410"/>
      <c r="AP26" s="363"/>
      <c r="AQ26" s="363"/>
      <c r="AR26" s="363"/>
      <c r="AS26" s="363"/>
      <c r="AT26" s="363"/>
      <c r="AU26" s="363"/>
      <c r="AV26" s="363"/>
      <c r="AW26" s="363"/>
      <c r="AX26" s="363"/>
      <c r="AY26" s="363"/>
      <c r="AZ26" s="363"/>
      <c r="BA26" s="363"/>
      <c r="BB26" s="363"/>
      <c r="BC26" s="363"/>
      <c r="BD26" s="363"/>
    </row>
    <row r="27" spans="1:56">
      <c r="A27" s="363"/>
      <c r="B27" s="2419"/>
      <c r="C27" s="2420"/>
      <c r="D27" s="2420"/>
      <c r="E27" s="2420"/>
      <c r="F27" s="2420"/>
      <c r="G27" s="2420"/>
      <c r="H27" s="2325"/>
      <c r="I27" s="2325"/>
      <c r="J27" s="2325"/>
      <c r="K27" s="2325"/>
      <c r="L27" s="2327"/>
      <c r="M27" s="507"/>
      <c r="N27" s="504"/>
      <c r="O27" s="503"/>
      <c r="P27" s="503"/>
      <c r="Q27" s="503"/>
      <c r="R27" s="503"/>
      <c r="S27" s="503"/>
      <c r="T27" s="503"/>
      <c r="U27" s="503"/>
      <c r="V27" s="503"/>
      <c r="W27" s="503"/>
      <c r="X27" s="503"/>
      <c r="Y27" s="503"/>
      <c r="Z27" s="510"/>
      <c r="AP27" s="363"/>
      <c r="AQ27" s="363"/>
      <c r="AR27" s="363"/>
      <c r="AS27" s="363"/>
      <c r="AT27" s="363"/>
      <c r="AU27" s="363"/>
      <c r="AV27" s="363"/>
      <c r="AW27" s="363"/>
      <c r="AX27" s="363"/>
      <c r="AY27" s="363"/>
      <c r="AZ27" s="363"/>
      <c r="BA27" s="363"/>
      <c r="BB27" s="363"/>
      <c r="BC27" s="363"/>
      <c r="BD27" s="363"/>
    </row>
    <row r="28" spans="1:56">
      <c r="A28" s="363"/>
      <c r="B28" s="2419"/>
      <c r="C28" s="2420"/>
      <c r="D28" s="2420"/>
      <c r="E28" s="2420"/>
      <c r="F28" s="2420"/>
      <c r="G28" s="2420"/>
      <c r="H28" s="2325"/>
      <c r="I28" s="2325"/>
      <c r="J28" s="2325"/>
      <c r="K28" s="2325"/>
      <c r="L28" s="2327"/>
      <c r="M28" s="507"/>
      <c r="N28" s="502" t="s">
        <v>3545</v>
      </c>
      <c r="O28" s="2383" t="s">
        <v>3546</v>
      </c>
      <c r="P28" s="2383"/>
      <c r="Q28" s="2383"/>
      <c r="R28" s="2383"/>
      <c r="S28" s="2383"/>
      <c r="T28" s="2383"/>
      <c r="U28" s="2383"/>
      <c r="V28" s="2383"/>
      <c r="W28" s="2383"/>
      <c r="X28" s="2383"/>
      <c r="Y28" s="2383"/>
      <c r="Z28" s="2410"/>
      <c r="AP28" s="363"/>
      <c r="AQ28" s="363"/>
      <c r="AR28" s="363"/>
      <c r="AS28" s="363"/>
      <c r="AT28" s="363"/>
      <c r="AU28" s="363"/>
      <c r="AV28" s="363"/>
      <c r="AW28" s="363"/>
      <c r="AX28" s="363"/>
      <c r="AY28" s="363"/>
      <c r="AZ28" s="363"/>
      <c r="BA28" s="363"/>
      <c r="BB28" s="363"/>
      <c r="BC28" s="363"/>
      <c r="BD28" s="363"/>
    </row>
    <row r="29" spans="1:56">
      <c r="A29" s="363"/>
      <c r="B29" s="2419"/>
      <c r="C29" s="2420"/>
      <c r="D29" s="2420"/>
      <c r="E29" s="2420"/>
      <c r="F29" s="2420"/>
      <c r="G29" s="2420"/>
      <c r="H29" s="2325"/>
      <c r="I29" s="2325"/>
      <c r="J29" s="2325"/>
      <c r="K29" s="2325"/>
      <c r="L29" s="2327"/>
      <c r="M29" s="507"/>
      <c r="N29" s="504"/>
      <c r="O29" s="503"/>
      <c r="P29" s="503"/>
      <c r="Q29" s="503"/>
      <c r="R29" s="503"/>
      <c r="S29" s="503"/>
      <c r="T29" s="503"/>
      <c r="U29" s="503"/>
      <c r="V29" s="503"/>
      <c r="W29" s="503"/>
      <c r="X29" s="503"/>
      <c r="Y29" s="503"/>
      <c r="Z29" s="510"/>
      <c r="AP29" s="363"/>
      <c r="AQ29" s="363"/>
      <c r="AR29" s="363"/>
      <c r="AS29" s="363"/>
      <c r="AT29" s="363"/>
      <c r="AU29" s="363"/>
      <c r="AV29" s="363"/>
      <c r="AW29" s="363"/>
      <c r="AX29" s="363"/>
      <c r="AY29" s="363"/>
      <c r="AZ29" s="363"/>
      <c r="BA29" s="363"/>
      <c r="BB29" s="363"/>
      <c r="BC29" s="363"/>
      <c r="BD29" s="363"/>
    </row>
    <row r="30" spans="1:56">
      <c r="A30" s="363"/>
      <c r="B30" s="2419"/>
      <c r="C30" s="2420"/>
      <c r="D30" s="2420"/>
      <c r="E30" s="2420"/>
      <c r="F30" s="2420"/>
      <c r="G30" s="2420"/>
      <c r="H30" s="2325"/>
      <c r="I30" s="2325"/>
      <c r="J30" s="2325"/>
      <c r="K30" s="2325"/>
      <c r="L30" s="2327"/>
      <c r="M30" s="507"/>
      <c r="N30" s="502" t="s">
        <v>3547</v>
      </c>
      <c r="O30" s="2383" t="s">
        <v>3548</v>
      </c>
      <c r="P30" s="2383"/>
      <c r="Q30" s="2383"/>
      <c r="R30" s="2383"/>
      <c r="S30" s="2383"/>
      <c r="T30" s="2383"/>
      <c r="U30" s="2383"/>
      <c r="V30" s="2383"/>
      <c r="W30" s="2383"/>
      <c r="X30" s="2383"/>
      <c r="Y30" s="2383"/>
      <c r="Z30" s="2410"/>
      <c r="AP30" s="363"/>
      <c r="AQ30" s="363"/>
      <c r="AR30" s="363"/>
      <c r="AS30" s="363"/>
      <c r="AT30" s="363"/>
      <c r="AU30" s="363"/>
      <c r="AV30" s="363"/>
      <c r="AW30" s="363"/>
      <c r="AX30" s="363"/>
      <c r="AY30" s="363"/>
      <c r="AZ30" s="363"/>
      <c r="BA30" s="363"/>
      <c r="BB30" s="363"/>
      <c r="BC30" s="363"/>
      <c r="BD30" s="363"/>
    </row>
    <row r="31" spans="1:56">
      <c r="A31" s="363"/>
      <c r="B31" s="2419"/>
      <c r="C31" s="2420"/>
      <c r="D31" s="2420"/>
      <c r="E31" s="2420"/>
      <c r="F31" s="2420"/>
      <c r="G31" s="2420"/>
      <c r="H31" s="2325"/>
      <c r="I31" s="2325"/>
      <c r="J31" s="2325"/>
      <c r="K31" s="2325"/>
      <c r="L31" s="2327"/>
      <c r="M31" s="507"/>
      <c r="N31" s="502"/>
      <c r="O31" s="503"/>
      <c r="P31" s="503"/>
      <c r="Q31" s="503"/>
      <c r="R31" s="503"/>
      <c r="S31" s="503"/>
      <c r="T31" s="503"/>
      <c r="U31" s="503"/>
      <c r="V31" s="503"/>
      <c r="W31" s="503"/>
      <c r="X31" s="503"/>
      <c r="Y31" s="503"/>
      <c r="Z31" s="510"/>
      <c r="AP31" s="363"/>
      <c r="AQ31" s="363"/>
      <c r="AR31" s="363"/>
      <c r="AS31" s="363"/>
      <c r="AT31" s="363"/>
      <c r="AU31" s="363"/>
      <c r="AV31" s="363"/>
      <c r="AW31" s="363"/>
      <c r="AX31" s="363"/>
      <c r="AY31" s="363"/>
      <c r="AZ31" s="363"/>
      <c r="BA31" s="363"/>
      <c r="BB31" s="363"/>
      <c r="BC31" s="363"/>
      <c r="BD31" s="363"/>
    </row>
    <row r="32" spans="1:56">
      <c r="A32" s="363"/>
      <c r="B32" s="2419"/>
      <c r="C32" s="2420"/>
      <c r="D32" s="2420"/>
      <c r="E32" s="2420"/>
      <c r="F32" s="2420"/>
      <c r="G32" s="2420"/>
      <c r="H32" s="2325"/>
      <c r="I32" s="2325"/>
      <c r="J32" s="2325"/>
      <c r="K32" s="2325"/>
      <c r="L32" s="2327"/>
      <c r="M32" s="507"/>
      <c r="N32" s="502" t="s">
        <v>3549</v>
      </c>
      <c r="O32" s="2383" t="s">
        <v>3550</v>
      </c>
      <c r="P32" s="2383"/>
      <c r="Q32" s="2383"/>
      <c r="R32" s="2383"/>
      <c r="S32" s="2383"/>
      <c r="T32" s="2383"/>
      <c r="U32" s="2383"/>
      <c r="V32" s="2383"/>
      <c r="W32" s="2383"/>
      <c r="X32" s="2383"/>
      <c r="Y32" s="2383"/>
      <c r="Z32" s="2410"/>
      <c r="AP32" s="363"/>
      <c r="AQ32" s="363"/>
      <c r="AR32" s="363"/>
      <c r="AS32" s="363"/>
      <c r="AT32" s="363"/>
      <c r="AU32" s="363"/>
      <c r="AV32" s="363"/>
      <c r="AW32" s="363"/>
      <c r="AX32" s="363"/>
      <c r="AY32" s="363"/>
      <c r="AZ32" s="363"/>
      <c r="BA32" s="363"/>
      <c r="BB32" s="363"/>
      <c r="BC32" s="363"/>
      <c r="BD32" s="363"/>
    </row>
    <row r="33" spans="1:56">
      <c r="A33" s="363"/>
      <c r="B33" s="2419"/>
      <c r="C33" s="2420"/>
      <c r="D33" s="2420"/>
      <c r="E33" s="2420"/>
      <c r="F33" s="2420"/>
      <c r="G33" s="2420"/>
      <c r="H33" s="2325"/>
      <c r="I33" s="2325"/>
      <c r="J33" s="2325"/>
      <c r="K33" s="2325"/>
      <c r="L33" s="2327"/>
      <c r="M33" s="507"/>
      <c r="N33" s="502"/>
      <c r="O33" s="505"/>
      <c r="P33" s="505"/>
      <c r="Q33" s="505"/>
      <c r="R33" s="505"/>
      <c r="S33" s="505"/>
      <c r="T33" s="505"/>
      <c r="U33" s="505"/>
      <c r="V33" s="505"/>
      <c r="W33" s="505"/>
      <c r="X33" s="505"/>
      <c r="Y33" s="505"/>
      <c r="Z33" s="511"/>
      <c r="AP33" s="363"/>
      <c r="AQ33" s="363"/>
      <c r="AR33" s="363"/>
      <c r="AS33" s="363"/>
      <c r="AT33" s="363"/>
      <c r="AU33" s="363"/>
      <c r="AV33" s="363"/>
      <c r="AW33" s="363"/>
      <c r="AX33" s="363"/>
      <c r="AY33" s="363"/>
      <c r="AZ33" s="363"/>
      <c r="BA33" s="363"/>
      <c r="BB33" s="363"/>
      <c r="BC33" s="363"/>
      <c r="BD33" s="363"/>
    </row>
    <row r="34" spans="1:56">
      <c r="A34" s="363"/>
      <c r="B34" s="2419"/>
      <c r="C34" s="2420"/>
      <c r="D34" s="2420"/>
      <c r="E34" s="2420"/>
      <c r="F34" s="2420"/>
      <c r="G34" s="2420"/>
      <c r="H34" s="2325"/>
      <c r="I34" s="2325"/>
      <c r="J34" s="2325"/>
      <c r="K34" s="2325"/>
      <c r="L34" s="2327"/>
      <c r="M34" s="507"/>
      <c r="N34" s="502" t="s">
        <v>3551</v>
      </c>
      <c r="O34" s="2383" t="s">
        <v>3552</v>
      </c>
      <c r="P34" s="2383"/>
      <c r="Q34" s="2383"/>
      <c r="R34" s="2383"/>
      <c r="S34" s="2383"/>
      <c r="T34" s="2383"/>
      <c r="U34" s="2383"/>
      <c r="V34" s="2383"/>
      <c r="W34" s="2383"/>
      <c r="X34" s="2383"/>
      <c r="Y34" s="2383"/>
      <c r="Z34" s="2410"/>
      <c r="AP34" s="363"/>
      <c r="AQ34" s="363"/>
      <c r="AR34" s="363"/>
      <c r="AS34" s="363"/>
      <c r="AT34" s="363"/>
      <c r="AU34" s="363"/>
      <c r="AV34" s="363"/>
      <c r="AW34" s="363"/>
      <c r="AX34" s="363"/>
      <c r="AY34" s="363"/>
      <c r="AZ34" s="363"/>
      <c r="BA34" s="363"/>
      <c r="BB34" s="363"/>
      <c r="BC34" s="363"/>
      <c r="BD34" s="363"/>
    </row>
    <row r="35" spans="1:56">
      <c r="A35" s="363"/>
      <c r="B35" s="2419"/>
      <c r="C35" s="2420"/>
      <c r="D35" s="2420"/>
      <c r="E35" s="2420"/>
      <c r="F35" s="2420"/>
      <c r="G35" s="2420"/>
      <c r="H35" s="2325"/>
      <c r="I35" s="2325"/>
      <c r="J35" s="2325"/>
      <c r="K35" s="2325"/>
      <c r="L35" s="2327"/>
      <c r="M35" s="507"/>
      <c r="N35" s="2359"/>
      <c r="O35" s="2383"/>
      <c r="P35" s="2383"/>
      <c r="Q35" s="2383"/>
      <c r="R35" s="2383"/>
      <c r="S35" s="2383"/>
      <c r="T35" s="2383"/>
      <c r="U35" s="2383"/>
      <c r="V35" s="2383"/>
      <c r="W35" s="2383"/>
      <c r="X35" s="2383"/>
      <c r="Y35" s="2383"/>
      <c r="Z35" s="2410"/>
      <c r="AP35" s="363"/>
      <c r="AQ35" s="363"/>
      <c r="AR35" s="363"/>
      <c r="AS35" s="363"/>
      <c r="AT35" s="363"/>
      <c r="AU35" s="363"/>
      <c r="AV35" s="363"/>
      <c r="AW35" s="363"/>
      <c r="AX35" s="363"/>
      <c r="AY35" s="363"/>
      <c r="AZ35" s="363"/>
      <c r="BA35" s="363"/>
      <c r="BB35" s="363"/>
      <c r="BC35" s="363"/>
      <c r="BD35" s="363"/>
    </row>
    <row r="36" spans="1:56">
      <c r="A36" s="363"/>
      <c r="B36" s="2419"/>
      <c r="C36" s="2420"/>
      <c r="D36" s="2420"/>
      <c r="E36" s="2420"/>
      <c r="F36" s="2420"/>
      <c r="G36" s="2420"/>
      <c r="H36" s="2325"/>
      <c r="I36" s="2325"/>
      <c r="J36" s="2325"/>
      <c r="K36" s="2325"/>
      <c r="L36" s="2327"/>
      <c r="M36" s="507"/>
      <c r="N36" s="2359" t="s">
        <v>3553</v>
      </c>
      <c r="O36" s="2383" t="s">
        <v>3554</v>
      </c>
      <c r="P36" s="2383"/>
      <c r="Q36" s="2383"/>
      <c r="R36" s="2383"/>
      <c r="S36" s="2383"/>
      <c r="T36" s="2383"/>
      <c r="U36" s="2383"/>
      <c r="V36" s="2383"/>
      <c r="W36" s="2383"/>
      <c r="X36" s="2383"/>
      <c r="Y36" s="2383"/>
      <c r="Z36" s="2410"/>
      <c r="AP36" s="363"/>
      <c r="AQ36" s="363"/>
      <c r="AR36" s="363"/>
      <c r="AS36" s="363"/>
      <c r="AT36" s="363"/>
      <c r="AU36" s="363"/>
      <c r="AV36" s="363"/>
      <c r="AW36" s="363"/>
      <c r="AX36" s="363"/>
      <c r="AY36" s="363"/>
      <c r="AZ36" s="363"/>
      <c r="BA36" s="363"/>
      <c r="BB36" s="363"/>
      <c r="BC36" s="363"/>
      <c r="BD36" s="363"/>
    </row>
    <row r="37" spans="1:56">
      <c r="A37" s="363"/>
      <c r="B37" s="2419"/>
      <c r="C37" s="2420"/>
      <c r="D37" s="2420"/>
      <c r="E37" s="2420"/>
      <c r="F37" s="2420"/>
      <c r="G37" s="2420"/>
      <c r="H37" s="2325"/>
      <c r="I37" s="2325"/>
      <c r="J37" s="2325"/>
      <c r="K37" s="2325"/>
      <c r="L37" s="2327"/>
      <c r="M37" s="507"/>
      <c r="N37" s="2359"/>
      <c r="O37" s="2383"/>
      <c r="P37" s="2383"/>
      <c r="Q37" s="2383"/>
      <c r="R37" s="2383"/>
      <c r="S37" s="2383"/>
      <c r="T37" s="2383"/>
      <c r="U37" s="2383"/>
      <c r="V37" s="2383"/>
      <c r="W37" s="2383"/>
      <c r="X37" s="2383"/>
      <c r="Y37" s="2383"/>
      <c r="Z37" s="2410"/>
      <c r="AP37" s="363"/>
      <c r="AQ37" s="363"/>
      <c r="AR37" s="363"/>
      <c r="AS37" s="363"/>
      <c r="AT37" s="363"/>
      <c r="AU37" s="363"/>
      <c r="AV37" s="363"/>
      <c r="AW37" s="363"/>
      <c r="AX37" s="363"/>
      <c r="AY37" s="363"/>
      <c r="AZ37" s="363"/>
      <c r="BA37" s="363"/>
      <c r="BB37" s="363"/>
      <c r="BC37" s="363"/>
      <c r="BD37" s="363"/>
    </row>
    <row r="38" spans="1:56">
      <c r="A38" s="363"/>
      <c r="B38" s="2419"/>
      <c r="C38" s="2420"/>
      <c r="D38" s="2420"/>
      <c r="E38" s="2420"/>
      <c r="F38" s="2420"/>
      <c r="G38" s="2420"/>
      <c r="H38" s="2325"/>
      <c r="I38" s="2325"/>
      <c r="J38" s="2325"/>
      <c r="K38" s="2325"/>
      <c r="L38" s="2327"/>
      <c r="M38" s="507"/>
      <c r="N38" s="2359"/>
      <c r="O38" s="2383"/>
      <c r="P38" s="2383"/>
      <c r="Q38" s="2383"/>
      <c r="R38" s="2383"/>
      <c r="S38" s="2383"/>
      <c r="T38" s="2383"/>
      <c r="U38" s="2383"/>
      <c r="V38" s="2383"/>
      <c r="W38" s="2383"/>
      <c r="X38" s="2383"/>
      <c r="Y38" s="2383"/>
      <c r="Z38" s="2410"/>
      <c r="AP38" s="363"/>
      <c r="AQ38" s="363"/>
      <c r="AR38" s="363"/>
      <c r="AS38" s="363"/>
      <c r="AT38" s="363"/>
      <c r="AU38" s="363"/>
      <c r="AV38" s="363"/>
      <c r="AW38" s="363"/>
      <c r="AX38" s="363"/>
      <c r="AY38" s="363"/>
      <c r="AZ38" s="363"/>
      <c r="BA38" s="363"/>
      <c r="BB38" s="363"/>
      <c r="BC38" s="363"/>
      <c r="BD38" s="363"/>
    </row>
    <row r="39" spans="1:56" ht="17.25">
      <c r="A39" s="363"/>
      <c r="B39" s="2411" t="s">
        <v>3555</v>
      </c>
      <c r="C39" s="2412"/>
      <c r="D39" s="2412"/>
      <c r="E39" s="2412"/>
      <c r="F39" s="2412"/>
      <c r="G39" s="2412"/>
      <c r="H39" s="2412"/>
      <c r="I39" s="2412"/>
      <c r="J39" s="2412"/>
      <c r="K39" s="2412"/>
      <c r="L39" s="2413"/>
      <c r="M39" s="507"/>
      <c r="N39" s="2359" t="s">
        <v>3556</v>
      </c>
      <c r="O39" s="2383" t="s">
        <v>3557</v>
      </c>
      <c r="P39" s="2384"/>
      <c r="Q39" s="2384"/>
      <c r="R39" s="2384"/>
      <c r="S39" s="2384"/>
      <c r="T39" s="2384"/>
      <c r="U39" s="2384"/>
      <c r="V39" s="2384"/>
      <c r="W39" s="2384"/>
      <c r="X39" s="2384"/>
      <c r="Y39" s="2384"/>
      <c r="Z39" s="2385"/>
      <c r="AP39" s="363"/>
      <c r="AQ39" s="363"/>
      <c r="AR39" s="363"/>
      <c r="AS39" s="363"/>
      <c r="AT39" s="363"/>
      <c r="AU39" s="363"/>
      <c r="AV39" s="363"/>
      <c r="AW39" s="363"/>
      <c r="AX39" s="363"/>
      <c r="AY39" s="363"/>
      <c r="AZ39" s="363"/>
      <c r="BA39" s="363"/>
      <c r="BB39" s="363"/>
      <c r="BC39" s="363"/>
      <c r="BD39" s="363"/>
    </row>
    <row r="40" spans="1:56">
      <c r="A40" s="363"/>
      <c r="B40" s="2386" t="str">
        <f>IF($B4=附表!B213,"",VLOOKUP($B4,附表!B95:K212,5,FALSE))</f>
        <v/>
      </c>
      <c r="C40" s="2387"/>
      <c r="D40" s="2387"/>
      <c r="E40" s="2387"/>
      <c r="F40" s="2387"/>
      <c r="G40" s="2387"/>
      <c r="H40" s="2387"/>
      <c r="I40" s="2387"/>
      <c r="J40" s="2387"/>
      <c r="K40" s="2387"/>
      <c r="L40" s="2388"/>
      <c r="M40" s="507"/>
      <c r="N40" s="2359"/>
      <c r="O40" s="2384"/>
      <c r="P40" s="2384"/>
      <c r="Q40" s="2384"/>
      <c r="R40" s="2384"/>
      <c r="S40" s="2384"/>
      <c r="T40" s="2384"/>
      <c r="U40" s="2384"/>
      <c r="V40" s="2384"/>
      <c r="W40" s="2384"/>
      <c r="X40" s="2384"/>
      <c r="Y40" s="2384"/>
      <c r="Z40" s="2385"/>
      <c r="AP40" s="363"/>
      <c r="AQ40" s="363"/>
      <c r="AR40" s="363"/>
      <c r="AS40" s="363"/>
      <c r="AT40" s="363"/>
      <c r="AU40" s="363"/>
      <c r="AV40" s="363"/>
      <c r="AW40" s="363"/>
      <c r="AX40" s="363"/>
      <c r="AY40" s="363"/>
      <c r="AZ40" s="363"/>
      <c r="BA40" s="363"/>
      <c r="BB40" s="363"/>
      <c r="BC40" s="363"/>
      <c r="BD40" s="363"/>
    </row>
    <row r="41" spans="1:56">
      <c r="A41" s="363"/>
      <c r="B41" s="2389"/>
      <c r="C41" s="2390"/>
      <c r="D41" s="2390"/>
      <c r="E41" s="2390"/>
      <c r="F41" s="2390"/>
      <c r="G41" s="2390"/>
      <c r="H41" s="2390"/>
      <c r="I41" s="2390"/>
      <c r="J41" s="2390"/>
      <c r="K41" s="2390"/>
      <c r="L41" s="2391"/>
      <c r="M41" s="507"/>
      <c r="N41" s="2359"/>
      <c r="O41" s="2383"/>
      <c r="P41" s="2383"/>
      <c r="Q41" s="2383"/>
      <c r="R41" s="2383"/>
      <c r="S41" s="2383"/>
      <c r="T41" s="2383"/>
      <c r="U41" s="2383"/>
      <c r="V41" s="2383"/>
      <c r="W41" s="2383"/>
      <c r="X41" s="2383"/>
      <c r="Y41" s="2383"/>
      <c r="Z41" s="2410"/>
      <c r="AP41" s="363"/>
      <c r="AQ41" s="363"/>
      <c r="AR41" s="363"/>
      <c r="AS41" s="363"/>
      <c r="AT41" s="363"/>
      <c r="AU41" s="363"/>
      <c r="AV41" s="363"/>
      <c r="AW41" s="363"/>
      <c r="AX41" s="363"/>
      <c r="AY41" s="363"/>
      <c r="AZ41" s="363"/>
      <c r="BA41" s="363"/>
      <c r="BB41" s="363"/>
      <c r="BC41" s="363"/>
      <c r="BD41" s="363"/>
    </row>
    <row r="42" spans="1:56">
      <c r="A42" s="363"/>
      <c r="B42" s="2389"/>
      <c r="C42" s="2390"/>
      <c r="D42" s="2390"/>
      <c r="E42" s="2390"/>
      <c r="F42" s="2390"/>
      <c r="G42" s="2390"/>
      <c r="H42" s="2390"/>
      <c r="I42" s="2390"/>
      <c r="J42" s="2390"/>
      <c r="K42" s="2390"/>
      <c r="L42" s="2391"/>
      <c r="M42" s="507"/>
      <c r="N42" s="504"/>
      <c r="O42" s="503"/>
      <c r="P42" s="503"/>
      <c r="Q42" s="503"/>
      <c r="R42" s="503"/>
      <c r="S42" s="503"/>
      <c r="T42" s="503"/>
      <c r="U42" s="503"/>
      <c r="V42" s="503"/>
      <c r="W42" s="503"/>
      <c r="X42" s="503"/>
      <c r="Y42" s="503"/>
      <c r="Z42" s="510"/>
      <c r="AP42" s="363"/>
      <c r="AQ42" s="363"/>
      <c r="AR42" s="363"/>
      <c r="AS42" s="363"/>
      <c r="AT42" s="363"/>
      <c r="AU42" s="363"/>
      <c r="AV42" s="363"/>
      <c r="AW42" s="363"/>
      <c r="AX42" s="363"/>
      <c r="AY42" s="363"/>
      <c r="AZ42" s="363"/>
      <c r="BA42" s="363"/>
      <c r="BB42" s="363"/>
      <c r="BC42" s="363"/>
      <c r="BD42" s="363"/>
    </row>
    <row r="43" spans="1:56" ht="16.899999999999999" customHeight="1">
      <c r="A43" s="363"/>
      <c r="B43" s="2389"/>
      <c r="C43" s="2390"/>
      <c r="D43" s="2390"/>
      <c r="E43" s="2390"/>
      <c r="F43" s="2390"/>
      <c r="G43" s="2390"/>
      <c r="H43" s="2390"/>
      <c r="I43" s="2390"/>
      <c r="J43" s="2390"/>
      <c r="K43" s="2390"/>
      <c r="L43" s="2391"/>
      <c r="M43" s="507"/>
      <c r="N43" s="508" t="s">
        <v>3558</v>
      </c>
      <c r="O43" s="2414" t="s">
        <v>3559</v>
      </c>
      <c r="P43" s="2414"/>
      <c r="Q43" s="2414"/>
      <c r="R43" s="2414"/>
      <c r="S43" s="2414"/>
      <c r="T43" s="2414"/>
      <c r="U43" s="2414"/>
      <c r="V43" s="2414"/>
      <c r="W43" s="2414"/>
      <c r="X43" s="2414"/>
      <c r="Y43" s="2414"/>
      <c r="Z43" s="2415"/>
      <c r="AP43" s="363"/>
      <c r="AQ43" s="363"/>
      <c r="AR43" s="363"/>
      <c r="AS43" s="363"/>
      <c r="AT43" s="363"/>
      <c r="AU43" s="363"/>
      <c r="AV43" s="363"/>
      <c r="AW43" s="363"/>
      <c r="AX43" s="363"/>
      <c r="AY43" s="363"/>
      <c r="AZ43" s="363"/>
      <c r="BA43" s="363"/>
      <c r="BB43" s="363"/>
      <c r="BC43" s="363"/>
      <c r="BD43" s="363"/>
    </row>
    <row r="44" spans="1:56" ht="16.899999999999999" customHeight="1">
      <c r="A44" s="363"/>
      <c r="B44" s="2389"/>
      <c r="C44" s="2390"/>
      <c r="D44" s="2390"/>
      <c r="E44" s="2390"/>
      <c r="F44" s="2390"/>
      <c r="G44" s="2390"/>
      <c r="H44" s="2390"/>
      <c r="I44" s="2390"/>
      <c r="J44" s="2390"/>
      <c r="K44" s="2390"/>
      <c r="L44" s="2391"/>
      <c r="M44" s="363"/>
      <c r="AP44" s="363"/>
      <c r="AQ44" s="363"/>
      <c r="AR44" s="363"/>
      <c r="AS44" s="363"/>
      <c r="AT44" s="363"/>
      <c r="AU44" s="363"/>
      <c r="AV44" s="363"/>
      <c r="AW44" s="363"/>
      <c r="AX44" s="363"/>
      <c r="AY44" s="363"/>
      <c r="AZ44" s="363"/>
      <c r="BA44" s="363"/>
      <c r="BB44" s="363"/>
      <c r="BC44" s="363"/>
      <c r="BD44" s="363"/>
    </row>
    <row r="45" spans="1:56">
      <c r="B45" s="2389"/>
      <c r="C45" s="2390"/>
      <c r="D45" s="2390"/>
      <c r="E45" s="2390"/>
      <c r="F45" s="2390"/>
      <c r="G45" s="2390"/>
      <c r="H45" s="2390"/>
      <c r="I45" s="2390"/>
      <c r="J45" s="2390"/>
      <c r="K45" s="2390"/>
      <c r="L45" s="2391"/>
      <c r="O45" s="1251" t="s">
        <v>306</v>
      </c>
      <c r="P45" s="1251"/>
      <c r="Q45" s="1251"/>
      <c r="R45" s="1251"/>
      <c r="S45" s="1251"/>
      <c r="T45" s="1251"/>
      <c r="U45" s="1251"/>
      <c r="V45" s="1251"/>
      <c r="W45" s="1251"/>
      <c r="X45" s="1251"/>
      <c r="Y45" s="1251"/>
      <c r="AP45" s="363"/>
      <c r="AQ45" s="363"/>
      <c r="AR45" s="363"/>
      <c r="AS45" s="363"/>
      <c r="AT45" s="363"/>
      <c r="AU45" s="363"/>
      <c r="AV45" s="363"/>
      <c r="AW45" s="363"/>
      <c r="AX45" s="363"/>
      <c r="AY45" s="363"/>
      <c r="AZ45" s="363"/>
      <c r="BA45" s="363"/>
      <c r="BB45" s="363"/>
      <c r="BC45" s="363"/>
      <c r="BD45" s="363"/>
    </row>
    <row r="46" spans="1:56">
      <c r="B46" s="2389"/>
      <c r="C46" s="2390"/>
      <c r="D46" s="2390"/>
      <c r="E46" s="2390"/>
      <c r="F46" s="2390"/>
      <c r="G46" s="2390"/>
      <c r="H46" s="2390"/>
      <c r="I46" s="2390"/>
      <c r="J46" s="2390"/>
      <c r="K46" s="2390"/>
      <c r="L46" s="2391"/>
      <c r="AP46" s="363"/>
      <c r="AQ46" s="363"/>
      <c r="AR46" s="363"/>
      <c r="AS46" s="363"/>
      <c r="AT46" s="363"/>
      <c r="AU46" s="363"/>
      <c r="AV46" s="363"/>
      <c r="AW46" s="363"/>
      <c r="AX46" s="363"/>
      <c r="AY46" s="363"/>
      <c r="AZ46" s="363"/>
      <c r="BA46" s="363"/>
      <c r="BB46" s="363"/>
      <c r="BC46" s="363"/>
      <c r="BD46" s="363"/>
    </row>
    <row r="47" spans="1:56">
      <c r="B47" s="2389"/>
      <c r="C47" s="2390"/>
      <c r="D47" s="2390"/>
      <c r="E47" s="2390"/>
      <c r="F47" s="2390"/>
      <c r="G47" s="2390"/>
      <c r="H47" s="2390"/>
      <c r="I47" s="2390"/>
      <c r="J47" s="2390"/>
      <c r="K47" s="2390"/>
      <c r="L47" s="2391"/>
      <c r="AP47" s="363"/>
      <c r="AQ47" s="363"/>
      <c r="AR47" s="363"/>
      <c r="AS47" s="363"/>
      <c r="AT47" s="363"/>
      <c r="AU47" s="363"/>
      <c r="AV47" s="363"/>
      <c r="AW47" s="363"/>
      <c r="AX47" s="363"/>
      <c r="AY47" s="363"/>
      <c r="AZ47" s="363"/>
      <c r="BA47" s="363"/>
      <c r="BB47" s="363"/>
      <c r="BC47" s="363"/>
      <c r="BD47" s="363"/>
    </row>
    <row r="48" spans="1:56">
      <c r="B48" s="2389"/>
      <c r="C48" s="2390"/>
      <c r="D48" s="2390"/>
      <c r="E48" s="2390"/>
      <c r="F48" s="2390"/>
      <c r="G48" s="2390"/>
      <c r="H48" s="2390"/>
      <c r="I48" s="2390"/>
      <c r="J48" s="2390"/>
      <c r="K48" s="2390"/>
      <c r="L48" s="2391"/>
    </row>
    <row r="49" spans="2:26">
      <c r="B49" s="2389"/>
      <c r="C49" s="2390"/>
      <c r="D49" s="2390"/>
      <c r="E49" s="2390"/>
      <c r="F49" s="2390"/>
      <c r="G49" s="2390"/>
      <c r="H49" s="2390"/>
      <c r="I49" s="2390"/>
      <c r="J49" s="2390"/>
      <c r="K49" s="2390"/>
      <c r="L49" s="2391"/>
    </row>
    <row r="50" spans="2:26" ht="16.5" customHeight="1">
      <c r="B50" s="2389"/>
      <c r="C50" s="2390"/>
      <c r="D50" s="2390"/>
      <c r="E50" s="2390"/>
      <c r="F50" s="2390"/>
      <c r="G50" s="2390"/>
      <c r="H50" s="2390"/>
      <c r="I50" s="2390"/>
      <c r="J50" s="2390"/>
      <c r="K50" s="2390"/>
      <c r="L50" s="2391"/>
    </row>
    <row r="51" spans="2:26" ht="16.5" customHeight="1">
      <c r="B51" s="2389"/>
      <c r="C51" s="2390"/>
      <c r="D51" s="2390"/>
      <c r="E51" s="2390"/>
      <c r="F51" s="2390"/>
      <c r="G51" s="2390"/>
      <c r="H51" s="2390"/>
      <c r="I51" s="2390"/>
      <c r="J51" s="2390"/>
      <c r="K51" s="2390"/>
      <c r="L51" s="2391"/>
    </row>
    <row r="52" spans="2:26" ht="16.5" customHeight="1">
      <c r="B52" s="2389"/>
      <c r="C52" s="2390"/>
      <c r="D52" s="2390"/>
      <c r="E52" s="2390"/>
      <c r="F52" s="2390"/>
      <c r="G52" s="2390"/>
      <c r="H52" s="2390"/>
      <c r="I52" s="2390"/>
      <c r="J52" s="2390"/>
      <c r="K52" s="2390"/>
      <c r="L52" s="2391"/>
    </row>
    <row r="53" spans="2:26" ht="16.5" customHeight="1">
      <c r="B53" s="2389"/>
      <c r="C53" s="2390"/>
      <c r="D53" s="2390"/>
      <c r="E53" s="2390"/>
      <c r="F53" s="2390"/>
      <c r="G53" s="2390"/>
      <c r="H53" s="2390"/>
      <c r="I53" s="2390"/>
      <c r="J53" s="2390"/>
      <c r="K53" s="2390"/>
      <c r="L53" s="2391"/>
    </row>
    <row r="54" spans="2:26" ht="16.5" customHeight="1">
      <c r="B54" s="2389"/>
      <c r="C54" s="2390"/>
      <c r="D54" s="2390"/>
      <c r="E54" s="2390"/>
      <c r="F54" s="2390"/>
      <c r="G54" s="2390"/>
      <c r="H54" s="2390"/>
      <c r="I54" s="2390"/>
      <c r="J54" s="2390"/>
      <c r="K54" s="2390"/>
      <c r="L54" s="2391"/>
    </row>
    <row r="55" spans="2:26" ht="16.5" customHeight="1">
      <c r="B55" s="2389"/>
      <c r="C55" s="2390"/>
      <c r="D55" s="2390"/>
      <c r="E55" s="2390"/>
      <c r="F55" s="2390"/>
      <c r="G55" s="2390"/>
      <c r="H55" s="2390"/>
      <c r="I55" s="2390"/>
      <c r="J55" s="2390"/>
      <c r="K55" s="2390"/>
      <c r="L55" s="2391"/>
    </row>
    <row r="56" spans="2:26" ht="16.5" customHeight="1">
      <c r="B56" s="2389"/>
      <c r="C56" s="2390"/>
      <c r="D56" s="2390"/>
      <c r="E56" s="2390"/>
      <c r="F56" s="2390"/>
      <c r="G56" s="2390"/>
      <c r="H56" s="2390"/>
      <c r="I56" s="2390"/>
      <c r="J56" s="2390"/>
      <c r="K56" s="2390"/>
      <c r="L56" s="2391"/>
    </row>
    <row r="57" spans="2:26" ht="16.5" customHeight="1">
      <c r="B57" s="2389"/>
      <c r="C57" s="2390"/>
      <c r="D57" s="2390"/>
      <c r="E57" s="2390"/>
      <c r="F57" s="2390"/>
      <c r="G57" s="2390"/>
      <c r="H57" s="2390"/>
      <c r="I57" s="2390"/>
      <c r="J57" s="2390"/>
      <c r="K57" s="2390"/>
      <c r="L57" s="2391"/>
    </row>
    <row r="58" spans="2:26" ht="16.5" customHeight="1">
      <c r="B58" s="2389"/>
      <c r="C58" s="2390"/>
      <c r="D58" s="2390"/>
      <c r="E58" s="2390"/>
      <c r="F58" s="2390"/>
      <c r="G58" s="2390"/>
      <c r="H58" s="2390"/>
      <c r="I58" s="2390"/>
      <c r="J58" s="2390"/>
      <c r="K58" s="2390"/>
      <c r="L58" s="2391"/>
    </row>
    <row r="59" spans="2:26" ht="16.5" customHeight="1">
      <c r="B59" s="2389"/>
      <c r="C59" s="2390"/>
      <c r="D59" s="2390"/>
      <c r="E59" s="2390"/>
      <c r="F59" s="2390"/>
      <c r="G59" s="2390"/>
      <c r="H59" s="2390"/>
      <c r="I59" s="2390"/>
      <c r="J59" s="2390"/>
      <c r="K59" s="2390"/>
      <c r="L59" s="2391"/>
    </row>
    <row r="60" spans="2:26" ht="16.5" customHeight="1">
      <c r="B60" s="2392"/>
      <c r="C60" s="2393"/>
      <c r="D60" s="2393"/>
      <c r="E60" s="2393"/>
      <c r="F60" s="2393"/>
      <c r="G60" s="2393"/>
      <c r="H60" s="2393"/>
      <c r="I60" s="2393"/>
      <c r="J60" s="2393"/>
      <c r="K60" s="2393"/>
      <c r="L60" s="2394"/>
    </row>
    <row r="61" spans="2:26" ht="16.5" customHeight="1">
      <c r="B61" s="497"/>
      <c r="C61" s="497"/>
      <c r="D61" s="497"/>
      <c r="E61" s="497"/>
      <c r="F61" s="497"/>
      <c r="G61" s="497"/>
      <c r="H61" s="497"/>
      <c r="I61" s="497"/>
      <c r="J61" s="497"/>
      <c r="K61" s="497"/>
      <c r="L61" s="497"/>
    </row>
    <row r="62" spans="2:26" ht="16.5" customHeight="1"/>
    <row r="63" spans="2:26" ht="16.5" customHeight="1"/>
    <row r="64" spans="2:26" ht="16.5" customHeight="1">
      <c r="B64" s="2334" t="s">
        <v>3560</v>
      </c>
      <c r="C64" s="2335"/>
      <c r="D64" s="2335"/>
      <c r="E64" s="2335"/>
      <c r="F64" s="2335"/>
      <c r="G64" s="2335"/>
      <c r="H64" s="2335"/>
      <c r="I64" s="2335"/>
      <c r="J64" s="2335"/>
      <c r="K64" s="2335"/>
      <c r="L64" s="2335"/>
      <c r="M64" s="2335"/>
      <c r="N64" s="2335"/>
      <c r="O64" s="2335"/>
      <c r="P64" s="2335"/>
      <c r="Q64" s="2335"/>
      <c r="R64" s="2335"/>
      <c r="S64" s="2335"/>
      <c r="T64" s="2335"/>
      <c r="U64" s="2335"/>
      <c r="V64" s="2335"/>
      <c r="W64" s="2335"/>
      <c r="X64" s="2335"/>
      <c r="Y64" s="2335"/>
      <c r="Z64" s="2336"/>
    </row>
    <row r="65" spans="2:26" ht="16.5" customHeight="1">
      <c r="B65" s="2337"/>
      <c r="C65" s="2338"/>
      <c r="D65" s="2338"/>
      <c r="E65" s="2338"/>
      <c r="F65" s="2338"/>
      <c r="G65" s="2338"/>
      <c r="H65" s="2338"/>
      <c r="I65" s="2338"/>
      <c r="J65" s="2338"/>
      <c r="K65" s="2338"/>
      <c r="L65" s="2338"/>
      <c r="M65" s="2338"/>
      <c r="N65" s="2338"/>
      <c r="O65" s="2338"/>
      <c r="P65" s="2338"/>
      <c r="Q65" s="2338"/>
      <c r="R65" s="2338"/>
      <c r="S65" s="2338"/>
      <c r="T65" s="2338"/>
      <c r="U65" s="2338"/>
      <c r="V65" s="2338"/>
      <c r="W65" s="2338"/>
      <c r="X65" s="2338"/>
      <c r="Y65" s="2338"/>
      <c r="Z65" s="2339"/>
    </row>
    <row r="66" spans="2:26" ht="16.5" customHeight="1">
      <c r="B66" s="2340"/>
      <c r="C66" s="2341"/>
      <c r="D66" s="2341"/>
      <c r="E66" s="2341"/>
      <c r="F66" s="2341"/>
      <c r="G66" s="2341"/>
      <c r="H66" s="2341"/>
      <c r="I66" s="2341"/>
      <c r="J66" s="2341"/>
      <c r="K66" s="2341"/>
      <c r="L66" s="2341"/>
      <c r="M66" s="2341"/>
      <c r="N66" s="2341"/>
      <c r="O66" s="2341"/>
      <c r="P66" s="2341"/>
      <c r="Q66" s="2341"/>
      <c r="R66" s="2341"/>
      <c r="S66" s="2341"/>
      <c r="T66" s="2341"/>
      <c r="U66" s="2341"/>
      <c r="V66" s="2341"/>
      <c r="W66" s="2341"/>
      <c r="X66" s="2341"/>
      <c r="Y66" s="2341"/>
      <c r="Z66" s="2342"/>
    </row>
    <row r="67" spans="2:26" ht="16.5" customHeight="1"/>
    <row r="68" spans="2:26" ht="16.5" customHeight="1">
      <c r="B68" s="1941" t="s">
        <v>3561</v>
      </c>
      <c r="C68" s="1942"/>
      <c r="D68" s="1942"/>
      <c r="E68" s="1942"/>
      <c r="F68" s="1942"/>
      <c r="G68" s="1942"/>
      <c r="H68" s="1942"/>
      <c r="I68" s="1942"/>
      <c r="J68" s="1942"/>
      <c r="K68" s="1942"/>
      <c r="L68" s="1942"/>
      <c r="M68" s="1942"/>
      <c r="N68" s="1942"/>
      <c r="O68" s="1942"/>
      <c r="P68" s="1942"/>
      <c r="Q68" s="1942"/>
      <c r="R68" s="1942"/>
      <c r="S68" s="1942"/>
      <c r="T68" s="1942"/>
      <c r="U68" s="1942"/>
      <c r="V68" s="1942"/>
      <c r="W68" s="1942"/>
      <c r="X68" s="1942"/>
      <c r="Y68" s="1942"/>
      <c r="Z68" s="1943"/>
    </row>
    <row r="69" spans="2:26" ht="16.5" customHeight="1">
      <c r="B69" s="1944"/>
      <c r="C69" s="1945"/>
      <c r="D69" s="1945"/>
      <c r="E69" s="1945"/>
      <c r="F69" s="1945"/>
      <c r="G69" s="1945"/>
      <c r="H69" s="1945"/>
      <c r="I69" s="1945"/>
      <c r="J69" s="1945"/>
      <c r="K69" s="1945"/>
      <c r="L69" s="1945"/>
      <c r="M69" s="1945"/>
      <c r="N69" s="1945"/>
      <c r="O69" s="1945"/>
      <c r="P69" s="1945"/>
      <c r="Q69" s="1945"/>
      <c r="R69" s="1945"/>
      <c r="S69" s="1945"/>
      <c r="T69" s="1945"/>
      <c r="U69" s="1945"/>
      <c r="V69" s="1945"/>
      <c r="W69" s="1945"/>
      <c r="X69" s="1945"/>
      <c r="Y69" s="1945"/>
      <c r="Z69" s="1946"/>
    </row>
    <row r="70" spans="2:26" ht="16.5" customHeight="1">
      <c r="B70" s="2395" t="s">
        <v>3562</v>
      </c>
      <c r="C70" s="2396"/>
      <c r="D70" s="2396"/>
      <c r="E70" s="2396"/>
      <c r="F70" s="2396"/>
      <c r="G70" s="2396"/>
      <c r="H70" s="2396"/>
      <c r="I70" s="2396"/>
      <c r="J70" s="2396"/>
      <c r="K70" s="2396"/>
      <c r="L70" s="2396"/>
      <c r="M70" s="2397"/>
      <c r="O70" s="2377" t="s">
        <v>3563</v>
      </c>
      <c r="P70" s="2378"/>
      <c r="Q70" s="2378"/>
      <c r="R70" s="2378"/>
      <c r="S70" s="2378"/>
      <c r="T70" s="2378"/>
      <c r="U70" s="2378"/>
      <c r="V70" s="2378"/>
      <c r="W70" s="2378"/>
      <c r="X70" s="2378"/>
      <c r="Y70" s="2378"/>
      <c r="Z70" s="2379"/>
    </row>
    <row r="71" spans="2:26" ht="16.5" customHeight="1">
      <c r="B71" s="2398"/>
      <c r="C71" s="2378"/>
      <c r="D71" s="2378"/>
      <c r="E71" s="2378"/>
      <c r="F71" s="2378"/>
      <c r="G71" s="2378"/>
      <c r="H71" s="2378"/>
      <c r="I71" s="2378"/>
      <c r="J71" s="2378"/>
      <c r="K71" s="2378"/>
      <c r="L71" s="2378"/>
      <c r="M71" s="2379"/>
      <c r="O71" s="2380"/>
      <c r="P71" s="2381"/>
      <c r="Q71" s="2381"/>
      <c r="R71" s="2381"/>
      <c r="S71" s="2381"/>
      <c r="T71" s="2381"/>
      <c r="U71" s="2381"/>
      <c r="V71" s="2381"/>
      <c r="W71" s="2381"/>
      <c r="X71" s="2381"/>
      <c r="Y71" s="2381"/>
      <c r="Z71" s="2382"/>
    </row>
    <row r="72" spans="2:26" ht="16.5" customHeight="1">
      <c r="B72" s="2402" t="s">
        <v>3564</v>
      </c>
      <c r="C72" s="2403"/>
      <c r="D72" s="2403"/>
      <c r="E72" s="2403"/>
      <c r="F72" s="2403"/>
      <c r="G72" s="2403"/>
      <c r="H72" s="2404" t="s">
        <v>3565</v>
      </c>
      <c r="I72" s="2403"/>
      <c r="J72" s="2403"/>
      <c r="K72" s="2403"/>
      <c r="L72" s="2403"/>
      <c r="M72" s="2405"/>
      <c r="O72" s="2312" t="s">
        <v>3566</v>
      </c>
      <c r="P72" s="2313"/>
      <c r="Q72" s="2313"/>
      <c r="R72" s="2313"/>
      <c r="S72" s="2313"/>
      <c r="T72" s="2314"/>
      <c r="U72" s="2313" t="s">
        <v>3567</v>
      </c>
      <c r="V72" s="2313"/>
      <c r="W72" s="2313"/>
      <c r="X72" s="2313"/>
      <c r="Y72" s="2313"/>
      <c r="Z72" s="2315"/>
    </row>
    <row r="73" spans="2:26" ht="16.5" customHeight="1">
      <c r="B73" s="2312"/>
      <c r="C73" s="2313"/>
      <c r="D73" s="2313"/>
      <c r="E73" s="2313"/>
      <c r="F73" s="2313"/>
      <c r="G73" s="2313"/>
      <c r="H73" s="2406"/>
      <c r="I73" s="2313"/>
      <c r="J73" s="2313"/>
      <c r="K73" s="2313"/>
      <c r="L73" s="2313"/>
      <c r="M73" s="2315"/>
      <c r="O73" s="2312"/>
      <c r="P73" s="2313"/>
      <c r="Q73" s="2313"/>
      <c r="R73" s="2313"/>
      <c r="S73" s="2313"/>
      <c r="T73" s="2314"/>
      <c r="U73" s="2313"/>
      <c r="V73" s="2313"/>
      <c r="W73" s="2313"/>
      <c r="X73" s="2313"/>
      <c r="Y73" s="2313"/>
      <c r="Z73" s="2315"/>
    </row>
    <row r="74" spans="2:26" ht="16.5" customHeight="1">
      <c r="B74" s="2312"/>
      <c r="C74" s="2313"/>
      <c r="D74" s="2313"/>
      <c r="E74" s="2313"/>
      <c r="F74" s="2313"/>
      <c r="G74" s="2313"/>
      <c r="H74" s="2406"/>
      <c r="I74" s="2313"/>
      <c r="J74" s="2313"/>
      <c r="K74" s="2313"/>
      <c r="L74" s="2313"/>
      <c r="M74" s="2315"/>
      <c r="O74" s="2312"/>
      <c r="P74" s="2313"/>
      <c r="Q74" s="2313"/>
      <c r="R74" s="2313"/>
      <c r="S74" s="2313"/>
      <c r="T74" s="2314"/>
      <c r="U74" s="2313"/>
      <c r="V74" s="2313"/>
      <c r="W74" s="2313"/>
      <c r="X74" s="2313"/>
      <c r="Y74" s="2313"/>
      <c r="Z74" s="2315"/>
    </row>
    <row r="75" spans="2:26" ht="16.5" customHeight="1">
      <c r="B75" s="2369" t="s">
        <v>3568</v>
      </c>
      <c r="C75" s="2370"/>
      <c r="D75" s="2370"/>
      <c r="E75" s="2370"/>
      <c r="F75" s="2370"/>
      <c r="G75" s="2370"/>
      <c r="H75" s="2373" t="s">
        <v>3569</v>
      </c>
      <c r="I75" s="2370"/>
      <c r="J75" s="2370"/>
      <c r="K75" s="2370"/>
      <c r="L75" s="2370"/>
      <c r="M75" s="2374"/>
      <c r="O75" s="2369" t="s">
        <v>3570</v>
      </c>
      <c r="P75" s="2370"/>
      <c r="Q75" s="2370"/>
      <c r="R75" s="2370"/>
      <c r="S75" s="2370"/>
      <c r="T75" s="2407"/>
      <c r="U75" s="2409" t="s">
        <v>3571</v>
      </c>
      <c r="V75" s="2370"/>
      <c r="W75" s="2370"/>
      <c r="X75" s="2370"/>
      <c r="Y75" s="2370"/>
      <c r="Z75" s="2374"/>
    </row>
    <row r="76" spans="2:26" ht="16.5" customHeight="1">
      <c r="B76" s="2371"/>
      <c r="C76" s="2372"/>
      <c r="D76" s="2372"/>
      <c r="E76" s="2372"/>
      <c r="F76" s="2372"/>
      <c r="G76" s="2372"/>
      <c r="H76" s="2375"/>
      <c r="I76" s="2372"/>
      <c r="J76" s="2372"/>
      <c r="K76" s="2372"/>
      <c r="L76" s="2372"/>
      <c r="M76" s="2376"/>
      <c r="O76" s="2371"/>
      <c r="P76" s="2372"/>
      <c r="Q76" s="2372"/>
      <c r="R76" s="2372"/>
      <c r="S76" s="2372"/>
      <c r="T76" s="2408"/>
      <c r="U76" s="2372"/>
      <c r="V76" s="2372"/>
      <c r="W76" s="2372"/>
      <c r="X76" s="2372"/>
      <c r="Y76" s="2372"/>
      <c r="Z76" s="2376"/>
    </row>
    <row r="77" spans="2:26" ht="16.5" customHeight="1">
      <c r="B77" s="2312" t="s">
        <v>3572</v>
      </c>
      <c r="C77" s="2313"/>
      <c r="D77" s="2313"/>
      <c r="E77" s="2313"/>
      <c r="F77" s="2313"/>
      <c r="G77" s="2313"/>
      <c r="H77" s="2313"/>
      <c r="I77" s="2313"/>
      <c r="J77" s="2313"/>
      <c r="K77" s="2313"/>
      <c r="L77" s="2313"/>
      <c r="M77" s="2315"/>
      <c r="O77" s="2312" t="s">
        <v>3573</v>
      </c>
      <c r="P77" s="2313"/>
      <c r="Q77" s="2313"/>
      <c r="R77" s="2313"/>
      <c r="S77" s="2313"/>
      <c r="T77" s="2313"/>
      <c r="U77" s="2313"/>
      <c r="V77" s="2313"/>
      <c r="W77" s="2313"/>
      <c r="X77" s="2313"/>
      <c r="Y77" s="2313"/>
      <c r="Z77" s="2315"/>
    </row>
    <row r="78" spans="2:26" ht="16.5" customHeight="1">
      <c r="B78" s="2312"/>
      <c r="C78" s="2313"/>
      <c r="D78" s="2313"/>
      <c r="E78" s="2313"/>
      <c r="F78" s="2313"/>
      <c r="G78" s="2313"/>
      <c r="H78" s="2313"/>
      <c r="I78" s="2313"/>
      <c r="J78" s="2313"/>
      <c r="K78" s="2313"/>
      <c r="L78" s="2313"/>
      <c r="M78" s="2315"/>
      <c r="O78" s="2312"/>
      <c r="P78" s="2313"/>
      <c r="Q78" s="2313"/>
      <c r="R78" s="2313"/>
      <c r="S78" s="2313"/>
      <c r="T78" s="2313"/>
      <c r="U78" s="2313"/>
      <c r="V78" s="2313"/>
      <c r="W78" s="2313"/>
      <c r="X78" s="2313"/>
      <c r="Y78" s="2313"/>
      <c r="Z78" s="2315"/>
    </row>
    <row r="79" spans="2:26" ht="16.5" customHeight="1">
      <c r="B79" s="2312"/>
      <c r="C79" s="2313"/>
      <c r="D79" s="2313"/>
      <c r="E79" s="2313"/>
      <c r="F79" s="2313"/>
      <c r="G79" s="2313"/>
      <c r="H79" s="2313"/>
      <c r="I79" s="2313"/>
      <c r="J79" s="2313"/>
      <c r="K79" s="2313"/>
      <c r="L79" s="2313"/>
      <c r="M79" s="2315"/>
      <c r="O79" s="2312"/>
      <c r="P79" s="2313"/>
      <c r="Q79" s="2313"/>
      <c r="R79" s="2313"/>
      <c r="S79" s="2313"/>
      <c r="T79" s="2313"/>
      <c r="U79" s="2313"/>
      <c r="V79" s="2313"/>
      <c r="W79" s="2313"/>
      <c r="X79" s="2313"/>
      <c r="Y79" s="2313"/>
      <c r="Z79" s="2315"/>
    </row>
    <row r="80" spans="2:26" ht="16.5" customHeight="1">
      <c r="B80" s="2322"/>
      <c r="C80" s="2323"/>
      <c r="D80" s="2323"/>
      <c r="E80" s="2323"/>
      <c r="F80" s="2323"/>
      <c r="G80" s="2323"/>
      <c r="H80" s="2323"/>
      <c r="I80" s="2323"/>
      <c r="J80" s="2323"/>
      <c r="K80" s="2323"/>
      <c r="L80" s="2323"/>
      <c r="M80" s="2324"/>
      <c r="O80" s="2322"/>
      <c r="P80" s="2323"/>
      <c r="Q80" s="2323"/>
      <c r="R80" s="2323"/>
      <c r="S80" s="2323"/>
      <c r="T80" s="2323"/>
      <c r="U80" s="2323"/>
      <c r="V80" s="2323"/>
      <c r="W80" s="2323"/>
      <c r="X80" s="2323"/>
      <c r="Y80" s="2323"/>
      <c r="Z80" s="2324"/>
    </row>
    <row r="81" spans="2:29" ht="16.5" customHeight="1">
      <c r="B81" s="2328" t="s">
        <v>3574</v>
      </c>
      <c r="C81" s="2329"/>
      <c r="D81" s="2329"/>
      <c r="E81" s="2329"/>
      <c r="F81" s="2329"/>
      <c r="G81" s="2329"/>
      <c r="H81" s="2329"/>
      <c r="I81" s="2329"/>
      <c r="J81" s="2330"/>
      <c r="K81" s="514"/>
      <c r="L81" s="514"/>
      <c r="M81" s="515"/>
      <c r="N81" s="515"/>
      <c r="O81" s="515"/>
      <c r="P81" s="515"/>
      <c r="Q81" s="515"/>
      <c r="R81" s="515"/>
      <c r="S81" s="515"/>
      <c r="T81" s="515"/>
      <c r="U81" s="515"/>
      <c r="V81" s="515"/>
      <c r="W81" s="515"/>
      <c r="X81" s="515"/>
      <c r="Y81" s="515"/>
      <c r="Z81" s="515"/>
    </row>
    <row r="82" spans="2:29" ht="16.5" customHeight="1">
      <c r="B82" s="2331"/>
      <c r="C82" s="2329"/>
      <c r="D82" s="2329"/>
      <c r="E82" s="2329"/>
      <c r="F82" s="2329"/>
      <c r="G82" s="2329"/>
      <c r="H82" s="2329"/>
      <c r="I82" s="2329"/>
      <c r="J82" s="2330"/>
      <c r="K82" s="514"/>
      <c r="L82" s="514"/>
      <c r="N82"/>
      <c r="O82"/>
      <c r="P82"/>
      <c r="Q82"/>
      <c r="R82"/>
      <c r="S82"/>
      <c r="T82"/>
      <c r="U82"/>
      <c r="V82"/>
      <c r="W82"/>
      <c r="X82"/>
      <c r="Y82"/>
      <c r="Z82"/>
      <c r="AA82"/>
    </row>
    <row r="83" spans="2:29" ht="16.5" customHeight="1">
      <c r="B83" s="2331"/>
      <c r="C83" s="2329"/>
      <c r="D83" s="2329"/>
      <c r="E83" s="2329"/>
      <c r="F83" s="2329"/>
      <c r="G83" s="2329"/>
      <c r="H83" s="2329"/>
      <c r="I83" s="2329"/>
      <c r="J83" s="2330"/>
      <c r="K83" s="514"/>
      <c r="L83" s="514"/>
      <c r="N83"/>
      <c r="O83"/>
      <c r="P83"/>
      <c r="Q83"/>
      <c r="R83"/>
      <c r="S83"/>
      <c r="T83"/>
      <c r="U83"/>
      <c r="V83"/>
      <c r="W83"/>
      <c r="X83"/>
      <c r="Y83"/>
      <c r="Z83"/>
      <c r="AA83"/>
    </row>
    <row r="84" spans="2:29" ht="16.5" customHeight="1">
      <c r="B84" s="2399" t="s">
        <v>3575</v>
      </c>
      <c r="C84" s="2400"/>
      <c r="D84" s="2400"/>
      <c r="E84" s="2400"/>
      <c r="F84" s="2400"/>
      <c r="G84" s="2400"/>
      <c r="H84" s="2400"/>
      <c r="I84" s="2400"/>
      <c r="J84" s="2401"/>
      <c r="K84" s="516"/>
      <c r="L84" s="516"/>
      <c r="M84" s="493"/>
      <c r="N84" s="493"/>
      <c r="O84" s="493"/>
      <c r="P84" s="493"/>
      <c r="Q84" s="493"/>
      <c r="R84" s="493"/>
      <c r="S84" s="493"/>
    </row>
    <row r="85" spans="2:29" ht="16.5" customHeight="1">
      <c r="B85" s="1994" t="s">
        <v>3576</v>
      </c>
      <c r="C85" s="1896"/>
      <c r="D85" s="1896"/>
      <c r="E85" s="1896"/>
      <c r="F85" s="1896"/>
      <c r="G85" s="1896"/>
      <c r="H85" s="1896"/>
      <c r="I85" s="1896"/>
      <c r="J85" s="2349"/>
      <c r="K85" s="492"/>
      <c r="L85" s="492"/>
      <c r="M85" s="1"/>
      <c r="N85" s="1"/>
      <c r="O85" s="1"/>
      <c r="P85" s="1"/>
      <c r="Q85" s="1"/>
      <c r="R85" s="1"/>
      <c r="S85" s="1"/>
    </row>
    <row r="86" spans="2:29" ht="16.5" customHeight="1">
      <c r="M86" s="1"/>
      <c r="N86" s="1"/>
      <c r="O86" s="1"/>
      <c r="P86" s="1"/>
      <c r="Q86" s="1"/>
      <c r="R86" s="1"/>
      <c r="S86" s="1"/>
    </row>
    <row r="87" spans="2:29" ht="16.5" customHeight="1">
      <c r="M87" s="1"/>
      <c r="N87" s="1"/>
      <c r="O87" s="1"/>
      <c r="P87" s="1"/>
      <c r="Q87" s="1"/>
      <c r="R87" s="1"/>
      <c r="S87" s="1"/>
    </row>
    <row r="88" spans="2:29" ht="16.5" customHeight="1">
      <c r="M88" s="1"/>
      <c r="N88" s="1"/>
      <c r="O88" s="1"/>
      <c r="P88" s="1"/>
      <c r="Q88" s="1"/>
      <c r="R88" s="1"/>
      <c r="S88" s="1"/>
    </row>
    <row r="89" spans="2:29" ht="16.5" customHeight="1">
      <c r="M89" s="1"/>
      <c r="N89" s="1"/>
      <c r="O89" s="1"/>
      <c r="P89" s="1"/>
      <c r="Q89" s="1"/>
      <c r="R89" s="1"/>
      <c r="S89" s="1"/>
    </row>
    <row r="90" spans="2:29" ht="16.5" customHeight="1">
      <c r="M90" s="1"/>
      <c r="N90" s="1"/>
      <c r="O90" s="1"/>
      <c r="P90" s="1"/>
      <c r="Q90" s="1"/>
      <c r="R90" s="1"/>
      <c r="S90" s="1"/>
    </row>
    <row r="91" spans="2:29" ht="16.5" customHeight="1">
      <c r="M91" s="1"/>
      <c r="N91" s="1"/>
      <c r="O91" s="1"/>
      <c r="P91" s="1"/>
      <c r="Q91" s="1"/>
      <c r="R91" s="1"/>
      <c r="S91" s="1"/>
    </row>
    <row r="92" spans="2:29" ht="16.5" customHeight="1">
      <c r="M92" s="1"/>
      <c r="N92" s="1"/>
      <c r="O92" s="1"/>
      <c r="P92" s="1"/>
      <c r="Q92" s="1"/>
      <c r="R92" s="1"/>
      <c r="S92" s="1"/>
      <c r="AB92" s="517"/>
      <c r="AC92" s="517"/>
    </row>
    <row r="93" spans="2:29" ht="16.5" customHeight="1">
      <c r="M93" s="1"/>
      <c r="N93" s="1"/>
      <c r="O93" s="1"/>
      <c r="P93" s="1"/>
      <c r="Q93" s="1"/>
      <c r="R93" s="1"/>
      <c r="S93" s="1"/>
      <c r="AB93" s="517"/>
      <c r="AC93" s="517"/>
    </row>
    <row r="94" spans="2:29" ht="16.5" customHeight="1">
      <c r="B94" s="1941" t="s">
        <v>3577</v>
      </c>
      <c r="C94" s="1942"/>
      <c r="D94" s="1942"/>
      <c r="E94" s="1942"/>
      <c r="F94" s="1942"/>
      <c r="G94" s="1942"/>
      <c r="H94" s="1942"/>
      <c r="I94" s="1942"/>
      <c r="J94" s="1943"/>
      <c r="K94" s="513"/>
      <c r="L94" s="513"/>
      <c r="O94" s="1"/>
      <c r="P94" s="1"/>
      <c r="Q94" s="1"/>
      <c r="R94" s="1"/>
      <c r="S94" s="1"/>
      <c r="T94" s="1"/>
      <c r="U94" s="1"/>
      <c r="V94" s="1"/>
      <c r="W94" s="1"/>
      <c r="X94" s="1"/>
      <c r="Y94" s="1"/>
      <c r="Z94" s="1"/>
    </row>
    <row r="95" spans="2:29" ht="16.5" customHeight="1">
      <c r="B95" s="2319"/>
      <c r="C95" s="2320"/>
      <c r="D95" s="2320"/>
      <c r="E95" s="2320"/>
      <c r="F95" s="2320"/>
      <c r="G95" s="2320"/>
      <c r="H95" s="2320"/>
      <c r="I95" s="2320"/>
      <c r="J95" s="2321"/>
      <c r="K95" s="513"/>
      <c r="L95" s="513"/>
    </row>
    <row r="96" spans="2:29" ht="16.5" customHeight="1">
      <c r="B96" s="2312" t="s">
        <v>3578</v>
      </c>
      <c r="C96" s="2313"/>
      <c r="D96" s="2313"/>
      <c r="E96" s="2313"/>
      <c r="F96" s="2313"/>
      <c r="G96" s="2313"/>
      <c r="H96" s="2313"/>
      <c r="I96" s="2313"/>
      <c r="J96" s="2315"/>
      <c r="K96" s="29"/>
      <c r="L96" s="29"/>
    </row>
    <row r="97" spans="1:28" ht="16.5" customHeight="1">
      <c r="B97" s="2312"/>
      <c r="C97" s="2313"/>
      <c r="D97" s="2313"/>
      <c r="E97" s="2313"/>
      <c r="F97" s="2313"/>
      <c r="G97" s="2313"/>
      <c r="H97" s="2313"/>
      <c r="I97" s="2313"/>
      <c r="J97" s="2315"/>
      <c r="K97" s="29"/>
      <c r="L97" s="29"/>
    </row>
    <row r="98" spans="1:28" ht="16.5" customHeight="1">
      <c r="B98" s="2312"/>
      <c r="C98" s="2313"/>
      <c r="D98" s="2313"/>
      <c r="E98" s="2313"/>
      <c r="F98" s="2313"/>
      <c r="G98" s="2313"/>
      <c r="H98" s="2313"/>
      <c r="I98" s="2313"/>
      <c r="J98" s="2315"/>
      <c r="K98" s="29"/>
      <c r="L98" s="29"/>
    </row>
    <row r="99" spans="1:28" ht="16.5" customHeight="1">
      <c r="B99" s="2312"/>
      <c r="C99" s="2313"/>
      <c r="D99" s="2313"/>
      <c r="E99" s="2313"/>
      <c r="F99" s="2313"/>
      <c r="G99" s="2313"/>
      <c r="H99" s="2313"/>
      <c r="I99" s="2313"/>
      <c r="J99" s="2315"/>
      <c r="K99" s="29"/>
      <c r="L99" s="29"/>
    </row>
    <row r="100" spans="1:28" ht="16.5" customHeight="1">
      <c r="B100" s="2312"/>
      <c r="C100" s="2313"/>
      <c r="D100" s="2313"/>
      <c r="E100" s="2313"/>
      <c r="F100" s="2313"/>
      <c r="G100" s="2313"/>
      <c r="H100" s="2313"/>
      <c r="I100" s="2313"/>
      <c r="J100" s="2315"/>
      <c r="K100" s="190"/>
      <c r="L100" s="190"/>
    </row>
    <row r="101" spans="1:28" ht="16.5" customHeight="1">
      <c r="B101" s="2312"/>
      <c r="C101" s="2313"/>
      <c r="D101" s="2313"/>
      <c r="E101" s="2313"/>
      <c r="F101" s="2313"/>
      <c r="G101" s="2313"/>
      <c r="H101" s="2313"/>
      <c r="I101" s="2313"/>
      <c r="J101" s="2315"/>
      <c r="K101" s="190"/>
      <c r="L101" s="190"/>
    </row>
    <row r="102" spans="1:28" ht="16.5" customHeight="1">
      <c r="B102" s="2360" t="s">
        <v>3579</v>
      </c>
      <c r="C102" s="2361"/>
      <c r="D102" s="2361"/>
      <c r="E102" s="2361"/>
      <c r="F102" s="2361"/>
      <c r="G102" s="2361"/>
      <c r="H102" s="2361"/>
      <c r="I102" s="2361"/>
      <c r="J102" s="2362"/>
      <c r="K102" s="190"/>
      <c r="L102" s="190"/>
    </row>
    <row r="103" spans="1:28" s="364" customFormat="1" ht="16.5" customHeight="1">
      <c r="A103" s="16"/>
      <c r="B103" s="2363"/>
      <c r="C103" s="2364"/>
      <c r="D103" s="2364"/>
      <c r="E103" s="2364"/>
      <c r="F103" s="2364"/>
      <c r="G103" s="2364"/>
      <c r="H103" s="2364"/>
      <c r="I103" s="2364"/>
      <c r="J103" s="2365"/>
      <c r="K103" s="190"/>
      <c r="L103" s="190"/>
      <c r="M103" s="16"/>
      <c r="N103" s="16"/>
      <c r="O103" s="16"/>
      <c r="P103" s="16"/>
      <c r="Q103" s="16"/>
      <c r="R103" s="16"/>
      <c r="S103" s="16"/>
      <c r="T103" s="16"/>
      <c r="U103" s="16"/>
      <c r="V103" s="16"/>
      <c r="W103" s="16"/>
      <c r="X103" s="16"/>
      <c r="Y103" s="16"/>
      <c r="Z103" s="16"/>
      <c r="AA103" s="16"/>
      <c r="AB103" s="16"/>
    </row>
    <row r="104" spans="1:28" ht="16.5" customHeight="1">
      <c r="B104" s="2363"/>
      <c r="C104" s="2364"/>
      <c r="D104" s="2364"/>
      <c r="E104" s="2364"/>
      <c r="F104" s="2364"/>
      <c r="G104" s="2364"/>
      <c r="H104" s="2364"/>
      <c r="I104" s="2364"/>
      <c r="J104" s="2365"/>
    </row>
    <row r="105" spans="1:28" ht="16.5" customHeight="1">
      <c r="B105" s="2366"/>
      <c r="C105" s="2367"/>
      <c r="D105" s="2367"/>
      <c r="E105" s="2367"/>
      <c r="F105" s="2367"/>
      <c r="G105" s="2367"/>
      <c r="H105" s="2367"/>
      <c r="I105" s="2367"/>
      <c r="J105" s="2368"/>
    </row>
    <row r="106" spans="1:28" ht="16.5" customHeight="1"/>
    <row r="107" spans="1:28" ht="16.5" customHeight="1"/>
    <row r="108" spans="1:28" ht="16.5" customHeight="1"/>
    <row r="109" spans="1:28" ht="16.5" customHeight="1"/>
    <row r="110" spans="1:28" ht="16.5" customHeight="1">
      <c r="M110" s="517"/>
      <c r="N110" s="517"/>
      <c r="O110" s="517"/>
      <c r="P110" s="517"/>
      <c r="Q110" s="517"/>
      <c r="R110" s="517"/>
      <c r="S110" s="517"/>
      <c r="T110" s="517"/>
      <c r="U110" s="517"/>
      <c r="V110" s="517"/>
      <c r="W110" s="517"/>
      <c r="X110" s="517"/>
      <c r="Y110" s="517"/>
      <c r="Z110" s="517"/>
      <c r="AA110" s="517"/>
    </row>
    <row r="111" spans="1:28" ht="16.5" customHeight="1">
      <c r="M111" s="517"/>
      <c r="N111" s="517"/>
      <c r="O111" s="517"/>
      <c r="P111" s="517"/>
      <c r="Q111" s="517"/>
      <c r="R111" s="517"/>
      <c r="S111" s="517"/>
      <c r="T111" s="517"/>
      <c r="U111" s="517"/>
      <c r="V111" s="517"/>
      <c r="W111" s="517"/>
      <c r="X111" s="517"/>
      <c r="Y111" s="517"/>
      <c r="Z111" s="517"/>
      <c r="AA111" s="517"/>
    </row>
    <row r="112" spans="1:28" ht="16.5" customHeight="1"/>
    <row r="113" spans="2:26" ht="16.5" customHeight="1">
      <c r="B113" s="2334" t="s">
        <v>3580</v>
      </c>
      <c r="C113" s="2335"/>
      <c r="D113" s="2335"/>
      <c r="E113" s="2335"/>
      <c r="F113" s="2335"/>
      <c r="G113" s="2335"/>
      <c r="H113" s="2335"/>
      <c r="I113" s="2335"/>
      <c r="J113" s="2335"/>
      <c r="K113" s="2335"/>
      <c r="L113" s="2335"/>
      <c r="M113" s="2335"/>
      <c r="N113" s="2335"/>
      <c r="O113" s="2335"/>
      <c r="P113" s="2335"/>
      <c r="Q113" s="2335"/>
      <c r="R113" s="2335"/>
      <c r="S113" s="2335"/>
      <c r="T113" s="2335"/>
      <c r="U113" s="2335"/>
      <c r="V113" s="2335"/>
      <c r="W113" s="2335"/>
      <c r="X113" s="2335"/>
      <c r="Y113" s="2335"/>
      <c r="Z113" s="2336"/>
    </row>
    <row r="114" spans="2:26" ht="16.5" customHeight="1">
      <c r="B114" s="2337"/>
      <c r="C114" s="2338"/>
      <c r="D114" s="2338"/>
      <c r="E114" s="2338"/>
      <c r="F114" s="2338"/>
      <c r="G114" s="2338"/>
      <c r="H114" s="2338"/>
      <c r="I114" s="2338"/>
      <c r="J114" s="2338"/>
      <c r="K114" s="2338"/>
      <c r="L114" s="2338"/>
      <c r="M114" s="2338"/>
      <c r="N114" s="2338"/>
      <c r="O114" s="2338"/>
      <c r="P114" s="2338"/>
      <c r="Q114" s="2338"/>
      <c r="R114" s="2338"/>
      <c r="S114" s="2338"/>
      <c r="T114" s="2338"/>
      <c r="U114" s="2338"/>
      <c r="V114" s="2338"/>
      <c r="W114" s="2338"/>
      <c r="X114" s="2338"/>
      <c r="Y114" s="2338"/>
      <c r="Z114" s="2339"/>
    </row>
    <row r="115" spans="2:26" ht="16.5" customHeight="1">
      <c r="B115" s="2340"/>
      <c r="C115" s="2341"/>
      <c r="D115" s="2341"/>
      <c r="E115" s="2341"/>
      <c r="F115" s="2341"/>
      <c r="G115" s="2341"/>
      <c r="H115" s="2341"/>
      <c r="I115" s="2341"/>
      <c r="J115" s="2341"/>
      <c r="K115" s="2341"/>
      <c r="L115" s="2341"/>
      <c r="M115" s="2341"/>
      <c r="N115" s="2341"/>
      <c r="O115" s="2341"/>
      <c r="P115" s="2341"/>
      <c r="Q115" s="2341"/>
      <c r="R115" s="2341"/>
      <c r="S115" s="2341"/>
      <c r="T115" s="2341"/>
      <c r="U115" s="2341"/>
      <c r="V115" s="2341"/>
      <c r="W115" s="2341"/>
      <c r="X115" s="2341"/>
      <c r="Y115" s="2341"/>
      <c r="Z115" s="2342"/>
    </row>
    <row r="116" spans="2:26" ht="27.2" customHeight="1">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row>
    <row r="117" spans="2:26" ht="16.5" customHeight="1">
      <c r="B117" s="1941" t="s">
        <v>3581</v>
      </c>
      <c r="C117" s="1942"/>
      <c r="D117" s="1942"/>
      <c r="E117" s="1943"/>
      <c r="F117" s="513"/>
      <c r="G117" s="1941" t="s">
        <v>3582</v>
      </c>
      <c r="H117" s="1942"/>
      <c r="I117" s="1942"/>
      <c r="J117" s="1943"/>
      <c r="K117" s="518"/>
      <c r="L117" s="1941" t="s">
        <v>3583</v>
      </c>
      <c r="M117" s="1942"/>
      <c r="N117" s="1942"/>
      <c r="O117" s="1942"/>
      <c r="P117" s="1942"/>
      <c r="Q117" s="1942"/>
      <c r="R117" s="1942"/>
      <c r="S117" s="1943"/>
      <c r="T117" s="192"/>
      <c r="U117" s="1941" t="s">
        <v>3584</v>
      </c>
      <c r="V117" s="1942"/>
      <c r="W117" s="1942"/>
      <c r="X117" s="1942"/>
      <c r="Y117" s="1942"/>
      <c r="Z117" s="1943"/>
    </row>
    <row r="118" spans="2:26" ht="16.5" customHeight="1">
      <c r="B118" s="2319"/>
      <c r="C118" s="2320"/>
      <c r="D118" s="2320"/>
      <c r="E118" s="2321"/>
      <c r="F118" s="513"/>
      <c r="G118" s="2319"/>
      <c r="H118" s="2320"/>
      <c r="I118" s="2320"/>
      <c r="J118" s="2321"/>
      <c r="K118" s="518"/>
      <c r="L118" s="2319"/>
      <c r="M118" s="2320"/>
      <c r="N118" s="2320"/>
      <c r="O118" s="2320"/>
      <c r="P118" s="2320"/>
      <c r="Q118" s="2320"/>
      <c r="R118" s="2320"/>
      <c r="S118" s="2321"/>
      <c r="T118" s="192"/>
      <c r="U118" s="2319"/>
      <c r="V118" s="2320"/>
      <c r="W118" s="2320"/>
      <c r="X118" s="2320"/>
      <c r="Y118" s="2320"/>
      <c r="Z118" s="2321"/>
    </row>
    <row r="119" spans="2:26" ht="16.5" customHeight="1">
      <c r="B119" s="2343" t="s">
        <v>3585</v>
      </c>
      <c r="C119" s="2305"/>
      <c r="D119" s="2305"/>
      <c r="E119" s="2306"/>
      <c r="F119" s="189"/>
      <c r="G119" s="2343" t="s">
        <v>3586</v>
      </c>
      <c r="H119" s="2305"/>
      <c r="I119" s="2305"/>
      <c r="J119" s="2306"/>
      <c r="K119" s="192"/>
      <c r="L119" s="2343" t="s">
        <v>3587</v>
      </c>
      <c r="M119" s="2305"/>
      <c r="N119" s="2305"/>
      <c r="O119" s="2305"/>
      <c r="P119" s="2305"/>
      <c r="Q119" s="2305"/>
      <c r="R119" s="2305"/>
      <c r="S119" s="2306"/>
      <c r="T119" s="192"/>
      <c r="U119" s="2343" t="s">
        <v>3588</v>
      </c>
      <c r="V119" s="2305"/>
      <c r="W119" s="2305"/>
      <c r="X119" s="2305"/>
      <c r="Y119" s="2305"/>
      <c r="Z119" s="2306"/>
    </row>
    <row r="120" spans="2:26" ht="16.5" customHeight="1">
      <c r="B120" s="2343"/>
      <c r="C120" s="2305"/>
      <c r="D120" s="2305"/>
      <c r="E120" s="2306"/>
      <c r="F120" s="189"/>
      <c r="G120" s="2343"/>
      <c r="H120" s="2305"/>
      <c r="I120" s="2305"/>
      <c r="J120" s="2306"/>
      <c r="K120" s="192"/>
      <c r="L120" s="2343"/>
      <c r="M120" s="2305"/>
      <c r="N120" s="2305"/>
      <c r="O120" s="2305"/>
      <c r="P120" s="2305"/>
      <c r="Q120" s="2305"/>
      <c r="R120" s="2305"/>
      <c r="S120" s="2306"/>
      <c r="T120" s="192"/>
      <c r="U120" s="2343"/>
      <c r="V120" s="2305"/>
      <c r="W120" s="2305"/>
      <c r="X120" s="2305"/>
      <c r="Y120" s="2305"/>
      <c r="Z120" s="2306"/>
    </row>
    <row r="121" spans="2:26" ht="16.5" customHeight="1">
      <c r="B121" s="2343"/>
      <c r="C121" s="2305"/>
      <c r="D121" s="2305"/>
      <c r="E121" s="2306"/>
      <c r="F121" s="189"/>
      <c r="G121" s="2343"/>
      <c r="H121" s="2305"/>
      <c r="I121" s="2305"/>
      <c r="J121" s="2306"/>
      <c r="K121" s="192"/>
      <c r="L121" s="2343"/>
      <c r="M121" s="2305"/>
      <c r="N121" s="2305"/>
      <c r="O121" s="2305"/>
      <c r="P121" s="2305"/>
      <c r="Q121" s="2305"/>
      <c r="R121" s="2305"/>
      <c r="S121" s="2306"/>
      <c r="T121" s="192"/>
      <c r="U121" s="2343"/>
      <c r="V121" s="2305"/>
      <c r="W121" s="2305"/>
      <c r="X121" s="2305"/>
      <c r="Y121" s="2305"/>
      <c r="Z121" s="2306"/>
    </row>
    <row r="122" spans="2:26" ht="16.5" customHeight="1">
      <c r="B122" s="2343"/>
      <c r="C122" s="2305"/>
      <c r="D122" s="2305"/>
      <c r="E122" s="2306"/>
      <c r="F122" s="189"/>
      <c r="G122" s="2343"/>
      <c r="H122" s="2305"/>
      <c r="I122" s="2305"/>
      <c r="J122" s="2306"/>
      <c r="K122" s="192"/>
      <c r="L122" s="2343"/>
      <c r="M122" s="2305"/>
      <c r="N122" s="2305"/>
      <c r="O122" s="2305"/>
      <c r="P122" s="2305"/>
      <c r="Q122" s="2305"/>
      <c r="R122" s="2305"/>
      <c r="S122" s="2306"/>
      <c r="T122" s="192"/>
      <c r="U122" s="2343"/>
      <c r="V122" s="2305"/>
      <c r="W122" s="2305"/>
      <c r="X122" s="2305"/>
      <c r="Y122" s="2305"/>
      <c r="Z122" s="2306"/>
    </row>
    <row r="123" spans="2:26" ht="24" customHeight="1">
      <c r="B123" s="2343"/>
      <c r="C123" s="2305"/>
      <c r="D123" s="2305"/>
      <c r="E123" s="2306"/>
      <c r="F123" s="189"/>
      <c r="G123" s="2343"/>
      <c r="H123" s="2305"/>
      <c r="I123" s="2305"/>
      <c r="J123" s="2306"/>
      <c r="K123" s="192"/>
      <c r="L123" s="2343"/>
      <c r="M123" s="2305"/>
      <c r="N123" s="2305"/>
      <c r="O123" s="2305"/>
      <c r="P123" s="2305"/>
      <c r="Q123" s="2305"/>
      <c r="R123" s="2305"/>
      <c r="S123" s="2306"/>
      <c r="T123" s="192"/>
      <c r="U123" s="2343"/>
      <c r="V123" s="2305"/>
      <c r="W123" s="2305"/>
      <c r="X123" s="2305"/>
      <c r="Y123" s="2305"/>
      <c r="Z123" s="2306"/>
    </row>
    <row r="124" spans="2:26" ht="16.5" customHeight="1">
      <c r="B124" s="2343"/>
      <c r="C124" s="2305"/>
      <c r="D124" s="2305"/>
      <c r="E124" s="2306"/>
      <c r="F124" s="189"/>
      <c r="G124" s="2343"/>
      <c r="H124" s="2305"/>
      <c r="I124" s="2305"/>
      <c r="J124" s="2306"/>
      <c r="K124" s="192"/>
      <c r="L124" s="2350" t="s">
        <v>3589</v>
      </c>
      <c r="M124" s="2351"/>
      <c r="N124" s="2351"/>
      <c r="O124" s="2351"/>
      <c r="P124" s="2351"/>
      <c r="Q124" s="2351"/>
      <c r="R124" s="2351"/>
      <c r="S124" s="2352"/>
      <c r="T124" s="192"/>
      <c r="U124" s="2343"/>
      <c r="V124" s="2305"/>
      <c r="W124" s="2305"/>
      <c r="X124" s="2305"/>
      <c r="Y124" s="2305"/>
      <c r="Z124" s="2306"/>
    </row>
    <row r="125" spans="2:26" ht="16.5" customHeight="1">
      <c r="B125" s="2346"/>
      <c r="C125" s="2307"/>
      <c r="D125" s="2307"/>
      <c r="E125" s="2308"/>
      <c r="F125" s="189"/>
      <c r="G125" s="2346"/>
      <c r="H125" s="2307"/>
      <c r="I125" s="2307"/>
      <c r="J125" s="2308"/>
      <c r="K125" s="192"/>
      <c r="L125" s="2343" t="s">
        <v>3590</v>
      </c>
      <c r="M125" s="2305"/>
      <c r="N125" s="2305"/>
      <c r="O125" s="2305"/>
      <c r="P125" s="2305"/>
      <c r="Q125" s="2305"/>
      <c r="R125" s="2305"/>
      <c r="S125" s="2306"/>
      <c r="T125" s="192"/>
      <c r="U125" s="2343"/>
      <c r="V125" s="2305"/>
      <c r="W125" s="2305"/>
      <c r="X125" s="2305"/>
      <c r="Y125" s="2305"/>
      <c r="Z125" s="2306"/>
    </row>
    <row r="126" spans="2:26" ht="16.5" customHeight="1">
      <c r="B126" s="192"/>
      <c r="C126" s="192"/>
      <c r="D126" s="192"/>
      <c r="E126" s="192"/>
      <c r="F126" s="192"/>
      <c r="G126" s="192"/>
      <c r="H126" s="192"/>
      <c r="I126" s="192"/>
      <c r="J126" s="192"/>
      <c r="K126" s="192"/>
      <c r="L126" s="2343"/>
      <c r="M126" s="2305"/>
      <c r="N126" s="2305"/>
      <c r="O126" s="2305"/>
      <c r="P126" s="2305"/>
      <c r="Q126" s="2305"/>
      <c r="R126" s="2305"/>
      <c r="S126" s="2306"/>
      <c r="T126" s="192"/>
      <c r="U126" s="2343"/>
      <c r="V126" s="2305"/>
      <c r="W126" s="2305"/>
      <c r="X126" s="2305"/>
      <c r="Y126" s="2305"/>
      <c r="Z126" s="2306"/>
    </row>
    <row r="127" spans="2:26" ht="16.5" customHeight="1">
      <c r="B127" s="192"/>
      <c r="C127" s="192"/>
      <c r="D127" s="192"/>
      <c r="E127" s="192"/>
      <c r="F127" s="192"/>
      <c r="G127" s="192"/>
      <c r="H127" s="192"/>
      <c r="I127" s="192"/>
      <c r="J127" s="192"/>
      <c r="K127" s="192"/>
      <c r="L127" s="2344" t="s">
        <v>3591</v>
      </c>
      <c r="M127" s="2317"/>
      <c r="N127" s="2317"/>
      <c r="O127" s="2317"/>
      <c r="P127" s="2316" t="s">
        <v>3592</v>
      </c>
      <c r="Q127" s="2317"/>
      <c r="R127" s="2316" t="s">
        <v>3593</v>
      </c>
      <c r="S127" s="2318"/>
      <c r="T127" s="192"/>
      <c r="U127" s="2346"/>
      <c r="V127" s="2307"/>
      <c r="W127" s="2307"/>
      <c r="X127" s="2307"/>
      <c r="Y127" s="2307"/>
      <c r="Z127" s="2308"/>
    </row>
    <row r="128" spans="2:26" ht="16.5" customHeight="1">
      <c r="B128" s="192"/>
      <c r="C128" s="192"/>
      <c r="D128" s="192"/>
      <c r="E128" s="192"/>
      <c r="F128" s="192"/>
      <c r="G128" s="192"/>
      <c r="H128" s="192"/>
      <c r="I128" s="192"/>
      <c r="J128" s="192"/>
      <c r="K128" s="192"/>
      <c r="L128" s="2345"/>
      <c r="M128" s="2317"/>
      <c r="N128" s="2317"/>
      <c r="O128" s="2317"/>
      <c r="P128" s="2317"/>
      <c r="Q128" s="2317"/>
      <c r="R128" s="2317"/>
      <c r="S128" s="2318"/>
      <c r="T128" s="192"/>
      <c r="U128" s="192"/>
      <c r="V128" s="192"/>
      <c r="W128" s="192"/>
      <c r="X128" s="192"/>
      <c r="Y128" s="192"/>
      <c r="Z128" s="192"/>
    </row>
    <row r="129" spans="2:26" ht="16.5" customHeight="1">
      <c r="B129" s="192"/>
      <c r="C129" s="192"/>
      <c r="D129" s="192"/>
      <c r="E129" s="192"/>
      <c r="F129" s="192"/>
      <c r="G129" s="192"/>
      <c r="H129" s="192"/>
      <c r="I129" s="192"/>
      <c r="J129" s="192"/>
      <c r="K129" s="192"/>
      <c r="L129" s="2345"/>
      <c r="M129" s="2317"/>
      <c r="N129" s="2317"/>
      <c r="O129" s="2317"/>
      <c r="P129" s="2316" t="s">
        <v>3594</v>
      </c>
      <c r="Q129" s="2317"/>
      <c r="R129" s="2316" t="s">
        <v>3595</v>
      </c>
      <c r="S129" s="2318"/>
      <c r="T129" s="192"/>
      <c r="U129" s="192"/>
      <c r="V129" s="192"/>
      <c r="W129" s="192"/>
      <c r="X129" s="192"/>
      <c r="Y129" s="192"/>
      <c r="Z129" s="192"/>
    </row>
    <row r="130" spans="2:26" ht="16.5" customHeight="1">
      <c r="B130" s="192"/>
      <c r="C130" s="192"/>
      <c r="D130" s="192"/>
      <c r="E130" s="192"/>
      <c r="F130" s="192"/>
      <c r="G130" s="192"/>
      <c r="H130" s="192"/>
      <c r="I130" s="192"/>
      <c r="J130" s="192"/>
      <c r="K130" s="192"/>
      <c r="L130" s="2345"/>
      <c r="M130" s="2317"/>
      <c r="N130" s="2317"/>
      <c r="O130" s="2317"/>
      <c r="P130" s="2317"/>
      <c r="Q130" s="2317"/>
      <c r="R130" s="2317"/>
      <c r="S130" s="2318"/>
      <c r="T130" s="192"/>
      <c r="U130" s="192"/>
      <c r="V130" s="192"/>
      <c r="W130" s="192"/>
      <c r="X130" s="192"/>
      <c r="Y130" s="192"/>
      <c r="Z130" s="192"/>
    </row>
    <row r="131" spans="2:26" ht="16.5" customHeight="1">
      <c r="B131" s="192"/>
      <c r="C131" s="192"/>
      <c r="D131" s="192"/>
      <c r="E131" s="192"/>
      <c r="F131" s="192"/>
      <c r="G131" s="192"/>
      <c r="H131" s="192"/>
      <c r="I131" s="192"/>
      <c r="J131" s="192"/>
      <c r="K131" s="192"/>
      <c r="L131" s="2353" t="s">
        <v>3596</v>
      </c>
      <c r="M131" s="2354"/>
      <c r="N131" s="2354"/>
      <c r="O131" s="2354"/>
      <c r="P131" s="2354"/>
      <c r="Q131" s="2354"/>
      <c r="R131" s="2354"/>
      <c r="S131" s="2355"/>
      <c r="T131" s="192"/>
      <c r="U131" s="192"/>
      <c r="V131" s="192"/>
      <c r="W131" s="192"/>
      <c r="X131" s="192"/>
      <c r="Y131" s="192"/>
      <c r="Z131" s="192"/>
    </row>
    <row r="132" spans="2:26" ht="25.15" customHeight="1">
      <c r="B132" s="192"/>
      <c r="C132" s="192"/>
      <c r="D132" s="192"/>
      <c r="E132" s="192"/>
      <c r="F132" s="192"/>
      <c r="G132" s="192"/>
      <c r="H132" s="192"/>
      <c r="I132" s="192"/>
      <c r="J132" s="192"/>
      <c r="K132" s="192"/>
      <c r="L132" s="519" t="s">
        <v>3597</v>
      </c>
      <c r="M132" s="2347" t="s">
        <v>3598</v>
      </c>
      <c r="N132" s="2347"/>
      <c r="O132" s="2347"/>
      <c r="P132" s="2347"/>
      <c r="Q132" s="2347"/>
      <c r="R132" s="2347"/>
      <c r="S132" s="2348"/>
      <c r="T132" s="192"/>
      <c r="U132" s="192"/>
      <c r="V132" s="192"/>
      <c r="W132" s="192"/>
      <c r="X132" s="192"/>
      <c r="Y132" s="192"/>
      <c r="Z132" s="192"/>
    </row>
    <row r="133" spans="2:26" ht="16.5" customHeight="1">
      <c r="B133" s="192"/>
      <c r="C133" s="192"/>
      <c r="D133" s="192"/>
      <c r="E133" s="192"/>
      <c r="F133" s="192"/>
      <c r="G133" s="192"/>
      <c r="H133" s="192"/>
      <c r="I133" s="192"/>
      <c r="J133" s="192"/>
      <c r="K133" s="192"/>
      <c r="L133" s="520"/>
      <c r="M133" s="2305"/>
      <c r="N133" s="2305"/>
      <c r="O133" s="2305"/>
      <c r="P133" s="2305"/>
      <c r="Q133" s="2305"/>
      <c r="R133" s="2305"/>
      <c r="S133" s="2306"/>
      <c r="T133" s="192"/>
      <c r="U133" s="192"/>
      <c r="V133" s="192"/>
      <c r="W133" s="192"/>
      <c r="X133" s="192"/>
      <c r="Y133" s="192"/>
      <c r="Z133" s="192"/>
    </row>
    <row r="134" spans="2:26" ht="16.5" customHeight="1">
      <c r="B134" s="192"/>
      <c r="C134" s="192"/>
      <c r="D134" s="192"/>
      <c r="E134" s="192"/>
      <c r="F134" s="192"/>
      <c r="G134" s="192"/>
      <c r="H134" s="192"/>
      <c r="I134" s="192"/>
      <c r="J134" s="192"/>
      <c r="K134" s="192"/>
      <c r="L134" s="520"/>
      <c r="M134" s="2305"/>
      <c r="N134" s="2305"/>
      <c r="O134" s="2305"/>
      <c r="P134" s="2305"/>
      <c r="Q134" s="2305"/>
      <c r="R134" s="2305"/>
      <c r="S134" s="2306"/>
      <c r="T134" s="192"/>
      <c r="U134" s="192"/>
      <c r="V134" s="192"/>
      <c r="W134" s="192"/>
      <c r="X134" s="192"/>
      <c r="Y134" s="192"/>
      <c r="Z134" s="192"/>
    </row>
    <row r="135" spans="2:26" ht="16.5" customHeight="1">
      <c r="B135" s="192"/>
      <c r="C135" s="192"/>
      <c r="D135" s="192"/>
      <c r="E135" s="192"/>
      <c r="F135" s="192"/>
      <c r="G135" s="192"/>
      <c r="H135" s="192"/>
      <c r="I135" s="192"/>
      <c r="J135" s="192"/>
      <c r="K135" s="192"/>
      <c r="L135" s="520"/>
      <c r="M135" s="2305"/>
      <c r="N135" s="2305"/>
      <c r="O135" s="2305"/>
      <c r="P135" s="2305"/>
      <c r="Q135" s="2305"/>
      <c r="R135" s="2305"/>
      <c r="S135" s="2306"/>
      <c r="T135" s="192"/>
      <c r="U135" s="192"/>
      <c r="V135" s="192"/>
      <c r="W135" s="192"/>
      <c r="X135" s="192"/>
      <c r="Y135" s="192"/>
      <c r="Z135" s="192"/>
    </row>
    <row r="136" spans="2:26" ht="16.5" customHeight="1">
      <c r="B136" s="192"/>
      <c r="C136" s="192"/>
      <c r="D136" s="192"/>
      <c r="E136" s="192"/>
      <c r="F136" s="192"/>
      <c r="G136" s="192"/>
      <c r="H136" s="192"/>
      <c r="I136" s="192"/>
      <c r="J136" s="192"/>
      <c r="K136" s="192"/>
      <c r="L136" s="520"/>
      <c r="M136" s="2305"/>
      <c r="N136" s="2305"/>
      <c r="O136" s="2305"/>
      <c r="P136" s="2305"/>
      <c r="Q136" s="2305"/>
      <c r="R136" s="2305"/>
      <c r="S136" s="2306"/>
      <c r="T136" s="192"/>
      <c r="U136" s="192"/>
      <c r="V136" s="192"/>
      <c r="W136" s="192"/>
      <c r="X136" s="192"/>
      <c r="Y136" s="192"/>
      <c r="Z136" s="192"/>
    </row>
    <row r="137" spans="2:26" ht="16.5" customHeight="1">
      <c r="B137" s="192"/>
      <c r="C137" s="192"/>
      <c r="D137" s="192"/>
      <c r="E137" s="192"/>
      <c r="F137" s="192"/>
      <c r="G137" s="192"/>
      <c r="H137" s="192"/>
      <c r="I137" s="192"/>
      <c r="J137" s="192"/>
      <c r="K137" s="192"/>
      <c r="L137" s="520"/>
      <c r="M137" s="2305"/>
      <c r="N137" s="2305"/>
      <c r="O137" s="2305"/>
      <c r="P137" s="2305"/>
      <c r="Q137" s="2305"/>
      <c r="R137" s="2305"/>
      <c r="S137" s="2306"/>
      <c r="T137" s="192"/>
      <c r="U137" s="192"/>
      <c r="V137" s="192"/>
      <c r="W137" s="192"/>
      <c r="X137" s="192"/>
      <c r="Y137" s="192"/>
      <c r="Z137" s="192"/>
    </row>
    <row r="138" spans="2:26" ht="16.5" customHeight="1">
      <c r="B138" s="192"/>
      <c r="C138" s="192"/>
      <c r="D138" s="192"/>
      <c r="E138" s="192"/>
      <c r="F138" s="192"/>
      <c r="G138" s="192"/>
      <c r="H138" s="192"/>
      <c r="I138" s="192"/>
      <c r="J138" s="192"/>
      <c r="K138" s="192"/>
      <c r="L138" s="520"/>
      <c r="M138" s="2305"/>
      <c r="N138" s="2305"/>
      <c r="O138" s="2305"/>
      <c r="P138" s="2305"/>
      <c r="Q138" s="2305"/>
      <c r="R138" s="2305"/>
      <c r="S138" s="2306"/>
      <c r="T138" s="192"/>
      <c r="U138" s="192"/>
      <c r="V138" s="192"/>
      <c r="W138" s="192"/>
      <c r="X138" s="192"/>
      <c r="Y138" s="192"/>
      <c r="Z138" s="192"/>
    </row>
    <row r="139" spans="2:26" ht="16.5" customHeight="1">
      <c r="B139" s="192"/>
      <c r="C139" s="192"/>
      <c r="D139" s="192"/>
      <c r="E139" s="192"/>
      <c r="F139" s="192"/>
      <c r="G139" s="192"/>
      <c r="H139" s="192"/>
      <c r="I139" s="192"/>
      <c r="J139" s="192"/>
      <c r="K139" s="192"/>
      <c r="L139" s="521"/>
      <c r="M139" s="2332"/>
      <c r="N139" s="2332"/>
      <c r="O139" s="2332"/>
      <c r="P139" s="2332"/>
      <c r="Q139" s="2332"/>
      <c r="R139" s="2332"/>
      <c r="S139" s="2333"/>
      <c r="T139" s="192"/>
      <c r="U139" s="192"/>
      <c r="V139" s="192"/>
      <c r="W139" s="192"/>
      <c r="X139" s="192"/>
      <c r="Y139" s="192"/>
      <c r="Z139" s="192"/>
    </row>
    <row r="140" spans="2:26" ht="16.5" customHeight="1">
      <c r="B140" s="192"/>
      <c r="C140" s="192"/>
      <c r="D140" s="192"/>
      <c r="E140" s="192"/>
      <c r="F140" s="192"/>
      <c r="G140" s="192"/>
      <c r="H140" s="192"/>
      <c r="I140" s="192"/>
      <c r="J140" s="192"/>
      <c r="K140" s="192"/>
      <c r="L140" s="520" t="s">
        <v>3599</v>
      </c>
      <c r="M140" s="2305" t="s">
        <v>3600</v>
      </c>
      <c r="N140" s="2305"/>
      <c r="O140" s="2305"/>
      <c r="P140" s="2305"/>
      <c r="Q140" s="2305"/>
      <c r="R140" s="2305"/>
      <c r="S140" s="2306"/>
      <c r="T140" s="192"/>
      <c r="U140" s="192"/>
      <c r="V140" s="192"/>
      <c r="W140" s="192"/>
      <c r="X140" s="192"/>
      <c r="Y140" s="192"/>
      <c r="Z140" s="192"/>
    </row>
    <row r="141" spans="2:26" ht="16.5" customHeight="1">
      <c r="B141" s="192"/>
      <c r="C141" s="192"/>
      <c r="D141" s="192"/>
      <c r="E141" s="192"/>
      <c r="F141" s="192"/>
      <c r="G141" s="192"/>
      <c r="H141" s="192"/>
      <c r="I141" s="192"/>
      <c r="J141" s="192"/>
      <c r="K141" s="192"/>
      <c r="L141" s="520"/>
      <c r="M141" s="2305"/>
      <c r="N141" s="2305"/>
      <c r="O141" s="2305"/>
      <c r="P141" s="2305"/>
      <c r="Q141" s="2305"/>
      <c r="R141" s="2305"/>
      <c r="S141" s="2306"/>
      <c r="T141" s="192"/>
      <c r="U141" s="192"/>
      <c r="V141" s="192"/>
      <c r="W141" s="192"/>
      <c r="X141" s="192"/>
      <c r="Y141" s="192"/>
      <c r="Z141" s="192"/>
    </row>
    <row r="142" spans="2:26" ht="16.5" customHeight="1">
      <c r="B142" s="192"/>
      <c r="C142" s="192"/>
      <c r="D142" s="192"/>
      <c r="E142" s="192"/>
      <c r="F142" s="192"/>
      <c r="G142" s="192"/>
      <c r="H142" s="192"/>
      <c r="I142" s="192"/>
      <c r="J142" s="192"/>
      <c r="K142" s="192"/>
      <c r="L142" s="520"/>
      <c r="M142" s="2305"/>
      <c r="N142" s="2305"/>
      <c r="O142" s="2305"/>
      <c r="P142" s="2305"/>
      <c r="Q142" s="2305"/>
      <c r="R142" s="2305"/>
      <c r="S142" s="2306"/>
      <c r="T142" s="192"/>
      <c r="U142" s="192"/>
      <c r="V142" s="192"/>
      <c r="W142" s="192"/>
      <c r="X142" s="192"/>
      <c r="Y142" s="192"/>
      <c r="Z142" s="192"/>
    </row>
    <row r="143" spans="2:26" ht="16.5" customHeight="1">
      <c r="B143" s="192"/>
      <c r="C143" s="192"/>
      <c r="D143" s="192"/>
      <c r="E143" s="192"/>
      <c r="F143" s="192"/>
      <c r="G143" s="192"/>
      <c r="H143" s="192"/>
      <c r="I143" s="192"/>
      <c r="J143" s="192"/>
      <c r="K143" s="192"/>
      <c r="L143" s="520"/>
      <c r="M143" s="2305"/>
      <c r="N143" s="2305"/>
      <c r="O143" s="2305"/>
      <c r="P143" s="2305"/>
      <c r="Q143" s="2305"/>
      <c r="R143" s="2305"/>
      <c r="S143" s="2306"/>
      <c r="T143" s="192"/>
      <c r="U143" s="192"/>
      <c r="V143" s="192"/>
      <c r="W143" s="192"/>
      <c r="X143" s="192"/>
      <c r="Y143" s="192"/>
      <c r="Z143" s="192"/>
    </row>
    <row r="144" spans="2:26" ht="16.5" customHeight="1">
      <c r="B144" s="192"/>
      <c r="C144" s="192"/>
      <c r="D144" s="192"/>
      <c r="E144" s="192"/>
      <c r="F144" s="192"/>
      <c r="G144" s="192"/>
      <c r="H144" s="192"/>
      <c r="I144" s="192"/>
      <c r="J144" s="192"/>
      <c r="K144" s="192"/>
      <c r="L144" s="520"/>
      <c r="M144" s="2305"/>
      <c r="N144" s="2305"/>
      <c r="O144" s="2305"/>
      <c r="P144" s="2305"/>
      <c r="Q144" s="2305"/>
      <c r="R144" s="2305"/>
      <c r="S144" s="2306"/>
      <c r="T144" s="192"/>
      <c r="U144" s="192"/>
      <c r="V144" s="192"/>
      <c r="W144" s="192"/>
      <c r="X144" s="192"/>
      <c r="Y144" s="192"/>
      <c r="Z144" s="192"/>
    </row>
    <row r="145" spans="2:26" ht="16.5" customHeight="1">
      <c r="B145" s="192"/>
      <c r="C145" s="192"/>
      <c r="D145" s="192"/>
      <c r="E145" s="192"/>
      <c r="F145" s="192"/>
      <c r="G145" s="192"/>
      <c r="H145" s="192"/>
      <c r="I145" s="192"/>
      <c r="J145" s="192"/>
      <c r="K145" s="192"/>
      <c r="L145" s="520"/>
      <c r="M145" s="2305"/>
      <c r="N145" s="2305"/>
      <c r="O145" s="2305"/>
      <c r="P145" s="2305"/>
      <c r="Q145" s="2305"/>
      <c r="R145" s="2305"/>
      <c r="S145" s="2306"/>
      <c r="T145" s="192"/>
      <c r="U145" s="192"/>
      <c r="V145" s="192"/>
      <c r="W145" s="192"/>
      <c r="X145" s="192"/>
      <c r="Y145" s="192"/>
      <c r="Z145" s="192"/>
    </row>
    <row r="146" spans="2:26" ht="16.5" customHeight="1">
      <c r="B146" s="192"/>
      <c r="C146" s="192"/>
      <c r="D146" s="192"/>
      <c r="E146" s="192"/>
      <c r="F146" s="192"/>
      <c r="G146" s="192"/>
      <c r="H146" s="192"/>
      <c r="I146" s="192"/>
      <c r="J146" s="192"/>
      <c r="K146" s="192"/>
      <c r="L146" s="520"/>
      <c r="M146" s="2305"/>
      <c r="N146" s="2305"/>
      <c r="O146" s="2305"/>
      <c r="P146" s="2305"/>
      <c r="Q146" s="2305"/>
      <c r="R146" s="2305"/>
      <c r="S146" s="2306"/>
      <c r="T146" s="192"/>
      <c r="U146" s="192"/>
      <c r="V146" s="192"/>
      <c r="W146" s="192"/>
      <c r="X146" s="192"/>
      <c r="Y146" s="192"/>
      <c r="Z146" s="192"/>
    </row>
    <row r="147" spans="2:26" ht="16.5" customHeight="1">
      <c r="B147" s="192"/>
      <c r="C147" s="192"/>
      <c r="D147" s="192"/>
      <c r="E147" s="192"/>
      <c r="F147" s="192"/>
      <c r="G147" s="192"/>
      <c r="H147" s="192"/>
      <c r="I147" s="192"/>
      <c r="J147" s="192"/>
      <c r="K147" s="192"/>
      <c r="L147" s="521"/>
      <c r="M147" s="2332"/>
      <c r="N147" s="2332"/>
      <c r="O147" s="2332"/>
      <c r="P147" s="2332"/>
      <c r="Q147" s="2332"/>
      <c r="R147" s="2332"/>
      <c r="S147" s="2333"/>
      <c r="T147" s="192"/>
      <c r="U147" s="192"/>
      <c r="V147" s="192"/>
      <c r="W147" s="192"/>
      <c r="X147" s="192"/>
      <c r="Y147" s="192"/>
      <c r="Z147" s="192"/>
    </row>
    <row r="148" spans="2:26" ht="16.5" customHeight="1">
      <c r="B148" s="192"/>
      <c r="C148" s="192"/>
      <c r="D148" s="192"/>
      <c r="E148" s="192"/>
      <c r="F148" s="192"/>
      <c r="G148" s="192"/>
      <c r="H148" s="192"/>
      <c r="I148" s="192"/>
      <c r="J148" s="192"/>
      <c r="K148" s="192"/>
      <c r="L148" s="520" t="s">
        <v>3601</v>
      </c>
      <c r="M148" s="2305" t="s">
        <v>3602</v>
      </c>
      <c r="N148" s="2305"/>
      <c r="O148" s="2305"/>
      <c r="P148" s="2305"/>
      <c r="Q148" s="2305"/>
      <c r="R148" s="2305"/>
      <c r="S148" s="2306"/>
      <c r="T148" s="192"/>
      <c r="U148" s="192"/>
      <c r="V148" s="192"/>
      <c r="W148" s="192"/>
      <c r="X148" s="192"/>
      <c r="Y148" s="192"/>
      <c r="Z148" s="192"/>
    </row>
    <row r="149" spans="2:26" ht="16.5" customHeight="1">
      <c r="B149" s="192"/>
      <c r="C149" s="192"/>
      <c r="D149" s="192"/>
      <c r="E149" s="192"/>
      <c r="F149" s="192"/>
      <c r="G149" s="192"/>
      <c r="H149" s="192"/>
      <c r="I149" s="192"/>
      <c r="J149" s="192"/>
      <c r="K149" s="192"/>
      <c r="L149" s="520"/>
      <c r="M149" s="2305"/>
      <c r="N149" s="2305"/>
      <c r="O149" s="2305"/>
      <c r="P149" s="2305"/>
      <c r="Q149" s="2305"/>
      <c r="R149" s="2305"/>
      <c r="S149" s="2306"/>
      <c r="T149" s="192"/>
      <c r="U149" s="192"/>
      <c r="V149" s="192"/>
      <c r="W149" s="192"/>
      <c r="X149" s="192"/>
      <c r="Y149" s="192"/>
      <c r="Z149" s="192"/>
    </row>
    <row r="150" spans="2:26" ht="16.5" customHeight="1">
      <c r="B150" s="192"/>
      <c r="C150" s="192"/>
      <c r="D150" s="192"/>
      <c r="E150" s="192"/>
      <c r="F150" s="192"/>
      <c r="G150" s="192"/>
      <c r="H150" s="192"/>
      <c r="I150" s="192"/>
      <c r="J150" s="192"/>
      <c r="K150" s="192"/>
      <c r="L150" s="520"/>
      <c r="M150" s="2305"/>
      <c r="N150" s="2305"/>
      <c r="O150" s="2305"/>
      <c r="P150" s="2305"/>
      <c r="Q150" s="2305"/>
      <c r="R150" s="2305"/>
      <c r="S150" s="2306"/>
      <c r="T150" s="192"/>
      <c r="U150" s="192"/>
      <c r="V150" s="192"/>
      <c r="W150" s="192"/>
      <c r="X150" s="192"/>
      <c r="Y150" s="192"/>
      <c r="Z150" s="192"/>
    </row>
    <row r="151" spans="2:26" ht="16.5" customHeight="1">
      <c r="B151" s="192"/>
      <c r="C151" s="192"/>
      <c r="D151" s="192"/>
      <c r="E151" s="192"/>
      <c r="F151" s="192"/>
      <c r="G151" s="192"/>
      <c r="H151" s="192"/>
      <c r="I151" s="192"/>
      <c r="J151" s="192"/>
      <c r="K151" s="192"/>
      <c r="L151" s="520"/>
      <c r="M151" s="2305"/>
      <c r="N151" s="2305"/>
      <c r="O151" s="2305"/>
      <c r="P151" s="2305"/>
      <c r="Q151" s="2305"/>
      <c r="R151" s="2305"/>
      <c r="S151" s="2306"/>
      <c r="T151" s="192"/>
      <c r="U151" s="192"/>
      <c r="V151" s="192"/>
      <c r="W151" s="192"/>
      <c r="X151" s="192"/>
      <c r="Y151" s="192"/>
      <c r="Z151" s="192"/>
    </row>
    <row r="152" spans="2:26" ht="17.25">
      <c r="B152" s="192"/>
      <c r="C152" s="192"/>
      <c r="D152" s="192"/>
      <c r="E152" s="192"/>
      <c r="F152" s="192"/>
      <c r="G152" s="192"/>
      <c r="H152" s="192"/>
      <c r="I152" s="192"/>
      <c r="J152" s="192"/>
      <c r="K152" s="192"/>
      <c r="L152" s="520"/>
      <c r="M152" s="2305"/>
      <c r="N152" s="2305"/>
      <c r="O152" s="2305"/>
      <c r="P152" s="2305"/>
      <c r="Q152" s="2305"/>
      <c r="R152" s="2305"/>
      <c r="S152" s="2306"/>
      <c r="T152" s="192"/>
      <c r="U152" s="192"/>
      <c r="V152" s="192"/>
      <c r="W152" s="192"/>
      <c r="X152" s="192"/>
      <c r="Y152" s="192"/>
      <c r="Z152" s="192"/>
    </row>
    <row r="153" spans="2:26" ht="17.25">
      <c r="B153" s="192"/>
      <c r="C153" s="192"/>
      <c r="D153" s="192"/>
      <c r="E153" s="192"/>
      <c r="F153" s="192"/>
      <c r="G153" s="192"/>
      <c r="H153" s="192"/>
      <c r="I153" s="192"/>
      <c r="J153" s="192"/>
      <c r="K153" s="192"/>
      <c r="L153" s="520"/>
      <c r="M153" s="2305"/>
      <c r="N153" s="2305"/>
      <c r="O153" s="2305"/>
      <c r="P153" s="2305"/>
      <c r="Q153" s="2305"/>
      <c r="R153" s="2305"/>
      <c r="S153" s="2306"/>
      <c r="T153" s="192"/>
      <c r="U153" s="192"/>
      <c r="V153" s="192"/>
      <c r="W153" s="192"/>
      <c r="X153" s="192"/>
      <c r="Y153" s="192"/>
      <c r="Z153" s="192"/>
    </row>
    <row r="154" spans="2:26" ht="17.25">
      <c r="B154" s="192"/>
      <c r="C154" s="192"/>
      <c r="D154" s="192"/>
      <c r="E154" s="192"/>
      <c r="F154" s="192"/>
      <c r="G154" s="192"/>
      <c r="H154" s="192"/>
      <c r="I154" s="192"/>
      <c r="J154" s="192"/>
      <c r="K154" s="192"/>
      <c r="L154" s="522"/>
      <c r="M154" s="2307"/>
      <c r="N154" s="2307"/>
      <c r="O154" s="2307"/>
      <c r="P154" s="2307"/>
      <c r="Q154" s="2307"/>
      <c r="R154" s="2307"/>
      <c r="S154" s="2308"/>
      <c r="T154" s="523" t="s">
        <v>3603</v>
      </c>
      <c r="U154" s="192"/>
      <c r="V154" s="192"/>
      <c r="W154" s="192"/>
      <c r="X154" s="192"/>
      <c r="Y154" s="192"/>
      <c r="Z154" s="192"/>
    </row>
  </sheetData>
  <sheetProtection password="D857" sheet="1" objects="1"/>
  <protectedRanges>
    <protectedRange sqref="AU41:AV44 AX37:AY40" name="技能表以上_1"/>
  </protectedRanges>
  <mergeCells count="92">
    <mergeCell ref="B2:L2"/>
    <mergeCell ref="N2:Z2"/>
    <mergeCell ref="B3:D3"/>
    <mergeCell ref="E3:F3"/>
    <mergeCell ref="G3:H3"/>
    <mergeCell ref="I3:L3"/>
    <mergeCell ref="O3:Z3"/>
    <mergeCell ref="O4:Z4"/>
    <mergeCell ref="O6:Z6"/>
    <mergeCell ref="O8:Z8"/>
    <mergeCell ref="B10:H10"/>
    <mergeCell ref="I10:J10"/>
    <mergeCell ref="K10:L10"/>
    <mergeCell ref="O10:Z10"/>
    <mergeCell ref="E4:F9"/>
    <mergeCell ref="G4:H9"/>
    <mergeCell ref="B4:D9"/>
    <mergeCell ref="I4:L9"/>
    <mergeCell ref="O12:Z12"/>
    <mergeCell ref="O23:Z23"/>
    <mergeCell ref="B24:G24"/>
    <mergeCell ref="H24:L24"/>
    <mergeCell ref="O28:Z28"/>
    <mergeCell ref="B25:G38"/>
    <mergeCell ref="O14:Z15"/>
    <mergeCell ref="O20:Z21"/>
    <mergeCell ref="O25:Z26"/>
    <mergeCell ref="B11:H23"/>
    <mergeCell ref="O17:Z18"/>
    <mergeCell ref="O30:Z30"/>
    <mergeCell ref="O32:Z32"/>
    <mergeCell ref="O34:Z34"/>
    <mergeCell ref="N35:Z35"/>
    <mergeCell ref="N38:Z38"/>
    <mergeCell ref="O36:Z37"/>
    <mergeCell ref="B39:L39"/>
    <mergeCell ref="N41:Z41"/>
    <mergeCell ref="O43:Z43"/>
    <mergeCell ref="O45:Y45"/>
    <mergeCell ref="B84:J84"/>
    <mergeCell ref="B72:G74"/>
    <mergeCell ref="H72:M74"/>
    <mergeCell ref="O75:T76"/>
    <mergeCell ref="U75:Z76"/>
    <mergeCell ref="O70:Z71"/>
    <mergeCell ref="O39:Z40"/>
    <mergeCell ref="B40:L60"/>
    <mergeCell ref="B64:Z66"/>
    <mergeCell ref="B70:M71"/>
    <mergeCell ref="B68:Z69"/>
    <mergeCell ref="B85:J85"/>
    <mergeCell ref="L124:S124"/>
    <mergeCell ref="L131:S131"/>
    <mergeCell ref="A2:A23"/>
    <mergeCell ref="M2:M24"/>
    <mergeCell ref="N14:N15"/>
    <mergeCell ref="N17:N18"/>
    <mergeCell ref="N20:N21"/>
    <mergeCell ref="N25:N26"/>
    <mergeCell ref="N36:N37"/>
    <mergeCell ref="N39:N40"/>
    <mergeCell ref="L117:S118"/>
    <mergeCell ref="B102:J105"/>
    <mergeCell ref="O77:Z80"/>
    <mergeCell ref="B75:G76"/>
    <mergeCell ref="H75:M76"/>
    <mergeCell ref="M140:S147"/>
    <mergeCell ref="B113:Z115"/>
    <mergeCell ref="L125:S126"/>
    <mergeCell ref="L127:O130"/>
    <mergeCell ref="G119:J125"/>
    <mergeCell ref="B117:E118"/>
    <mergeCell ref="M132:S139"/>
    <mergeCell ref="L119:S123"/>
    <mergeCell ref="B119:E125"/>
    <mergeCell ref="U119:Z127"/>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1:J83"/>
    <mergeCell ref="B96:J101"/>
  </mergeCells>
  <phoneticPr fontId="203"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workbookViewId="0">
      <selection activeCell="W67" sqref="W67:AJ69"/>
    </sheetView>
  </sheetViews>
  <sheetFormatPr defaultColWidth="4" defaultRowHeight="17.25"/>
  <cols>
    <col min="1" max="1" width="4" style="441" customWidth="1"/>
    <col min="2" max="2" width="4.375" style="442" customWidth="1"/>
    <col min="3" max="7" width="4" style="442" customWidth="1"/>
    <col min="8" max="8" width="4.375" style="442" customWidth="1"/>
    <col min="9" max="19" width="4" style="442" customWidth="1"/>
    <col min="20" max="20" width="4.375" style="442" customWidth="1"/>
    <col min="21" max="21" width="4" style="442" customWidth="1"/>
    <col min="22" max="16384" width="4" style="442"/>
  </cols>
  <sheetData>
    <row r="1" spans="1:49">
      <c r="A1" s="363"/>
    </row>
    <row r="2" spans="1:49">
      <c r="A2" s="441">
        <f ca="1">RANDBETWEEN(1,6)</f>
        <v>1</v>
      </c>
      <c r="B2" s="2649" t="s">
        <v>3604</v>
      </c>
      <c r="C2" s="2650"/>
      <c r="D2" s="2650"/>
      <c r="E2" s="2650"/>
      <c r="F2" s="2650"/>
      <c r="G2" s="2650"/>
      <c r="H2" s="2650"/>
      <c r="I2" s="2650"/>
      <c r="J2" s="2650"/>
      <c r="K2" s="2650"/>
      <c r="L2" s="2650"/>
      <c r="M2" s="2650"/>
      <c r="N2" s="2650"/>
      <c r="O2" s="2650"/>
      <c r="P2" s="2650"/>
      <c r="Q2" s="2650"/>
      <c r="R2" s="2650"/>
      <c r="S2" s="2650"/>
      <c r="T2" s="2650"/>
      <c r="U2" s="2650"/>
      <c r="V2" s="2650"/>
      <c r="W2" s="2650"/>
      <c r="X2" s="2650"/>
      <c r="Y2" s="2650"/>
      <c r="Z2" s="2650"/>
      <c r="AA2" s="2650"/>
      <c r="AB2" s="2650"/>
      <c r="AC2" s="2650"/>
      <c r="AD2" s="2650"/>
      <c r="AE2" s="2650"/>
      <c r="AF2" s="2650"/>
      <c r="AG2" s="2650"/>
      <c r="AH2" s="2650"/>
      <c r="AI2" s="2650"/>
      <c r="AJ2" s="2650"/>
      <c r="AK2" s="2650"/>
      <c r="AL2" s="2650"/>
      <c r="AM2" s="2650"/>
      <c r="AN2" s="2650"/>
      <c r="AO2" s="2650"/>
      <c r="AP2" s="2650"/>
      <c r="AQ2" s="2650"/>
      <c r="AR2" s="2650"/>
      <c r="AS2" s="2650"/>
      <c r="AT2" s="2650"/>
      <c r="AU2" s="2650"/>
      <c r="AV2" s="2650"/>
      <c r="AW2" s="2651"/>
    </row>
    <row r="3" spans="1:49">
      <c r="A3" s="442"/>
      <c r="B3" s="2657" t="s">
        <v>3605</v>
      </c>
      <c r="C3" s="2658"/>
      <c r="D3" s="2658"/>
      <c r="E3" s="2658"/>
      <c r="F3" s="2658"/>
      <c r="G3" s="2658"/>
      <c r="H3" s="2659" t="s">
        <v>3606</v>
      </c>
      <c r="I3" s="2660"/>
      <c r="J3" s="2660"/>
      <c r="K3" s="2660"/>
      <c r="L3" s="2660"/>
      <c r="M3" s="2660"/>
      <c r="N3" s="2659" t="s">
        <v>3607</v>
      </c>
      <c r="O3" s="2660"/>
      <c r="P3" s="2660"/>
      <c r="Q3" s="2660"/>
      <c r="R3" s="2660"/>
      <c r="S3" s="2660"/>
      <c r="T3" s="2659" t="s">
        <v>3608</v>
      </c>
      <c r="U3" s="2660"/>
      <c r="V3" s="2660"/>
      <c r="W3" s="2660"/>
      <c r="X3" s="2660"/>
      <c r="Y3" s="2660"/>
      <c r="Z3" s="2659" t="s">
        <v>3609</v>
      </c>
      <c r="AA3" s="2660"/>
      <c r="AB3" s="2660"/>
      <c r="AC3" s="2660"/>
      <c r="AD3" s="2660"/>
      <c r="AE3" s="2660"/>
      <c r="AF3" s="2659" t="s">
        <v>3610</v>
      </c>
      <c r="AG3" s="2660"/>
      <c r="AH3" s="2660"/>
      <c r="AI3" s="2660"/>
      <c r="AJ3" s="2660"/>
      <c r="AK3" s="2660"/>
      <c r="AL3" s="2659" t="s">
        <v>3611</v>
      </c>
      <c r="AM3" s="2660"/>
      <c r="AN3" s="2660"/>
      <c r="AO3" s="2660"/>
      <c r="AP3" s="2660"/>
      <c r="AQ3" s="2660"/>
      <c r="AR3" s="2659" t="s">
        <v>3612</v>
      </c>
      <c r="AS3" s="2660"/>
      <c r="AT3" s="2660"/>
      <c r="AU3" s="2660"/>
      <c r="AV3" s="2660"/>
      <c r="AW3" s="2661"/>
    </row>
    <row r="4" spans="1:49">
      <c r="A4" s="442"/>
      <c r="B4" s="2486" t="s">
        <v>3613</v>
      </c>
      <c r="C4" s="2487"/>
      <c r="D4" s="2487"/>
      <c r="E4" s="2487"/>
      <c r="F4" s="2487"/>
      <c r="G4" s="2487"/>
      <c r="H4" s="2490" t="s">
        <v>3613</v>
      </c>
      <c r="I4" s="2487"/>
      <c r="J4" s="2487"/>
      <c r="K4" s="2487"/>
      <c r="L4" s="2487"/>
      <c r="M4" s="2487"/>
      <c r="N4" s="2492" t="s">
        <v>3614</v>
      </c>
      <c r="O4" s="2493"/>
      <c r="P4" s="2493"/>
      <c r="Q4" s="2493"/>
      <c r="R4" s="2493"/>
      <c r="S4" s="2494"/>
      <c r="T4" s="2498" t="s">
        <v>3613</v>
      </c>
      <c r="U4" s="2487"/>
      <c r="V4" s="2487"/>
      <c r="W4" s="2487"/>
      <c r="X4" s="2487"/>
      <c r="Y4" s="2487"/>
      <c r="Z4" s="2499" t="s">
        <v>3613</v>
      </c>
      <c r="AA4" s="2487"/>
      <c r="AB4" s="2487"/>
      <c r="AC4" s="2487"/>
      <c r="AD4" s="2487"/>
      <c r="AE4" s="2487"/>
      <c r="AF4" s="2492" t="s">
        <v>3614</v>
      </c>
      <c r="AG4" s="2493"/>
      <c r="AH4" s="2493"/>
      <c r="AI4" s="2493"/>
      <c r="AJ4" s="2493"/>
      <c r="AK4" s="2493"/>
      <c r="AL4" s="2501" t="s">
        <v>3613</v>
      </c>
      <c r="AM4" s="2487"/>
      <c r="AN4" s="2487"/>
      <c r="AO4" s="2487"/>
      <c r="AP4" s="2487"/>
      <c r="AQ4" s="2487"/>
      <c r="AR4" s="2492" t="s">
        <v>3614</v>
      </c>
      <c r="AS4" s="2493"/>
      <c r="AT4" s="2493"/>
      <c r="AU4" s="2493"/>
      <c r="AV4" s="2493"/>
      <c r="AW4" s="2502"/>
    </row>
    <row r="5" spans="1:49">
      <c r="A5" s="442"/>
      <c r="B5" s="2488"/>
      <c r="C5" s="2489"/>
      <c r="D5" s="2489"/>
      <c r="E5" s="2489"/>
      <c r="F5" s="2489"/>
      <c r="G5" s="2489"/>
      <c r="H5" s="2491"/>
      <c r="I5" s="2489"/>
      <c r="J5" s="2489"/>
      <c r="K5" s="2489"/>
      <c r="L5" s="2489"/>
      <c r="M5" s="2489"/>
      <c r="N5" s="2495"/>
      <c r="O5" s="2496"/>
      <c r="P5" s="2496"/>
      <c r="Q5" s="2496"/>
      <c r="R5" s="2496"/>
      <c r="S5" s="2497"/>
      <c r="T5" s="2489"/>
      <c r="U5" s="2489"/>
      <c r="V5" s="2489"/>
      <c r="W5" s="2489"/>
      <c r="X5" s="2489"/>
      <c r="Y5" s="2489"/>
      <c r="Z5" s="2500"/>
      <c r="AA5" s="2489"/>
      <c r="AB5" s="2489"/>
      <c r="AC5" s="2489"/>
      <c r="AD5" s="2489"/>
      <c r="AE5" s="2489"/>
      <c r="AF5" s="2495"/>
      <c r="AG5" s="2496"/>
      <c r="AH5" s="2496"/>
      <c r="AI5" s="2496"/>
      <c r="AJ5" s="2496"/>
      <c r="AK5" s="2496"/>
      <c r="AL5" s="2491"/>
      <c r="AM5" s="2489"/>
      <c r="AN5" s="2489"/>
      <c r="AO5" s="2489"/>
      <c r="AP5" s="2489"/>
      <c r="AQ5" s="2489"/>
      <c r="AR5" s="2495"/>
      <c r="AS5" s="2496"/>
      <c r="AT5" s="2496"/>
      <c r="AU5" s="2496"/>
      <c r="AV5" s="2496"/>
      <c r="AW5" s="2503"/>
    </row>
    <row r="6" spans="1:49">
      <c r="A6" s="442"/>
    </row>
    <row r="7" spans="1:49">
      <c r="A7" s="441">
        <f ca="1">RANDBETWEEN(1,6)</f>
        <v>2</v>
      </c>
      <c r="B7" s="2649" t="s">
        <v>3615</v>
      </c>
      <c r="C7" s="2650"/>
      <c r="D7" s="2650"/>
      <c r="E7" s="2650"/>
      <c r="F7" s="2650"/>
      <c r="G7" s="2650"/>
      <c r="H7" s="2650"/>
      <c r="I7" s="2650"/>
      <c r="J7" s="2650"/>
      <c r="K7" s="2650"/>
      <c r="L7" s="2650"/>
      <c r="M7" s="2650"/>
      <c r="N7" s="2650"/>
      <c r="O7" s="2650"/>
      <c r="P7" s="2650"/>
      <c r="Q7" s="2650"/>
      <c r="R7" s="2650"/>
      <c r="S7" s="2650"/>
      <c r="T7" s="2650"/>
      <c r="U7" s="2650"/>
      <c r="V7" s="2650"/>
      <c r="W7" s="2650"/>
      <c r="X7" s="2650"/>
      <c r="Y7" s="2650"/>
      <c r="Z7" s="2650"/>
      <c r="AA7" s="2650"/>
      <c r="AB7" s="2650"/>
      <c r="AC7" s="2650"/>
      <c r="AD7" s="2650"/>
      <c r="AE7" s="2650"/>
      <c r="AF7" s="2650"/>
      <c r="AG7" s="2650"/>
      <c r="AH7" s="2650"/>
      <c r="AI7" s="2650"/>
      <c r="AJ7" s="2650"/>
      <c r="AK7" s="2650"/>
      <c r="AL7" s="2650"/>
      <c r="AM7" s="2650"/>
      <c r="AN7" s="2650"/>
      <c r="AO7" s="2650"/>
      <c r="AP7" s="2650"/>
      <c r="AQ7" s="2650"/>
      <c r="AR7" s="2650"/>
      <c r="AS7" s="2650"/>
      <c r="AT7" s="2650"/>
      <c r="AU7" s="2650"/>
      <c r="AV7" s="2650"/>
      <c r="AW7" s="2651"/>
    </row>
    <row r="8" spans="1:49">
      <c r="A8" s="441">
        <f ca="1">RANDBETWEEN(1,6)</f>
        <v>3</v>
      </c>
      <c r="B8" s="2652" t="s">
        <v>3605</v>
      </c>
      <c r="C8" s="2653"/>
      <c r="D8" s="2653"/>
      <c r="E8" s="2653"/>
      <c r="F8" s="2653"/>
      <c r="G8" s="2653"/>
      <c r="H8" s="2654" t="s">
        <v>3606</v>
      </c>
      <c r="I8" s="2655"/>
      <c r="J8" s="2655"/>
      <c r="K8" s="2655"/>
      <c r="L8" s="2655"/>
      <c r="M8" s="2655"/>
      <c r="N8" s="2654" t="s">
        <v>3607</v>
      </c>
      <c r="O8" s="2655"/>
      <c r="P8" s="2655"/>
      <c r="Q8" s="2655"/>
      <c r="R8" s="2655"/>
      <c r="S8" s="2655"/>
      <c r="T8" s="2654" t="s">
        <v>3608</v>
      </c>
      <c r="U8" s="2655"/>
      <c r="V8" s="2655"/>
      <c r="W8" s="2655"/>
      <c r="X8" s="2655"/>
      <c r="Y8" s="2655"/>
      <c r="Z8" s="2654" t="s">
        <v>3609</v>
      </c>
      <c r="AA8" s="2655"/>
      <c r="AB8" s="2655"/>
      <c r="AC8" s="2655"/>
      <c r="AD8" s="2655"/>
      <c r="AE8" s="2655"/>
      <c r="AF8" s="2654" t="s">
        <v>3610</v>
      </c>
      <c r="AG8" s="2655"/>
      <c r="AH8" s="2655"/>
      <c r="AI8" s="2655"/>
      <c r="AJ8" s="2655"/>
      <c r="AK8" s="2655"/>
      <c r="AL8" s="2654" t="s">
        <v>3611</v>
      </c>
      <c r="AM8" s="2655"/>
      <c r="AN8" s="2655"/>
      <c r="AO8" s="2655"/>
      <c r="AP8" s="2655"/>
      <c r="AQ8" s="2655"/>
      <c r="AR8" s="2654" t="s">
        <v>3612</v>
      </c>
      <c r="AS8" s="2655"/>
      <c r="AT8" s="2655"/>
      <c r="AU8" s="2655"/>
      <c r="AV8" s="2655"/>
      <c r="AW8" s="2656"/>
    </row>
    <row r="9" spans="1:49">
      <c r="A9" s="441">
        <f ca="1">RANDBETWEEN(1,6)</f>
        <v>1</v>
      </c>
      <c r="B9" s="2606">
        <v>0</v>
      </c>
      <c r="C9" s="1886" t="s">
        <v>3616</v>
      </c>
      <c r="D9" s="1886"/>
      <c r="E9" s="1886"/>
      <c r="F9" s="1886"/>
      <c r="G9" s="1886"/>
      <c r="H9" s="2451">
        <v>0</v>
      </c>
      <c r="I9" s="2451" t="s">
        <v>3617</v>
      </c>
      <c r="J9" s="2451"/>
      <c r="K9" s="2451"/>
      <c r="L9" s="2451"/>
      <c r="M9" s="2451"/>
      <c r="N9" s="2451">
        <v>0</v>
      </c>
      <c r="O9" s="2451" t="s">
        <v>3618</v>
      </c>
      <c r="P9" s="2451"/>
      <c r="Q9" s="2451"/>
      <c r="R9" s="2451"/>
      <c r="S9" s="2451"/>
      <c r="T9" s="2451">
        <v>0</v>
      </c>
      <c r="U9" s="2451" t="s">
        <v>3619</v>
      </c>
      <c r="V9" s="2451"/>
      <c r="W9" s="2451"/>
      <c r="X9" s="2451"/>
      <c r="Y9" s="2451"/>
      <c r="Z9" s="2451">
        <v>0</v>
      </c>
      <c r="AA9" s="1886" t="s">
        <v>3620</v>
      </c>
      <c r="AB9" s="1886"/>
      <c r="AC9" s="1886"/>
      <c r="AD9" s="1886"/>
      <c r="AE9" s="1886"/>
      <c r="AF9" s="2451">
        <v>0</v>
      </c>
      <c r="AG9" s="1886" t="s">
        <v>3621</v>
      </c>
      <c r="AH9" s="1886"/>
      <c r="AI9" s="1886"/>
      <c r="AJ9" s="1886"/>
      <c r="AK9" s="1886"/>
      <c r="AL9" s="2451">
        <v>0</v>
      </c>
      <c r="AM9" s="1886" t="s">
        <v>3622</v>
      </c>
      <c r="AN9" s="1886"/>
      <c r="AO9" s="1886"/>
      <c r="AP9" s="1886"/>
      <c r="AQ9" s="1886"/>
      <c r="AR9" s="2451">
        <v>0</v>
      </c>
      <c r="AS9" s="2451" t="s">
        <v>3623</v>
      </c>
      <c r="AT9" s="2451"/>
      <c r="AU9" s="2451"/>
      <c r="AV9" s="2451"/>
      <c r="AW9" s="2504"/>
    </row>
    <row r="10" spans="1:49">
      <c r="A10" s="441">
        <f ca="1">RANDBETWEEN(1,6)</f>
        <v>2</v>
      </c>
      <c r="B10" s="2606"/>
      <c r="C10" s="1886"/>
      <c r="D10" s="1886"/>
      <c r="E10" s="1886"/>
      <c r="F10" s="1886"/>
      <c r="G10" s="1886"/>
      <c r="H10" s="2451"/>
      <c r="I10" s="2451"/>
      <c r="J10" s="2451"/>
      <c r="K10" s="2451"/>
      <c r="L10" s="2451"/>
      <c r="M10" s="2451"/>
      <c r="N10" s="2451"/>
      <c r="O10" s="2451"/>
      <c r="P10" s="2451"/>
      <c r="Q10" s="2451"/>
      <c r="R10" s="2451"/>
      <c r="S10" s="2451"/>
      <c r="T10" s="2451"/>
      <c r="U10" s="2451"/>
      <c r="V10" s="2451"/>
      <c r="W10" s="2451"/>
      <c r="X10" s="2451"/>
      <c r="Y10" s="2451"/>
      <c r="Z10" s="2451"/>
      <c r="AA10" s="1886"/>
      <c r="AB10" s="1886"/>
      <c r="AC10" s="1886"/>
      <c r="AD10" s="1886"/>
      <c r="AE10" s="1886"/>
      <c r="AF10" s="2451"/>
      <c r="AG10" s="1886"/>
      <c r="AH10" s="1886"/>
      <c r="AI10" s="1886"/>
      <c r="AJ10" s="1886"/>
      <c r="AK10" s="1886"/>
      <c r="AL10" s="2451"/>
      <c r="AM10" s="1886"/>
      <c r="AN10" s="1886"/>
      <c r="AO10" s="1886"/>
      <c r="AP10" s="1886"/>
      <c r="AQ10" s="1886"/>
      <c r="AR10" s="2451"/>
      <c r="AS10" s="2451"/>
      <c r="AT10" s="2451"/>
      <c r="AU10" s="2451"/>
      <c r="AV10" s="2451"/>
      <c r="AW10" s="2504"/>
    </row>
    <row r="11" spans="1:49">
      <c r="B11" s="2607"/>
      <c r="C11" s="1897"/>
      <c r="D11" s="1898"/>
      <c r="E11" s="1898"/>
      <c r="F11" s="1898"/>
      <c r="G11" s="1898"/>
      <c r="H11" s="2449">
        <v>1</v>
      </c>
      <c r="I11" s="1897" t="s">
        <v>3624</v>
      </c>
      <c r="J11" s="1898"/>
      <c r="K11" s="1898"/>
      <c r="L11" s="1898"/>
      <c r="M11" s="1898"/>
      <c r="N11" s="2449">
        <v>1</v>
      </c>
      <c r="O11" s="2449" t="s">
        <v>3625</v>
      </c>
      <c r="P11" s="2450"/>
      <c r="Q11" s="2450"/>
      <c r="R11" s="2450"/>
      <c r="S11" s="2450"/>
      <c r="T11" s="2449"/>
      <c r="U11" s="2449"/>
      <c r="V11" s="2450"/>
      <c r="W11" s="2450"/>
      <c r="X11" s="2450"/>
      <c r="Y11" s="2450"/>
      <c r="Z11" s="2449"/>
      <c r="AA11" s="1897"/>
      <c r="AB11" s="1898"/>
      <c r="AC11" s="1898"/>
      <c r="AD11" s="1898"/>
      <c r="AE11" s="1898"/>
      <c r="AF11" s="2449"/>
      <c r="AG11" s="1897"/>
      <c r="AH11" s="1898"/>
      <c r="AI11" s="1898"/>
      <c r="AJ11" s="1898"/>
      <c r="AK11" s="1898"/>
      <c r="AL11" s="2498"/>
      <c r="AM11" s="2498"/>
      <c r="AN11" s="2487"/>
      <c r="AO11" s="2487"/>
      <c r="AP11" s="2487"/>
      <c r="AQ11" s="2487"/>
      <c r="AR11" s="2449">
        <v>15</v>
      </c>
      <c r="AS11" s="2449" t="s">
        <v>3626</v>
      </c>
      <c r="AT11" s="2450"/>
      <c r="AU11" s="2450"/>
      <c r="AV11" s="2450"/>
      <c r="AW11" s="2596"/>
    </row>
    <row r="12" spans="1:49">
      <c r="A12" s="441">
        <f t="shared" ref="A12:A17" ca="1" si="0">RANDBETWEEN(1,6)</f>
        <v>5</v>
      </c>
      <c r="B12" s="2608"/>
      <c r="C12" s="1898"/>
      <c r="D12" s="1898"/>
      <c r="E12" s="1898"/>
      <c r="F12" s="1898"/>
      <c r="G12" s="1898"/>
      <c r="H12" s="2450"/>
      <c r="I12" s="1898"/>
      <c r="J12" s="1898"/>
      <c r="K12" s="1898"/>
      <c r="L12" s="1898"/>
      <c r="M12" s="1898"/>
      <c r="N12" s="2450"/>
      <c r="O12" s="2450"/>
      <c r="P12" s="2450"/>
      <c r="Q12" s="2450"/>
      <c r="R12" s="2450"/>
      <c r="S12" s="2450"/>
      <c r="T12" s="2450"/>
      <c r="U12" s="2450"/>
      <c r="V12" s="2450"/>
      <c r="W12" s="2450"/>
      <c r="X12" s="2450"/>
      <c r="Y12" s="2450"/>
      <c r="Z12" s="2450"/>
      <c r="AA12" s="1898"/>
      <c r="AB12" s="1898"/>
      <c r="AC12" s="1898"/>
      <c r="AD12" s="1898"/>
      <c r="AE12" s="1898"/>
      <c r="AF12" s="2450"/>
      <c r="AG12" s="1898"/>
      <c r="AH12" s="1898"/>
      <c r="AI12" s="1898"/>
      <c r="AJ12" s="1898"/>
      <c r="AK12" s="1898"/>
      <c r="AL12" s="2487"/>
      <c r="AM12" s="2487"/>
      <c r="AN12" s="2487"/>
      <c r="AO12" s="2487"/>
      <c r="AP12" s="2487"/>
      <c r="AQ12" s="2487"/>
      <c r="AR12" s="2450"/>
      <c r="AS12" s="2450"/>
      <c r="AT12" s="2450"/>
      <c r="AU12" s="2450"/>
      <c r="AV12" s="2450"/>
      <c r="AW12" s="2596"/>
    </row>
    <row r="13" spans="1:49">
      <c r="A13" s="441">
        <f t="shared" ca="1" si="0"/>
        <v>5</v>
      </c>
      <c r="B13" s="2606">
        <v>15</v>
      </c>
      <c r="C13" s="1886" t="s">
        <v>3627</v>
      </c>
      <c r="D13" s="1886"/>
      <c r="E13" s="1886"/>
      <c r="F13" s="1886"/>
      <c r="G13" s="1886"/>
      <c r="H13" s="2451">
        <v>15</v>
      </c>
      <c r="I13" s="1886" t="s">
        <v>3628</v>
      </c>
      <c r="J13" s="1886"/>
      <c r="K13" s="1886"/>
      <c r="L13" s="1886"/>
      <c r="M13" s="1886"/>
      <c r="N13" s="2451">
        <v>15</v>
      </c>
      <c r="O13" s="1886" t="s">
        <v>3629</v>
      </c>
      <c r="P13" s="1886"/>
      <c r="Q13" s="1886"/>
      <c r="R13" s="1886"/>
      <c r="S13" s="1886"/>
      <c r="T13" s="2451">
        <v>15</v>
      </c>
      <c r="U13" s="1886" t="s">
        <v>3630</v>
      </c>
      <c r="V13" s="1886"/>
      <c r="W13" s="1886"/>
      <c r="X13" s="1886"/>
      <c r="Y13" s="1886"/>
      <c r="Z13" s="2451">
        <v>15</v>
      </c>
      <c r="AA13" s="1886" t="s">
        <v>3631</v>
      </c>
      <c r="AB13" s="1886"/>
      <c r="AC13" s="1886"/>
      <c r="AD13" s="1886"/>
      <c r="AE13" s="1886"/>
      <c r="AF13" s="2451">
        <v>15</v>
      </c>
      <c r="AG13" s="1886" t="s">
        <v>3632</v>
      </c>
      <c r="AH13" s="1886"/>
      <c r="AI13" s="1886"/>
      <c r="AJ13" s="1886"/>
      <c r="AK13" s="1886"/>
      <c r="AL13" s="2451">
        <v>15</v>
      </c>
      <c r="AM13" s="1886" t="s">
        <v>3633</v>
      </c>
      <c r="AN13" s="1886"/>
      <c r="AO13" s="1886"/>
      <c r="AP13" s="1886"/>
      <c r="AQ13" s="1886"/>
      <c r="AR13" s="2451">
        <v>60</v>
      </c>
      <c r="AS13" s="1886" t="s">
        <v>3634</v>
      </c>
      <c r="AT13" s="1886"/>
      <c r="AU13" s="1886"/>
      <c r="AV13" s="1886"/>
      <c r="AW13" s="2452"/>
    </row>
    <row r="14" spans="1:49">
      <c r="A14" s="441">
        <f t="shared" ca="1" si="0"/>
        <v>4</v>
      </c>
      <c r="B14" s="2606"/>
      <c r="C14" s="1886"/>
      <c r="D14" s="1886"/>
      <c r="E14" s="1886"/>
      <c r="F14" s="1886"/>
      <c r="G14" s="1886"/>
      <c r="H14" s="2451"/>
      <c r="I14" s="1886"/>
      <c r="J14" s="1886"/>
      <c r="K14" s="1886"/>
      <c r="L14" s="1886"/>
      <c r="M14" s="1886"/>
      <c r="N14" s="2451"/>
      <c r="O14" s="1886"/>
      <c r="P14" s="1886"/>
      <c r="Q14" s="1886"/>
      <c r="R14" s="1886"/>
      <c r="S14" s="1886"/>
      <c r="T14" s="2451"/>
      <c r="U14" s="1886"/>
      <c r="V14" s="1886"/>
      <c r="W14" s="1886"/>
      <c r="X14" s="1886"/>
      <c r="Y14" s="1886"/>
      <c r="Z14" s="2451"/>
      <c r="AA14" s="1886"/>
      <c r="AB14" s="1886"/>
      <c r="AC14" s="1886"/>
      <c r="AD14" s="1886"/>
      <c r="AE14" s="1886"/>
      <c r="AF14" s="2451"/>
      <c r="AG14" s="1886"/>
      <c r="AH14" s="1886"/>
      <c r="AI14" s="1886"/>
      <c r="AJ14" s="1886"/>
      <c r="AK14" s="1886"/>
      <c r="AL14" s="2451"/>
      <c r="AM14" s="1886"/>
      <c r="AN14" s="1886"/>
      <c r="AO14" s="1886"/>
      <c r="AP14" s="1886"/>
      <c r="AQ14" s="1886"/>
      <c r="AR14" s="2451"/>
      <c r="AS14" s="1886"/>
      <c r="AT14" s="1886"/>
      <c r="AU14" s="1886"/>
      <c r="AV14" s="1886"/>
      <c r="AW14" s="2452"/>
    </row>
    <row r="15" spans="1:49">
      <c r="A15" s="441">
        <f t="shared" ca="1" si="0"/>
        <v>1</v>
      </c>
      <c r="B15" s="2607">
        <v>50</v>
      </c>
      <c r="C15" s="1897" t="s">
        <v>3635</v>
      </c>
      <c r="D15" s="1898"/>
      <c r="E15" s="1898"/>
      <c r="F15" s="1898"/>
      <c r="G15" s="1898"/>
      <c r="H15" s="2449">
        <v>50</v>
      </c>
      <c r="I15" s="1897" t="s">
        <v>3636</v>
      </c>
      <c r="J15" s="1898"/>
      <c r="K15" s="1898"/>
      <c r="L15" s="1898"/>
      <c r="M15" s="1898"/>
      <c r="N15" s="2449">
        <v>65</v>
      </c>
      <c r="O15" s="1897" t="s">
        <v>3637</v>
      </c>
      <c r="P15" s="1898"/>
      <c r="Q15" s="1898"/>
      <c r="R15" s="1898"/>
      <c r="S15" s="1898"/>
      <c r="T15" s="2449">
        <v>50</v>
      </c>
      <c r="U15" s="1897" t="s">
        <v>3636</v>
      </c>
      <c r="V15" s="1898"/>
      <c r="W15" s="1898"/>
      <c r="X15" s="1898"/>
      <c r="Y15" s="1898"/>
      <c r="Z15" s="2449">
        <v>50</v>
      </c>
      <c r="AA15" s="1897" t="s">
        <v>3635</v>
      </c>
      <c r="AB15" s="1898"/>
      <c r="AC15" s="1898"/>
      <c r="AD15" s="1898"/>
      <c r="AE15" s="1898"/>
      <c r="AF15" s="2449">
        <v>50</v>
      </c>
      <c r="AG15" s="1897" t="s">
        <v>3635</v>
      </c>
      <c r="AH15" s="1898"/>
      <c r="AI15" s="1898"/>
      <c r="AJ15" s="1898"/>
      <c r="AK15" s="1898"/>
      <c r="AL15" s="2449">
        <v>50</v>
      </c>
      <c r="AM15" s="1897" t="s">
        <v>3638</v>
      </c>
      <c r="AN15" s="1898"/>
      <c r="AO15" s="1898"/>
      <c r="AP15" s="1898"/>
      <c r="AQ15" s="1898"/>
      <c r="AR15" s="2449">
        <v>70</v>
      </c>
      <c r="AS15" s="1897" t="s">
        <v>3639</v>
      </c>
      <c r="AT15" s="1898"/>
      <c r="AU15" s="1898"/>
      <c r="AV15" s="1898"/>
      <c r="AW15" s="2453"/>
    </row>
    <row r="16" spans="1:49">
      <c r="A16" s="441">
        <f t="shared" ca="1" si="0"/>
        <v>5</v>
      </c>
      <c r="B16" s="2608"/>
      <c r="C16" s="1898"/>
      <c r="D16" s="1898"/>
      <c r="E16" s="1898"/>
      <c r="F16" s="1898"/>
      <c r="G16" s="1898"/>
      <c r="H16" s="2450"/>
      <c r="I16" s="1898"/>
      <c r="J16" s="1898"/>
      <c r="K16" s="1898"/>
      <c r="L16" s="1898"/>
      <c r="M16" s="1898"/>
      <c r="N16" s="2450"/>
      <c r="O16" s="1898"/>
      <c r="P16" s="1898"/>
      <c r="Q16" s="1898"/>
      <c r="R16" s="1898"/>
      <c r="S16" s="1898"/>
      <c r="T16" s="2450"/>
      <c r="U16" s="1898"/>
      <c r="V16" s="1898"/>
      <c r="W16" s="1898"/>
      <c r="X16" s="1898"/>
      <c r="Y16" s="1898"/>
      <c r="Z16" s="2450"/>
      <c r="AA16" s="1898"/>
      <c r="AB16" s="1898"/>
      <c r="AC16" s="1898"/>
      <c r="AD16" s="1898"/>
      <c r="AE16" s="1898"/>
      <c r="AF16" s="2450"/>
      <c r="AG16" s="1898"/>
      <c r="AH16" s="1898"/>
      <c r="AI16" s="1898"/>
      <c r="AJ16" s="1898"/>
      <c r="AK16" s="1898"/>
      <c r="AL16" s="2450"/>
      <c r="AM16" s="1898"/>
      <c r="AN16" s="1898"/>
      <c r="AO16" s="1898"/>
      <c r="AP16" s="1898"/>
      <c r="AQ16" s="1898"/>
      <c r="AR16" s="2450"/>
      <c r="AS16" s="1898"/>
      <c r="AT16" s="1898"/>
      <c r="AU16" s="1898"/>
      <c r="AV16" s="1898"/>
      <c r="AW16" s="2453"/>
    </row>
    <row r="17" spans="1:63">
      <c r="A17" s="441">
        <f t="shared" ca="1" si="0"/>
        <v>4</v>
      </c>
      <c r="B17" s="2606">
        <v>90</v>
      </c>
      <c r="C17" s="1886" t="s">
        <v>3640</v>
      </c>
      <c r="D17" s="1886"/>
      <c r="E17" s="1886"/>
      <c r="F17" s="1886"/>
      <c r="G17" s="1886"/>
      <c r="H17" s="2451">
        <v>90</v>
      </c>
      <c r="I17" s="1886" t="s">
        <v>3641</v>
      </c>
      <c r="J17" s="1886"/>
      <c r="K17" s="1886"/>
      <c r="L17" s="1886"/>
      <c r="M17" s="1886"/>
      <c r="N17" s="2451">
        <v>80</v>
      </c>
      <c r="O17" s="1886" t="s">
        <v>3642</v>
      </c>
      <c r="P17" s="1886"/>
      <c r="Q17" s="1886"/>
      <c r="R17" s="1886"/>
      <c r="S17" s="1886"/>
      <c r="T17" s="2451">
        <v>90</v>
      </c>
      <c r="U17" s="1886" t="s">
        <v>3643</v>
      </c>
      <c r="V17" s="1886"/>
      <c r="W17" s="1886"/>
      <c r="X17" s="1886"/>
      <c r="Y17" s="1886"/>
      <c r="Z17" s="2451">
        <v>90</v>
      </c>
      <c r="AA17" s="1886" t="s">
        <v>3644</v>
      </c>
      <c r="AB17" s="1886"/>
      <c r="AC17" s="1886"/>
      <c r="AD17" s="1886"/>
      <c r="AE17" s="1886"/>
      <c r="AF17" s="2451">
        <v>90</v>
      </c>
      <c r="AG17" s="1886" t="s">
        <v>3645</v>
      </c>
      <c r="AH17" s="1886"/>
      <c r="AI17" s="1886"/>
      <c r="AJ17" s="1886"/>
      <c r="AK17" s="1886"/>
      <c r="AL17" s="2451">
        <v>90</v>
      </c>
      <c r="AM17" s="1886" t="s">
        <v>3646</v>
      </c>
      <c r="AN17" s="1886"/>
      <c r="AO17" s="1886"/>
      <c r="AP17" s="1886"/>
      <c r="AQ17" s="1886"/>
      <c r="AR17" s="2451">
        <v>80</v>
      </c>
      <c r="AS17" s="1886" t="s">
        <v>3647</v>
      </c>
      <c r="AT17" s="1886"/>
      <c r="AU17" s="1886"/>
      <c r="AV17" s="1886"/>
      <c r="AW17" s="2452"/>
    </row>
    <row r="18" spans="1:63">
      <c r="B18" s="2606"/>
      <c r="C18" s="1886"/>
      <c r="D18" s="1886"/>
      <c r="E18" s="1886"/>
      <c r="F18" s="1886"/>
      <c r="G18" s="1886"/>
      <c r="H18" s="2451"/>
      <c r="I18" s="1886"/>
      <c r="J18" s="1886"/>
      <c r="K18" s="1886"/>
      <c r="L18" s="1886"/>
      <c r="M18" s="1886"/>
      <c r="N18" s="2451"/>
      <c r="O18" s="1886"/>
      <c r="P18" s="1886"/>
      <c r="Q18" s="1886"/>
      <c r="R18" s="1886"/>
      <c r="S18" s="1886"/>
      <c r="T18" s="2451"/>
      <c r="U18" s="1886"/>
      <c r="V18" s="1886"/>
      <c r="W18" s="1886"/>
      <c r="X18" s="1886"/>
      <c r="Y18" s="1886"/>
      <c r="Z18" s="2451"/>
      <c r="AA18" s="1886"/>
      <c r="AB18" s="1886"/>
      <c r="AC18" s="1886"/>
      <c r="AD18" s="1886"/>
      <c r="AE18" s="1886"/>
      <c r="AF18" s="2451"/>
      <c r="AG18" s="1886"/>
      <c r="AH18" s="1886"/>
      <c r="AI18" s="1886"/>
      <c r="AJ18" s="1886"/>
      <c r="AK18" s="1886"/>
      <c r="AL18" s="2451"/>
      <c r="AM18" s="1886"/>
      <c r="AN18" s="1886"/>
      <c r="AO18" s="1886"/>
      <c r="AP18" s="1886"/>
      <c r="AQ18" s="1886"/>
      <c r="AR18" s="2451"/>
      <c r="AS18" s="1886"/>
      <c r="AT18" s="1886"/>
      <c r="AU18" s="1886"/>
      <c r="AV18" s="1886"/>
      <c r="AW18" s="2452"/>
    </row>
    <row r="19" spans="1:63">
      <c r="B19" s="2607">
        <v>99</v>
      </c>
      <c r="C19" s="1897" t="s">
        <v>3648</v>
      </c>
      <c r="D19" s="1898"/>
      <c r="E19" s="1898"/>
      <c r="F19" s="1898"/>
      <c r="G19" s="1898"/>
      <c r="H19" s="2449">
        <v>99</v>
      </c>
      <c r="I19" s="1897" t="s">
        <v>3649</v>
      </c>
      <c r="J19" s="1898"/>
      <c r="K19" s="1898"/>
      <c r="L19" s="1898"/>
      <c r="M19" s="1898"/>
      <c r="N19" s="2449">
        <v>99</v>
      </c>
      <c r="O19" s="1897" t="s">
        <v>3650</v>
      </c>
      <c r="P19" s="1898"/>
      <c r="Q19" s="1898"/>
      <c r="R19" s="1898"/>
      <c r="S19" s="1898"/>
      <c r="T19" s="2449">
        <v>99</v>
      </c>
      <c r="U19" s="1897" t="s">
        <v>3651</v>
      </c>
      <c r="V19" s="1898"/>
      <c r="W19" s="1898"/>
      <c r="X19" s="1898"/>
      <c r="Y19" s="1898"/>
      <c r="Z19" s="2449">
        <v>99</v>
      </c>
      <c r="AA19" s="1897" t="s">
        <v>3652</v>
      </c>
      <c r="AB19" s="1898"/>
      <c r="AC19" s="1898"/>
      <c r="AD19" s="1898"/>
      <c r="AE19" s="1898"/>
      <c r="AF19" s="2449">
        <v>99</v>
      </c>
      <c r="AG19" s="1897" t="s">
        <v>3653</v>
      </c>
      <c r="AH19" s="1898"/>
      <c r="AI19" s="1898"/>
      <c r="AJ19" s="1898"/>
      <c r="AK19" s="1898"/>
      <c r="AL19" s="2449">
        <v>100</v>
      </c>
      <c r="AM19" s="1897" t="s">
        <v>3654</v>
      </c>
      <c r="AN19" s="1898"/>
      <c r="AO19" s="1898"/>
      <c r="AP19" s="1898"/>
      <c r="AQ19" s="1898"/>
      <c r="AR19" s="2449">
        <v>90</v>
      </c>
      <c r="AS19" s="1897" t="s">
        <v>3655</v>
      </c>
      <c r="AT19" s="1898"/>
      <c r="AU19" s="1898"/>
      <c r="AV19" s="1898"/>
      <c r="AW19" s="2453"/>
    </row>
    <row r="20" spans="1:63">
      <c r="B20" s="2608"/>
      <c r="C20" s="1898"/>
      <c r="D20" s="1898"/>
      <c r="E20" s="1898"/>
      <c r="F20" s="1898"/>
      <c r="G20" s="1898"/>
      <c r="H20" s="2450"/>
      <c r="I20" s="1898"/>
      <c r="J20" s="1898"/>
      <c r="K20" s="1898"/>
      <c r="L20" s="1898"/>
      <c r="M20" s="1898"/>
      <c r="N20" s="2450"/>
      <c r="O20" s="1898"/>
      <c r="P20" s="1898"/>
      <c r="Q20" s="1898"/>
      <c r="R20" s="1898"/>
      <c r="S20" s="1898"/>
      <c r="T20" s="2450"/>
      <c r="U20" s="1898"/>
      <c r="V20" s="1898"/>
      <c r="W20" s="1898"/>
      <c r="X20" s="1898"/>
      <c r="Y20" s="1898"/>
      <c r="Z20" s="2450"/>
      <c r="AA20" s="1898"/>
      <c r="AB20" s="1898"/>
      <c r="AC20" s="1898"/>
      <c r="AD20" s="1898"/>
      <c r="AE20" s="1898"/>
      <c r="AF20" s="2450"/>
      <c r="AG20" s="1898"/>
      <c r="AH20" s="1898"/>
      <c r="AI20" s="1898"/>
      <c r="AJ20" s="1898"/>
      <c r="AK20" s="1898"/>
      <c r="AL20" s="2450"/>
      <c r="AM20" s="1898"/>
      <c r="AN20" s="1898"/>
      <c r="AO20" s="1898"/>
      <c r="AP20" s="1898"/>
      <c r="AQ20" s="1898"/>
      <c r="AR20" s="2450"/>
      <c r="AS20" s="1898"/>
      <c r="AT20" s="1898"/>
      <c r="AU20" s="1898"/>
      <c r="AV20" s="1898"/>
      <c r="AW20" s="2453"/>
    </row>
    <row r="21" spans="1:63">
      <c r="B21" s="2606">
        <v>140</v>
      </c>
      <c r="C21" s="1886" t="s">
        <v>3656</v>
      </c>
      <c r="D21" s="1886"/>
      <c r="E21" s="1886"/>
      <c r="F21" s="1886"/>
      <c r="G21" s="1886"/>
      <c r="H21" s="2451">
        <v>140</v>
      </c>
      <c r="I21" s="1886" t="s">
        <v>3657</v>
      </c>
      <c r="J21" s="1886"/>
      <c r="K21" s="1886"/>
      <c r="L21" s="1886"/>
      <c r="M21" s="1886"/>
      <c r="N21" s="2451">
        <v>150</v>
      </c>
      <c r="O21" s="1886" t="s">
        <v>3658</v>
      </c>
      <c r="P21" s="1886"/>
      <c r="Q21" s="1886"/>
      <c r="R21" s="1886"/>
      <c r="S21" s="1886"/>
      <c r="T21" s="2451">
        <v>120</v>
      </c>
      <c r="U21" s="2451" t="s">
        <v>3659</v>
      </c>
      <c r="V21" s="2451"/>
      <c r="W21" s="2451"/>
      <c r="X21" s="2451"/>
      <c r="Y21" s="2451"/>
      <c r="Z21" s="2451"/>
      <c r="AA21" s="1886"/>
      <c r="AB21" s="1886"/>
      <c r="AC21" s="1886"/>
      <c r="AD21" s="1886"/>
      <c r="AE21" s="1886"/>
      <c r="AF21" s="2451">
        <v>140</v>
      </c>
      <c r="AG21" s="2451" t="s">
        <v>3660</v>
      </c>
      <c r="AH21" s="2451"/>
      <c r="AI21" s="2451"/>
      <c r="AJ21" s="2451"/>
      <c r="AK21" s="2451"/>
      <c r="AL21" s="2451">
        <v>140</v>
      </c>
      <c r="AM21" s="1886" t="s">
        <v>3661</v>
      </c>
      <c r="AN21" s="1886"/>
      <c r="AO21" s="1886"/>
      <c r="AP21" s="1886"/>
      <c r="AQ21" s="1886"/>
      <c r="AR21" s="2451">
        <v>96</v>
      </c>
      <c r="AS21" s="1886" t="s">
        <v>3662</v>
      </c>
      <c r="AT21" s="1886"/>
      <c r="AU21" s="1886"/>
      <c r="AV21" s="1886"/>
      <c r="AW21" s="2452"/>
    </row>
    <row r="22" spans="1:63">
      <c r="B22" s="2606"/>
      <c r="C22" s="1886"/>
      <c r="D22" s="1886"/>
      <c r="E22" s="1886"/>
      <c r="F22" s="1886"/>
      <c r="G22" s="1886"/>
      <c r="H22" s="2451"/>
      <c r="I22" s="1886"/>
      <c r="J22" s="1886"/>
      <c r="K22" s="1886"/>
      <c r="L22" s="1886"/>
      <c r="M22" s="1886"/>
      <c r="N22" s="2451"/>
      <c r="O22" s="1886"/>
      <c r="P22" s="1886"/>
      <c r="Q22" s="1886"/>
      <c r="R22" s="1886"/>
      <c r="S22" s="1886"/>
      <c r="T22" s="2451"/>
      <c r="U22" s="2451"/>
      <c r="V22" s="2451"/>
      <c r="W22" s="2451"/>
      <c r="X22" s="2451"/>
      <c r="Y22" s="2451"/>
      <c r="Z22" s="2451"/>
      <c r="AA22" s="1886"/>
      <c r="AB22" s="1886"/>
      <c r="AC22" s="1886"/>
      <c r="AD22" s="1886"/>
      <c r="AE22" s="1886"/>
      <c r="AF22" s="2451"/>
      <c r="AG22" s="2451"/>
      <c r="AH22" s="2451"/>
      <c r="AI22" s="2451"/>
      <c r="AJ22" s="2451"/>
      <c r="AK22" s="2451"/>
      <c r="AL22" s="2451"/>
      <c r="AM22" s="1886"/>
      <c r="AN22" s="1886"/>
      <c r="AO22" s="1886"/>
      <c r="AP22" s="1886"/>
      <c r="AQ22" s="1886"/>
      <c r="AR22" s="2451"/>
      <c r="AS22" s="1886"/>
      <c r="AT22" s="1886"/>
      <c r="AU22" s="1886"/>
      <c r="AV22" s="1886"/>
      <c r="AW22" s="2452"/>
    </row>
    <row r="23" spans="1:63">
      <c r="B23" s="443"/>
      <c r="C23" s="444"/>
      <c r="D23" s="444"/>
      <c r="E23" s="444"/>
      <c r="F23" s="444"/>
      <c r="G23" s="444"/>
      <c r="H23" s="2449"/>
      <c r="I23" s="1897"/>
      <c r="J23" s="1898"/>
      <c r="K23" s="1898"/>
      <c r="L23" s="1898"/>
      <c r="M23" s="1898"/>
      <c r="N23" s="2449">
        <v>180</v>
      </c>
      <c r="O23" s="1897" t="s">
        <v>3663</v>
      </c>
      <c r="P23" s="1898"/>
      <c r="Q23" s="1898"/>
      <c r="R23" s="1898"/>
      <c r="S23" s="1898"/>
      <c r="T23" s="2449"/>
      <c r="U23" s="1897"/>
      <c r="V23" s="1898"/>
      <c r="W23" s="1898"/>
      <c r="X23" s="1898"/>
      <c r="Y23" s="1898"/>
      <c r="Z23" s="2449"/>
      <c r="AA23" s="1897"/>
      <c r="AB23" s="1898"/>
      <c r="AC23" s="1898"/>
      <c r="AD23" s="1898"/>
      <c r="AE23" s="1898"/>
      <c r="AF23" s="2449"/>
      <c r="AG23" s="1897"/>
      <c r="AH23" s="1898"/>
      <c r="AI23" s="1898"/>
      <c r="AJ23" s="1898"/>
      <c r="AK23" s="1898"/>
      <c r="AL23" s="2449"/>
      <c r="AM23" s="1897"/>
      <c r="AN23" s="1898"/>
      <c r="AO23" s="1898"/>
      <c r="AP23" s="1898"/>
      <c r="AQ23" s="1898"/>
      <c r="AR23" s="2449">
        <v>99</v>
      </c>
      <c r="AS23" s="1897" t="s">
        <v>3664</v>
      </c>
      <c r="AT23" s="1898"/>
      <c r="AU23" s="1898"/>
      <c r="AV23" s="1898"/>
      <c r="AW23" s="2453"/>
    </row>
    <row r="24" spans="1:63">
      <c r="B24" s="443"/>
      <c r="C24" s="444"/>
      <c r="D24" s="444"/>
      <c r="E24" s="444"/>
      <c r="F24" s="444"/>
      <c r="G24" s="444"/>
      <c r="H24" s="2450"/>
      <c r="I24" s="1898"/>
      <c r="J24" s="1898"/>
      <c r="K24" s="1898"/>
      <c r="L24" s="1898"/>
      <c r="M24" s="1898"/>
      <c r="N24" s="2450"/>
      <c r="O24" s="1898"/>
      <c r="P24" s="1898"/>
      <c r="Q24" s="1898"/>
      <c r="R24" s="1898"/>
      <c r="S24" s="1898"/>
      <c r="T24" s="2450"/>
      <c r="U24" s="1898"/>
      <c r="V24" s="1898"/>
      <c r="W24" s="1898"/>
      <c r="X24" s="1898"/>
      <c r="Y24" s="1898"/>
      <c r="Z24" s="2450"/>
      <c r="AA24" s="1898"/>
      <c r="AB24" s="1898"/>
      <c r="AC24" s="1898"/>
      <c r="AD24" s="1898"/>
      <c r="AE24" s="1898"/>
      <c r="AF24" s="2450"/>
      <c r="AG24" s="1898"/>
      <c r="AH24" s="1898"/>
      <c r="AI24" s="1898"/>
      <c r="AJ24" s="1898"/>
      <c r="AK24" s="1898"/>
      <c r="AL24" s="2450"/>
      <c r="AM24" s="1898"/>
      <c r="AN24" s="1898"/>
      <c r="AO24" s="1898"/>
      <c r="AP24" s="1898"/>
      <c r="AQ24" s="1898"/>
      <c r="AR24" s="2450"/>
      <c r="AS24" s="1898"/>
      <c r="AT24" s="1898"/>
      <c r="AU24" s="1898"/>
      <c r="AV24" s="1898"/>
      <c r="AW24" s="2453"/>
    </row>
    <row r="25" spans="1:63">
      <c r="B25" s="2606" t="s">
        <v>3665</v>
      </c>
      <c r="C25" s="2451" t="s">
        <v>3666</v>
      </c>
      <c r="D25" s="2451"/>
      <c r="E25" s="2451"/>
      <c r="F25" s="2451"/>
      <c r="G25" s="2451"/>
      <c r="H25" s="2451" t="s">
        <v>3665</v>
      </c>
      <c r="I25" s="1886" t="s">
        <v>3667</v>
      </c>
      <c r="J25" s="1886"/>
      <c r="K25" s="1886"/>
      <c r="L25" s="1886"/>
      <c r="M25" s="1886"/>
      <c r="N25" s="2451" t="s">
        <v>3665</v>
      </c>
      <c r="O25" s="1886" t="s">
        <v>3668</v>
      </c>
      <c r="P25" s="1886"/>
      <c r="Q25" s="1886"/>
      <c r="R25" s="1886"/>
      <c r="S25" s="1886"/>
      <c r="T25" s="2451" t="s">
        <v>3665</v>
      </c>
      <c r="U25" s="1886" t="s">
        <v>3669</v>
      </c>
      <c r="V25" s="1886"/>
      <c r="W25" s="1886"/>
      <c r="X25" s="1886"/>
      <c r="Y25" s="1886"/>
      <c r="Z25" s="2451"/>
      <c r="AA25" s="1886"/>
      <c r="AB25" s="1886"/>
      <c r="AC25" s="1886"/>
      <c r="AD25" s="1886"/>
      <c r="AE25" s="1886"/>
      <c r="AF25" s="2451" t="s">
        <v>3670</v>
      </c>
      <c r="AG25" s="1886" t="s">
        <v>3671</v>
      </c>
      <c r="AH25" s="1886"/>
      <c r="AI25" s="1886"/>
      <c r="AJ25" s="1886"/>
      <c r="AK25" s="1886"/>
      <c r="AL25" s="2451" t="s">
        <v>3670</v>
      </c>
      <c r="AM25" s="1886" t="s">
        <v>3672</v>
      </c>
      <c r="AN25" s="1886"/>
      <c r="AO25" s="1886"/>
      <c r="AP25" s="1886"/>
      <c r="AQ25" s="1886"/>
      <c r="AR25" s="2451"/>
      <c r="AS25" s="1886"/>
      <c r="AT25" s="1886"/>
      <c r="AU25" s="1886"/>
      <c r="AV25" s="1886"/>
      <c r="AW25" s="2452"/>
    </row>
    <row r="26" spans="1:63">
      <c r="B26" s="2609"/>
      <c r="C26" s="2466"/>
      <c r="D26" s="2466"/>
      <c r="E26" s="2466"/>
      <c r="F26" s="2466"/>
      <c r="G26" s="2466"/>
      <c r="H26" s="2466"/>
      <c r="I26" s="1888"/>
      <c r="J26" s="1888"/>
      <c r="K26" s="1888"/>
      <c r="L26" s="1888"/>
      <c r="M26" s="1888"/>
      <c r="N26" s="2466"/>
      <c r="O26" s="1888"/>
      <c r="P26" s="1888"/>
      <c r="Q26" s="1888"/>
      <c r="R26" s="1888"/>
      <c r="S26" s="1888"/>
      <c r="T26" s="2466"/>
      <c r="U26" s="1888"/>
      <c r="V26" s="1888"/>
      <c r="W26" s="1888"/>
      <c r="X26" s="1888"/>
      <c r="Y26" s="1888"/>
      <c r="Z26" s="2466"/>
      <c r="AA26" s="1888"/>
      <c r="AB26" s="1888"/>
      <c r="AC26" s="1888"/>
      <c r="AD26" s="1888"/>
      <c r="AE26" s="1888"/>
      <c r="AF26" s="2466"/>
      <c r="AG26" s="1888"/>
      <c r="AH26" s="1888"/>
      <c r="AI26" s="1888"/>
      <c r="AJ26" s="1888"/>
      <c r="AK26" s="1888"/>
      <c r="AL26" s="2466"/>
      <c r="AM26" s="1888"/>
      <c r="AN26" s="1888"/>
      <c r="AO26" s="1888"/>
      <c r="AP26" s="1888"/>
      <c r="AQ26" s="1888"/>
      <c r="AR26" s="2466"/>
      <c r="AS26" s="1888"/>
      <c r="AT26" s="1888"/>
      <c r="AU26" s="1888"/>
      <c r="AV26" s="1888"/>
      <c r="AW26" s="2600"/>
    </row>
    <row r="27" spans="1:63">
      <c r="A27" s="2621" t="s">
        <v>3673</v>
      </c>
      <c r="B27" s="2454" t="s">
        <v>3674</v>
      </c>
      <c r="C27" s="2455"/>
      <c r="D27" s="2455"/>
      <c r="E27" s="2455"/>
      <c r="F27" s="2455"/>
      <c r="G27" s="2456"/>
      <c r="H27" s="2454" t="s">
        <v>3675</v>
      </c>
      <c r="I27" s="2455"/>
      <c r="J27" s="2455"/>
      <c r="K27" s="2455"/>
      <c r="L27" s="2455"/>
      <c r="M27" s="2456"/>
      <c r="N27" s="2454" t="s">
        <v>3676</v>
      </c>
      <c r="O27" s="2455"/>
      <c r="P27" s="2455"/>
      <c r="Q27" s="2455"/>
      <c r="R27" s="2455"/>
      <c r="S27" s="2456"/>
      <c r="T27" s="2454" t="s">
        <v>3677</v>
      </c>
      <c r="U27" s="2455"/>
      <c r="V27" s="2455"/>
      <c r="W27" s="2455"/>
      <c r="X27" s="2455"/>
      <c r="Y27" s="2456"/>
      <c r="Z27" s="2454" t="s">
        <v>3678</v>
      </c>
      <c r="AA27" s="2455"/>
      <c r="AB27" s="2455"/>
      <c r="AC27" s="2455"/>
      <c r="AD27" s="2455"/>
      <c r="AE27" s="2456"/>
      <c r="AF27" s="2454" t="s">
        <v>3679</v>
      </c>
      <c r="AG27" s="2455"/>
      <c r="AH27" s="2455"/>
      <c r="AI27" s="2455"/>
      <c r="AJ27" s="2455"/>
      <c r="AK27" s="2456"/>
      <c r="AL27" s="2454" t="s">
        <v>3680</v>
      </c>
      <c r="AM27" s="2455"/>
      <c r="AN27" s="2455"/>
      <c r="AO27" s="2455"/>
      <c r="AP27" s="2455"/>
      <c r="AQ27" s="2456"/>
      <c r="AR27" s="2454" t="s">
        <v>3681</v>
      </c>
      <c r="AS27" s="2455"/>
      <c r="AT27" s="2455"/>
      <c r="AU27" s="2455"/>
      <c r="AV27" s="2455"/>
      <c r="AW27" s="2456"/>
    </row>
    <row r="28" spans="1:63">
      <c r="A28" s="2621"/>
      <c r="B28" s="2454"/>
      <c r="C28" s="2455"/>
      <c r="D28" s="2455"/>
      <c r="E28" s="2455"/>
      <c r="F28" s="2455"/>
      <c r="G28" s="2456"/>
      <c r="H28" s="2454"/>
      <c r="I28" s="2455"/>
      <c r="J28" s="2455"/>
      <c r="K28" s="2455"/>
      <c r="L28" s="2455"/>
      <c r="M28" s="2456"/>
      <c r="N28" s="2454"/>
      <c r="O28" s="2455"/>
      <c r="P28" s="2455"/>
      <c r="Q28" s="2455"/>
      <c r="R28" s="2455"/>
      <c r="S28" s="2456"/>
      <c r="T28" s="2454"/>
      <c r="U28" s="2455"/>
      <c r="V28" s="2455"/>
      <c r="W28" s="2455"/>
      <c r="X28" s="2455"/>
      <c r="Y28" s="2456"/>
      <c r="Z28" s="2454"/>
      <c r="AA28" s="2455"/>
      <c r="AB28" s="2455"/>
      <c r="AC28" s="2455"/>
      <c r="AD28" s="2455"/>
      <c r="AE28" s="2456"/>
      <c r="AF28" s="2454"/>
      <c r="AG28" s="2455"/>
      <c r="AH28" s="2455"/>
      <c r="AI28" s="2455"/>
      <c r="AJ28" s="2455"/>
      <c r="AK28" s="2456"/>
      <c r="AL28" s="2454"/>
      <c r="AM28" s="2455"/>
      <c r="AN28" s="2455"/>
      <c r="AO28" s="2455"/>
      <c r="AP28" s="2455"/>
      <c r="AQ28" s="2456"/>
      <c r="AR28" s="2454"/>
      <c r="AS28" s="2455"/>
      <c r="AT28" s="2455"/>
      <c r="AU28" s="2455"/>
      <c r="AV28" s="2455"/>
      <c r="AW28" s="2456"/>
    </row>
    <row r="29" spans="1:63">
      <c r="A29" s="2621"/>
      <c r="B29" s="2454"/>
      <c r="C29" s="2455"/>
      <c r="D29" s="2455"/>
      <c r="E29" s="2455"/>
      <c r="F29" s="2455"/>
      <c r="G29" s="2456"/>
      <c r="H29" s="2454"/>
      <c r="I29" s="2455"/>
      <c r="J29" s="2455"/>
      <c r="K29" s="2455"/>
      <c r="L29" s="2455"/>
      <c r="M29" s="2456"/>
      <c r="N29" s="2454"/>
      <c r="O29" s="2455"/>
      <c r="P29" s="2455"/>
      <c r="Q29" s="2455"/>
      <c r="R29" s="2455"/>
      <c r="S29" s="2456"/>
      <c r="T29" s="2454"/>
      <c r="U29" s="2455"/>
      <c r="V29" s="2455"/>
      <c r="W29" s="2455"/>
      <c r="X29" s="2455"/>
      <c r="Y29" s="2456"/>
      <c r="Z29" s="2454"/>
      <c r="AA29" s="2455"/>
      <c r="AB29" s="2455"/>
      <c r="AC29" s="2455"/>
      <c r="AD29" s="2455"/>
      <c r="AE29" s="2456"/>
      <c r="AF29" s="2454"/>
      <c r="AG29" s="2455"/>
      <c r="AH29" s="2455"/>
      <c r="AI29" s="2455"/>
      <c r="AJ29" s="2455"/>
      <c r="AK29" s="2456"/>
      <c r="AL29" s="2454"/>
      <c r="AM29" s="2455"/>
      <c r="AN29" s="2455"/>
      <c r="AO29" s="2455"/>
      <c r="AP29" s="2455"/>
      <c r="AQ29" s="2456"/>
      <c r="AR29" s="2454"/>
      <c r="AS29" s="2455"/>
      <c r="AT29" s="2455"/>
      <c r="AU29" s="2455"/>
      <c r="AV29" s="2455"/>
      <c r="AW29" s="2456"/>
    </row>
    <row r="30" spans="1:63">
      <c r="A30" s="2621"/>
      <c r="B30" s="2454"/>
      <c r="C30" s="2455"/>
      <c r="D30" s="2455"/>
      <c r="E30" s="2455"/>
      <c r="F30" s="2455"/>
      <c r="G30" s="2456"/>
      <c r="H30" s="2454"/>
      <c r="I30" s="2455"/>
      <c r="J30" s="2455"/>
      <c r="K30" s="2455"/>
      <c r="L30" s="2455"/>
      <c r="M30" s="2456"/>
      <c r="N30" s="2454"/>
      <c r="O30" s="2455"/>
      <c r="P30" s="2455"/>
      <c r="Q30" s="2455"/>
      <c r="R30" s="2455"/>
      <c r="S30" s="2456"/>
      <c r="T30" s="2454"/>
      <c r="U30" s="2455"/>
      <c r="V30" s="2455"/>
      <c r="W30" s="2455"/>
      <c r="X30" s="2455"/>
      <c r="Y30" s="2456"/>
      <c r="Z30" s="2454"/>
      <c r="AA30" s="2455"/>
      <c r="AB30" s="2455"/>
      <c r="AC30" s="2455"/>
      <c r="AD30" s="2455"/>
      <c r="AE30" s="2456"/>
      <c r="AF30" s="2454"/>
      <c r="AG30" s="2455"/>
      <c r="AH30" s="2455"/>
      <c r="AI30" s="2455"/>
      <c r="AJ30" s="2455"/>
      <c r="AK30" s="2456"/>
      <c r="AL30" s="2454"/>
      <c r="AM30" s="2455"/>
      <c r="AN30" s="2455"/>
      <c r="AO30" s="2455"/>
      <c r="AP30" s="2455"/>
      <c r="AQ30" s="2456"/>
      <c r="AR30" s="2454"/>
      <c r="AS30" s="2455"/>
      <c r="AT30" s="2455"/>
      <c r="AU30" s="2455"/>
      <c r="AV30" s="2455"/>
      <c r="AW30" s="2456"/>
    </row>
    <row r="31" spans="1:63">
      <c r="A31" s="2621"/>
      <c r="B31" s="2457"/>
      <c r="C31" s="2458"/>
      <c r="D31" s="2458"/>
      <c r="E31" s="2458"/>
      <c r="F31" s="2458"/>
      <c r="G31" s="2459"/>
      <c r="H31" s="2457"/>
      <c r="I31" s="2458"/>
      <c r="J31" s="2458"/>
      <c r="K31" s="2458"/>
      <c r="L31" s="2458"/>
      <c r="M31" s="2459"/>
      <c r="N31" s="2457"/>
      <c r="O31" s="2458"/>
      <c r="P31" s="2458"/>
      <c r="Q31" s="2458"/>
      <c r="R31" s="2458"/>
      <c r="S31" s="2459"/>
      <c r="T31" s="2457"/>
      <c r="U31" s="2458"/>
      <c r="V31" s="2458"/>
      <c r="W31" s="2458"/>
      <c r="X31" s="2458"/>
      <c r="Y31" s="2459"/>
      <c r="Z31" s="2457"/>
      <c r="AA31" s="2458"/>
      <c r="AB31" s="2458"/>
      <c r="AC31" s="2458"/>
      <c r="AD31" s="2458"/>
      <c r="AE31" s="2459"/>
      <c r="AF31" s="2457"/>
      <c r="AG31" s="2458"/>
      <c r="AH31" s="2458"/>
      <c r="AI31" s="2458"/>
      <c r="AJ31" s="2458"/>
      <c r="AK31" s="2459"/>
      <c r="AL31" s="2457"/>
      <c r="AM31" s="2458"/>
      <c r="AN31" s="2458"/>
      <c r="AO31" s="2458"/>
      <c r="AP31" s="2458"/>
      <c r="AQ31" s="2459"/>
      <c r="AR31" s="2457"/>
      <c r="AS31" s="2458"/>
      <c r="AT31" s="2458"/>
      <c r="AU31" s="2458"/>
      <c r="AV31" s="2458"/>
      <c r="AW31" s="2459"/>
    </row>
    <row r="32" spans="1:63" ht="24.75">
      <c r="A32" s="2622" t="s">
        <v>3682</v>
      </c>
      <c r="B32" s="2465" t="s">
        <v>3683</v>
      </c>
      <c r="C32" s="2465"/>
      <c r="D32" s="2465"/>
      <c r="E32" s="2465"/>
      <c r="F32" s="2465"/>
      <c r="G32" s="2465"/>
      <c r="H32" s="2465" t="s">
        <v>3684</v>
      </c>
      <c r="I32" s="2465"/>
      <c r="J32" s="2465"/>
      <c r="K32" s="2465"/>
      <c r="L32" s="2465"/>
      <c r="M32" s="2465"/>
      <c r="N32" s="2465" t="s">
        <v>3685</v>
      </c>
      <c r="O32" s="2465"/>
      <c r="P32" s="2465"/>
      <c r="Q32" s="2465"/>
      <c r="R32" s="2465"/>
      <c r="S32" s="2465"/>
      <c r="T32" s="2465" t="s">
        <v>3686</v>
      </c>
      <c r="U32" s="2465"/>
      <c r="V32" s="2465"/>
      <c r="W32" s="2465"/>
      <c r="X32" s="2465"/>
      <c r="Y32" s="2465"/>
      <c r="Z32" s="2465" t="s">
        <v>3687</v>
      </c>
      <c r="AA32" s="2465"/>
      <c r="AB32" s="2465"/>
      <c r="AC32" s="2465"/>
      <c r="AD32" s="2465"/>
      <c r="AE32" s="2465"/>
      <c r="AF32" s="2465" t="s">
        <v>3688</v>
      </c>
      <c r="AG32" s="2465"/>
      <c r="AH32" s="2465"/>
      <c r="AI32" s="2465"/>
      <c r="AJ32" s="2465"/>
      <c r="AK32" s="2465"/>
      <c r="AL32" s="2465"/>
      <c r="AM32" s="2465"/>
      <c r="AN32" s="2465"/>
      <c r="AO32" s="2465"/>
      <c r="AP32" s="2465"/>
      <c r="AQ32" s="2465"/>
      <c r="AR32" s="2465" t="s">
        <v>3689</v>
      </c>
      <c r="AS32" s="2465"/>
      <c r="AT32" s="2465"/>
      <c r="AU32" s="2465"/>
      <c r="AV32" s="2465"/>
      <c r="AW32" s="2465"/>
      <c r="BJ32" s="488"/>
      <c r="BK32" s="488"/>
    </row>
    <row r="33" spans="1:73">
      <c r="A33" s="2622"/>
      <c r="B33" s="2465"/>
      <c r="C33" s="2465"/>
      <c r="D33" s="2465"/>
      <c r="E33" s="2465"/>
      <c r="F33" s="2465"/>
      <c r="G33" s="2465"/>
      <c r="H33" s="2465"/>
      <c r="I33" s="2465"/>
      <c r="J33" s="2465"/>
      <c r="K33" s="2465"/>
      <c r="L33" s="2465"/>
      <c r="M33" s="2465"/>
      <c r="N33" s="2465"/>
      <c r="O33" s="2465"/>
      <c r="P33" s="2465"/>
      <c r="Q33" s="2465"/>
      <c r="R33" s="2465"/>
      <c r="S33" s="2465"/>
      <c r="T33" s="2465"/>
      <c r="U33" s="2465"/>
      <c r="V33" s="2465"/>
      <c r="W33" s="2465"/>
      <c r="X33" s="2465"/>
      <c r="Y33" s="2465"/>
      <c r="Z33" s="2465"/>
      <c r="AA33" s="2465"/>
      <c r="AB33" s="2465"/>
      <c r="AC33" s="2465"/>
      <c r="AD33" s="2465"/>
      <c r="AE33" s="2465"/>
      <c r="AF33" s="2465"/>
      <c r="AG33" s="2465"/>
      <c r="AH33" s="2465"/>
      <c r="AI33" s="2465"/>
      <c r="AJ33" s="2465"/>
      <c r="AK33" s="2465"/>
      <c r="AL33" s="2465"/>
      <c r="AM33" s="2465"/>
      <c r="AN33" s="2465"/>
      <c r="AO33" s="2465"/>
      <c r="AP33" s="2465"/>
      <c r="AQ33" s="2465"/>
      <c r="AR33" s="2465"/>
      <c r="AS33" s="2465"/>
      <c r="AT33" s="2465"/>
      <c r="AU33" s="2465"/>
      <c r="AV33" s="2465"/>
      <c r="AW33" s="2465"/>
    </row>
    <row r="34" spans="1:73">
      <c r="A34" s="2622"/>
      <c r="B34" s="2465"/>
      <c r="C34" s="2465"/>
      <c r="D34" s="2465"/>
      <c r="E34" s="2465"/>
      <c r="F34" s="2465"/>
      <c r="G34" s="2465"/>
      <c r="H34" s="2465"/>
      <c r="I34" s="2465"/>
      <c r="J34" s="2465"/>
      <c r="K34" s="2465"/>
      <c r="L34" s="2465"/>
      <c r="M34" s="2465"/>
      <c r="N34" s="2465"/>
      <c r="O34" s="2465"/>
      <c r="P34" s="2465"/>
      <c r="Q34" s="2465"/>
      <c r="R34" s="2465"/>
      <c r="S34" s="2465"/>
      <c r="T34" s="2465"/>
      <c r="U34" s="2465"/>
      <c r="V34" s="2465"/>
      <c r="W34" s="2465"/>
      <c r="X34" s="2465"/>
      <c r="Y34" s="2465"/>
      <c r="Z34" s="2465"/>
      <c r="AA34" s="2465"/>
      <c r="AB34" s="2465"/>
      <c r="AC34" s="2465"/>
      <c r="AD34" s="2465"/>
      <c r="AE34" s="2465"/>
      <c r="AF34" s="2465"/>
      <c r="AG34" s="2465"/>
      <c r="AH34" s="2465"/>
      <c r="AI34" s="2465"/>
      <c r="AJ34" s="2465"/>
      <c r="AK34" s="2465"/>
      <c r="AL34" s="2465"/>
      <c r="AM34" s="2465"/>
      <c r="AN34" s="2465"/>
      <c r="AO34" s="2465"/>
      <c r="AP34" s="2465"/>
      <c r="AQ34" s="2465"/>
      <c r="AR34" s="2465"/>
      <c r="AS34" s="2465"/>
      <c r="AT34" s="2465"/>
      <c r="AU34" s="2465"/>
      <c r="AV34" s="2465"/>
      <c r="AW34" s="2465"/>
    </row>
    <row r="35" spans="1:73">
      <c r="A35" s="2622"/>
      <c r="B35" s="2465"/>
      <c r="C35" s="2465"/>
      <c r="D35" s="2465"/>
      <c r="E35" s="2465"/>
      <c r="F35" s="2465"/>
      <c r="G35" s="2465"/>
      <c r="H35" s="2465"/>
      <c r="I35" s="2465"/>
      <c r="J35" s="2465"/>
      <c r="K35" s="2465"/>
      <c r="L35" s="2465"/>
      <c r="M35" s="2465"/>
      <c r="N35" s="2465"/>
      <c r="O35" s="2465"/>
      <c r="P35" s="2465"/>
      <c r="Q35" s="2465"/>
      <c r="R35" s="2465"/>
      <c r="S35" s="2465"/>
      <c r="T35" s="2465"/>
      <c r="U35" s="2465"/>
      <c r="V35" s="2465"/>
      <c r="W35" s="2465"/>
      <c r="X35" s="2465"/>
      <c r="Y35" s="2465"/>
      <c r="Z35" s="2465"/>
      <c r="AA35" s="2465"/>
      <c r="AB35" s="2465"/>
      <c r="AC35" s="2465"/>
      <c r="AD35" s="2465"/>
      <c r="AE35" s="2465"/>
      <c r="AF35" s="2465"/>
      <c r="AG35" s="2465"/>
      <c r="AH35" s="2465"/>
      <c r="AI35" s="2465"/>
      <c r="AJ35" s="2465"/>
      <c r="AK35" s="2465"/>
      <c r="AL35" s="2465"/>
      <c r="AM35" s="2465"/>
      <c r="AN35" s="2465"/>
      <c r="AO35" s="2465"/>
      <c r="AP35" s="2465"/>
      <c r="AQ35" s="2465"/>
      <c r="AR35" s="2595"/>
      <c r="AS35" s="2595"/>
      <c r="AT35" s="2595"/>
      <c r="AU35" s="2595"/>
      <c r="AV35" s="2595"/>
      <c r="AW35" s="2595"/>
    </row>
    <row r="36" spans="1:73" ht="17.25" customHeight="1">
      <c r="A36" s="2622" t="s">
        <v>3690</v>
      </c>
      <c r="B36" s="2465" t="s">
        <v>3691</v>
      </c>
      <c r="C36" s="2465"/>
      <c r="D36" s="2465"/>
      <c r="E36" s="2465"/>
      <c r="F36" s="2465"/>
      <c r="G36" s="2465"/>
      <c r="H36" s="2465" t="s">
        <v>3692</v>
      </c>
      <c r="I36" s="2465"/>
      <c r="J36" s="2465"/>
      <c r="K36" s="2465"/>
      <c r="L36" s="2465"/>
      <c r="M36" s="2465"/>
      <c r="N36" s="2465" t="s">
        <v>3693</v>
      </c>
      <c r="O36" s="2465"/>
      <c r="P36" s="2465"/>
      <c r="Q36" s="2465"/>
      <c r="R36" s="2465"/>
      <c r="S36" s="2465"/>
      <c r="T36" s="2465" t="s">
        <v>3694</v>
      </c>
      <c r="U36" s="2465"/>
      <c r="V36" s="2465"/>
      <c r="W36" s="2465"/>
      <c r="X36" s="2465"/>
      <c r="Y36" s="2465"/>
      <c r="Z36" s="2465" t="s">
        <v>3695</v>
      </c>
      <c r="AA36" s="2465"/>
      <c r="AB36" s="2465"/>
      <c r="AC36" s="2465"/>
      <c r="AD36" s="2465"/>
      <c r="AE36" s="2465"/>
      <c r="AF36" s="2465" t="s">
        <v>3696</v>
      </c>
      <c r="AG36" s="2465"/>
      <c r="AH36" s="2465"/>
      <c r="AI36" s="2465"/>
      <c r="AJ36" s="2465"/>
      <c r="AK36" s="2465"/>
      <c r="AL36" s="2465"/>
      <c r="AM36" s="2465"/>
      <c r="AN36" s="2465"/>
      <c r="AO36" s="2465"/>
      <c r="AP36" s="2465"/>
      <c r="AQ36" s="2570"/>
      <c r="AR36" s="2580"/>
      <c r="AS36" s="2581"/>
      <c r="AT36" s="2581"/>
      <c r="AU36" s="2581"/>
      <c r="AV36" s="2581"/>
      <c r="AW36" s="2626"/>
    </row>
    <row r="37" spans="1:73" ht="17.25" customHeight="1">
      <c r="A37" s="2622"/>
      <c r="B37" s="2465"/>
      <c r="C37" s="2465"/>
      <c r="D37" s="2465"/>
      <c r="E37" s="2465"/>
      <c r="F37" s="2465"/>
      <c r="G37" s="2465"/>
      <c r="H37" s="2465"/>
      <c r="I37" s="2465"/>
      <c r="J37" s="2465"/>
      <c r="K37" s="2465"/>
      <c r="L37" s="2465"/>
      <c r="M37" s="2465"/>
      <c r="N37" s="2465"/>
      <c r="O37" s="2465"/>
      <c r="P37" s="2465"/>
      <c r="Q37" s="2465"/>
      <c r="R37" s="2465"/>
      <c r="S37" s="2465"/>
      <c r="T37" s="2465"/>
      <c r="U37" s="2465"/>
      <c r="V37" s="2465"/>
      <c r="W37" s="2465"/>
      <c r="X37" s="2465"/>
      <c r="Y37" s="2465"/>
      <c r="Z37" s="2465"/>
      <c r="AA37" s="2465"/>
      <c r="AB37" s="2465"/>
      <c r="AC37" s="2465"/>
      <c r="AD37" s="2465"/>
      <c r="AE37" s="2465"/>
      <c r="AF37" s="2465"/>
      <c r="AG37" s="2465"/>
      <c r="AH37" s="2465"/>
      <c r="AI37" s="2465"/>
      <c r="AJ37" s="2465"/>
      <c r="AK37" s="2465"/>
      <c r="AL37" s="2465"/>
      <c r="AM37" s="2465"/>
      <c r="AN37" s="2465"/>
      <c r="AO37" s="2465"/>
      <c r="AP37" s="2465"/>
      <c r="AQ37" s="2570"/>
      <c r="AR37" s="2582"/>
      <c r="AS37" s="2493"/>
      <c r="AT37" s="2493"/>
      <c r="AU37" s="2493"/>
      <c r="AV37" s="2493"/>
      <c r="AW37" s="2627"/>
    </row>
    <row r="38" spans="1:73" ht="17.25" customHeight="1">
      <c r="A38" s="2622"/>
      <c r="B38" s="2465"/>
      <c r="C38" s="2465"/>
      <c r="D38" s="2465"/>
      <c r="E38" s="2465"/>
      <c r="F38" s="2465"/>
      <c r="G38" s="2465"/>
      <c r="H38" s="2465"/>
      <c r="I38" s="2465"/>
      <c r="J38" s="2465"/>
      <c r="K38" s="2465"/>
      <c r="L38" s="2465"/>
      <c r="M38" s="2465"/>
      <c r="N38" s="2465"/>
      <c r="O38" s="2465"/>
      <c r="P38" s="2465"/>
      <c r="Q38" s="2465"/>
      <c r="R38" s="2465"/>
      <c r="S38" s="2465"/>
      <c r="T38" s="2465"/>
      <c r="U38" s="2465"/>
      <c r="V38" s="2465"/>
      <c r="W38" s="2465"/>
      <c r="X38" s="2465"/>
      <c r="Y38" s="2465"/>
      <c r="Z38" s="2465"/>
      <c r="AA38" s="2465"/>
      <c r="AB38" s="2465"/>
      <c r="AC38" s="2465"/>
      <c r="AD38" s="2465"/>
      <c r="AE38" s="2465"/>
      <c r="AF38" s="2465"/>
      <c r="AG38" s="2465"/>
      <c r="AH38" s="2465"/>
      <c r="AI38" s="2465"/>
      <c r="AJ38" s="2465"/>
      <c r="AK38" s="2465"/>
      <c r="AL38" s="2465"/>
      <c r="AM38" s="2465"/>
      <c r="AN38" s="2465"/>
      <c r="AO38" s="2465"/>
      <c r="AP38" s="2465"/>
      <c r="AQ38" s="2570"/>
      <c r="AR38" s="2582"/>
      <c r="AS38" s="2493"/>
      <c r="AT38" s="2493"/>
      <c r="AU38" s="2493"/>
      <c r="AV38" s="2493"/>
      <c r="AW38" s="2627"/>
      <c r="BD38" s="2593"/>
      <c r="BE38" s="2593"/>
      <c r="BF38" s="2593"/>
      <c r="BG38" s="2593"/>
      <c r="BH38" s="2593"/>
      <c r="BI38" s="2593"/>
      <c r="BJ38" s="2593"/>
      <c r="BK38" s="2593"/>
      <c r="BL38" s="2593"/>
      <c r="BM38" s="2593"/>
      <c r="BN38" s="2593"/>
      <c r="BO38" s="2593"/>
      <c r="BP38" s="2593"/>
      <c r="BQ38" s="2593"/>
      <c r="BR38" s="2593"/>
      <c r="BS38" s="2593"/>
      <c r="BT38" s="2593"/>
      <c r="BU38" s="2593"/>
    </row>
    <row r="39" spans="1:73" ht="17.25" customHeight="1">
      <c r="A39" s="2622"/>
      <c r="B39" s="2465"/>
      <c r="C39" s="2465"/>
      <c r="D39" s="2465"/>
      <c r="E39" s="2465"/>
      <c r="F39" s="2465"/>
      <c r="G39" s="2465"/>
      <c r="H39" s="2465"/>
      <c r="I39" s="2465"/>
      <c r="J39" s="2465"/>
      <c r="K39" s="2465"/>
      <c r="L39" s="2465"/>
      <c r="M39" s="2465"/>
      <c r="N39" s="2465"/>
      <c r="O39" s="2465"/>
      <c r="P39" s="2465"/>
      <c r="Q39" s="2465"/>
      <c r="R39" s="2465"/>
      <c r="S39" s="2465"/>
      <c r="T39" s="2465"/>
      <c r="U39" s="2465"/>
      <c r="V39" s="2465"/>
      <c r="W39" s="2465"/>
      <c r="X39" s="2465"/>
      <c r="Y39" s="2465"/>
      <c r="Z39" s="2465"/>
      <c r="AA39" s="2465"/>
      <c r="AB39" s="2465"/>
      <c r="AC39" s="2465"/>
      <c r="AD39" s="2465"/>
      <c r="AE39" s="2465"/>
      <c r="AF39" s="2465"/>
      <c r="AG39" s="2465"/>
      <c r="AH39" s="2465"/>
      <c r="AI39" s="2465"/>
      <c r="AJ39" s="2465"/>
      <c r="AK39" s="2465"/>
      <c r="AL39" s="2465"/>
      <c r="AM39" s="2465"/>
      <c r="AN39" s="2465"/>
      <c r="AO39" s="2465"/>
      <c r="AP39" s="2465"/>
      <c r="AQ39" s="2570"/>
      <c r="AR39" s="2583"/>
      <c r="AS39" s="2584"/>
      <c r="AT39" s="2584"/>
      <c r="AU39" s="2584"/>
      <c r="AV39" s="2584"/>
      <c r="AW39" s="2628"/>
      <c r="BD39" s="2593"/>
      <c r="BE39" s="2593"/>
      <c r="BF39" s="2593"/>
      <c r="BG39" s="2593"/>
      <c r="BH39" s="2593"/>
      <c r="BI39" s="2593"/>
      <c r="BJ39" s="2593"/>
      <c r="BK39" s="2593"/>
      <c r="BL39" s="2593"/>
      <c r="BM39" s="2593"/>
      <c r="BN39" s="2593"/>
      <c r="BO39" s="2593"/>
      <c r="BP39" s="2593"/>
      <c r="BQ39" s="2593"/>
      <c r="BR39" s="2593"/>
      <c r="BS39" s="2593"/>
      <c r="BT39" s="2593"/>
      <c r="BU39" s="2593"/>
    </row>
    <row r="40" spans="1:73" ht="17.25" customHeight="1">
      <c r="A40" s="2621" t="s">
        <v>108</v>
      </c>
      <c r="B40" s="2580"/>
      <c r="C40" s="2581"/>
      <c r="D40" s="2581"/>
      <c r="E40" s="2581"/>
      <c r="F40" s="2581"/>
      <c r="G40" s="2581"/>
      <c r="H40" s="2580"/>
      <c r="I40" s="2581"/>
      <c r="J40" s="2581"/>
      <c r="K40" s="2581"/>
      <c r="L40" s="2581"/>
      <c r="M40" s="2581"/>
      <c r="N40" s="2580"/>
      <c r="O40" s="2581"/>
      <c r="P40" s="2581"/>
      <c r="Q40" s="2581"/>
      <c r="R40" s="2581"/>
      <c r="S40" s="2581"/>
      <c r="T40" s="2629" t="s">
        <v>3697</v>
      </c>
      <c r="U40" s="2630"/>
      <c r="V40" s="2630"/>
      <c r="W40" s="2630"/>
      <c r="X40" s="2630"/>
      <c r="Y40" s="2630"/>
      <c r="Z40" s="2629" t="s">
        <v>3698</v>
      </c>
      <c r="AA40" s="2581"/>
      <c r="AB40" s="2581"/>
      <c r="AC40" s="2581"/>
      <c r="AD40" s="2581"/>
      <c r="AE40" s="2626"/>
      <c r="AF40" s="2581"/>
      <c r="AG40" s="2581"/>
      <c r="AH40" s="2581"/>
      <c r="AI40" s="2581"/>
      <c r="AJ40" s="2581"/>
      <c r="AK40" s="2626"/>
      <c r="AL40" s="2630" t="s">
        <v>3699</v>
      </c>
      <c r="AM40" s="2581"/>
      <c r="AN40" s="2581"/>
      <c r="AO40" s="2581"/>
      <c r="AP40" s="2581"/>
      <c r="AQ40" s="2626"/>
      <c r="AR40" s="2630" t="s">
        <v>3700</v>
      </c>
      <c r="AS40" s="2581"/>
      <c r="AT40" s="2581"/>
      <c r="AU40" s="2581"/>
      <c r="AV40" s="2581"/>
      <c r="AW40" s="2626"/>
      <c r="BD40" s="2593"/>
      <c r="BE40" s="2593"/>
      <c r="BF40" s="2593"/>
      <c r="BG40" s="2593"/>
      <c r="BH40" s="2593"/>
      <c r="BI40" s="2593"/>
      <c r="BJ40" s="2593"/>
      <c r="BK40" s="2593"/>
      <c r="BL40" s="2593"/>
      <c r="BM40" s="2593"/>
      <c r="BN40" s="2593"/>
      <c r="BO40" s="2593"/>
      <c r="BP40" s="2593"/>
      <c r="BQ40" s="2593"/>
      <c r="BR40" s="2593"/>
      <c r="BS40" s="2593"/>
      <c r="BT40" s="2593"/>
      <c r="BU40" s="2593"/>
    </row>
    <row r="41" spans="1:73" ht="17.25" customHeight="1">
      <c r="A41" s="2621"/>
      <c r="B41" s="2582"/>
      <c r="C41" s="2493"/>
      <c r="D41" s="2493"/>
      <c r="E41" s="2493"/>
      <c r="F41" s="2493"/>
      <c r="G41" s="2493"/>
      <c r="H41" s="2582"/>
      <c r="I41" s="2493"/>
      <c r="J41" s="2493"/>
      <c r="K41" s="2493"/>
      <c r="L41" s="2493"/>
      <c r="M41" s="2493"/>
      <c r="N41" s="2582"/>
      <c r="O41" s="2493"/>
      <c r="P41" s="2493"/>
      <c r="Q41" s="2493"/>
      <c r="R41" s="2493"/>
      <c r="S41" s="2493"/>
      <c r="T41" s="2454"/>
      <c r="U41" s="2455"/>
      <c r="V41" s="2455"/>
      <c r="W41" s="2455"/>
      <c r="X41" s="2455"/>
      <c r="Y41" s="2455"/>
      <c r="Z41" s="2582"/>
      <c r="AA41" s="2493"/>
      <c r="AB41" s="2493"/>
      <c r="AC41" s="2493"/>
      <c r="AD41" s="2493"/>
      <c r="AE41" s="2627"/>
      <c r="AF41" s="2493"/>
      <c r="AG41" s="2493"/>
      <c r="AH41" s="2493"/>
      <c r="AI41" s="2493"/>
      <c r="AJ41" s="2493"/>
      <c r="AK41" s="2627"/>
      <c r="AL41" s="2493"/>
      <c r="AM41" s="2493"/>
      <c r="AN41" s="2493"/>
      <c r="AO41" s="2493"/>
      <c r="AP41" s="2493"/>
      <c r="AQ41" s="2627"/>
      <c r="AR41" s="2493"/>
      <c r="AS41" s="2493"/>
      <c r="AT41" s="2493"/>
      <c r="AU41" s="2493"/>
      <c r="AV41" s="2493"/>
      <c r="AW41" s="2627"/>
      <c r="BD41" s="2593"/>
      <c r="BE41" s="2593"/>
      <c r="BF41" s="2593"/>
      <c r="BG41" s="2593"/>
      <c r="BH41" s="2593"/>
      <c r="BI41" s="2593"/>
      <c r="BJ41" s="2593"/>
      <c r="BK41" s="2593"/>
      <c r="BL41" s="2593"/>
      <c r="BM41" s="2593"/>
      <c r="BN41" s="2593"/>
      <c r="BO41" s="2593"/>
      <c r="BP41" s="2593"/>
      <c r="BQ41" s="2593"/>
      <c r="BR41" s="2593"/>
      <c r="BS41" s="2593"/>
      <c r="BT41" s="2593"/>
      <c r="BU41" s="2593"/>
    </row>
    <row r="42" spans="1:73" ht="17.25" customHeight="1">
      <c r="A42" s="2621"/>
      <c r="B42" s="2582"/>
      <c r="C42" s="2493"/>
      <c r="D42" s="2493"/>
      <c r="E42" s="2493"/>
      <c r="F42" s="2493"/>
      <c r="G42" s="2493"/>
      <c r="H42" s="2582"/>
      <c r="I42" s="2493"/>
      <c r="J42" s="2493"/>
      <c r="K42" s="2493"/>
      <c r="L42" s="2493"/>
      <c r="M42" s="2493"/>
      <c r="N42" s="2582"/>
      <c r="O42" s="2493"/>
      <c r="P42" s="2493"/>
      <c r="Q42" s="2493"/>
      <c r="R42" s="2493"/>
      <c r="S42" s="2493"/>
      <c r="T42" s="2454"/>
      <c r="U42" s="2455"/>
      <c r="V42" s="2455"/>
      <c r="W42" s="2455"/>
      <c r="X42" s="2455"/>
      <c r="Y42" s="2455"/>
      <c r="Z42" s="2582"/>
      <c r="AA42" s="2493"/>
      <c r="AB42" s="2493"/>
      <c r="AC42" s="2493"/>
      <c r="AD42" s="2493"/>
      <c r="AE42" s="2627"/>
      <c r="AF42" s="2493"/>
      <c r="AG42" s="2493"/>
      <c r="AH42" s="2493"/>
      <c r="AI42" s="2493"/>
      <c r="AJ42" s="2493"/>
      <c r="AK42" s="2627"/>
      <c r="AL42" s="2493"/>
      <c r="AM42" s="2493"/>
      <c r="AN42" s="2493"/>
      <c r="AO42" s="2493"/>
      <c r="AP42" s="2493"/>
      <c r="AQ42" s="2627"/>
      <c r="AR42" s="2493"/>
      <c r="AS42" s="2493"/>
      <c r="AT42" s="2493"/>
      <c r="AU42" s="2493"/>
      <c r="AV42" s="2493"/>
      <c r="AW42" s="2627"/>
      <c r="BD42" s="2593"/>
      <c r="BE42" s="2593"/>
      <c r="BF42" s="2593"/>
      <c r="BG42" s="2593"/>
      <c r="BH42" s="2593"/>
      <c r="BI42" s="2593"/>
      <c r="BJ42" s="2593"/>
      <c r="BK42" s="2593"/>
      <c r="BL42" s="2593"/>
      <c r="BM42" s="2593"/>
      <c r="BN42" s="2593"/>
      <c r="BO42" s="2593"/>
      <c r="BP42" s="2593"/>
      <c r="BQ42" s="2594"/>
      <c r="BR42" s="2593"/>
      <c r="BS42" s="2593"/>
      <c r="BT42" s="2593"/>
      <c r="BU42" s="2593"/>
    </row>
    <row r="43" spans="1:73" ht="17.25" customHeight="1">
      <c r="A43" s="2621"/>
      <c r="B43" s="2583"/>
      <c r="C43" s="2584"/>
      <c r="D43" s="2584"/>
      <c r="E43" s="2584"/>
      <c r="F43" s="2584"/>
      <c r="G43" s="2584"/>
      <c r="H43" s="2583"/>
      <c r="I43" s="2584"/>
      <c r="J43" s="2584"/>
      <c r="K43" s="2584"/>
      <c r="L43" s="2584"/>
      <c r="M43" s="2584"/>
      <c r="N43" s="2583"/>
      <c r="O43" s="2584"/>
      <c r="P43" s="2584"/>
      <c r="Q43" s="2584"/>
      <c r="R43" s="2584"/>
      <c r="S43" s="2584"/>
      <c r="T43" s="2457"/>
      <c r="U43" s="2458"/>
      <c r="V43" s="2458"/>
      <c r="W43" s="2458"/>
      <c r="X43" s="2458"/>
      <c r="Y43" s="2458"/>
      <c r="Z43" s="2583"/>
      <c r="AA43" s="2584"/>
      <c r="AB43" s="2584"/>
      <c r="AC43" s="2584"/>
      <c r="AD43" s="2584"/>
      <c r="AE43" s="2631"/>
      <c r="AF43" s="2584"/>
      <c r="AG43" s="2584"/>
      <c r="AH43" s="2584"/>
      <c r="AI43" s="2584"/>
      <c r="AJ43" s="2584"/>
      <c r="AK43" s="2628"/>
      <c r="AL43" s="2584"/>
      <c r="AM43" s="2584"/>
      <c r="AN43" s="2584"/>
      <c r="AO43" s="2584"/>
      <c r="AP43" s="2584"/>
      <c r="AQ43" s="2628"/>
      <c r="AR43" s="2584"/>
      <c r="AS43" s="2584"/>
      <c r="AT43" s="2584"/>
      <c r="AU43" s="2584"/>
      <c r="AV43" s="2584"/>
      <c r="AW43" s="2628"/>
      <c r="BD43" s="2593"/>
      <c r="BE43" s="2593"/>
      <c r="BF43" s="2593"/>
      <c r="BG43" s="2593"/>
      <c r="BH43" s="2593"/>
      <c r="BI43" s="2593"/>
      <c r="BJ43" s="2593"/>
      <c r="BK43" s="2593"/>
      <c r="BL43" s="2593"/>
      <c r="BM43" s="2593"/>
      <c r="BN43" s="2593"/>
      <c r="BO43" s="2593"/>
      <c r="BP43" s="2593"/>
      <c r="BQ43" s="2593"/>
      <c r="BR43" s="2593"/>
      <c r="BS43" s="2593"/>
      <c r="BT43" s="2593"/>
      <c r="BU43" s="2593"/>
    </row>
    <row r="44" spans="1:73" ht="17.25" customHeight="1">
      <c r="A44" s="2623" t="s">
        <v>3701</v>
      </c>
      <c r="B44" s="2567" t="s">
        <v>3605</v>
      </c>
      <c r="C44" s="2567"/>
      <c r="D44" s="2567"/>
      <c r="E44" s="2567"/>
      <c r="F44" s="2567"/>
      <c r="G44" s="2567"/>
      <c r="H44" s="2568" t="s">
        <v>3606</v>
      </c>
      <c r="I44" s="2568"/>
      <c r="J44" s="2568"/>
      <c r="K44" s="2568"/>
      <c r="L44" s="2568"/>
      <c r="M44" s="2568"/>
      <c r="N44" s="2569" t="s">
        <v>3607</v>
      </c>
      <c r="O44" s="2569"/>
      <c r="P44" s="2569"/>
      <c r="Q44" s="2569"/>
      <c r="R44" s="2569"/>
      <c r="S44" s="2569"/>
      <c r="T44" s="2460" t="s">
        <v>3608</v>
      </c>
      <c r="U44" s="2460"/>
      <c r="V44" s="2460"/>
      <c r="W44" s="2460"/>
      <c r="X44" s="2460"/>
      <c r="Y44" s="2460"/>
      <c r="Z44" s="2512" t="s">
        <v>3609</v>
      </c>
      <c r="AA44" s="2512"/>
      <c r="AB44" s="2512"/>
      <c r="AC44" s="2512"/>
      <c r="AD44" s="2512"/>
      <c r="AE44" s="2512"/>
      <c r="AF44" s="2513" t="s">
        <v>3610</v>
      </c>
      <c r="AG44" s="2513"/>
      <c r="AH44" s="2513"/>
      <c r="AI44" s="2513"/>
      <c r="AJ44" s="2513"/>
      <c r="AK44" s="2513"/>
      <c r="AL44" s="2514" t="s">
        <v>3611</v>
      </c>
      <c r="AM44" s="2514"/>
      <c r="AN44" s="2514"/>
      <c r="AO44" s="2514"/>
      <c r="AP44" s="2514"/>
      <c r="AQ44" s="2514"/>
      <c r="AR44" s="2515" t="s">
        <v>3612</v>
      </c>
      <c r="AS44" s="2515"/>
      <c r="AT44" s="2515"/>
      <c r="AU44" s="2515"/>
      <c r="AV44" s="2515"/>
      <c r="AW44" s="2515"/>
    </row>
    <row r="45" spans="1:73" ht="17.25" customHeight="1">
      <c r="A45" s="2624"/>
      <c r="B45" s="2567"/>
      <c r="C45" s="2567"/>
      <c r="D45" s="2567"/>
      <c r="E45" s="2567"/>
      <c r="F45" s="2567"/>
      <c r="G45" s="2567"/>
      <c r="H45" s="2568"/>
      <c r="I45" s="2568"/>
      <c r="J45" s="2568"/>
      <c r="K45" s="2568"/>
      <c r="L45" s="2568"/>
      <c r="M45" s="2568"/>
      <c r="N45" s="2569"/>
      <c r="O45" s="2569"/>
      <c r="P45" s="2569"/>
      <c r="Q45" s="2569"/>
      <c r="R45" s="2569"/>
      <c r="S45" s="2569"/>
      <c r="T45" s="2460"/>
      <c r="U45" s="2460"/>
      <c r="V45" s="2460"/>
      <c r="W45" s="2460"/>
      <c r="X45" s="2460"/>
      <c r="Y45" s="2460"/>
      <c r="Z45" s="2512"/>
      <c r="AA45" s="2512"/>
      <c r="AB45" s="2512"/>
      <c r="AC45" s="2512"/>
      <c r="AD45" s="2512"/>
      <c r="AE45" s="2512"/>
      <c r="AF45" s="2513"/>
      <c r="AG45" s="2513"/>
      <c r="AH45" s="2513"/>
      <c r="AI45" s="2513"/>
      <c r="AJ45" s="2513"/>
      <c r="AK45" s="2513"/>
      <c r="AL45" s="2514"/>
      <c r="AM45" s="2514"/>
      <c r="AN45" s="2514"/>
      <c r="AO45" s="2514"/>
      <c r="AP45" s="2514"/>
      <c r="AQ45" s="2514"/>
      <c r="AR45" s="2515"/>
      <c r="AS45" s="2515"/>
      <c r="AT45" s="2515"/>
      <c r="AU45" s="2515"/>
      <c r="AV45" s="2515"/>
      <c r="AW45" s="2515"/>
    </row>
    <row r="46" spans="1:73" ht="17.25" customHeight="1">
      <c r="A46" s="2624"/>
      <c r="B46" s="2567"/>
      <c r="C46" s="2567"/>
      <c r="D46" s="2567"/>
      <c r="E46" s="2567"/>
      <c r="F46" s="2567"/>
      <c r="G46" s="2567"/>
      <c r="H46" s="2568"/>
      <c r="I46" s="2568"/>
      <c r="J46" s="2568"/>
      <c r="K46" s="2568"/>
      <c r="L46" s="2568"/>
      <c r="M46" s="2568"/>
      <c r="N46" s="2569"/>
      <c r="O46" s="2569"/>
      <c r="P46" s="2569"/>
      <c r="Q46" s="2569"/>
      <c r="R46" s="2569"/>
      <c r="S46" s="2569"/>
      <c r="T46" s="2460"/>
      <c r="U46" s="2460"/>
      <c r="V46" s="2460"/>
      <c r="W46" s="2460"/>
      <c r="X46" s="2460"/>
      <c r="Y46" s="2460"/>
      <c r="Z46" s="2512"/>
      <c r="AA46" s="2512"/>
      <c r="AB46" s="2512"/>
      <c r="AC46" s="2512"/>
      <c r="AD46" s="2512"/>
      <c r="AE46" s="2512"/>
      <c r="AF46" s="2513"/>
      <c r="AG46" s="2513"/>
      <c r="AH46" s="2513"/>
      <c r="AI46" s="2513"/>
      <c r="AJ46" s="2513"/>
      <c r="AK46" s="2513"/>
      <c r="AL46" s="2514"/>
      <c r="AM46" s="2514"/>
      <c r="AN46" s="2514"/>
      <c r="AO46" s="2514"/>
      <c r="AP46" s="2514"/>
      <c r="AQ46" s="2514"/>
      <c r="AR46" s="2515"/>
      <c r="AS46" s="2515"/>
      <c r="AT46" s="2515"/>
      <c r="AU46" s="2515"/>
      <c r="AV46" s="2515"/>
      <c r="AW46" s="2515"/>
    </row>
    <row r="47" spans="1:73" ht="17.25" customHeight="1">
      <c r="A47" s="2624"/>
      <c r="E47" s="445"/>
      <c r="L47" s="455"/>
      <c r="N47" s="456"/>
      <c r="R47" s="461"/>
      <c r="W47" s="462"/>
      <c r="AH47" s="475"/>
      <c r="AN47" s="476"/>
      <c r="AU47" s="482"/>
    </row>
    <row r="48" spans="1:73" ht="17.25" customHeight="1">
      <c r="A48" s="2624"/>
      <c r="E48" s="445"/>
      <c r="L48" s="455"/>
      <c r="N48" s="456"/>
      <c r="R48" s="461"/>
      <c r="W48" s="462"/>
      <c r="AH48" s="475"/>
      <c r="AN48" s="476"/>
      <c r="AU48" s="482"/>
    </row>
    <row r="49" spans="1:49" ht="17.25" customHeight="1">
      <c r="A49" s="2624"/>
      <c r="E49" s="445"/>
      <c r="K49" s="2572" t="s">
        <v>3702</v>
      </c>
      <c r="L49" s="2573"/>
      <c r="M49" s="2573"/>
      <c r="N49" s="2573"/>
      <c r="O49" s="2573"/>
      <c r="P49" s="2573"/>
      <c r="R49" s="461"/>
      <c r="T49" s="2460" t="s">
        <v>3703</v>
      </c>
      <c r="U49" s="2460"/>
      <c r="V49" s="2460"/>
      <c r="W49" s="2460"/>
      <c r="X49" s="2460"/>
      <c r="Y49" s="2460"/>
      <c r="AF49" s="2462" t="s">
        <v>3704</v>
      </c>
      <c r="AG49" s="2462"/>
      <c r="AH49" s="2462"/>
      <c r="AI49" s="2462"/>
      <c r="AJ49" s="2462"/>
      <c r="AK49" s="2462"/>
      <c r="AL49" s="2463" t="s">
        <v>3705</v>
      </c>
      <c r="AM49" s="2463"/>
      <c r="AN49" s="2463"/>
      <c r="AO49" s="2463"/>
      <c r="AP49" s="2463"/>
      <c r="AQ49" s="2463"/>
      <c r="AR49" s="2464" t="s">
        <v>3706</v>
      </c>
      <c r="AS49" s="2464"/>
      <c r="AT49" s="2464"/>
      <c r="AU49" s="2464"/>
      <c r="AV49" s="2464"/>
      <c r="AW49" s="2464"/>
    </row>
    <row r="50" spans="1:49" ht="17.25" customHeight="1">
      <c r="A50" s="2624"/>
      <c r="E50" s="445"/>
      <c r="K50" s="2573"/>
      <c r="L50" s="2573"/>
      <c r="M50" s="2573"/>
      <c r="N50" s="2573"/>
      <c r="O50" s="2573"/>
      <c r="P50" s="2573"/>
      <c r="R50" s="461"/>
      <c r="T50" s="2460"/>
      <c r="U50" s="2460"/>
      <c r="V50" s="2460"/>
      <c r="W50" s="2460"/>
      <c r="X50" s="2460"/>
      <c r="Y50" s="2460"/>
      <c r="AF50" s="2462"/>
      <c r="AG50" s="2462"/>
      <c r="AH50" s="2462"/>
      <c r="AI50" s="2462"/>
      <c r="AJ50" s="2462"/>
      <c r="AK50" s="2462"/>
      <c r="AL50" s="2463"/>
      <c r="AM50" s="2463"/>
      <c r="AN50" s="2463"/>
      <c r="AO50" s="2463"/>
      <c r="AP50" s="2463"/>
      <c r="AQ50" s="2463"/>
      <c r="AR50" s="2464"/>
      <c r="AS50" s="2464"/>
      <c r="AT50" s="2464"/>
      <c r="AU50" s="2464"/>
      <c r="AV50" s="2464"/>
      <c r="AW50" s="2464"/>
    </row>
    <row r="51" spans="1:49" ht="17.25" customHeight="1">
      <c r="A51" s="2624"/>
      <c r="E51" s="445"/>
      <c r="K51" s="2573"/>
      <c r="L51" s="2573"/>
      <c r="M51" s="2573"/>
      <c r="N51" s="2573"/>
      <c r="O51" s="2573"/>
      <c r="P51" s="2573"/>
      <c r="R51" s="461"/>
      <c r="T51" s="2460"/>
      <c r="U51" s="2460"/>
      <c r="V51" s="2461"/>
      <c r="W51" s="2460"/>
      <c r="X51" s="2460"/>
      <c r="Y51" s="2460"/>
      <c r="AF51" s="2462"/>
      <c r="AG51" s="2462"/>
      <c r="AH51" s="2462"/>
      <c r="AI51" s="2462"/>
      <c r="AJ51" s="2462"/>
      <c r="AK51" s="2462"/>
      <c r="AL51" s="2463"/>
      <c r="AM51" s="2463"/>
      <c r="AN51" s="2463"/>
      <c r="AO51" s="2463"/>
      <c r="AP51" s="2463"/>
      <c r="AQ51" s="2463"/>
      <c r="AR51" s="2464"/>
      <c r="AS51" s="2464"/>
      <c r="AT51" s="2464"/>
      <c r="AU51" s="2464"/>
      <c r="AV51" s="2464"/>
      <c r="AW51" s="2464"/>
    </row>
    <row r="52" spans="1:49" ht="17.25" customHeight="1">
      <c r="A52" s="2624"/>
      <c r="E52" s="445"/>
      <c r="R52" s="461"/>
      <c r="T52" s="463"/>
      <c r="U52" s="463"/>
      <c r="V52" s="464"/>
      <c r="W52" s="463"/>
      <c r="X52" s="463"/>
      <c r="Y52" s="463"/>
      <c r="AL52" s="477"/>
      <c r="AM52" s="477"/>
      <c r="AN52" s="478"/>
      <c r="AO52" s="477"/>
      <c r="AP52" s="477"/>
      <c r="AQ52" s="477"/>
    </row>
    <row r="53" spans="1:49" ht="17.25" customHeight="1">
      <c r="A53" s="2624"/>
      <c r="E53" s="445"/>
      <c r="N53" s="457"/>
      <c r="O53" s="458"/>
      <c r="P53" s="458"/>
      <c r="Q53" s="458"/>
      <c r="R53" s="465"/>
      <c r="V53" s="466"/>
      <c r="AN53" s="476"/>
      <c r="AO53" s="483"/>
      <c r="AP53" s="483"/>
      <c r="AQ53" s="483"/>
      <c r="AR53" s="484"/>
      <c r="AS53" s="477"/>
      <c r="AT53" s="477"/>
      <c r="AU53" s="477"/>
      <c r="AV53" s="477"/>
      <c r="AW53" s="477"/>
    </row>
    <row r="54" spans="1:49" ht="17.25" customHeight="1">
      <c r="A54" s="2624"/>
      <c r="B54" s="446"/>
      <c r="C54" s="446"/>
      <c r="D54" s="446"/>
      <c r="E54" s="447"/>
      <c r="F54" s="446"/>
      <c r="G54" s="446"/>
      <c r="H54" s="2605" t="s">
        <v>3707</v>
      </c>
      <c r="I54" s="2605"/>
      <c r="J54" s="2605"/>
      <c r="K54" s="2605"/>
      <c r="L54" s="2605"/>
      <c r="M54" s="2605"/>
      <c r="N54" s="2571" t="s">
        <v>3708</v>
      </c>
      <c r="O54" s="2571"/>
      <c r="P54" s="2571"/>
      <c r="Q54" s="467"/>
      <c r="R54" s="468"/>
      <c r="S54" s="467"/>
      <c r="T54" s="467"/>
      <c r="U54" s="467"/>
      <c r="V54" s="469"/>
      <c r="W54" s="446"/>
      <c r="Y54" s="2565" t="s">
        <v>3709</v>
      </c>
      <c r="Z54" s="2565"/>
      <c r="AA54" s="2565"/>
      <c r="AB54" s="2565"/>
      <c r="AC54" s="2565"/>
      <c r="AD54" s="2565"/>
      <c r="AE54" s="2565"/>
      <c r="AF54" s="2565"/>
      <c r="AL54" s="2463" t="s">
        <v>3710</v>
      </c>
      <c r="AM54" s="2463"/>
      <c r="AN54" s="2463"/>
      <c r="AO54" s="2463"/>
      <c r="AP54" s="2463"/>
      <c r="AQ54" s="2463"/>
      <c r="AR54" s="485"/>
    </row>
    <row r="55" spans="1:49" ht="17.25" customHeight="1">
      <c r="A55" s="2624"/>
      <c r="B55" s="446"/>
      <c r="C55" s="446"/>
      <c r="D55" s="446"/>
      <c r="E55" s="448"/>
      <c r="F55" s="448"/>
      <c r="G55" s="449"/>
      <c r="H55" s="2605"/>
      <c r="I55" s="2605"/>
      <c r="J55" s="2605"/>
      <c r="K55" s="2605"/>
      <c r="L55" s="2605"/>
      <c r="M55" s="2605"/>
      <c r="N55" s="2571"/>
      <c r="O55" s="2571"/>
      <c r="P55" s="2571"/>
      <c r="Q55" s="470"/>
      <c r="R55" s="471"/>
      <c r="S55" s="446"/>
      <c r="T55" s="446"/>
      <c r="U55" s="446"/>
      <c r="V55" s="446"/>
      <c r="W55" s="446"/>
      <c r="Y55" s="2565"/>
      <c r="Z55" s="2565"/>
      <c r="AA55" s="2565"/>
      <c r="AB55" s="2565"/>
      <c r="AC55" s="2565"/>
      <c r="AD55" s="2565"/>
      <c r="AE55" s="2565"/>
      <c r="AF55" s="2565"/>
      <c r="AG55" s="479"/>
      <c r="AH55" s="479"/>
      <c r="AI55" s="479"/>
      <c r="AJ55" s="479"/>
      <c r="AK55" s="479"/>
      <c r="AL55" s="2463"/>
      <c r="AM55" s="2463"/>
      <c r="AN55" s="2463"/>
      <c r="AO55" s="2463"/>
      <c r="AP55" s="2463"/>
      <c r="AQ55" s="2463"/>
      <c r="AR55" s="485"/>
    </row>
    <row r="56" spans="1:49" ht="17.25" customHeight="1">
      <c r="A56" s="2624"/>
      <c r="B56" s="446"/>
      <c r="C56" s="446"/>
      <c r="D56" s="446"/>
      <c r="E56" s="446"/>
      <c r="F56" s="446"/>
      <c r="G56" s="447"/>
      <c r="H56" s="2605"/>
      <c r="I56" s="2605"/>
      <c r="J56" s="2605"/>
      <c r="K56" s="2605"/>
      <c r="L56" s="2605"/>
      <c r="M56" s="2605"/>
      <c r="N56" s="2571"/>
      <c r="O56" s="2571"/>
      <c r="P56" s="2571"/>
      <c r="Q56" s="470"/>
      <c r="R56" s="471"/>
      <c r="S56" s="472"/>
      <c r="T56" s="472"/>
      <c r="U56" s="472"/>
      <c r="V56" s="472"/>
      <c r="W56" s="472"/>
      <c r="X56" s="473"/>
      <c r="Y56" s="2565"/>
      <c r="Z56" s="2565"/>
      <c r="AA56" s="2565"/>
      <c r="AB56" s="2565"/>
      <c r="AC56" s="2565"/>
      <c r="AD56" s="2565"/>
      <c r="AE56" s="2565"/>
      <c r="AF56" s="2565"/>
      <c r="AL56" s="2463"/>
      <c r="AM56" s="2463"/>
      <c r="AN56" s="2463"/>
      <c r="AO56" s="2463"/>
      <c r="AP56" s="2463"/>
      <c r="AQ56" s="2463"/>
      <c r="AR56" s="485"/>
    </row>
    <row r="57" spans="1:49" ht="17.25" customHeight="1">
      <c r="A57" s="2624"/>
      <c r="B57" s="446"/>
      <c r="C57" s="446"/>
      <c r="D57" s="446"/>
      <c r="E57" s="446"/>
      <c r="F57" s="446"/>
      <c r="G57" s="447"/>
      <c r="H57" s="2605"/>
      <c r="I57" s="2605"/>
      <c r="J57" s="2605"/>
      <c r="K57" s="2605"/>
      <c r="L57" s="2605"/>
      <c r="M57" s="2605"/>
      <c r="N57" s="2571"/>
      <c r="O57" s="2571"/>
      <c r="P57" s="2571"/>
      <c r="Q57" s="470"/>
      <c r="R57" s="471"/>
      <c r="S57" s="446"/>
      <c r="T57" s="446"/>
      <c r="U57" s="446"/>
      <c r="V57" s="446"/>
      <c r="W57" s="446"/>
      <c r="Y57" s="2565"/>
      <c r="Z57" s="2565"/>
      <c r="AA57" s="2565"/>
      <c r="AB57" s="2565"/>
      <c r="AC57" s="2565"/>
      <c r="AD57" s="2565"/>
      <c r="AE57" s="2565"/>
      <c r="AF57" s="2565"/>
      <c r="AO57" s="486"/>
      <c r="AR57" s="485"/>
    </row>
    <row r="58" spans="1:49" ht="17.25" customHeight="1">
      <c r="A58" s="2624"/>
      <c r="B58" s="450"/>
      <c r="C58" s="450"/>
      <c r="D58" s="450"/>
      <c r="E58" s="450"/>
      <c r="F58" s="450"/>
      <c r="G58" s="451"/>
      <c r="H58" s="2633" t="s">
        <v>3711</v>
      </c>
      <c r="I58" s="2633"/>
      <c r="J58" s="2633"/>
      <c r="K58" s="2633"/>
      <c r="L58" s="2633"/>
      <c r="M58" s="2633"/>
      <c r="N58" s="2599" t="s">
        <v>3712</v>
      </c>
      <c r="O58" s="2599"/>
      <c r="P58" s="2599"/>
      <c r="Q58" s="470"/>
      <c r="R58" s="471"/>
      <c r="S58" s="446"/>
      <c r="T58" s="446"/>
      <c r="U58" s="446"/>
      <c r="V58" s="446"/>
      <c r="W58" s="446"/>
      <c r="AE58" s="463"/>
      <c r="AN58" s="480"/>
      <c r="AR58" s="485"/>
    </row>
    <row r="59" spans="1:49" ht="17.25" customHeight="1">
      <c r="A59" s="2624"/>
      <c r="B59" s="450"/>
      <c r="C59" s="450"/>
      <c r="D59" s="450"/>
      <c r="E59" s="450"/>
      <c r="F59" s="452"/>
      <c r="G59" s="453"/>
      <c r="H59" s="2633"/>
      <c r="I59" s="2633"/>
      <c r="J59" s="2633"/>
      <c r="K59" s="2633"/>
      <c r="L59" s="2633"/>
      <c r="M59" s="2633"/>
      <c r="N59" s="2599"/>
      <c r="O59" s="2599"/>
      <c r="P59" s="2599"/>
      <c r="Q59" s="469"/>
      <c r="R59" s="471"/>
      <c r="S59" s="446"/>
      <c r="T59" s="446"/>
      <c r="U59" s="446"/>
      <c r="V59" s="446"/>
      <c r="W59" s="446"/>
      <c r="AE59" s="463"/>
      <c r="AL59" s="2604" t="s">
        <v>3713</v>
      </c>
      <c r="AM59" s="2604"/>
      <c r="AN59" s="2604"/>
      <c r="AO59" s="2604"/>
      <c r="AP59" s="2604"/>
      <c r="AQ59" s="2604"/>
      <c r="AR59" s="485"/>
    </row>
    <row r="60" spans="1:49" ht="17.25" customHeight="1">
      <c r="A60" s="2624"/>
      <c r="B60" s="450"/>
      <c r="C60" s="450"/>
      <c r="D60" s="450"/>
      <c r="E60" s="450"/>
      <c r="F60" s="452"/>
      <c r="G60" s="450"/>
      <c r="H60" s="2633"/>
      <c r="I60" s="2633"/>
      <c r="J60" s="2633"/>
      <c r="K60" s="2633"/>
      <c r="L60" s="2633"/>
      <c r="M60" s="2633"/>
      <c r="N60" s="2599"/>
      <c r="O60" s="2599"/>
      <c r="P60" s="2599"/>
      <c r="Q60" s="446"/>
      <c r="R60" s="471"/>
      <c r="S60" s="446"/>
      <c r="T60" s="446"/>
      <c r="U60" s="446"/>
      <c r="V60" s="446"/>
      <c r="W60" s="446"/>
      <c r="AL60" s="2604"/>
      <c r="AM60" s="2604"/>
      <c r="AN60" s="2604"/>
      <c r="AO60" s="2604"/>
      <c r="AP60" s="2604"/>
      <c r="AQ60" s="2604"/>
      <c r="AR60" s="485"/>
    </row>
    <row r="61" spans="1:49" ht="17.25" customHeight="1">
      <c r="A61" s="2624"/>
      <c r="B61" s="450"/>
      <c r="C61" s="450"/>
      <c r="D61" s="450"/>
      <c r="E61" s="450"/>
      <c r="F61" s="452"/>
      <c r="G61" s="450"/>
      <c r="H61" s="2633"/>
      <c r="I61" s="2633"/>
      <c r="J61" s="2633"/>
      <c r="K61" s="2633"/>
      <c r="L61" s="2633"/>
      <c r="M61" s="2633"/>
      <c r="N61" s="2599"/>
      <c r="O61" s="2599"/>
      <c r="P61" s="2599"/>
      <c r="Q61" s="446"/>
      <c r="R61" s="471"/>
      <c r="S61" s="446"/>
      <c r="T61" s="446"/>
      <c r="U61" s="446"/>
      <c r="V61" s="446"/>
      <c r="W61" s="446"/>
      <c r="AL61" s="2604"/>
      <c r="AM61" s="2604"/>
      <c r="AN61" s="2604"/>
      <c r="AO61" s="2604"/>
      <c r="AP61" s="2604"/>
      <c r="AQ61" s="2604"/>
      <c r="AR61" s="485"/>
    </row>
    <row r="62" spans="1:49" ht="17.25" customHeight="1">
      <c r="A62" s="2624"/>
      <c r="B62" s="450"/>
      <c r="C62" s="450"/>
      <c r="D62" s="450"/>
      <c r="E62" s="450"/>
      <c r="F62" s="452"/>
      <c r="G62" s="454"/>
      <c r="H62" s="454"/>
      <c r="I62" s="459"/>
      <c r="J62" s="459"/>
      <c r="K62" s="459"/>
      <c r="L62" s="459"/>
      <c r="M62" s="459"/>
      <c r="N62" s="459"/>
      <c r="O62" s="459"/>
      <c r="P62" s="459"/>
      <c r="Q62" s="459"/>
      <c r="R62" s="474"/>
      <c r="S62" s="446"/>
      <c r="T62" s="446"/>
      <c r="U62" s="446"/>
      <c r="V62" s="446"/>
      <c r="W62" s="446"/>
      <c r="AL62" s="481"/>
      <c r="AM62" s="481"/>
      <c r="AN62" s="481"/>
      <c r="AO62" s="481"/>
      <c r="AP62" s="481"/>
      <c r="AQ62" s="481"/>
      <c r="AR62" s="485"/>
    </row>
    <row r="63" spans="1:49" ht="17.25" customHeight="1">
      <c r="A63" s="2624"/>
      <c r="B63" s="450"/>
      <c r="C63" s="450"/>
      <c r="D63" s="450"/>
      <c r="E63" s="450"/>
      <c r="F63" s="452"/>
      <c r="G63" s="454"/>
      <c r="H63" s="454"/>
      <c r="I63" s="460"/>
      <c r="J63" s="454"/>
      <c r="K63" s="454"/>
      <c r="L63" s="454"/>
      <c r="M63" s="454"/>
      <c r="N63" s="454"/>
      <c r="O63" s="454"/>
      <c r="P63" s="454"/>
      <c r="Q63" s="454"/>
      <c r="R63" s="454"/>
      <c r="S63" s="446"/>
      <c r="T63" s="446"/>
      <c r="U63" s="446"/>
      <c r="V63" s="446"/>
      <c r="W63" s="446"/>
      <c r="AR63" s="485"/>
    </row>
    <row r="64" spans="1:49" ht="17.25" customHeight="1">
      <c r="A64" s="2624"/>
      <c r="B64" s="450"/>
      <c r="C64" s="450"/>
      <c r="D64" s="450"/>
      <c r="E64" s="450"/>
      <c r="F64" s="452"/>
      <c r="G64" s="454"/>
      <c r="H64" s="454"/>
      <c r="I64" s="460"/>
      <c r="J64" s="454"/>
      <c r="K64" s="454"/>
      <c r="L64" s="454"/>
      <c r="M64" s="454"/>
      <c r="N64" s="454"/>
      <c r="O64" s="454"/>
      <c r="P64" s="454"/>
      <c r="Q64" s="454"/>
      <c r="R64" s="454"/>
      <c r="S64" s="446"/>
      <c r="T64" s="446"/>
      <c r="U64" s="2506" t="s">
        <v>3714</v>
      </c>
      <c r="V64" s="2507"/>
      <c r="W64" s="2518" t="s">
        <v>3715</v>
      </c>
      <c r="X64" s="2507"/>
      <c r="Y64" s="2507"/>
      <c r="Z64" s="2507"/>
      <c r="AA64" s="2507"/>
      <c r="AB64" s="2507"/>
      <c r="AC64" s="2507"/>
      <c r="AD64" s="2507"/>
      <c r="AE64" s="2507"/>
      <c r="AF64" s="2507"/>
      <c r="AG64" s="2507"/>
      <c r="AH64" s="2507"/>
      <c r="AI64" s="2507"/>
      <c r="AJ64" s="2519"/>
      <c r="AN64" s="2520" t="s">
        <v>3716</v>
      </c>
      <c r="AO64" s="2520"/>
      <c r="AP64" s="2520"/>
      <c r="AQ64" s="2520"/>
      <c r="AR64" s="2520"/>
      <c r="AS64" s="2520"/>
      <c r="AT64" s="2520"/>
      <c r="AU64" s="2520"/>
      <c r="AV64" s="2520"/>
      <c r="AW64" s="2520"/>
    </row>
    <row r="65" spans="1:59" ht="17.25" customHeight="1">
      <c r="A65" s="2624"/>
      <c r="F65" s="2574" t="s">
        <v>3717</v>
      </c>
      <c r="G65" s="2575"/>
      <c r="H65" s="2647" t="s">
        <v>3718</v>
      </c>
      <c r="I65" s="2648"/>
      <c r="J65" s="2648"/>
      <c r="K65" s="2647" t="s">
        <v>3719</v>
      </c>
      <c r="L65" s="2648"/>
      <c r="M65" s="2647" t="s">
        <v>3720</v>
      </c>
      <c r="N65" s="2648"/>
      <c r="O65" s="1715" t="s">
        <v>3721</v>
      </c>
      <c r="P65" s="1716"/>
      <c r="Q65" s="1716"/>
      <c r="R65" s="1718"/>
      <c r="T65" s="446"/>
      <c r="U65" s="2482"/>
      <c r="V65" s="2480"/>
      <c r="W65" s="2480"/>
      <c r="X65" s="2480"/>
      <c r="Y65" s="2480"/>
      <c r="Z65" s="2480"/>
      <c r="AA65" s="2480"/>
      <c r="AB65" s="2480"/>
      <c r="AC65" s="2480"/>
      <c r="AD65" s="2480"/>
      <c r="AE65" s="2480"/>
      <c r="AF65" s="2480"/>
      <c r="AG65" s="2480"/>
      <c r="AH65" s="2480"/>
      <c r="AI65" s="2480"/>
      <c r="AJ65" s="2481"/>
      <c r="AN65" s="2520"/>
      <c r="AO65" s="2520"/>
      <c r="AP65" s="2520"/>
      <c r="AQ65" s="2520"/>
      <c r="AR65" s="2520"/>
      <c r="AS65" s="2520"/>
      <c r="AT65" s="2520"/>
      <c r="AU65" s="2520"/>
      <c r="AV65" s="2520"/>
      <c r="AW65" s="2520"/>
      <c r="AX65" s="495"/>
      <c r="AY65" s="495"/>
      <c r="AZ65" s="495"/>
      <c r="BA65" s="495"/>
      <c r="BB65" s="495"/>
      <c r="BC65" s="495"/>
      <c r="BD65" s="495"/>
      <c r="BE65" s="495"/>
      <c r="BF65" s="495"/>
      <c r="BG65" s="463"/>
    </row>
    <row r="66" spans="1:59" ht="17.25" customHeight="1">
      <c r="A66" s="2624"/>
      <c r="F66" s="2576"/>
      <c r="G66" s="2577"/>
      <c r="H66" s="2636" t="s">
        <v>3722</v>
      </c>
      <c r="I66" s="2636"/>
      <c r="J66" s="2636"/>
      <c r="K66" s="2636">
        <v>-2</v>
      </c>
      <c r="L66" s="2636"/>
      <c r="M66" s="2636">
        <v>-2</v>
      </c>
      <c r="N66" s="2636"/>
      <c r="O66" s="2637" t="s">
        <v>3723</v>
      </c>
      <c r="P66" s="2638"/>
      <c r="Q66" s="2638"/>
      <c r="R66" s="490">
        <v>-3</v>
      </c>
      <c r="T66" s="446"/>
      <c r="U66" s="2482"/>
      <c r="V66" s="2480"/>
      <c r="W66" s="2480"/>
      <c r="X66" s="2480"/>
      <c r="Y66" s="2480"/>
      <c r="Z66" s="2480"/>
      <c r="AA66" s="2480"/>
      <c r="AB66" s="2480"/>
      <c r="AC66" s="2480"/>
      <c r="AD66" s="2480"/>
      <c r="AE66" s="2480"/>
      <c r="AF66" s="2480"/>
      <c r="AG66" s="2480"/>
      <c r="AH66" s="2480"/>
      <c r="AI66" s="2480"/>
      <c r="AJ66" s="2481"/>
      <c r="AN66" s="2455" t="s">
        <v>3724</v>
      </c>
      <c r="AO66" s="2493"/>
      <c r="AP66" s="2493"/>
      <c r="AQ66" s="2493"/>
      <c r="AR66" s="2493"/>
      <c r="AS66" s="2493"/>
      <c r="AT66" s="2493"/>
      <c r="AU66" s="2493"/>
      <c r="AV66" s="2493"/>
      <c r="AW66" s="2493"/>
      <c r="AX66" s="495"/>
      <c r="AY66" s="495"/>
      <c r="AZ66" s="495"/>
      <c r="BA66" s="495"/>
      <c r="BB66" s="495"/>
      <c r="BC66" s="495"/>
      <c r="BD66" s="495"/>
      <c r="BE66" s="495"/>
      <c r="BF66" s="495"/>
      <c r="BG66" s="463"/>
    </row>
    <row r="67" spans="1:59" ht="17.25" customHeight="1">
      <c r="A67" s="2624"/>
      <c r="F67" s="2576"/>
      <c r="G67" s="2577"/>
      <c r="H67" s="2585" t="s">
        <v>3725</v>
      </c>
      <c r="I67" s="2586"/>
      <c r="J67" s="2586"/>
      <c r="K67" s="2585">
        <v>-1</v>
      </c>
      <c r="L67" s="2586"/>
      <c r="M67" s="2585">
        <v>-1</v>
      </c>
      <c r="N67" s="2586"/>
      <c r="O67" s="2634" t="s">
        <v>3726</v>
      </c>
      <c r="P67" s="2635"/>
      <c r="Q67" s="2635"/>
      <c r="R67" s="196">
        <v>-2</v>
      </c>
      <c r="U67" s="2476" t="s">
        <v>3727</v>
      </c>
      <c r="V67" s="2477"/>
      <c r="W67" s="2509" t="s">
        <v>3728</v>
      </c>
      <c r="X67" s="2510"/>
      <c r="Y67" s="2510"/>
      <c r="Z67" s="2510"/>
      <c r="AA67" s="2510"/>
      <c r="AB67" s="2510"/>
      <c r="AC67" s="2510"/>
      <c r="AD67" s="2510"/>
      <c r="AE67" s="2510"/>
      <c r="AF67" s="2510"/>
      <c r="AG67" s="2510"/>
      <c r="AH67" s="2510"/>
      <c r="AI67" s="2510"/>
      <c r="AJ67" s="2511"/>
      <c r="AN67" s="2493"/>
      <c r="AO67" s="2493"/>
      <c r="AP67" s="2493"/>
      <c r="AQ67" s="2493"/>
      <c r="AR67" s="2493"/>
      <c r="AS67" s="2493"/>
      <c r="AT67" s="2493"/>
      <c r="AU67" s="2493"/>
      <c r="AV67" s="2493"/>
      <c r="AW67" s="2493"/>
      <c r="AX67" s="495"/>
      <c r="AY67" s="495"/>
      <c r="AZ67" s="495"/>
      <c r="BA67" s="495"/>
      <c r="BB67" s="495"/>
      <c r="BC67" s="495"/>
      <c r="BD67" s="495"/>
      <c r="BE67" s="495"/>
      <c r="BF67" s="495"/>
      <c r="BG67" s="463"/>
    </row>
    <row r="68" spans="1:59" ht="17.25" customHeight="1">
      <c r="A68" s="2624"/>
      <c r="F68" s="2576"/>
      <c r="G68" s="2577"/>
      <c r="H68" s="2643" t="s">
        <v>3729</v>
      </c>
      <c r="I68" s="2644"/>
      <c r="J68" s="2644"/>
      <c r="K68" s="2643">
        <v>0</v>
      </c>
      <c r="L68" s="2644"/>
      <c r="M68" s="2643">
        <v>0</v>
      </c>
      <c r="N68" s="2644"/>
      <c r="O68" s="2637" t="s">
        <v>3730</v>
      </c>
      <c r="P68" s="2638"/>
      <c r="Q68" s="2638"/>
      <c r="R68" s="490">
        <v>-1</v>
      </c>
      <c r="U68" s="2478"/>
      <c r="V68" s="2477"/>
      <c r="W68" s="2510"/>
      <c r="X68" s="2510"/>
      <c r="Y68" s="2510"/>
      <c r="Z68" s="2510"/>
      <c r="AA68" s="2510"/>
      <c r="AB68" s="2510"/>
      <c r="AC68" s="2510"/>
      <c r="AD68" s="2510"/>
      <c r="AE68" s="2510"/>
      <c r="AF68" s="2510"/>
      <c r="AG68" s="2510"/>
      <c r="AH68" s="2510"/>
      <c r="AI68" s="2510"/>
      <c r="AJ68" s="2511"/>
      <c r="AN68" s="2493"/>
      <c r="AO68" s="2493"/>
      <c r="AP68" s="2493"/>
      <c r="AQ68" s="2493"/>
      <c r="AR68" s="2493"/>
      <c r="AS68" s="2493"/>
      <c r="AT68" s="2493"/>
      <c r="AU68" s="2493"/>
      <c r="AV68" s="2493"/>
      <c r="AW68" s="2493"/>
      <c r="AX68" s="495"/>
      <c r="AY68" s="495"/>
      <c r="AZ68" s="495"/>
      <c r="BA68" s="495"/>
      <c r="BB68" s="495"/>
      <c r="BC68" s="495"/>
      <c r="BD68" s="495"/>
      <c r="BE68" s="495"/>
      <c r="BF68" s="495"/>
      <c r="BG68" s="463"/>
    </row>
    <row r="69" spans="1:59" ht="17.25" customHeight="1">
      <c r="A69" s="2624"/>
      <c r="F69" s="2576"/>
      <c r="G69" s="2577"/>
      <c r="H69" s="2585" t="s">
        <v>3731</v>
      </c>
      <c r="I69" s="2586"/>
      <c r="J69" s="2586"/>
      <c r="K69" s="2585" t="s">
        <v>3732</v>
      </c>
      <c r="L69" s="2586"/>
      <c r="M69" s="2585">
        <v>1</v>
      </c>
      <c r="N69" s="2586"/>
      <c r="O69" s="2645" t="s">
        <v>3733</v>
      </c>
      <c r="P69" s="2646"/>
      <c r="Q69" s="2646"/>
      <c r="R69" s="491">
        <v>0</v>
      </c>
      <c r="U69" s="2478"/>
      <c r="V69" s="2477"/>
      <c r="W69" s="2510"/>
      <c r="X69" s="2510"/>
      <c r="Y69" s="2510"/>
      <c r="Z69" s="2510"/>
      <c r="AA69" s="2510"/>
      <c r="AB69" s="2510"/>
      <c r="AC69" s="2510"/>
      <c r="AD69" s="2510"/>
      <c r="AE69" s="2510"/>
      <c r="AF69" s="2510"/>
      <c r="AG69" s="2510"/>
      <c r="AH69" s="2510"/>
      <c r="AI69" s="2510"/>
      <c r="AJ69" s="2511"/>
      <c r="AN69" s="2493"/>
      <c r="AO69" s="2493"/>
      <c r="AP69" s="2493"/>
      <c r="AQ69" s="2493"/>
      <c r="AR69" s="2493"/>
      <c r="AS69" s="2493"/>
      <c r="AT69" s="2493"/>
      <c r="AU69" s="2493"/>
      <c r="AV69" s="2493"/>
      <c r="AW69" s="2493"/>
      <c r="AX69" s="495"/>
      <c r="AY69" s="495"/>
      <c r="AZ69" s="495"/>
      <c r="BA69" s="495"/>
      <c r="BB69" s="495"/>
      <c r="BC69" s="495"/>
      <c r="BD69" s="495"/>
      <c r="BE69" s="495"/>
      <c r="BF69" s="495"/>
      <c r="BG69" s="463"/>
    </row>
    <row r="70" spans="1:59" ht="17.25" customHeight="1">
      <c r="A70" s="2624"/>
      <c r="F70" s="2576"/>
      <c r="G70" s="2577"/>
      <c r="H70" s="2636" t="s">
        <v>3734</v>
      </c>
      <c r="I70" s="2636"/>
      <c r="J70" s="2636"/>
      <c r="K70" s="2636" t="s">
        <v>3735</v>
      </c>
      <c r="L70" s="2636"/>
      <c r="M70" s="2636">
        <v>2</v>
      </c>
      <c r="N70" s="2636"/>
      <c r="O70" s="2637" t="s">
        <v>3736</v>
      </c>
      <c r="P70" s="2638"/>
      <c r="Q70" s="2638"/>
      <c r="R70" s="1060" t="s">
        <v>3737</v>
      </c>
      <c r="U70" s="2479" t="s">
        <v>3738</v>
      </c>
      <c r="V70" s="2480"/>
      <c r="W70" s="2505" t="s">
        <v>3739</v>
      </c>
      <c r="X70" s="2480"/>
      <c r="Y70" s="2480"/>
      <c r="Z70" s="2480"/>
      <c r="AA70" s="2480"/>
      <c r="AB70" s="2480"/>
      <c r="AC70" s="2480"/>
      <c r="AD70" s="2480"/>
      <c r="AE70" s="2480"/>
      <c r="AF70" s="2480"/>
      <c r="AG70" s="2480"/>
      <c r="AH70" s="2480"/>
      <c r="AI70" s="2480"/>
      <c r="AJ70" s="2481"/>
      <c r="AN70" s="2597" t="s">
        <v>3740</v>
      </c>
      <c r="AO70" s="2598"/>
      <c r="AP70" s="2598"/>
      <c r="AQ70" s="2598"/>
      <c r="AR70" s="2598"/>
      <c r="AS70" s="2598"/>
      <c r="AT70" s="2598"/>
      <c r="AU70" s="2598"/>
      <c r="AV70" s="2598"/>
      <c r="AW70" s="2598"/>
      <c r="AX70" s="495"/>
      <c r="AY70" s="495"/>
      <c r="AZ70" s="495"/>
      <c r="BA70" s="495"/>
      <c r="BB70" s="495"/>
      <c r="BC70" s="495"/>
      <c r="BD70" s="495"/>
      <c r="BE70" s="495"/>
      <c r="BF70" s="495"/>
      <c r="BG70" s="463"/>
    </row>
    <row r="71" spans="1:59">
      <c r="A71" s="2624"/>
      <c r="F71" s="2576"/>
      <c r="G71" s="2577"/>
      <c r="H71" s="2585" t="s">
        <v>3741</v>
      </c>
      <c r="I71" s="2586"/>
      <c r="J71" s="2586"/>
      <c r="K71" s="2585" t="s">
        <v>3742</v>
      </c>
      <c r="L71" s="2586"/>
      <c r="M71" s="2585">
        <v>3</v>
      </c>
      <c r="N71" s="2586"/>
      <c r="O71" s="2634" t="s">
        <v>3743</v>
      </c>
      <c r="P71" s="2635"/>
      <c r="Q71" s="2635"/>
      <c r="R71" s="1061" t="s">
        <v>3744</v>
      </c>
      <c r="U71" s="2482"/>
      <c r="V71" s="2480"/>
      <c r="W71" s="2480"/>
      <c r="X71" s="2480"/>
      <c r="Y71" s="2480"/>
      <c r="Z71" s="2480"/>
      <c r="AA71" s="2480"/>
      <c r="AB71" s="2480"/>
      <c r="AC71" s="2480"/>
      <c r="AD71" s="2480"/>
      <c r="AE71" s="2480"/>
      <c r="AF71" s="2480"/>
      <c r="AG71" s="2480"/>
      <c r="AH71" s="2480"/>
      <c r="AI71" s="2480"/>
      <c r="AJ71" s="2481"/>
      <c r="AN71" s="2598"/>
      <c r="AO71" s="2598"/>
      <c r="AP71" s="2598"/>
      <c r="AQ71" s="2598"/>
      <c r="AR71" s="2598"/>
      <c r="AS71" s="2598"/>
      <c r="AT71" s="2598"/>
      <c r="AU71" s="2598"/>
      <c r="AV71" s="2598"/>
      <c r="AW71" s="2598"/>
    </row>
    <row r="72" spans="1:59">
      <c r="A72" s="2624"/>
      <c r="F72" s="2576"/>
      <c r="G72" s="2577"/>
      <c r="H72" s="2636" t="s">
        <v>3745</v>
      </c>
      <c r="I72" s="2636"/>
      <c r="J72" s="2636"/>
      <c r="K72" s="2636" t="s">
        <v>3746</v>
      </c>
      <c r="L72" s="2636"/>
      <c r="M72" s="2636">
        <v>4</v>
      </c>
      <c r="N72" s="2636"/>
      <c r="O72" s="2637" t="s">
        <v>3747</v>
      </c>
      <c r="P72" s="2638"/>
      <c r="Q72" s="2638"/>
      <c r="R72" s="1060" t="s">
        <v>3748</v>
      </c>
      <c r="U72" s="2482"/>
      <c r="V72" s="2480"/>
      <c r="W72" s="2480"/>
      <c r="X72" s="2480"/>
      <c r="Y72" s="2480"/>
      <c r="Z72" s="2480"/>
      <c r="AA72" s="2480"/>
      <c r="AB72" s="2480"/>
      <c r="AC72" s="2480"/>
      <c r="AD72" s="2480"/>
      <c r="AE72" s="2480"/>
      <c r="AF72" s="2480"/>
      <c r="AG72" s="2480"/>
      <c r="AH72" s="2480"/>
      <c r="AI72" s="2480"/>
      <c r="AJ72" s="2481"/>
      <c r="AN72" s="2598"/>
      <c r="AO72" s="2598"/>
      <c r="AP72" s="2598"/>
      <c r="AQ72" s="2598"/>
      <c r="AR72" s="2598"/>
      <c r="AS72" s="2598"/>
      <c r="AT72" s="2598"/>
      <c r="AU72" s="2598"/>
      <c r="AV72" s="2598"/>
      <c r="AW72" s="2598"/>
    </row>
    <row r="73" spans="1:59">
      <c r="A73" s="2624"/>
      <c r="F73" s="2578"/>
      <c r="G73" s="2579"/>
      <c r="H73" s="2639" t="s">
        <v>3749</v>
      </c>
      <c r="I73" s="2640"/>
      <c r="J73" s="2640"/>
      <c r="K73" s="2639" t="s">
        <v>3750</v>
      </c>
      <c r="L73" s="2640"/>
      <c r="M73" s="2639">
        <v>5</v>
      </c>
      <c r="N73" s="2640"/>
      <c r="O73" s="2641" t="s">
        <v>3751</v>
      </c>
      <c r="P73" s="2642"/>
      <c r="Q73" s="2642"/>
      <c r="R73" s="1062" t="s">
        <v>3752</v>
      </c>
      <c r="U73" s="2476" t="s">
        <v>3753</v>
      </c>
      <c r="V73" s="2477"/>
      <c r="W73" s="2516" t="s">
        <v>3754</v>
      </c>
      <c r="X73" s="2477"/>
      <c r="Y73" s="2477"/>
      <c r="Z73" s="2477"/>
      <c r="AA73" s="2477"/>
      <c r="AB73" s="2477"/>
      <c r="AC73" s="2477"/>
      <c r="AD73" s="2477"/>
      <c r="AE73" s="2477"/>
      <c r="AF73" s="2477"/>
      <c r="AG73" s="2477"/>
      <c r="AH73" s="2477"/>
      <c r="AI73" s="2477"/>
      <c r="AJ73" s="2517"/>
      <c r="AN73" s="2598"/>
      <c r="AO73" s="2598"/>
      <c r="AP73" s="2598"/>
      <c r="AQ73" s="2598"/>
      <c r="AR73" s="2598"/>
      <c r="AS73" s="2598"/>
      <c r="AT73" s="2598"/>
      <c r="AU73" s="2598"/>
      <c r="AV73" s="2598"/>
      <c r="AW73" s="2598"/>
    </row>
    <row r="74" spans="1:59">
      <c r="A74" s="2624"/>
      <c r="F74" s="2632" t="s">
        <v>3755</v>
      </c>
      <c r="G74" s="2632"/>
      <c r="H74" s="2632"/>
      <c r="I74" s="2632"/>
      <c r="J74" s="2632"/>
      <c r="K74" s="2632"/>
      <c r="L74" s="2632"/>
      <c r="M74" s="2632"/>
      <c r="N74" s="2632"/>
      <c r="U74" s="2566"/>
      <c r="V74" s="2477"/>
      <c r="W74" s="2477"/>
      <c r="X74" s="2477"/>
      <c r="Y74" s="2477"/>
      <c r="Z74" s="2477"/>
      <c r="AA74" s="2477"/>
      <c r="AB74" s="2477"/>
      <c r="AC74" s="2477"/>
      <c r="AD74" s="2477"/>
      <c r="AE74" s="2477"/>
      <c r="AF74" s="2477"/>
      <c r="AG74" s="2477"/>
      <c r="AH74" s="2477"/>
      <c r="AI74" s="2477"/>
      <c r="AJ74" s="2517"/>
      <c r="AN74" s="463"/>
      <c r="AO74" s="463"/>
      <c r="AP74" s="463"/>
      <c r="AQ74" s="463"/>
      <c r="AR74" s="463"/>
      <c r="AS74" s="463"/>
      <c r="AT74" s="463"/>
      <c r="AU74" s="463"/>
      <c r="AV74" s="463"/>
      <c r="AW74" s="463"/>
    </row>
    <row r="75" spans="1:59">
      <c r="A75" s="2624"/>
      <c r="F75" s="2632"/>
      <c r="G75" s="2632"/>
      <c r="H75" s="2632"/>
      <c r="I75" s="2632"/>
      <c r="J75" s="2632"/>
      <c r="K75" s="2632"/>
      <c r="L75" s="2632"/>
      <c r="M75" s="2632"/>
      <c r="N75" s="2632"/>
      <c r="U75" s="2478"/>
      <c r="V75" s="2477"/>
      <c r="W75" s="2477"/>
      <c r="X75" s="2477"/>
      <c r="Y75" s="2477"/>
      <c r="Z75" s="2477"/>
      <c r="AA75" s="2477"/>
      <c r="AB75" s="2477"/>
      <c r="AC75" s="2477"/>
      <c r="AD75" s="2477"/>
      <c r="AE75" s="2477"/>
      <c r="AF75" s="2477"/>
      <c r="AG75" s="2477"/>
      <c r="AH75" s="2477"/>
      <c r="AI75" s="2477"/>
      <c r="AJ75" s="2517"/>
      <c r="AO75" s="495"/>
      <c r="AP75" s="495"/>
      <c r="AQ75" s="495"/>
      <c r="AR75" s="495"/>
      <c r="AS75" s="495"/>
      <c r="AT75" s="495"/>
      <c r="AU75" s="495"/>
      <c r="AV75" s="495"/>
      <c r="AW75" s="495"/>
    </row>
    <row r="76" spans="1:59">
      <c r="A76" s="2624"/>
      <c r="G76" s="463"/>
      <c r="H76" s="463"/>
      <c r="U76" s="2479" t="s">
        <v>3756</v>
      </c>
      <c r="V76" s="2480"/>
      <c r="W76" s="2505" t="s">
        <v>3757</v>
      </c>
      <c r="X76" s="2480"/>
      <c r="Y76" s="2480"/>
      <c r="Z76" s="2480"/>
      <c r="AA76" s="2480"/>
      <c r="AB76" s="2480"/>
      <c r="AC76" s="2480"/>
      <c r="AD76" s="2480"/>
      <c r="AE76" s="2480"/>
      <c r="AF76" s="2480"/>
      <c r="AG76" s="2480"/>
      <c r="AH76" s="2480"/>
      <c r="AI76" s="2480"/>
      <c r="AJ76" s="2481"/>
      <c r="AO76" s="495"/>
      <c r="AP76" s="495"/>
      <c r="AQ76" s="495"/>
      <c r="AR76" s="495"/>
      <c r="AS76" s="495"/>
      <c r="AT76" s="495"/>
      <c r="AU76" s="495"/>
      <c r="AV76" s="495"/>
      <c r="AW76" s="495"/>
    </row>
    <row r="77" spans="1:59">
      <c r="A77" s="2624"/>
      <c r="U77" s="2482"/>
      <c r="V77" s="2480"/>
      <c r="W77" s="2480"/>
      <c r="X77" s="2480"/>
      <c r="Y77" s="2480"/>
      <c r="Z77" s="2480"/>
      <c r="AA77" s="2480"/>
      <c r="AB77" s="2480"/>
      <c r="AC77" s="2480"/>
      <c r="AD77" s="2480"/>
      <c r="AE77" s="2480"/>
      <c r="AF77" s="2480"/>
      <c r="AG77" s="2480"/>
      <c r="AH77" s="2480"/>
      <c r="AI77" s="2480"/>
      <c r="AJ77" s="2481"/>
      <c r="AO77" s="495"/>
      <c r="AP77" s="495"/>
      <c r="AQ77" s="495"/>
      <c r="AR77" s="495"/>
      <c r="AS77" s="495"/>
      <c r="AT77" s="495"/>
      <c r="AU77" s="495"/>
      <c r="AV77" s="495"/>
      <c r="AW77" s="495"/>
    </row>
    <row r="78" spans="1:59">
      <c r="A78" s="2624"/>
      <c r="U78" s="2482"/>
      <c r="V78" s="2480"/>
      <c r="W78" s="2480"/>
      <c r="X78" s="2480"/>
      <c r="Y78" s="2480"/>
      <c r="Z78" s="2480"/>
      <c r="AA78" s="2480"/>
      <c r="AB78" s="2480"/>
      <c r="AC78" s="2480"/>
      <c r="AD78" s="2480"/>
      <c r="AE78" s="2480"/>
      <c r="AF78" s="2480"/>
      <c r="AG78" s="2480"/>
      <c r="AH78" s="2480"/>
      <c r="AI78" s="2480"/>
      <c r="AJ78" s="2481"/>
      <c r="AO78" s="495"/>
      <c r="AP78" s="495"/>
      <c r="AQ78" s="495"/>
      <c r="AR78" s="495"/>
      <c r="AS78" s="495"/>
      <c r="AT78" s="495"/>
      <c r="AU78" s="495"/>
      <c r="AV78" s="495"/>
      <c r="AW78" s="495"/>
    </row>
    <row r="79" spans="1:59">
      <c r="A79" s="2624"/>
      <c r="U79" s="2476" t="s">
        <v>3758</v>
      </c>
      <c r="V79" s="2477"/>
      <c r="W79" s="2516" t="s">
        <v>3759</v>
      </c>
      <c r="X79" s="2477"/>
      <c r="Y79" s="2477"/>
      <c r="Z79" s="2477"/>
      <c r="AA79" s="2477"/>
      <c r="AB79" s="2477"/>
      <c r="AC79" s="2477"/>
      <c r="AD79" s="2477"/>
      <c r="AE79" s="2477"/>
      <c r="AF79" s="2477"/>
      <c r="AG79" s="2477"/>
      <c r="AH79" s="2477"/>
      <c r="AI79" s="2477"/>
      <c r="AJ79" s="2517"/>
    </row>
    <row r="80" spans="1:59">
      <c r="A80" s="2624"/>
      <c r="U80" s="2478"/>
      <c r="V80" s="2477"/>
      <c r="W80" s="2477"/>
      <c r="X80" s="2477"/>
      <c r="Y80" s="2477"/>
      <c r="Z80" s="2477"/>
      <c r="AA80" s="2477"/>
      <c r="AB80" s="2477"/>
      <c r="AC80" s="2477"/>
      <c r="AD80" s="2477"/>
      <c r="AE80" s="2477"/>
      <c r="AF80" s="2477"/>
      <c r="AG80" s="2477"/>
      <c r="AH80" s="2477"/>
      <c r="AI80" s="2477"/>
      <c r="AJ80" s="2517"/>
    </row>
    <row r="81" spans="1:52">
      <c r="A81" s="2624"/>
      <c r="U81" s="2478"/>
      <c r="V81" s="2477"/>
      <c r="W81" s="2477"/>
      <c r="X81" s="2477"/>
      <c r="Y81" s="2477"/>
      <c r="Z81" s="2477"/>
      <c r="AA81" s="2477"/>
      <c r="AB81" s="2477"/>
      <c r="AC81" s="2477"/>
      <c r="AD81" s="2477"/>
      <c r="AE81" s="2477"/>
      <c r="AF81" s="2477"/>
      <c r="AG81" s="2477"/>
      <c r="AH81" s="2477"/>
      <c r="AI81" s="2477"/>
      <c r="AJ81" s="2517"/>
    </row>
    <row r="82" spans="1:52">
      <c r="A82" s="2624"/>
      <c r="U82" s="2479" t="s">
        <v>3760</v>
      </c>
      <c r="V82" s="2480"/>
      <c r="W82" s="2480"/>
      <c r="X82" s="2480"/>
      <c r="Y82" s="2480"/>
      <c r="Z82" s="2480"/>
      <c r="AA82" s="2480"/>
      <c r="AB82" s="2480"/>
      <c r="AC82" s="2480"/>
      <c r="AD82" s="2480"/>
      <c r="AE82" s="2480"/>
      <c r="AF82" s="2480"/>
      <c r="AG82" s="2480"/>
      <c r="AH82" s="2480"/>
      <c r="AI82" s="2480"/>
      <c r="AJ82" s="2481"/>
    </row>
    <row r="83" spans="1:52">
      <c r="A83" s="2624"/>
      <c r="U83" s="2482"/>
      <c r="V83" s="2480"/>
      <c r="W83" s="2480"/>
      <c r="X83" s="2480"/>
      <c r="Y83" s="2480"/>
      <c r="Z83" s="2480"/>
      <c r="AA83" s="2480"/>
      <c r="AB83" s="2480"/>
      <c r="AC83" s="2480"/>
      <c r="AD83" s="2480"/>
      <c r="AE83" s="2480"/>
      <c r="AF83" s="2480"/>
      <c r="AG83" s="2480"/>
      <c r="AH83" s="2480"/>
      <c r="AI83" s="2480"/>
      <c r="AJ83" s="2481"/>
    </row>
    <row r="84" spans="1:52">
      <c r="A84" s="2625"/>
      <c r="U84" s="2483"/>
      <c r="V84" s="2484"/>
      <c r="W84" s="2484"/>
      <c r="X84" s="2484"/>
      <c r="Y84" s="2484"/>
      <c r="Z84" s="2484"/>
      <c r="AA84" s="2484"/>
      <c r="AB84" s="2484"/>
      <c r="AC84" s="2484"/>
      <c r="AD84" s="2484"/>
      <c r="AE84" s="2484"/>
      <c r="AF84" s="2484"/>
      <c r="AG84" s="2484"/>
      <c r="AH84" s="2484"/>
      <c r="AI84" s="2484"/>
      <c r="AJ84" s="2485"/>
    </row>
    <row r="86" spans="1:52">
      <c r="B86" s="2334" t="s">
        <v>3761</v>
      </c>
      <c r="C86" s="2335"/>
      <c r="D86" s="2335"/>
      <c r="E86" s="2335"/>
      <c r="F86" s="2335"/>
      <c r="G86" s="2335"/>
      <c r="H86" s="2335"/>
      <c r="I86" s="2335"/>
      <c r="J86" s="2335"/>
      <c r="K86" s="2335"/>
      <c r="L86" s="2335"/>
      <c r="M86" s="2335"/>
      <c r="N86" s="2335"/>
      <c r="O86" s="2335"/>
      <c r="P86" s="2335"/>
      <c r="Q86" s="2335"/>
      <c r="R86" s="2335"/>
      <c r="S86" s="2335"/>
      <c r="T86" s="2335"/>
      <c r="U86" s="2335"/>
      <c r="V86" s="2335"/>
      <c r="W86" s="2335"/>
      <c r="X86" s="2335"/>
      <c r="Y86" s="2335"/>
      <c r="Z86" s="2335"/>
      <c r="AA86" s="2335"/>
      <c r="AB86" s="2335"/>
      <c r="AC86" s="2335"/>
      <c r="AD86" s="2335"/>
      <c r="AE86" s="2335"/>
      <c r="AF86" s="2335"/>
      <c r="AG86" s="2335"/>
      <c r="AH86" s="2335"/>
      <c r="AI86" s="2335"/>
      <c r="AJ86" s="2335"/>
      <c r="AK86" s="2335"/>
      <c r="AL86" s="2335"/>
      <c r="AM86" s="2335"/>
      <c r="AN86" s="2335"/>
      <c r="AO86" s="2335"/>
      <c r="AP86" s="2335"/>
      <c r="AQ86" s="2335"/>
      <c r="AR86" s="2335"/>
      <c r="AS86" s="2335"/>
      <c r="AT86" s="2335"/>
      <c r="AU86" s="2336"/>
    </row>
    <row r="87" spans="1:52">
      <c r="B87" s="2337"/>
      <c r="C87" s="2338"/>
      <c r="D87" s="2338"/>
      <c r="E87" s="2338"/>
      <c r="F87" s="2338"/>
      <c r="G87" s="2338"/>
      <c r="H87" s="2338"/>
      <c r="I87" s="2338"/>
      <c r="J87" s="2338"/>
      <c r="K87" s="2338"/>
      <c r="L87" s="2338"/>
      <c r="M87" s="2338"/>
      <c r="N87" s="2338"/>
      <c r="O87" s="2338"/>
      <c r="P87" s="2338"/>
      <c r="Q87" s="2338"/>
      <c r="R87" s="2338"/>
      <c r="S87" s="2338"/>
      <c r="T87" s="2338"/>
      <c r="U87" s="2338"/>
      <c r="V87" s="2338"/>
      <c r="W87" s="2338"/>
      <c r="X87" s="2338"/>
      <c r="Y87" s="2338"/>
      <c r="Z87" s="2338"/>
      <c r="AA87" s="2338"/>
      <c r="AB87" s="2338"/>
      <c r="AC87" s="2338"/>
      <c r="AD87" s="2338"/>
      <c r="AE87" s="2338"/>
      <c r="AF87" s="2338"/>
      <c r="AG87" s="2338"/>
      <c r="AH87" s="2338"/>
      <c r="AI87" s="2338"/>
      <c r="AJ87" s="2338"/>
      <c r="AK87" s="2338"/>
      <c r="AL87" s="2338"/>
      <c r="AM87" s="2338"/>
      <c r="AN87" s="2338"/>
      <c r="AO87" s="2338"/>
      <c r="AP87" s="2338"/>
      <c r="AQ87" s="2338"/>
      <c r="AR87" s="2338"/>
      <c r="AS87" s="2338"/>
      <c r="AT87" s="2338"/>
      <c r="AU87" s="2339"/>
    </row>
    <row r="88" spans="1:52">
      <c r="B88" s="2340"/>
      <c r="C88" s="2341"/>
      <c r="D88" s="2341"/>
      <c r="E88" s="2341"/>
      <c r="F88" s="2341"/>
      <c r="G88" s="2341"/>
      <c r="H88" s="2341"/>
      <c r="I88" s="2341"/>
      <c r="J88" s="2341"/>
      <c r="K88" s="2341"/>
      <c r="L88" s="2341"/>
      <c r="M88" s="2341"/>
      <c r="N88" s="2341"/>
      <c r="O88" s="2341"/>
      <c r="P88" s="2341"/>
      <c r="Q88" s="2341"/>
      <c r="R88" s="2341"/>
      <c r="S88" s="2341"/>
      <c r="T88" s="2341"/>
      <c r="U88" s="2341"/>
      <c r="V88" s="2341"/>
      <c r="W88" s="2341"/>
      <c r="X88" s="2341"/>
      <c r="Y88" s="2341"/>
      <c r="Z88" s="2341"/>
      <c r="AA88" s="2341"/>
      <c r="AB88" s="2341"/>
      <c r="AC88" s="2341"/>
      <c r="AD88" s="2341"/>
      <c r="AE88" s="2341"/>
      <c r="AF88" s="2341"/>
      <c r="AG88" s="2341"/>
      <c r="AH88" s="2341"/>
      <c r="AI88" s="2341"/>
      <c r="AJ88" s="2341"/>
      <c r="AK88" s="2341"/>
      <c r="AL88" s="2341"/>
      <c r="AM88" s="2341"/>
      <c r="AN88" s="2341"/>
      <c r="AO88" s="2341"/>
      <c r="AP88" s="2341"/>
      <c r="AQ88" s="2341"/>
      <c r="AR88" s="2341"/>
      <c r="AS88" s="2341"/>
      <c r="AT88" s="2341"/>
      <c r="AU88" s="2342"/>
    </row>
    <row r="89" spans="1:52">
      <c r="B89" s="187"/>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c r="AA89" s="187"/>
      <c r="AB89" s="187"/>
      <c r="AC89" s="187"/>
      <c r="AD89" s="187"/>
      <c r="AE89" s="187"/>
      <c r="AF89" s="187"/>
      <c r="AG89" s="187"/>
      <c r="AH89" s="187"/>
      <c r="AI89" s="187"/>
      <c r="AJ89" s="187"/>
      <c r="AK89" s="187"/>
      <c r="AL89" s="187"/>
      <c r="AM89" s="187"/>
      <c r="AN89" s="187"/>
      <c r="AO89" s="187"/>
      <c r="AP89" s="187"/>
      <c r="AQ89" s="187"/>
      <c r="AR89" s="187"/>
      <c r="AS89" s="187"/>
      <c r="AT89" s="187"/>
      <c r="AU89" s="187"/>
    </row>
    <row r="90" spans="1:52" ht="18" customHeight="1">
      <c r="B90" s="2534" t="s">
        <v>3762</v>
      </c>
      <c r="C90" s="2535"/>
      <c r="D90" s="2535"/>
      <c r="E90" s="2535"/>
      <c r="F90" s="2535"/>
      <c r="G90" s="2535"/>
      <c r="H90" s="2535"/>
      <c r="I90" s="2535"/>
      <c r="J90" s="2535"/>
      <c r="K90" s="2535"/>
      <c r="L90" s="2535"/>
      <c r="M90" s="2535"/>
      <c r="N90" s="2535"/>
      <c r="O90" s="2535"/>
      <c r="P90" s="2535"/>
      <c r="Q90" s="2535"/>
      <c r="R90" s="2535"/>
      <c r="S90" s="2535"/>
      <c r="T90" s="2535"/>
      <c r="U90" s="2535"/>
      <c r="V90" s="2535"/>
      <c r="W90" s="2536"/>
      <c r="X90" s="187"/>
      <c r="Y90" s="187"/>
      <c r="Z90" s="2534" t="s">
        <v>3763</v>
      </c>
      <c r="AA90" s="2535"/>
      <c r="AB90" s="2535"/>
      <c r="AC90" s="2535"/>
      <c r="AD90" s="2535"/>
      <c r="AE90" s="2535"/>
      <c r="AF90" s="2535"/>
      <c r="AG90" s="2535"/>
      <c r="AH90" s="2535"/>
      <c r="AI90" s="2535"/>
      <c r="AJ90" s="2535"/>
      <c r="AK90" s="2535"/>
      <c r="AL90" s="2535"/>
      <c r="AM90" s="2535"/>
      <c r="AN90" s="2535"/>
      <c r="AO90" s="2535"/>
      <c r="AP90" s="2535"/>
      <c r="AQ90" s="2535"/>
      <c r="AR90" s="2535"/>
      <c r="AS90" s="2535"/>
      <c r="AT90" s="2535"/>
      <c r="AU90" s="2536"/>
    </row>
    <row r="91" spans="1:52" ht="18" customHeight="1">
      <c r="B91" s="2551"/>
      <c r="C91" s="2552"/>
      <c r="D91" s="2552"/>
      <c r="E91" s="2552"/>
      <c r="F91" s="2552"/>
      <c r="G91" s="2552"/>
      <c r="H91" s="2552"/>
      <c r="I91" s="2552"/>
      <c r="J91" s="2552"/>
      <c r="K91" s="2552"/>
      <c r="L91" s="2552"/>
      <c r="M91" s="2552"/>
      <c r="N91" s="2552"/>
      <c r="O91" s="2552"/>
      <c r="P91" s="2552"/>
      <c r="Q91" s="2552"/>
      <c r="R91" s="2552"/>
      <c r="S91" s="2552"/>
      <c r="T91" s="2552"/>
      <c r="U91" s="2552"/>
      <c r="V91" s="2552"/>
      <c r="W91" s="2553"/>
      <c r="X91" s="187"/>
      <c r="Y91" s="187"/>
      <c r="Z91" s="2551"/>
      <c r="AA91" s="2552"/>
      <c r="AB91" s="2552"/>
      <c r="AC91" s="2552"/>
      <c r="AD91" s="2552"/>
      <c r="AE91" s="2552"/>
      <c r="AF91" s="2552"/>
      <c r="AG91" s="2552"/>
      <c r="AH91" s="2552"/>
      <c r="AI91" s="2552"/>
      <c r="AJ91" s="2552"/>
      <c r="AK91" s="2552"/>
      <c r="AL91" s="2552"/>
      <c r="AM91" s="2552"/>
      <c r="AN91" s="2552"/>
      <c r="AO91" s="2552"/>
      <c r="AP91" s="2552"/>
      <c r="AQ91" s="2552"/>
      <c r="AR91" s="2552"/>
      <c r="AS91" s="2552"/>
      <c r="AT91" s="2552"/>
      <c r="AU91" s="2553"/>
    </row>
    <row r="92" spans="1:52">
      <c r="B92" s="2360" t="s">
        <v>3764</v>
      </c>
      <c r="C92" s="2361"/>
      <c r="D92" s="2361"/>
      <c r="E92" s="2361"/>
      <c r="F92" s="2361"/>
      <c r="G92" s="2361"/>
      <c r="H92" s="2361"/>
      <c r="I92" s="2361"/>
      <c r="J92" s="2361"/>
      <c r="K92" s="2361"/>
      <c r="L92" s="2361"/>
      <c r="M92" s="2471" t="s">
        <v>3765</v>
      </c>
      <c r="N92" s="2467"/>
      <c r="O92" s="2467"/>
      <c r="P92" s="2467"/>
      <c r="Q92" s="2467"/>
      <c r="R92" s="2467"/>
      <c r="S92" s="2467"/>
      <c r="T92" s="2467"/>
      <c r="U92" s="2467"/>
      <c r="V92" s="2467"/>
      <c r="W92" s="2472"/>
      <c r="X92" s="187"/>
      <c r="Y92" s="187"/>
      <c r="Z92" s="2610" t="s">
        <v>3766</v>
      </c>
      <c r="AA92" s="2611"/>
      <c r="AB92" s="2611"/>
      <c r="AC92" s="2611"/>
      <c r="AD92" s="2611"/>
      <c r="AE92" s="2611"/>
      <c r="AF92" s="2611"/>
      <c r="AG92" s="2611"/>
      <c r="AH92" s="2611"/>
      <c r="AI92" s="2611"/>
      <c r="AJ92" s="2611"/>
      <c r="AK92" s="2612"/>
      <c r="AL92" s="2612"/>
      <c r="AM92" s="2611"/>
      <c r="AN92" s="2611"/>
      <c r="AO92" s="2611"/>
      <c r="AP92" s="2613"/>
      <c r="AQ92" s="2611"/>
      <c r="AR92" s="2611"/>
      <c r="AS92" s="2611"/>
      <c r="AT92" s="2613"/>
      <c r="AU92" s="2614"/>
      <c r="AX92" s="463"/>
      <c r="AY92" s="463"/>
      <c r="AZ92" s="463"/>
    </row>
    <row r="93" spans="1:52">
      <c r="B93" s="2363"/>
      <c r="C93" s="2364"/>
      <c r="D93" s="2364"/>
      <c r="E93" s="2364"/>
      <c r="F93" s="2364"/>
      <c r="G93" s="2364"/>
      <c r="H93" s="2364"/>
      <c r="I93" s="2364"/>
      <c r="J93" s="2364"/>
      <c r="K93" s="2364"/>
      <c r="L93" s="2364"/>
      <c r="M93" s="2601"/>
      <c r="N93" s="2602"/>
      <c r="O93" s="2602"/>
      <c r="P93" s="2602"/>
      <c r="Q93" s="2602"/>
      <c r="R93" s="2602"/>
      <c r="S93" s="2602"/>
      <c r="T93" s="2602"/>
      <c r="U93" s="2602"/>
      <c r="V93" s="2602"/>
      <c r="W93" s="2603"/>
      <c r="X93" s="187"/>
      <c r="Y93" s="187"/>
      <c r="Z93" s="2360" t="s">
        <v>3767</v>
      </c>
      <c r="AA93" s="2467"/>
      <c r="AB93" s="2467"/>
      <c r="AC93" s="2467"/>
      <c r="AD93" s="2467"/>
      <c r="AE93" s="2467"/>
      <c r="AF93" s="2467"/>
      <c r="AG93" s="2467"/>
      <c r="AH93" s="2467"/>
      <c r="AI93" s="2467"/>
      <c r="AJ93" s="2467"/>
      <c r="AK93" s="2471" t="s">
        <v>3768</v>
      </c>
      <c r="AL93" s="2467"/>
      <c r="AM93" s="2467"/>
      <c r="AN93" s="2467"/>
      <c r="AO93" s="2467"/>
      <c r="AP93" s="2467"/>
      <c r="AQ93" s="2467"/>
      <c r="AR93" s="2467"/>
      <c r="AS93" s="2467"/>
      <c r="AT93" s="2467"/>
      <c r="AU93" s="2472"/>
      <c r="AX93" s="463"/>
      <c r="AY93" s="463"/>
      <c r="AZ93" s="463"/>
    </row>
    <row r="94" spans="1:52">
      <c r="B94" s="2363"/>
      <c r="C94" s="2364"/>
      <c r="D94" s="2364"/>
      <c r="E94" s="2364"/>
      <c r="F94" s="2364"/>
      <c r="G94" s="2364"/>
      <c r="H94" s="2364"/>
      <c r="I94" s="2364"/>
      <c r="J94" s="2364"/>
      <c r="K94" s="2364"/>
      <c r="L94" s="2364"/>
      <c r="M94" s="2471" t="s">
        <v>3769</v>
      </c>
      <c r="N94" s="2467"/>
      <c r="O94" s="2467"/>
      <c r="P94" s="2467"/>
      <c r="Q94" s="2467"/>
      <c r="R94" s="2467"/>
      <c r="S94" s="2467"/>
      <c r="T94" s="2467"/>
      <c r="U94" s="2467"/>
      <c r="V94" s="2467"/>
      <c r="W94" s="2472"/>
      <c r="X94" s="187"/>
      <c r="Y94" s="187"/>
      <c r="Z94" s="1993"/>
      <c r="AA94" s="1895"/>
      <c r="AB94" s="1895"/>
      <c r="AC94" s="1895"/>
      <c r="AD94" s="1895"/>
      <c r="AE94" s="1895"/>
      <c r="AF94" s="1895"/>
      <c r="AG94" s="1895"/>
      <c r="AH94" s="1895"/>
      <c r="AI94" s="1895"/>
      <c r="AJ94" s="1895"/>
      <c r="AK94" s="2473"/>
      <c r="AL94" s="1895"/>
      <c r="AM94" s="1895"/>
      <c r="AN94" s="1895"/>
      <c r="AO94" s="1895"/>
      <c r="AP94" s="1895"/>
      <c r="AQ94" s="1895"/>
      <c r="AR94" s="1895"/>
      <c r="AS94" s="1895"/>
      <c r="AT94" s="1895"/>
      <c r="AU94" s="2474"/>
      <c r="AX94" s="463"/>
      <c r="AY94" s="463"/>
      <c r="AZ94" s="463"/>
    </row>
    <row r="95" spans="1:52">
      <c r="B95" s="2363"/>
      <c r="C95" s="2364"/>
      <c r="D95" s="2364"/>
      <c r="E95" s="2364"/>
      <c r="F95" s="2364"/>
      <c r="G95" s="2364"/>
      <c r="H95" s="2364"/>
      <c r="I95" s="2364"/>
      <c r="J95" s="2364"/>
      <c r="K95" s="2364"/>
      <c r="L95" s="2364"/>
      <c r="M95" s="2601"/>
      <c r="N95" s="2602"/>
      <c r="O95" s="2602"/>
      <c r="P95" s="2602"/>
      <c r="Q95" s="2602"/>
      <c r="R95" s="2602"/>
      <c r="S95" s="2602"/>
      <c r="T95" s="2602"/>
      <c r="U95" s="2602"/>
      <c r="V95" s="2602"/>
      <c r="W95" s="2603"/>
      <c r="X95" s="187"/>
      <c r="Y95" s="187"/>
      <c r="Z95" s="1993"/>
      <c r="AA95" s="1895"/>
      <c r="AB95" s="1895"/>
      <c r="AC95" s="1895"/>
      <c r="AD95" s="1895"/>
      <c r="AE95" s="1895"/>
      <c r="AF95" s="1895"/>
      <c r="AG95" s="1895"/>
      <c r="AH95" s="1895"/>
      <c r="AI95" s="1895"/>
      <c r="AJ95" s="1895"/>
      <c r="AK95" s="2473"/>
      <c r="AL95" s="1895"/>
      <c r="AM95" s="1895"/>
      <c r="AN95" s="1895"/>
      <c r="AO95" s="1895"/>
      <c r="AP95" s="1895"/>
      <c r="AQ95" s="1895"/>
      <c r="AR95" s="1895"/>
      <c r="AS95" s="1895"/>
      <c r="AT95" s="1895"/>
      <c r="AU95" s="2474"/>
      <c r="AX95" s="463"/>
      <c r="AY95" s="463"/>
      <c r="AZ95" s="463"/>
    </row>
    <row r="96" spans="1:52">
      <c r="B96" s="2363"/>
      <c r="C96" s="2364"/>
      <c r="D96" s="2364"/>
      <c r="E96" s="2364"/>
      <c r="F96" s="2364"/>
      <c r="G96" s="2364"/>
      <c r="H96" s="2364"/>
      <c r="I96" s="2364"/>
      <c r="J96" s="2364"/>
      <c r="K96" s="2364"/>
      <c r="L96" s="2364"/>
      <c r="M96" s="2587" t="s">
        <v>3770</v>
      </c>
      <c r="N96" s="2588"/>
      <c r="O96" s="2588"/>
      <c r="P96" s="2588"/>
      <c r="Q96" s="2588"/>
      <c r="R96" s="2588"/>
      <c r="S96" s="2588"/>
      <c r="T96" s="2588"/>
      <c r="U96" s="2588"/>
      <c r="V96" s="2588"/>
      <c r="W96" s="2589"/>
      <c r="X96" s="187"/>
      <c r="Y96" s="187"/>
      <c r="Z96" s="2468"/>
      <c r="AA96" s="2469"/>
      <c r="AB96" s="2469"/>
      <c r="AC96" s="2469"/>
      <c r="AD96" s="2469"/>
      <c r="AE96" s="2469"/>
      <c r="AF96" s="2469"/>
      <c r="AG96" s="2469"/>
      <c r="AH96" s="2469"/>
      <c r="AI96" s="2469"/>
      <c r="AJ96" s="2470"/>
      <c r="AK96" s="2475"/>
      <c r="AL96" s="1896"/>
      <c r="AM96" s="1896"/>
      <c r="AN96" s="1896"/>
      <c r="AO96" s="1896"/>
      <c r="AP96" s="1896"/>
      <c r="AQ96" s="1896"/>
      <c r="AR96" s="1896"/>
      <c r="AS96" s="1896"/>
      <c r="AT96" s="1896"/>
      <c r="AU96" s="2349"/>
      <c r="AX96" s="463"/>
      <c r="AY96" s="463"/>
      <c r="AZ96" s="463"/>
    </row>
    <row r="97" spans="2:52">
      <c r="B97" s="2363"/>
      <c r="C97" s="2364"/>
      <c r="D97" s="2364"/>
      <c r="E97" s="2364"/>
      <c r="F97" s="2364"/>
      <c r="G97" s="2364"/>
      <c r="H97" s="2364"/>
      <c r="I97" s="2364"/>
      <c r="J97" s="2364"/>
      <c r="K97" s="2364"/>
      <c r="L97" s="2364"/>
      <c r="M97" s="2590"/>
      <c r="N97" s="2591"/>
      <c r="O97" s="2591"/>
      <c r="P97" s="2591"/>
      <c r="Q97" s="2591"/>
      <c r="R97" s="2591"/>
      <c r="S97" s="2591"/>
      <c r="T97" s="2591"/>
      <c r="U97" s="2591"/>
      <c r="V97" s="2591"/>
      <c r="W97" s="2592"/>
      <c r="X97" s="187"/>
      <c r="Y97" s="187"/>
      <c r="Z97" s="492"/>
      <c r="AA97" s="492"/>
      <c r="AB97" s="492"/>
      <c r="AC97" s="492"/>
      <c r="AD97" s="492"/>
      <c r="AE97" s="492"/>
      <c r="AF97" s="492"/>
      <c r="AG97" s="492"/>
      <c r="AH97" s="492"/>
      <c r="AI97" s="492"/>
      <c r="AJ97" s="492"/>
      <c r="AK97" s="492"/>
      <c r="AL97" s="492"/>
      <c r="AM97" s="492"/>
      <c r="AN97" s="492"/>
      <c r="AO97" s="492"/>
      <c r="AP97" s="492"/>
      <c r="AQ97" s="492"/>
      <c r="AR97" s="492"/>
      <c r="AS97" s="492"/>
      <c r="AT97" s="492"/>
      <c r="AU97" s="492"/>
      <c r="AX97" s="463"/>
      <c r="AY97" s="463"/>
      <c r="AZ97" s="463"/>
    </row>
    <row r="98" spans="2:52" ht="27.75">
      <c r="B98" s="2363"/>
      <c r="C98" s="2364"/>
      <c r="D98" s="2364"/>
      <c r="E98" s="2364"/>
      <c r="F98" s="2364"/>
      <c r="G98" s="2364"/>
      <c r="H98" s="2364"/>
      <c r="I98" s="2364"/>
      <c r="J98" s="2364"/>
      <c r="K98" s="2364"/>
      <c r="L98" s="2364"/>
      <c r="M98" s="2471" t="s">
        <v>3771</v>
      </c>
      <c r="N98" s="2467"/>
      <c r="O98" s="2467"/>
      <c r="P98" s="2467"/>
      <c r="Q98" s="2467"/>
      <c r="R98" s="2467"/>
      <c r="S98" s="2467"/>
      <c r="T98" s="2467"/>
      <c r="U98" s="2467"/>
      <c r="V98" s="2467"/>
      <c r="W98" s="2472"/>
      <c r="X98" s="187"/>
      <c r="Y98" s="187"/>
      <c r="Z98" s="2508"/>
      <c r="AA98" s="2508"/>
      <c r="AB98" s="2508"/>
      <c r="AC98" s="2508"/>
      <c r="AD98" s="2508"/>
      <c r="AE98" s="2508"/>
      <c r="AF98" s="2508"/>
      <c r="AG98" s="2508"/>
      <c r="AH98" s="188"/>
      <c r="AI98" s="2508"/>
      <c r="AJ98" s="2508"/>
      <c r="AK98" s="2508"/>
      <c r="AL98" s="2508"/>
      <c r="AM98" s="2508"/>
      <c r="AN98" s="2508"/>
      <c r="AO98" s="2508"/>
      <c r="AP98" s="2508"/>
      <c r="AQ98" s="2508"/>
      <c r="AR98" s="2508"/>
      <c r="AS98" s="2508"/>
      <c r="AT98" s="2508"/>
      <c r="AU98" s="2508"/>
      <c r="AV98" s="487"/>
      <c r="AW98" s="487"/>
      <c r="AX98" s="463"/>
      <c r="AY98" s="463"/>
      <c r="AZ98" s="463"/>
    </row>
    <row r="99" spans="2:52" ht="16.149999999999999" customHeight="1">
      <c r="B99" s="2363"/>
      <c r="C99" s="2364"/>
      <c r="D99" s="2364"/>
      <c r="E99" s="2364"/>
      <c r="F99" s="2364"/>
      <c r="G99" s="2364"/>
      <c r="H99" s="2364"/>
      <c r="I99" s="2364"/>
      <c r="J99" s="2364"/>
      <c r="K99" s="2364"/>
      <c r="L99" s="2364"/>
      <c r="M99" s="2601"/>
      <c r="N99" s="2602"/>
      <c r="O99" s="2602"/>
      <c r="P99" s="2602"/>
      <c r="Q99" s="2602"/>
      <c r="R99" s="2602"/>
      <c r="S99" s="2602"/>
      <c r="T99" s="2602"/>
      <c r="U99" s="2602"/>
      <c r="V99" s="2602"/>
      <c r="W99" s="2603"/>
      <c r="X99" s="187"/>
      <c r="Y99" s="187"/>
      <c r="Z99" s="2508"/>
      <c r="AA99" s="2508"/>
      <c r="AB99" s="2508"/>
      <c r="AC99" s="2508"/>
      <c r="AD99" s="2508"/>
      <c r="AE99" s="2508"/>
      <c r="AF99" s="2508"/>
      <c r="AG99" s="2508"/>
      <c r="AH99" s="188"/>
      <c r="AI99" s="2508"/>
      <c r="AJ99" s="2508"/>
      <c r="AK99" s="2508"/>
      <c r="AL99" s="2508"/>
      <c r="AM99" s="2508"/>
      <c r="AN99" s="2508"/>
      <c r="AO99" s="2508"/>
      <c r="AP99" s="2508"/>
      <c r="AQ99" s="2508"/>
      <c r="AR99" s="2508"/>
      <c r="AS99" s="2508"/>
      <c r="AT99" s="2508"/>
      <c r="AU99" s="2508"/>
      <c r="AV99" s="487"/>
      <c r="AW99" s="487"/>
      <c r="AX99" s="493"/>
      <c r="AY99" s="493"/>
      <c r="AZ99" s="493"/>
    </row>
    <row r="100" spans="2:52" ht="16.899999999999999" customHeight="1">
      <c r="B100" s="2363"/>
      <c r="C100" s="2364"/>
      <c r="D100" s="2364"/>
      <c r="E100" s="2364"/>
      <c r="F100" s="2364"/>
      <c r="G100" s="2364"/>
      <c r="H100" s="2364"/>
      <c r="I100" s="2364"/>
      <c r="J100" s="2364"/>
      <c r="K100" s="2364"/>
      <c r="L100" s="2364"/>
      <c r="M100" s="2540" t="s">
        <v>3772</v>
      </c>
      <c r="N100" s="2467"/>
      <c r="O100" s="2467"/>
      <c r="P100" s="2467"/>
      <c r="Q100" s="2467"/>
      <c r="R100" s="2467"/>
      <c r="S100" s="2467"/>
      <c r="T100" s="2467"/>
      <c r="U100" s="2467"/>
      <c r="V100" s="2467"/>
      <c r="W100" s="2472"/>
      <c r="X100" s="492"/>
      <c r="Y100" s="492"/>
      <c r="Z100" s="189"/>
      <c r="AA100" s="189"/>
      <c r="AB100" s="189"/>
      <c r="AC100" s="189"/>
      <c r="AD100" s="189"/>
      <c r="AE100" s="189"/>
      <c r="AF100" s="189"/>
      <c r="AG100" s="189"/>
      <c r="AH100" s="189"/>
      <c r="AI100" s="189"/>
      <c r="AJ100" s="189"/>
      <c r="AK100" s="189"/>
      <c r="AL100" s="189"/>
      <c r="AM100" s="189"/>
      <c r="AN100" s="189"/>
      <c r="AO100" s="189"/>
      <c r="AP100" s="189"/>
      <c r="AQ100" s="189"/>
      <c r="AR100" s="189"/>
      <c r="AS100" s="189"/>
      <c r="AT100" s="189"/>
      <c r="AU100" s="189"/>
      <c r="AV100" s="446"/>
      <c r="AW100" s="446"/>
      <c r="AX100" s="493"/>
      <c r="AY100" s="493"/>
      <c r="AZ100" s="493"/>
    </row>
    <row r="101" spans="2:52">
      <c r="B101" s="2366"/>
      <c r="C101" s="2367"/>
      <c r="D101" s="2367"/>
      <c r="E101" s="2367"/>
      <c r="F101" s="2367"/>
      <c r="G101" s="2367"/>
      <c r="H101" s="2367"/>
      <c r="I101" s="2367"/>
      <c r="J101" s="2367"/>
      <c r="K101" s="2367"/>
      <c r="L101" s="2367"/>
      <c r="M101" s="2475"/>
      <c r="N101" s="1896"/>
      <c r="O101" s="1896"/>
      <c r="P101" s="1896"/>
      <c r="Q101" s="1896"/>
      <c r="R101" s="1896"/>
      <c r="S101" s="1896"/>
      <c r="T101" s="1896"/>
      <c r="U101" s="1896"/>
      <c r="V101" s="1896"/>
      <c r="W101" s="2349"/>
      <c r="X101" s="492"/>
      <c r="Y101" s="492"/>
      <c r="Z101" s="189"/>
      <c r="AA101" s="189"/>
      <c r="AB101" s="189"/>
      <c r="AC101" s="189"/>
      <c r="AD101" s="189"/>
      <c r="AE101" s="189"/>
      <c r="AF101" s="189"/>
      <c r="AG101" s="189"/>
      <c r="AH101" s="189"/>
      <c r="AI101" s="189"/>
      <c r="AJ101" s="189"/>
      <c r="AK101" s="189"/>
      <c r="AL101" s="189"/>
      <c r="AM101" s="189"/>
      <c r="AN101" s="189"/>
      <c r="AO101" s="189"/>
      <c r="AP101" s="189"/>
      <c r="AQ101" s="189"/>
      <c r="AR101" s="189"/>
      <c r="AS101" s="189"/>
      <c r="AT101" s="189"/>
      <c r="AU101" s="189"/>
      <c r="AV101" s="446"/>
      <c r="AW101" s="446"/>
      <c r="AX101" s="2"/>
      <c r="AY101" s="2"/>
      <c r="AZ101" s="2"/>
    </row>
    <row r="102" spans="2:52">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492"/>
      <c r="Y102" s="492"/>
      <c r="Z102" s="189"/>
      <c r="AA102" s="189"/>
      <c r="AB102" s="189"/>
      <c r="AC102" s="189"/>
      <c r="AD102" s="189"/>
      <c r="AE102" s="189"/>
      <c r="AF102" s="189"/>
      <c r="AG102" s="189"/>
      <c r="AH102" s="189"/>
      <c r="AI102" s="189"/>
      <c r="AJ102" s="189"/>
      <c r="AK102" s="189"/>
      <c r="AL102" s="189"/>
      <c r="AM102" s="189"/>
      <c r="AN102" s="189"/>
      <c r="AO102" s="189"/>
      <c r="AP102" s="189"/>
      <c r="AQ102" s="189"/>
      <c r="AR102" s="189"/>
      <c r="AS102" s="189"/>
      <c r="AT102" s="189"/>
      <c r="AU102" s="189"/>
      <c r="AV102" s="446"/>
      <c r="AW102" s="446"/>
      <c r="AX102" s="2"/>
      <c r="AY102" s="2"/>
      <c r="AZ102" s="2"/>
    </row>
    <row r="103" spans="2:52">
      <c r="B103" s="2334" t="s">
        <v>3773</v>
      </c>
      <c r="C103" s="2335"/>
      <c r="D103" s="2335"/>
      <c r="E103" s="2335"/>
      <c r="F103" s="2335"/>
      <c r="G103" s="2335"/>
      <c r="H103" s="2335"/>
      <c r="I103" s="2335"/>
      <c r="J103" s="2335"/>
      <c r="K103" s="2335"/>
      <c r="L103" s="2335"/>
      <c r="M103" s="2335"/>
      <c r="N103" s="2335"/>
      <c r="O103" s="2335"/>
      <c r="P103" s="2335"/>
      <c r="Q103" s="2335"/>
      <c r="R103" s="2335"/>
      <c r="S103" s="2335"/>
      <c r="T103" s="2335"/>
      <c r="U103" s="2335"/>
      <c r="V103" s="2335"/>
      <c r="W103" s="2335"/>
      <c r="X103" s="2335"/>
      <c r="Y103" s="2335"/>
      <c r="Z103" s="2335"/>
      <c r="AA103" s="2335"/>
      <c r="AB103" s="2335"/>
      <c r="AC103" s="2335"/>
      <c r="AD103" s="2335"/>
      <c r="AE103" s="2335"/>
      <c r="AF103" s="2335"/>
      <c r="AG103" s="2335"/>
      <c r="AH103" s="2335"/>
      <c r="AI103" s="2335"/>
      <c r="AJ103" s="2335"/>
      <c r="AK103" s="2335"/>
      <c r="AL103" s="2335"/>
      <c r="AM103" s="2335"/>
      <c r="AN103" s="2335"/>
      <c r="AO103" s="2335"/>
      <c r="AP103" s="2335"/>
      <c r="AQ103" s="2335"/>
      <c r="AR103" s="2335"/>
      <c r="AS103" s="2335"/>
      <c r="AT103" s="2335"/>
      <c r="AU103" s="2336"/>
      <c r="AV103" s="192"/>
      <c r="AW103" s="446"/>
      <c r="AX103" s="463"/>
      <c r="AY103" s="463"/>
      <c r="AZ103" s="463"/>
    </row>
    <row r="104" spans="2:52">
      <c r="B104" s="2337"/>
      <c r="C104" s="2338"/>
      <c r="D104" s="2338"/>
      <c r="E104" s="2338"/>
      <c r="F104" s="2338"/>
      <c r="G104" s="2338"/>
      <c r="H104" s="2338"/>
      <c r="I104" s="2338"/>
      <c r="J104" s="2338"/>
      <c r="K104" s="2338"/>
      <c r="L104" s="2338"/>
      <c r="M104" s="2338"/>
      <c r="N104" s="2338"/>
      <c r="O104" s="2338"/>
      <c r="P104" s="2338"/>
      <c r="Q104" s="2338"/>
      <c r="R104" s="2338"/>
      <c r="S104" s="2338"/>
      <c r="T104" s="2338"/>
      <c r="U104" s="2338"/>
      <c r="V104" s="2338"/>
      <c r="W104" s="2338"/>
      <c r="X104" s="2338"/>
      <c r="Y104" s="2338"/>
      <c r="Z104" s="2338"/>
      <c r="AA104" s="2338"/>
      <c r="AB104" s="2338"/>
      <c r="AC104" s="2338"/>
      <c r="AD104" s="2338"/>
      <c r="AE104" s="2338"/>
      <c r="AF104" s="2338"/>
      <c r="AG104" s="2338"/>
      <c r="AH104" s="2338"/>
      <c r="AI104" s="2338"/>
      <c r="AJ104" s="2338"/>
      <c r="AK104" s="2338"/>
      <c r="AL104" s="2338"/>
      <c r="AM104" s="2338"/>
      <c r="AN104" s="2338"/>
      <c r="AO104" s="2338"/>
      <c r="AP104" s="2338"/>
      <c r="AQ104" s="2338"/>
      <c r="AR104" s="2338"/>
      <c r="AS104" s="2338"/>
      <c r="AT104" s="2338"/>
      <c r="AU104" s="2339"/>
      <c r="AV104" s="192"/>
      <c r="AW104" s="446"/>
      <c r="AX104" s="463"/>
      <c r="AY104" s="463"/>
      <c r="AZ104" s="463"/>
    </row>
    <row r="105" spans="2:52">
      <c r="B105" s="2340"/>
      <c r="C105" s="2341"/>
      <c r="D105" s="2341"/>
      <c r="E105" s="2341"/>
      <c r="F105" s="2341"/>
      <c r="G105" s="2341"/>
      <c r="H105" s="2341"/>
      <c r="I105" s="2341"/>
      <c r="J105" s="2341"/>
      <c r="K105" s="2341"/>
      <c r="L105" s="2341"/>
      <c r="M105" s="2341"/>
      <c r="N105" s="2341"/>
      <c r="O105" s="2341"/>
      <c r="P105" s="2341"/>
      <c r="Q105" s="2341"/>
      <c r="R105" s="2341"/>
      <c r="S105" s="2341"/>
      <c r="T105" s="2341"/>
      <c r="U105" s="2341"/>
      <c r="V105" s="2341"/>
      <c r="W105" s="2341"/>
      <c r="X105" s="2341"/>
      <c r="Y105" s="2341"/>
      <c r="Z105" s="2341"/>
      <c r="AA105" s="2341"/>
      <c r="AB105" s="2341"/>
      <c r="AC105" s="2341"/>
      <c r="AD105" s="2341"/>
      <c r="AE105" s="2341"/>
      <c r="AF105" s="2341"/>
      <c r="AG105" s="2341"/>
      <c r="AH105" s="2341"/>
      <c r="AI105" s="2341"/>
      <c r="AJ105" s="2341"/>
      <c r="AK105" s="2341"/>
      <c r="AL105" s="2341"/>
      <c r="AM105" s="2341"/>
      <c r="AN105" s="2341"/>
      <c r="AO105" s="2341"/>
      <c r="AP105" s="2341"/>
      <c r="AQ105" s="2341"/>
      <c r="AR105" s="2341"/>
      <c r="AS105" s="2341"/>
      <c r="AT105" s="2341"/>
      <c r="AU105" s="2342"/>
      <c r="AV105" s="192"/>
      <c r="AW105" s="446"/>
      <c r="AX105" s="463"/>
      <c r="AY105" s="463"/>
      <c r="AZ105" s="463"/>
    </row>
    <row r="106" spans="2:52">
      <c r="B106" s="16"/>
      <c r="C106" s="16"/>
      <c r="D106" s="16"/>
      <c r="E106" s="16"/>
      <c r="F106" s="16"/>
      <c r="G106" s="16"/>
      <c r="H106" s="16"/>
      <c r="I106" s="16"/>
      <c r="J106" s="16"/>
      <c r="K106" s="16"/>
      <c r="L106" s="16"/>
      <c r="M106" s="16"/>
      <c r="N106" s="16"/>
      <c r="O106" s="16"/>
      <c r="P106" s="16"/>
      <c r="Q106" s="16"/>
      <c r="R106" s="16"/>
      <c r="S106" s="16"/>
      <c r="T106" s="189"/>
      <c r="U106" s="189"/>
      <c r="V106" s="189"/>
      <c r="W106" s="189"/>
      <c r="X106" s="463"/>
      <c r="Y106" s="492"/>
      <c r="Z106" s="189"/>
      <c r="AA106" s="189"/>
      <c r="AB106" s="189"/>
      <c r="AC106" s="189"/>
      <c r="AD106" s="189"/>
      <c r="AE106" s="189"/>
      <c r="AF106" s="189"/>
      <c r="AG106" s="189"/>
      <c r="AH106" s="189"/>
      <c r="AI106" s="189"/>
      <c r="AJ106" s="189"/>
      <c r="AK106" s="189"/>
      <c r="AL106" s="189"/>
      <c r="AM106" s="189"/>
      <c r="AN106" s="189"/>
      <c r="AO106" s="189"/>
      <c r="AP106" s="189"/>
      <c r="AQ106" s="189"/>
      <c r="AR106" s="189"/>
      <c r="AS106" s="189"/>
      <c r="AT106" s="189"/>
      <c r="AU106" s="189"/>
      <c r="AV106" s="192"/>
      <c r="AW106" s="446"/>
      <c r="AX106" s="463"/>
      <c r="AY106" s="463"/>
      <c r="AZ106" s="463"/>
    </row>
    <row r="107" spans="2:52" ht="18" customHeight="1">
      <c r="B107" s="2534" t="s">
        <v>3774</v>
      </c>
      <c r="C107" s="2535"/>
      <c r="D107" s="2535"/>
      <c r="E107" s="2535"/>
      <c r="F107" s="2535"/>
      <c r="G107" s="2535"/>
      <c r="H107" s="2535"/>
      <c r="I107" s="2535"/>
      <c r="J107" s="2535"/>
      <c r="K107" s="2535"/>
      <c r="L107" s="2535"/>
      <c r="M107" s="2535"/>
      <c r="N107" s="2535"/>
      <c r="O107" s="2535"/>
      <c r="P107" s="2536"/>
      <c r="R107" s="2534" t="s">
        <v>3775</v>
      </c>
      <c r="S107" s="2535"/>
      <c r="T107" s="2535"/>
      <c r="U107" s="2535"/>
      <c r="V107" s="2535"/>
      <c r="W107" s="2535"/>
      <c r="X107" s="2535"/>
      <c r="Y107" s="2535"/>
      <c r="Z107" s="2535"/>
      <c r="AA107" s="2536"/>
      <c r="AB107" s="493"/>
      <c r="AC107" s="2534" t="s">
        <v>3776</v>
      </c>
      <c r="AD107" s="2535"/>
      <c r="AE107" s="2535"/>
      <c r="AF107" s="2535"/>
      <c r="AG107" s="2535"/>
      <c r="AH107" s="2535"/>
      <c r="AI107" s="2535"/>
      <c r="AJ107" s="2535"/>
      <c r="AK107" s="2535"/>
      <c r="AL107" s="2535"/>
      <c r="AM107" s="2536"/>
      <c r="AO107" s="2534" t="s">
        <v>3777</v>
      </c>
      <c r="AP107" s="2535"/>
      <c r="AQ107" s="2535"/>
      <c r="AR107" s="2535"/>
      <c r="AS107" s="2535"/>
      <c r="AT107" s="2535"/>
      <c r="AU107" s="2536"/>
      <c r="AV107" s="493"/>
      <c r="AW107" s="493"/>
      <c r="AX107" s="494"/>
      <c r="AY107" s="494"/>
      <c r="AZ107" s="494"/>
    </row>
    <row r="108" spans="2:52" ht="18" customHeight="1">
      <c r="B108" s="2551"/>
      <c r="C108" s="2552"/>
      <c r="D108" s="2552"/>
      <c r="E108" s="2552"/>
      <c r="F108" s="2552"/>
      <c r="G108" s="2552"/>
      <c r="H108" s="2552"/>
      <c r="I108" s="2552"/>
      <c r="J108" s="2552"/>
      <c r="K108" s="2552"/>
      <c r="L108" s="2552"/>
      <c r="M108" s="2552"/>
      <c r="N108" s="2552"/>
      <c r="O108" s="2552"/>
      <c r="P108" s="2553"/>
      <c r="R108" s="2537"/>
      <c r="S108" s="2538"/>
      <c r="T108" s="2538"/>
      <c r="U108" s="2538"/>
      <c r="V108" s="2538"/>
      <c r="W108" s="2538"/>
      <c r="X108" s="2538"/>
      <c r="Y108" s="2538"/>
      <c r="Z108" s="2538"/>
      <c r="AA108" s="2539"/>
      <c r="AB108" s="493"/>
      <c r="AC108" s="2537"/>
      <c r="AD108" s="2538"/>
      <c r="AE108" s="2538"/>
      <c r="AF108" s="2538"/>
      <c r="AG108" s="2538"/>
      <c r="AH108" s="2538"/>
      <c r="AI108" s="2538"/>
      <c r="AJ108" s="2538"/>
      <c r="AK108" s="2538"/>
      <c r="AL108" s="2538"/>
      <c r="AM108" s="2539"/>
      <c r="AO108" s="2551"/>
      <c r="AP108" s="2552"/>
      <c r="AQ108" s="2552"/>
      <c r="AR108" s="2552"/>
      <c r="AS108" s="2552"/>
      <c r="AT108" s="2552"/>
      <c r="AU108" s="2553"/>
      <c r="AV108" s="493"/>
      <c r="AW108" s="493"/>
      <c r="AX108" s="494"/>
      <c r="AY108" s="494"/>
      <c r="AZ108" s="494"/>
    </row>
    <row r="109" spans="2:52" ht="18" customHeight="1">
      <c r="B109" s="2547" t="s">
        <v>3778</v>
      </c>
      <c r="C109" s="2548"/>
      <c r="D109" s="2548"/>
      <c r="E109" s="2548"/>
      <c r="F109" s="2548"/>
      <c r="G109" s="2548"/>
      <c r="H109" s="2548"/>
      <c r="I109" s="2548"/>
      <c r="J109" s="2548"/>
      <c r="K109" s="2548"/>
      <c r="L109" s="2548"/>
      <c r="M109" s="2548"/>
      <c r="N109" s="2554" t="s">
        <v>3779</v>
      </c>
      <c r="O109" s="2531"/>
      <c r="P109" s="2555"/>
      <c r="R109" s="2530" t="s">
        <v>3780</v>
      </c>
      <c r="S109" s="2531"/>
      <c r="T109" s="2531"/>
      <c r="U109" s="2531"/>
      <c r="V109" s="2531"/>
      <c r="W109" s="2531"/>
      <c r="X109" s="2615" t="s">
        <v>3781</v>
      </c>
      <c r="Y109" s="2616"/>
      <c r="Z109" s="2616"/>
      <c r="AA109" s="2617"/>
      <c r="AC109" s="2530" t="s">
        <v>3782</v>
      </c>
      <c r="AD109" s="2554"/>
      <c r="AE109" s="2531"/>
      <c r="AF109" s="2531"/>
      <c r="AG109" s="2531"/>
      <c r="AH109" s="2531"/>
      <c r="AI109" s="2562"/>
      <c r="AJ109" s="2616" t="s">
        <v>3781</v>
      </c>
      <c r="AK109" s="2616"/>
      <c r="AL109" s="2616"/>
      <c r="AM109" s="2617"/>
      <c r="AO109" s="2530" t="s">
        <v>3783</v>
      </c>
      <c r="AP109" s="2531"/>
      <c r="AQ109" s="2531"/>
      <c r="AR109" s="2531"/>
      <c r="AS109" s="2531"/>
      <c r="AT109" s="2531"/>
      <c r="AU109" s="2555"/>
      <c r="AV109" s="2"/>
      <c r="AW109" s="2"/>
      <c r="AX109" s="494"/>
      <c r="AY109" s="494"/>
      <c r="AZ109" s="494"/>
    </row>
    <row r="110" spans="2:52" ht="18" customHeight="1">
      <c r="B110" s="2547"/>
      <c r="C110" s="2548"/>
      <c r="D110" s="2548"/>
      <c r="E110" s="2548"/>
      <c r="F110" s="2548"/>
      <c r="G110" s="2548"/>
      <c r="H110" s="2548"/>
      <c r="I110" s="2548"/>
      <c r="J110" s="2548"/>
      <c r="K110" s="2548"/>
      <c r="L110" s="2548"/>
      <c r="M110" s="2548"/>
      <c r="N110" s="2554"/>
      <c r="O110" s="2531"/>
      <c r="P110" s="2555"/>
      <c r="R110" s="2530"/>
      <c r="S110" s="2531"/>
      <c r="T110" s="2531"/>
      <c r="U110" s="2531"/>
      <c r="V110" s="2531"/>
      <c r="W110" s="2531"/>
      <c r="X110" s="2521" t="s">
        <v>3784</v>
      </c>
      <c r="Y110" s="2522"/>
      <c r="Z110" s="2522"/>
      <c r="AA110" s="2523"/>
      <c r="AC110" s="2530"/>
      <c r="AD110" s="2554"/>
      <c r="AE110" s="2531"/>
      <c r="AF110" s="2531"/>
      <c r="AG110" s="2531"/>
      <c r="AH110" s="2531"/>
      <c r="AI110" s="2562"/>
      <c r="AJ110" s="2531" t="s">
        <v>3785</v>
      </c>
      <c r="AK110" s="2531"/>
      <c r="AL110" s="2531"/>
      <c r="AM110" s="2555"/>
      <c r="AO110" s="2530"/>
      <c r="AP110" s="2531"/>
      <c r="AQ110" s="2531"/>
      <c r="AR110" s="2531"/>
      <c r="AS110" s="2531"/>
      <c r="AT110" s="2531"/>
      <c r="AU110" s="2555"/>
      <c r="AV110" s="2"/>
      <c r="AW110" s="2"/>
      <c r="AX110" s="494"/>
      <c r="AY110" s="494"/>
      <c r="AZ110" s="494"/>
    </row>
    <row r="111" spans="2:52" ht="18" customHeight="1">
      <c r="B111" s="2547"/>
      <c r="C111" s="2548"/>
      <c r="D111" s="2548"/>
      <c r="E111" s="2548"/>
      <c r="F111" s="2548"/>
      <c r="G111" s="2548"/>
      <c r="H111" s="2548"/>
      <c r="I111" s="2548"/>
      <c r="J111" s="2548"/>
      <c r="K111" s="2548"/>
      <c r="L111" s="2548"/>
      <c r="M111" s="2548"/>
      <c r="N111" s="2554"/>
      <c r="O111" s="2531"/>
      <c r="P111" s="2555"/>
      <c r="R111" s="2530"/>
      <c r="S111" s="2531"/>
      <c r="T111" s="2531"/>
      <c r="U111" s="2531"/>
      <c r="V111" s="2531"/>
      <c r="W111" s="2531"/>
      <c r="X111" s="2521"/>
      <c r="Y111" s="2522"/>
      <c r="Z111" s="2522"/>
      <c r="AA111" s="2523"/>
      <c r="AC111" s="2530"/>
      <c r="AD111" s="2554"/>
      <c r="AE111" s="2531"/>
      <c r="AF111" s="2531"/>
      <c r="AG111" s="2531"/>
      <c r="AH111" s="2531"/>
      <c r="AI111" s="2562"/>
      <c r="AJ111" s="2533"/>
      <c r="AK111" s="2533"/>
      <c r="AL111" s="2533"/>
      <c r="AM111" s="2561"/>
      <c r="AO111" s="2530"/>
      <c r="AP111" s="2531"/>
      <c r="AQ111" s="2531"/>
      <c r="AR111" s="2531"/>
      <c r="AS111" s="2531"/>
      <c r="AT111" s="2531"/>
      <c r="AU111" s="2555"/>
      <c r="AV111" s="463"/>
      <c r="AW111" s="463"/>
      <c r="AX111" s="494"/>
      <c r="AY111" s="494"/>
      <c r="AZ111" s="494"/>
    </row>
    <row r="112" spans="2:52" ht="18" customHeight="1">
      <c r="B112" s="2547"/>
      <c r="C112" s="2548"/>
      <c r="D112" s="2548"/>
      <c r="E112" s="2548"/>
      <c r="F112" s="2548"/>
      <c r="G112" s="2548"/>
      <c r="H112" s="2548"/>
      <c r="I112" s="2548"/>
      <c r="J112" s="2548"/>
      <c r="K112" s="2548"/>
      <c r="L112" s="2548"/>
      <c r="M112" s="2548"/>
      <c r="N112" s="2554"/>
      <c r="O112" s="2531"/>
      <c r="P112" s="2555"/>
      <c r="R112" s="2530"/>
      <c r="S112" s="2531"/>
      <c r="T112" s="2531"/>
      <c r="U112" s="2531"/>
      <c r="V112" s="2531"/>
      <c r="W112" s="2531"/>
      <c r="X112" s="2618" t="s">
        <v>3786</v>
      </c>
      <c r="Y112" s="2619"/>
      <c r="Z112" s="2619"/>
      <c r="AA112" s="2620"/>
      <c r="AC112" s="2530"/>
      <c r="AD112" s="2554"/>
      <c r="AE112" s="2531"/>
      <c r="AF112" s="2531"/>
      <c r="AG112" s="2531"/>
      <c r="AH112" s="2531"/>
      <c r="AI112" s="2562"/>
      <c r="AJ112" s="2616" t="s">
        <v>3786</v>
      </c>
      <c r="AK112" s="2616"/>
      <c r="AL112" s="2616"/>
      <c r="AM112" s="2617"/>
      <c r="AO112" s="2541" t="s">
        <v>3787</v>
      </c>
      <c r="AP112" s="2542"/>
      <c r="AQ112" s="2542"/>
      <c r="AR112" s="2542"/>
      <c r="AS112" s="2542"/>
      <c r="AT112" s="2542"/>
      <c r="AU112" s="2543"/>
      <c r="AV112" s="463"/>
      <c r="AW112" s="463"/>
      <c r="AX112" s="494"/>
      <c r="AY112" s="494"/>
      <c r="AZ112" s="494"/>
    </row>
    <row r="113" spans="1:52" ht="18" customHeight="1">
      <c r="B113" s="2547"/>
      <c r="C113" s="2548"/>
      <c r="D113" s="2548"/>
      <c r="E113" s="2548"/>
      <c r="F113" s="2548"/>
      <c r="G113" s="2548"/>
      <c r="H113" s="2548"/>
      <c r="I113" s="2548"/>
      <c r="J113" s="2548"/>
      <c r="K113" s="2548"/>
      <c r="L113" s="2548"/>
      <c r="M113" s="2548"/>
      <c r="N113" s="2554"/>
      <c r="O113" s="2531"/>
      <c r="P113" s="2555"/>
      <c r="R113" s="2530"/>
      <c r="S113" s="2531"/>
      <c r="T113" s="2531"/>
      <c r="U113" s="2531"/>
      <c r="V113" s="2531"/>
      <c r="W113" s="2531"/>
      <c r="X113" s="2521" t="s">
        <v>3788</v>
      </c>
      <c r="Y113" s="2522"/>
      <c r="Z113" s="2522"/>
      <c r="AA113" s="2523"/>
      <c r="AC113" s="2530"/>
      <c r="AD113" s="2554"/>
      <c r="AE113" s="2531"/>
      <c r="AF113" s="2531"/>
      <c r="AG113" s="2531"/>
      <c r="AH113" s="2531"/>
      <c r="AI113" s="2562"/>
      <c r="AJ113" s="2522" t="s">
        <v>3789</v>
      </c>
      <c r="AK113" s="2522"/>
      <c r="AL113" s="2522"/>
      <c r="AM113" s="2523"/>
      <c r="AO113" s="2541"/>
      <c r="AP113" s="2542"/>
      <c r="AQ113" s="2542"/>
      <c r="AR113" s="2542"/>
      <c r="AS113" s="2542"/>
      <c r="AT113" s="2542"/>
      <c r="AU113" s="2543"/>
      <c r="AV113" s="463"/>
      <c r="AW113" s="463"/>
      <c r="AX113" s="494"/>
      <c r="AY113" s="494"/>
      <c r="AZ113" s="494"/>
    </row>
    <row r="114" spans="1:52" ht="18" customHeight="1">
      <c r="B114" s="2547"/>
      <c r="C114" s="2548"/>
      <c r="D114" s="2548"/>
      <c r="E114" s="2548"/>
      <c r="F114" s="2548"/>
      <c r="G114" s="2548"/>
      <c r="H114" s="2548"/>
      <c r="I114" s="2548"/>
      <c r="J114" s="2548"/>
      <c r="K114" s="2548"/>
      <c r="L114" s="2548"/>
      <c r="M114" s="2548"/>
      <c r="N114" s="2554"/>
      <c r="O114" s="2531"/>
      <c r="P114" s="2555"/>
      <c r="R114" s="2532"/>
      <c r="S114" s="2533"/>
      <c r="T114" s="2533"/>
      <c r="U114" s="2533"/>
      <c r="V114" s="2533"/>
      <c r="W114" s="2533"/>
      <c r="X114" s="2524"/>
      <c r="Y114" s="2525"/>
      <c r="Z114" s="2526"/>
      <c r="AA114" s="2527"/>
      <c r="AC114" s="2532"/>
      <c r="AD114" s="2563"/>
      <c r="AE114" s="2533"/>
      <c r="AF114" s="2533"/>
      <c r="AG114" s="2533"/>
      <c r="AH114" s="2533"/>
      <c r="AI114" s="2564"/>
      <c r="AJ114" s="2528"/>
      <c r="AK114" s="2528"/>
      <c r="AL114" s="2528"/>
      <c r="AM114" s="2529"/>
      <c r="AO114" s="2541"/>
      <c r="AP114" s="2542"/>
      <c r="AQ114" s="2542"/>
      <c r="AR114" s="2542"/>
      <c r="AS114" s="2542"/>
      <c r="AT114" s="2542"/>
      <c r="AU114" s="2543"/>
      <c r="AV114" s="463"/>
      <c r="AW114" s="463"/>
    </row>
    <row r="115" spans="1:52" ht="18" customHeight="1">
      <c r="A115" s="489"/>
      <c r="B115" s="2549"/>
      <c r="C115" s="2550"/>
      <c r="D115" s="2550"/>
      <c r="E115" s="2550"/>
      <c r="F115" s="2550"/>
      <c r="G115" s="2550"/>
      <c r="H115" s="2550"/>
      <c r="I115" s="2550"/>
      <c r="J115" s="2550"/>
      <c r="K115" s="2550"/>
      <c r="L115" s="2550"/>
      <c r="M115" s="2550"/>
      <c r="N115" s="2554"/>
      <c r="O115" s="2531"/>
      <c r="P115" s="2555"/>
      <c r="R115" s="2541" t="s">
        <v>3790</v>
      </c>
      <c r="S115" s="2542"/>
      <c r="T115" s="2542"/>
      <c r="U115" s="2542"/>
      <c r="V115" s="2542"/>
      <c r="W115" s="2542"/>
      <c r="X115" s="2542"/>
      <c r="Y115" s="2542"/>
      <c r="Z115" s="2542"/>
      <c r="AA115" s="2543"/>
      <c r="AB115" s="494"/>
      <c r="AC115" s="2541" t="s">
        <v>3791</v>
      </c>
      <c r="AD115" s="2542"/>
      <c r="AE115" s="2542"/>
      <c r="AF115" s="2542"/>
      <c r="AG115" s="2542"/>
      <c r="AH115" s="2542"/>
      <c r="AI115" s="2542"/>
      <c r="AJ115" s="2542"/>
      <c r="AK115" s="2542"/>
      <c r="AL115" s="2542"/>
      <c r="AM115" s="2543"/>
      <c r="AO115" s="2541"/>
      <c r="AP115" s="2542"/>
      <c r="AQ115" s="2542"/>
      <c r="AR115" s="2542"/>
      <c r="AS115" s="2542"/>
      <c r="AT115" s="2542"/>
      <c r="AU115" s="2543"/>
      <c r="AV115" s="494"/>
      <c r="AW115" s="494"/>
    </row>
    <row r="116" spans="1:52" ht="18" customHeight="1">
      <c r="B116" s="2547" t="s">
        <v>3792</v>
      </c>
      <c r="C116" s="2548"/>
      <c r="D116" s="2548"/>
      <c r="E116" s="2548"/>
      <c r="F116" s="2548"/>
      <c r="G116" s="2548"/>
      <c r="H116" s="2548"/>
      <c r="I116" s="2548"/>
      <c r="J116" s="2548"/>
      <c r="K116" s="2548"/>
      <c r="L116" s="2548"/>
      <c r="M116" s="2548"/>
      <c r="N116" s="2554"/>
      <c r="O116" s="2531"/>
      <c r="P116" s="2555"/>
      <c r="R116" s="2541"/>
      <c r="S116" s="2542"/>
      <c r="T116" s="2542"/>
      <c r="U116" s="2542"/>
      <c r="V116" s="2542"/>
      <c r="W116" s="2542"/>
      <c r="X116" s="2542"/>
      <c r="Y116" s="2542"/>
      <c r="Z116" s="2542"/>
      <c r="AA116" s="2543"/>
      <c r="AB116" s="494"/>
      <c r="AC116" s="2541"/>
      <c r="AD116" s="2542"/>
      <c r="AE116" s="2542"/>
      <c r="AF116" s="2542"/>
      <c r="AG116" s="2542"/>
      <c r="AH116" s="2542"/>
      <c r="AI116" s="2542"/>
      <c r="AJ116" s="2542"/>
      <c r="AK116" s="2542"/>
      <c r="AL116" s="2542"/>
      <c r="AM116" s="2543"/>
      <c r="AO116" s="2541"/>
      <c r="AP116" s="2542"/>
      <c r="AQ116" s="2542"/>
      <c r="AR116" s="2542"/>
      <c r="AS116" s="2542"/>
      <c r="AT116" s="2542"/>
      <c r="AU116" s="2543"/>
      <c r="AV116" s="494"/>
      <c r="AW116" s="494"/>
    </row>
    <row r="117" spans="1:52" ht="18" customHeight="1">
      <c r="B117" s="2547"/>
      <c r="C117" s="2548"/>
      <c r="D117" s="2548"/>
      <c r="E117" s="2548"/>
      <c r="F117" s="2548"/>
      <c r="G117" s="2548"/>
      <c r="H117" s="2548"/>
      <c r="I117" s="2548"/>
      <c r="J117" s="2548"/>
      <c r="K117" s="2548"/>
      <c r="L117" s="2548"/>
      <c r="M117" s="2548"/>
      <c r="N117" s="2554"/>
      <c r="O117" s="2531"/>
      <c r="P117" s="2555"/>
      <c r="R117" s="2541"/>
      <c r="S117" s="2542"/>
      <c r="T117" s="2542"/>
      <c r="U117" s="2542"/>
      <c r="V117" s="2542"/>
      <c r="W117" s="2542"/>
      <c r="X117" s="2542"/>
      <c r="Y117" s="2542"/>
      <c r="Z117" s="2542"/>
      <c r="AA117" s="2543"/>
      <c r="AB117" s="494"/>
      <c r="AC117" s="2541"/>
      <c r="AD117" s="2542"/>
      <c r="AE117" s="2542"/>
      <c r="AF117" s="2542"/>
      <c r="AG117" s="2542"/>
      <c r="AH117" s="2542"/>
      <c r="AI117" s="2542"/>
      <c r="AJ117" s="2542"/>
      <c r="AK117" s="2542"/>
      <c r="AL117" s="2542"/>
      <c r="AM117" s="2543"/>
      <c r="AO117" s="2541"/>
      <c r="AP117" s="2542"/>
      <c r="AQ117" s="2542"/>
      <c r="AR117" s="2542"/>
      <c r="AS117" s="2542"/>
      <c r="AT117" s="2542"/>
      <c r="AU117" s="2543"/>
      <c r="AV117" s="494"/>
      <c r="AW117" s="494"/>
    </row>
    <row r="118" spans="1:52" ht="18" customHeight="1">
      <c r="B118" s="2547"/>
      <c r="C118" s="2548"/>
      <c r="D118" s="2548"/>
      <c r="E118" s="2548"/>
      <c r="F118" s="2548"/>
      <c r="G118" s="2548"/>
      <c r="H118" s="2548"/>
      <c r="I118" s="2548"/>
      <c r="J118" s="2548"/>
      <c r="K118" s="2548"/>
      <c r="L118" s="2548"/>
      <c r="M118" s="2548"/>
      <c r="N118" s="2554"/>
      <c r="O118" s="2531"/>
      <c r="P118" s="2555"/>
      <c r="R118" s="2541"/>
      <c r="S118" s="2542"/>
      <c r="T118" s="2542"/>
      <c r="U118" s="2542"/>
      <c r="V118" s="2542"/>
      <c r="W118" s="2542"/>
      <c r="X118" s="2542"/>
      <c r="Y118" s="2542"/>
      <c r="Z118" s="2542"/>
      <c r="AA118" s="2543"/>
      <c r="AB118" s="494"/>
      <c r="AC118" s="2541"/>
      <c r="AD118" s="2542"/>
      <c r="AE118" s="2542"/>
      <c r="AF118" s="2542"/>
      <c r="AG118" s="2542"/>
      <c r="AH118" s="2542"/>
      <c r="AI118" s="2542"/>
      <c r="AJ118" s="2542"/>
      <c r="AK118" s="2542"/>
      <c r="AL118" s="2542"/>
      <c r="AM118" s="2543"/>
      <c r="AO118" s="2541"/>
      <c r="AP118" s="2542"/>
      <c r="AQ118" s="2542"/>
      <c r="AR118" s="2542"/>
      <c r="AS118" s="2542"/>
      <c r="AT118" s="2542"/>
      <c r="AU118" s="2543"/>
      <c r="AV118" s="494"/>
      <c r="AW118" s="494"/>
    </row>
    <row r="119" spans="1:52" ht="18" customHeight="1">
      <c r="B119" s="2547"/>
      <c r="C119" s="2548"/>
      <c r="D119" s="2548"/>
      <c r="E119" s="2548"/>
      <c r="F119" s="2548"/>
      <c r="G119" s="2548"/>
      <c r="H119" s="2548"/>
      <c r="I119" s="2548"/>
      <c r="J119" s="2548"/>
      <c r="K119" s="2548"/>
      <c r="L119" s="2548"/>
      <c r="M119" s="2548"/>
      <c r="N119" s="2554"/>
      <c r="O119" s="2531"/>
      <c r="P119" s="2555"/>
      <c r="R119" s="2541"/>
      <c r="S119" s="2542"/>
      <c r="T119" s="2542"/>
      <c r="U119" s="2542"/>
      <c r="V119" s="2542"/>
      <c r="W119" s="2542"/>
      <c r="X119" s="2542"/>
      <c r="Y119" s="2542"/>
      <c r="Z119" s="2542"/>
      <c r="AA119" s="2543"/>
      <c r="AB119" s="494"/>
      <c r="AC119" s="2541"/>
      <c r="AD119" s="2542"/>
      <c r="AE119" s="2542"/>
      <c r="AF119" s="2542"/>
      <c r="AG119" s="2542"/>
      <c r="AH119" s="2542"/>
      <c r="AI119" s="2542"/>
      <c r="AJ119" s="2542"/>
      <c r="AK119" s="2542"/>
      <c r="AL119" s="2542"/>
      <c r="AM119" s="2543"/>
      <c r="AO119" s="2541"/>
      <c r="AP119" s="2542"/>
      <c r="AQ119" s="2542"/>
      <c r="AR119" s="2542"/>
      <c r="AS119" s="2542"/>
      <c r="AT119" s="2542"/>
      <c r="AU119" s="2543"/>
      <c r="AV119" s="494"/>
      <c r="AW119" s="494"/>
    </row>
    <row r="120" spans="1:52" ht="18" customHeight="1">
      <c r="B120" s="2547"/>
      <c r="C120" s="2548"/>
      <c r="D120" s="2548"/>
      <c r="E120" s="2548"/>
      <c r="F120" s="2548"/>
      <c r="G120" s="2548"/>
      <c r="H120" s="2548"/>
      <c r="I120" s="2548"/>
      <c r="J120" s="2548"/>
      <c r="K120" s="2548"/>
      <c r="L120" s="2548"/>
      <c r="M120" s="2548"/>
      <c r="N120" s="2554"/>
      <c r="O120" s="2531"/>
      <c r="P120" s="2555"/>
      <c r="R120" s="2541"/>
      <c r="S120" s="2542"/>
      <c r="T120" s="2542"/>
      <c r="U120" s="2542"/>
      <c r="V120" s="2542"/>
      <c r="W120" s="2542"/>
      <c r="X120" s="2542"/>
      <c r="Y120" s="2542"/>
      <c r="Z120" s="2542"/>
      <c r="AA120" s="2543"/>
      <c r="AB120" s="1"/>
      <c r="AC120" s="2541"/>
      <c r="AD120" s="2542"/>
      <c r="AE120" s="2542"/>
      <c r="AF120" s="2542"/>
      <c r="AG120" s="2542"/>
      <c r="AH120" s="2542"/>
      <c r="AI120" s="2542"/>
      <c r="AJ120" s="2542"/>
      <c r="AK120" s="2542"/>
      <c r="AL120" s="2542"/>
      <c r="AM120" s="2543"/>
      <c r="AO120" s="2541"/>
      <c r="AP120" s="2542"/>
      <c r="AQ120" s="2542"/>
      <c r="AR120" s="2542"/>
      <c r="AS120" s="2542"/>
      <c r="AT120" s="2542"/>
      <c r="AU120" s="2543"/>
      <c r="AV120" s="494"/>
      <c r="AW120" s="494"/>
    </row>
    <row r="121" spans="1:52" ht="18" customHeight="1">
      <c r="B121" s="2559"/>
      <c r="C121" s="2560"/>
      <c r="D121" s="2560"/>
      <c r="E121" s="2560"/>
      <c r="F121" s="2560"/>
      <c r="G121" s="2560"/>
      <c r="H121" s="2560"/>
      <c r="I121" s="2560"/>
      <c r="J121" s="2560"/>
      <c r="K121" s="2560"/>
      <c r="L121" s="2560"/>
      <c r="M121" s="2560"/>
      <c r="N121" s="2556"/>
      <c r="O121" s="2557"/>
      <c r="P121" s="2558"/>
      <c r="R121" s="2544"/>
      <c r="S121" s="2545"/>
      <c r="T121" s="2545"/>
      <c r="U121" s="2545"/>
      <c r="V121" s="2545"/>
      <c r="W121" s="2545"/>
      <c r="X121" s="2545"/>
      <c r="Y121" s="2545"/>
      <c r="Z121" s="2545"/>
      <c r="AA121" s="2546"/>
      <c r="AB121" s="463"/>
      <c r="AC121" s="2544"/>
      <c r="AD121" s="2545"/>
      <c r="AE121" s="2545"/>
      <c r="AF121" s="2545"/>
      <c r="AG121" s="2545"/>
      <c r="AH121" s="2545"/>
      <c r="AI121" s="2545"/>
      <c r="AJ121" s="2545"/>
      <c r="AK121" s="2545"/>
      <c r="AL121" s="2545"/>
      <c r="AM121" s="2546"/>
      <c r="AO121" s="2544"/>
      <c r="AP121" s="2545"/>
      <c r="AQ121" s="2545"/>
      <c r="AR121" s="2545"/>
      <c r="AS121" s="2545"/>
      <c r="AT121" s="2545"/>
      <c r="AU121" s="2546"/>
      <c r="AV121" s="494"/>
      <c r="AW121" s="494"/>
    </row>
    <row r="122" spans="1:52" ht="18" customHeight="1">
      <c r="B122" s="163"/>
      <c r="C122" s="163"/>
      <c r="D122" s="163"/>
      <c r="E122" s="163"/>
      <c r="F122" s="163"/>
      <c r="G122" s="163"/>
      <c r="H122" s="163"/>
      <c r="I122" s="163"/>
      <c r="J122" s="163"/>
      <c r="K122" s="163"/>
    </row>
    <row r="123" spans="1:52" ht="18" customHeight="1">
      <c r="B123" s="166"/>
      <c r="C123" s="363"/>
      <c r="D123" s="363"/>
      <c r="E123" s="363"/>
      <c r="F123" s="363"/>
      <c r="G123" s="363"/>
      <c r="H123" s="363"/>
      <c r="I123" s="363"/>
      <c r="J123" s="363"/>
      <c r="K123" s="176"/>
    </row>
    <row r="124" spans="1:52" ht="18" customHeight="1">
      <c r="B124" s="163"/>
      <c r="C124" s="163"/>
      <c r="D124" s="163"/>
      <c r="E124" s="163"/>
      <c r="F124" s="163"/>
      <c r="G124" s="163"/>
      <c r="H124" s="163"/>
      <c r="I124" s="163"/>
      <c r="J124" s="163"/>
      <c r="K124" s="163"/>
      <c r="T124" s="363"/>
      <c r="U124" s="363"/>
    </row>
    <row r="125" spans="1:52" ht="18" customHeight="1">
      <c r="B125" s="163"/>
      <c r="C125" s="163"/>
      <c r="D125" s="163"/>
      <c r="E125" s="163"/>
      <c r="F125" s="163"/>
      <c r="G125" s="163"/>
      <c r="H125" s="163"/>
      <c r="I125" s="163"/>
      <c r="J125" s="163"/>
      <c r="K125" s="163"/>
      <c r="T125" s="363"/>
      <c r="U125" s="363"/>
    </row>
    <row r="126" spans="1:52" ht="18" customHeight="1">
      <c r="B126" s="163"/>
      <c r="C126" s="163"/>
      <c r="D126" s="163"/>
      <c r="E126" s="163"/>
      <c r="F126" s="163"/>
      <c r="G126" s="163"/>
      <c r="H126" s="163"/>
      <c r="I126" s="163"/>
      <c r="J126" s="163"/>
      <c r="K126" s="163"/>
      <c r="T126" s="363"/>
      <c r="U126" s="363"/>
      <c r="AL126" s="363"/>
      <c r="AM126" s="363"/>
      <c r="AN126" s="363"/>
      <c r="AO126" s="363"/>
    </row>
    <row r="127" spans="1:52" ht="18" customHeight="1">
      <c r="B127" s="163"/>
      <c r="C127" s="163"/>
      <c r="D127" s="163"/>
      <c r="E127" s="163"/>
      <c r="F127" s="163"/>
      <c r="G127" s="163"/>
      <c r="H127" s="163"/>
      <c r="I127" s="163"/>
      <c r="J127" s="163"/>
      <c r="K127" s="163"/>
      <c r="T127" s="363"/>
      <c r="U127" s="363"/>
      <c r="AL127" s="363"/>
      <c r="AM127" s="363"/>
      <c r="AN127" s="363"/>
      <c r="AO127" s="363"/>
    </row>
    <row r="128" spans="1:52" ht="18" customHeight="1">
      <c r="B128" s="163"/>
      <c r="C128" s="163"/>
      <c r="D128" s="163"/>
      <c r="E128" s="163"/>
      <c r="F128" s="163"/>
      <c r="G128" s="163"/>
      <c r="H128" s="163"/>
      <c r="I128" s="163"/>
      <c r="J128" s="163"/>
      <c r="K128" s="163"/>
      <c r="T128" s="363"/>
      <c r="U128" s="363"/>
      <c r="AL128" s="363"/>
      <c r="AM128" s="363"/>
      <c r="AN128" s="363"/>
      <c r="AO128" s="363"/>
    </row>
    <row r="129" spans="1:47" ht="18" customHeight="1">
      <c r="B129" s="163"/>
      <c r="C129" s="163"/>
      <c r="D129" s="163"/>
      <c r="E129" s="163"/>
      <c r="F129" s="163"/>
      <c r="G129" s="163"/>
      <c r="H129" s="163"/>
      <c r="I129" s="163"/>
      <c r="J129" s="163"/>
      <c r="K129" s="163"/>
      <c r="T129" s="363"/>
      <c r="U129" s="363"/>
      <c r="AL129" s="363"/>
      <c r="AM129" s="363"/>
      <c r="AN129" s="363"/>
      <c r="AO129" s="363"/>
      <c r="AP129" s="363"/>
      <c r="AQ129" s="363"/>
      <c r="AR129" s="363"/>
      <c r="AS129" s="363"/>
      <c r="AT129" s="363"/>
      <c r="AU129" s="363"/>
    </row>
    <row r="130" spans="1:47" ht="18" customHeight="1">
      <c r="B130" s="163"/>
      <c r="C130" s="163"/>
      <c r="D130" s="163"/>
      <c r="E130" s="163"/>
      <c r="F130" s="163"/>
      <c r="G130" s="163"/>
      <c r="H130" s="163"/>
      <c r="I130" s="163"/>
      <c r="J130" s="163"/>
      <c r="K130" s="163"/>
      <c r="T130" s="363"/>
      <c r="U130" s="363"/>
      <c r="AL130" s="363"/>
      <c r="AM130" s="363"/>
      <c r="AN130" s="363"/>
      <c r="AO130" s="363"/>
      <c r="AP130" s="363"/>
      <c r="AQ130" s="363"/>
      <c r="AR130" s="363"/>
      <c r="AS130" s="363"/>
      <c r="AT130" s="363"/>
      <c r="AU130" s="363"/>
    </row>
    <row r="131" spans="1:47" ht="18" customHeight="1">
      <c r="B131" s="163"/>
      <c r="C131" s="163"/>
      <c r="D131" s="163"/>
      <c r="E131" s="163"/>
      <c r="F131" s="163"/>
      <c r="G131" s="163"/>
      <c r="H131" s="163"/>
      <c r="I131" s="163"/>
      <c r="J131" s="163"/>
      <c r="K131" s="163"/>
      <c r="T131" s="363"/>
      <c r="U131" s="363"/>
      <c r="AL131" s="363"/>
      <c r="AM131" s="363"/>
      <c r="AN131" s="363"/>
      <c r="AO131" s="363"/>
      <c r="AP131" s="363"/>
      <c r="AQ131" s="363"/>
      <c r="AR131" s="363"/>
      <c r="AS131" s="363"/>
      <c r="AT131" s="363"/>
      <c r="AU131" s="363"/>
    </row>
    <row r="132" spans="1:47" ht="18" customHeight="1">
      <c r="B132" s="163"/>
      <c r="C132" s="163"/>
      <c r="D132" s="163"/>
      <c r="E132" s="163"/>
      <c r="F132" s="163"/>
      <c r="G132" s="163"/>
      <c r="H132" s="163"/>
      <c r="I132" s="163"/>
      <c r="J132" s="163"/>
      <c r="K132" s="163"/>
      <c r="T132" s="363"/>
      <c r="U132" s="363"/>
      <c r="AL132" s="363"/>
      <c r="AM132" s="363"/>
      <c r="AN132" s="363"/>
      <c r="AO132" s="363"/>
      <c r="AP132" s="363"/>
      <c r="AQ132" s="363"/>
      <c r="AR132" s="363"/>
      <c r="AS132" s="363"/>
      <c r="AT132" s="363"/>
      <c r="AU132" s="363"/>
    </row>
    <row r="133" spans="1:47" ht="18" customHeight="1">
      <c r="B133" s="163"/>
      <c r="C133" s="163"/>
      <c r="D133" s="163"/>
      <c r="E133" s="163"/>
      <c r="F133" s="163"/>
      <c r="G133" s="163"/>
      <c r="H133" s="163"/>
      <c r="I133" s="163"/>
      <c r="J133" s="163"/>
      <c r="K133" s="163"/>
      <c r="T133" s="363"/>
      <c r="U133" s="363"/>
      <c r="AL133" s="363"/>
      <c r="AM133" s="363"/>
      <c r="AN133" s="363"/>
      <c r="AO133" s="363"/>
      <c r="AP133" s="363"/>
      <c r="AQ133" s="363"/>
      <c r="AR133" s="363"/>
      <c r="AS133" s="363"/>
      <c r="AT133" s="363"/>
      <c r="AU133" s="363"/>
    </row>
    <row r="134" spans="1:47" ht="18" customHeight="1">
      <c r="B134" s="163"/>
      <c r="C134" s="163"/>
      <c r="D134" s="163"/>
      <c r="E134" s="163"/>
      <c r="F134" s="163"/>
      <c r="G134" s="163"/>
      <c r="H134" s="163"/>
      <c r="I134" s="163"/>
      <c r="J134" s="163"/>
      <c r="K134" s="163"/>
      <c r="T134" s="363"/>
      <c r="U134" s="363"/>
      <c r="AL134" s="363"/>
      <c r="AM134" s="363"/>
      <c r="AN134" s="363"/>
      <c r="AO134" s="363"/>
      <c r="AP134" s="363"/>
      <c r="AQ134" s="363"/>
      <c r="AR134" s="363"/>
      <c r="AS134" s="363"/>
      <c r="AT134" s="363"/>
      <c r="AU134" s="363"/>
    </row>
    <row r="135" spans="1:47" ht="18" customHeight="1">
      <c r="B135" s="163"/>
      <c r="C135" s="163"/>
      <c r="D135" s="163"/>
      <c r="E135" s="163"/>
      <c r="F135" s="163"/>
      <c r="G135" s="163"/>
      <c r="H135" s="163"/>
      <c r="I135" s="163"/>
      <c r="J135" s="163"/>
      <c r="K135" s="163"/>
      <c r="T135" s="363"/>
      <c r="U135" s="363"/>
      <c r="AD135" s="363"/>
      <c r="AE135" s="363"/>
      <c r="AF135" s="363"/>
      <c r="AG135" s="363"/>
      <c r="AH135" s="363"/>
      <c r="AI135" s="363"/>
      <c r="AJ135" s="363"/>
      <c r="AK135" s="363"/>
      <c r="AL135" s="363"/>
      <c r="AM135" s="363"/>
      <c r="AN135" s="363"/>
      <c r="AO135" s="363"/>
      <c r="AP135" s="363"/>
      <c r="AQ135" s="363"/>
      <c r="AR135" s="363"/>
      <c r="AS135" s="363"/>
      <c r="AT135" s="363"/>
      <c r="AU135" s="363"/>
    </row>
    <row r="136" spans="1:47" ht="18" customHeight="1">
      <c r="B136" s="163"/>
      <c r="C136" s="163"/>
      <c r="D136" s="163"/>
      <c r="E136" s="163"/>
      <c r="F136" s="163"/>
      <c r="G136" s="163"/>
      <c r="H136" s="163"/>
      <c r="I136" s="163"/>
      <c r="J136" s="163"/>
      <c r="K136" s="163"/>
      <c r="T136" s="363"/>
      <c r="U136" s="363"/>
      <c r="AD136" s="363"/>
      <c r="AE136" s="363"/>
      <c r="AF136" s="363"/>
      <c r="AG136" s="363"/>
      <c r="AH136" s="363"/>
      <c r="AI136" s="363"/>
      <c r="AJ136" s="363"/>
      <c r="AK136" s="363"/>
      <c r="AL136" s="363"/>
      <c r="AM136" s="363"/>
      <c r="AN136" s="363"/>
      <c r="AO136" s="363"/>
      <c r="AP136" s="363"/>
      <c r="AQ136" s="363"/>
      <c r="AR136" s="363"/>
      <c r="AS136" s="363"/>
      <c r="AT136" s="363"/>
      <c r="AU136" s="363"/>
    </row>
    <row r="137" spans="1:47" ht="18" customHeight="1">
      <c r="B137" s="163"/>
      <c r="C137" s="163"/>
      <c r="D137" s="163"/>
      <c r="E137" s="163"/>
      <c r="F137" s="163"/>
      <c r="G137" s="163"/>
      <c r="H137" s="163"/>
      <c r="I137" s="163"/>
      <c r="J137" s="163"/>
      <c r="K137" s="163"/>
      <c r="T137" s="363"/>
      <c r="U137" s="363"/>
      <c r="AD137" s="363"/>
      <c r="AE137" s="363"/>
      <c r="AF137" s="363"/>
      <c r="AG137" s="363"/>
      <c r="AH137" s="363"/>
      <c r="AI137" s="363"/>
      <c r="AJ137" s="363"/>
      <c r="AK137" s="363"/>
      <c r="AL137" s="363"/>
      <c r="AM137" s="363"/>
      <c r="AN137" s="363"/>
      <c r="AO137" s="363"/>
      <c r="AP137" s="363"/>
      <c r="AQ137" s="363"/>
      <c r="AR137" s="363"/>
      <c r="AS137" s="363"/>
      <c r="AT137" s="363"/>
      <c r="AU137" s="363"/>
    </row>
    <row r="138" spans="1:47" ht="18" customHeight="1">
      <c r="B138" s="363"/>
      <c r="C138" s="363"/>
      <c r="D138" s="363"/>
      <c r="E138" s="363"/>
      <c r="F138" s="363"/>
      <c r="G138" s="363"/>
      <c r="H138" s="363"/>
      <c r="I138" s="363"/>
      <c r="J138" s="363"/>
      <c r="K138" s="363"/>
      <c r="L138" s="363"/>
      <c r="M138" s="363"/>
      <c r="N138" s="363"/>
      <c r="O138" s="363"/>
      <c r="P138" s="363"/>
      <c r="Q138" s="363"/>
      <c r="R138" s="363"/>
      <c r="S138" s="363"/>
      <c r="T138" s="363"/>
      <c r="U138" s="363"/>
      <c r="V138" s="363"/>
      <c r="W138" s="363"/>
      <c r="X138" s="363"/>
      <c r="Y138" s="363"/>
      <c r="Z138" s="363"/>
      <c r="AA138" s="363"/>
      <c r="AB138" s="363"/>
      <c r="AC138" s="363"/>
      <c r="AD138" s="363"/>
      <c r="AE138" s="363"/>
      <c r="AF138" s="363"/>
      <c r="AG138" s="363"/>
      <c r="AH138" s="363"/>
      <c r="AI138" s="363"/>
      <c r="AJ138" s="363"/>
      <c r="AK138" s="363"/>
      <c r="AL138" s="363"/>
      <c r="AM138" s="363"/>
      <c r="AN138" s="363"/>
      <c r="AO138" s="363"/>
      <c r="AP138" s="363"/>
      <c r="AQ138" s="363"/>
      <c r="AR138" s="363"/>
      <c r="AS138" s="363"/>
      <c r="AT138" s="363"/>
      <c r="AU138" s="363"/>
    </row>
    <row r="139" spans="1:47" ht="18" customHeight="1">
      <c r="B139" s="363"/>
      <c r="C139" s="363"/>
      <c r="D139" s="363"/>
      <c r="E139" s="363"/>
      <c r="F139" s="363"/>
      <c r="G139" s="363"/>
      <c r="H139" s="363"/>
      <c r="I139" s="363"/>
      <c r="J139" s="363"/>
      <c r="K139" s="363"/>
      <c r="L139" s="363"/>
      <c r="M139" s="363"/>
      <c r="N139" s="363"/>
      <c r="O139" s="363"/>
      <c r="P139" s="363"/>
      <c r="Q139" s="363"/>
      <c r="R139" s="363"/>
      <c r="S139" s="363"/>
      <c r="T139" s="363"/>
      <c r="U139" s="363"/>
      <c r="V139" s="363"/>
      <c r="W139" s="363"/>
      <c r="X139" s="363"/>
      <c r="Y139" s="363"/>
      <c r="Z139" s="363"/>
      <c r="AA139" s="363"/>
      <c r="AB139" s="363"/>
      <c r="AC139" s="363"/>
      <c r="AD139" s="363"/>
      <c r="AE139" s="363"/>
      <c r="AF139" s="363"/>
      <c r="AG139" s="363"/>
      <c r="AH139" s="363"/>
      <c r="AI139" s="363"/>
      <c r="AJ139" s="363"/>
      <c r="AK139" s="363"/>
      <c r="AL139" s="363"/>
      <c r="AM139" s="363"/>
      <c r="AN139" s="363"/>
      <c r="AO139" s="363"/>
      <c r="AP139" s="363"/>
      <c r="AQ139" s="363"/>
      <c r="AR139" s="363"/>
      <c r="AS139" s="363"/>
      <c r="AT139" s="363"/>
      <c r="AU139" s="363"/>
    </row>
    <row r="140" spans="1:47">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c r="AA140" s="187"/>
      <c r="AB140" s="187"/>
      <c r="AC140" s="187"/>
      <c r="AD140" s="187"/>
      <c r="AE140" s="187"/>
      <c r="AF140" s="187"/>
      <c r="AG140" s="187"/>
      <c r="AH140" s="187"/>
      <c r="AI140" s="187"/>
      <c r="AJ140" s="187"/>
      <c r="AK140" s="187"/>
      <c r="AL140" s="187"/>
      <c r="AM140" s="187"/>
      <c r="AN140" s="187"/>
      <c r="AO140" s="187"/>
      <c r="AP140" s="187"/>
      <c r="AQ140" s="187"/>
      <c r="AR140" s="187"/>
      <c r="AS140" s="187"/>
      <c r="AT140" s="187"/>
      <c r="AU140" s="187"/>
    </row>
    <row r="141" spans="1:47">
      <c r="A141" s="489"/>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c r="AA141" s="187"/>
      <c r="AB141" s="187"/>
      <c r="AC141" s="187"/>
      <c r="AD141" s="187"/>
      <c r="AE141" s="187"/>
      <c r="AF141" s="187"/>
      <c r="AG141" s="187"/>
      <c r="AH141" s="187"/>
      <c r="AI141" s="187"/>
      <c r="AJ141" s="187"/>
      <c r="AK141" s="187"/>
      <c r="AL141" s="187"/>
      <c r="AM141" s="187"/>
      <c r="AN141" s="187"/>
      <c r="AO141" s="187"/>
      <c r="AP141" s="187"/>
      <c r="AQ141" s="187"/>
      <c r="AR141" s="187"/>
      <c r="AS141" s="187"/>
      <c r="AT141" s="187"/>
      <c r="AU141" s="187"/>
    </row>
    <row r="142" spans="1:47">
      <c r="A142" s="489"/>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c r="AA142" s="187"/>
      <c r="AB142" s="187"/>
      <c r="AC142" s="187"/>
      <c r="AD142" s="187"/>
      <c r="AE142" s="187"/>
      <c r="AF142" s="187"/>
      <c r="AG142" s="187"/>
      <c r="AH142" s="187"/>
      <c r="AI142" s="187"/>
      <c r="AJ142" s="187"/>
      <c r="AK142" s="187"/>
      <c r="AL142" s="187"/>
      <c r="AM142" s="187"/>
      <c r="AN142" s="187"/>
      <c r="AO142" s="187"/>
      <c r="AP142" s="187"/>
      <c r="AQ142" s="187"/>
      <c r="AR142" s="187"/>
      <c r="AS142" s="187"/>
      <c r="AT142" s="187"/>
      <c r="AU142" s="187"/>
    </row>
    <row r="143" spans="1:47">
      <c r="A143" s="489"/>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c r="AA143" s="187"/>
      <c r="AB143" s="187"/>
      <c r="AC143" s="187"/>
      <c r="AD143" s="187"/>
      <c r="AE143" s="187"/>
      <c r="AF143" s="187"/>
      <c r="AG143" s="187"/>
      <c r="AH143" s="187"/>
      <c r="AI143" s="187"/>
      <c r="AJ143" s="187"/>
      <c r="AK143" s="187"/>
      <c r="AL143" s="187"/>
      <c r="AM143" s="187"/>
      <c r="AN143" s="187"/>
      <c r="AO143" s="187"/>
      <c r="AP143" s="187"/>
      <c r="AQ143" s="187"/>
      <c r="AR143" s="187"/>
      <c r="AS143" s="187"/>
      <c r="AT143" s="187"/>
      <c r="AU143" s="187"/>
    </row>
    <row r="144" spans="1:47">
      <c r="A144" s="489"/>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c r="AA144" s="187"/>
      <c r="AB144" s="187"/>
      <c r="AC144" s="187"/>
      <c r="AD144" s="187"/>
      <c r="AE144" s="187"/>
      <c r="AF144" s="187"/>
      <c r="AG144" s="187"/>
      <c r="AH144" s="187"/>
      <c r="AI144" s="187"/>
      <c r="AJ144" s="187"/>
      <c r="AK144" s="187"/>
      <c r="AL144" s="187"/>
      <c r="AM144" s="187"/>
      <c r="AN144" s="187"/>
      <c r="AO144" s="187"/>
      <c r="AP144" s="187"/>
      <c r="AQ144" s="187"/>
      <c r="AR144" s="187"/>
      <c r="AS144" s="187"/>
      <c r="AT144" s="187"/>
      <c r="AU144" s="187"/>
    </row>
    <row r="145" spans="1:47">
      <c r="A145" s="489"/>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c r="AA145" s="187"/>
      <c r="AB145" s="187"/>
      <c r="AC145" s="187"/>
      <c r="AD145" s="187"/>
      <c r="AE145" s="187"/>
      <c r="AF145" s="187"/>
      <c r="AG145" s="187"/>
      <c r="AH145" s="187"/>
      <c r="AI145" s="187"/>
      <c r="AJ145" s="187"/>
      <c r="AK145" s="187"/>
      <c r="AL145" s="187"/>
      <c r="AM145" s="187"/>
      <c r="AN145" s="187"/>
      <c r="AO145" s="187"/>
      <c r="AP145" s="187"/>
      <c r="AQ145" s="187"/>
      <c r="AR145" s="187"/>
      <c r="AS145" s="187"/>
      <c r="AT145" s="187"/>
      <c r="AU145" s="187"/>
    </row>
    <row r="146" spans="1:47">
      <c r="A146" s="489"/>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c r="AA146" s="187"/>
      <c r="AB146" s="187"/>
      <c r="AC146" s="187"/>
      <c r="AD146" s="187"/>
      <c r="AE146" s="187"/>
      <c r="AF146" s="187"/>
      <c r="AG146" s="187"/>
      <c r="AH146" s="187"/>
      <c r="AI146" s="187"/>
      <c r="AJ146" s="187"/>
      <c r="AK146" s="187"/>
      <c r="AL146" s="187"/>
      <c r="AM146" s="187"/>
      <c r="AN146" s="187"/>
      <c r="AO146" s="187"/>
      <c r="AP146" s="187"/>
      <c r="AQ146" s="187"/>
      <c r="AR146" s="187"/>
      <c r="AS146" s="187"/>
      <c r="AT146" s="187"/>
      <c r="AU146" s="187"/>
    </row>
    <row r="147" spans="1:47">
      <c r="A147" s="489"/>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c r="AA147" s="187"/>
      <c r="AB147" s="187"/>
      <c r="AC147" s="187"/>
      <c r="AD147" s="187"/>
      <c r="AE147" s="187"/>
      <c r="AF147" s="187"/>
      <c r="AG147" s="187"/>
      <c r="AH147" s="187"/>
      <c r="AI147" s="187"/>
      <c r="AJ147" s="187"/>
      <c r="AK147" s="187"/>
      <c r="AL147" s="187"/>
      <c r="AM147" s="187"/>
      <c r="AN147" s="187"/>
      <c r="AO147" s="187"/>
      <c r="AP147" s="187"/>
      <c r="AQ147" s="187"/>
      <c r="AR147" s="187"/>
      <c r="AS147" s="187"/>
      <c r="AT147" s="187"/>
      <c r="AU147" s="187"/>
    </row>
    <row r="148" spans="1:47">
      <c r="A148" s="489"/>
      <c r="B148" s="187"/>
      <c r="C148" s="187"/>
      <c r="D148" s="187"/>
    </row>
    <row r="149" spans="1:47">
      <c r="A149" s="489"/>
      <c r="B149" s="187"/>
      <c r="C149" s="187"/>
      <c r="D149" s="187"/>
    </row>
    <row r="150" spans="1:47">
      <c r="A150" s="489"/>
      <c r="B150" s="187"/>
      <c r="C150" s="187"/>
      <c r="D150" s="187"/>
    </row>
    <row r="151" spans="1:47">
      <c r="A151" s="489"/>
      <c r="B151" s="187"/>
      <c r="C151" s="187"/>
      <c r="D151" s="187"/>
    </row>
    <row r="152" spans="1:47">
      <c r="B152" s="187"/>
      <c r="C152" s="187"/>
      <c r="D152" s="187"/>
    </row>
    <row r="153" spans="1:47">
      <c r="B153" s="187"/>
      <c r="C153" s="187"/>
      <c r="D153" s="187"/>
    </row>
    <row r="154" spans="1:47">
      <c r="B154" s="187"/>
      <c r="C154" s="187"/>
      <c r="D154" s="187"/>
    </row>
    <row r="155" spans="1:47">
      <c r="B155" s="187"/>
      <c r="C155" s="187"/>
      <c r="D155" s="187"/>
    </row>
    <row r="156" spans="1:47">
      <c r="B156" s="187"/>
      <c r="C156" s="187"/>
      <c r="D156" s="187"/>
    </row>
    <row r="157" spans="1:47">
      <c r="B157" s="187"/>
      <c r="C157" s="187"/>
      <c r="D157" s="187"/>
    </row>
    <row r="158" spans="1:47">
      <c r="B158" s="187"/>
      <c r="C158" s="187"/>
      <c r="D158" s="187"/>
    </row>
    <row r="159" spans="1:47">
      <c r="B159" s="187"/>
      <c r="C159" s="187"/>
      <c r="D159" s="187"/>
    </row>
    <row r="160" spans="1:47">
      <c r="B160" s="187"/>
      <c r="C160" s="187"/>
      <c r="D160" s="187"/>
    </row>
    <row r="161" spans="2:4">
      <c r="B161" s="187"/>
      <c r="C161" s="187"/>
      <c r="D161" s="187"/>
    </row>
    <row r="162" spans="2:4">
      <c r="B162" s="187"/>
      <c r="C162" s="187"/>
      <c r="D162" s="187"/>
    </row>
    <row r="163" spans="2:4">
      <c r="B163" s="187"/>
      <c r="C163" s="187"/>
      <c r="D163" s="187"/>
    </row>
    <row r="164" spans="2:4">
      <c r="B164" s="187"/>
      <c r="C164" s="187"/>
      <c r="D164" s="187"/>
    </row>
    <row r="165" spans="2:4">
      <c r="B165" s="187"/>
      <c r="C165" s="187"/>
      <c r="D165" s="187"/>
    </row>
    <row r="166" spans="2:4">
      <c r="B166" s="187"/>
      <c r="C166" s="187"/>
      <c r="D166" s="187"/>
    </row>
    <row r="167" spans="2:4">
      <c r="B167" s="187"/>
      <c r="C167" s="187"/>
      <c r="D167" s="187"/>
    </row>
    <row r="168" spans="2:4">
      <c r="B168" s="187"/>
      <c r="C168" s="187"/>
      <c r="D168" s="187"/>
    </row>
    <row r="169" spans="2:4">
      <c r="B169" s="187"/>
      <c r="C169" s="187"/>
      <c r="D169" s="187"/>
    </row>
    <row r="170" spans="2:4">
      <c r="B170" s="187"/>
      <c r="C170" s="187"/>
      <c r="D170" s="187"/>
    </row>
    <row r="171" spans="2:4">
      <c r="B171" s="187"/>
      <c r="C171" s="187"/>
      <c r="D171" s="187"/>
    </row>
    <row r="180" spans="47:47">
      <c r="AU180" s="187"/>
    </row>
    <row r="181" spans="47:47">
      <c r="AU181" s="187"/>
    </row>
    <row r="182" spans="47:47">
      <c r="AU182" s="187"/>
    </row>
    <row r="183" spans="47:47">
      <c r="AU183" s="187"/>
    </row>
    <row r="184" spans="47:47">
      <c r="AU184" s="187"/>
    </row>
    <row r="185" spans="47:47">
      <c r="AU185" s="187"/>
    </row>
    <row r="186" spans="47:47">
      <c r="AU186" s="187"/>
    </row>
    <row r="187" spans="47:47">
      <c r="AU187" s="187"/>
    </row>
    <row r="188" spans="47:47">
      <c r="AU188" s="187"/>
    </row>
    <row r="189" spans="47:47">
      <c r="AU189" s="187"/>
    </row>
    <row r="190" spans="47:47">
      <c r="AU190" s="187"/>
    </row>
    <row r="191" spans="47:47">
      <c r="AU191" s="187"/>
    </row>
    <row r="192" spans="47:47">
      <c r="AU192" s="187"/>
    </row>
  </sheetData>
  <sheetProtection password="D857" sheet="1" objects="1"/>
  <mergeCells count="316">
    <mergeCell ref="B2:AW2"/>
    <mergeCell ref="B3:G3"/>
    <mergeCell ref="H3:M3"/>
    <mergeCell ref="N3:S3"/>
    <mergeCell ref="T3:Y3"/>
    <mergeCell ref="Z3:AE3"/>
    <mergeCell ref="AF3:AK3"/>
    <mergeCell ref="AL3:AQ3"/>
    <mergeCell ref="AR3:AW3"/>
    <mergeCell ref="B7:AW7"/>
    <mergeCell ref="B8:G8"/>
    <mergeCell ref="H8:M8"/>
    <mergeCell ref="N8:S8"/>
    <mergeCell ref="T8:Y8"/>
    <mergeCell ref="Z8:AE8"/>
    <mergeCell ref="AF8:AK8"/>
    <mergeCell ref="AL8:AQ8"/>
    <mergeCell ref="AR8:AW8"/>
    <mergeCell ref="H65:J65"/>
    <mergeCell ref="K65:L65"/>
    <mergeCell ref="M65:N65"/>
    <mergeCell ref="O65:R65"/>
    <mergeCell ref="H66:J66"/>
    <mergeCell ref="K66:L66"/>
    <mergeCell ref="M66:N66"/>
    <mergeCell ref="O66:Q66"/>
    <mergeCell ref="H67:J67"/>
    <mergeCell ref="K67:L67"/>
    <mergeCell ref="M67:N67"/>
    <mergeCell ref="O67:Q67"/>
    <mergeCell ref="H68:J68"/>
    <mergeCell ref="K68:L68"/>
    <mergeCell ref="M68:N68"/>
    <mergeCell ref="O68:Q68"/>
    <mergeCell ref="H69:J69"/>
    <mergeCell ref="K69:L69"/>
    <mergeCell ref="M69:N69"/>
    <mergeCell ref="O69:Q69"/>
    <mergeCell ref="H70:J70"/>
    <mergeCell ref="K70:L70"/>
    <mergeCell ref="M70:N70"/>
    <mergeCell ref="O70:Q70"/>
    <mergeCell ref="A27:A31"/>
    <mergeCell ref="A32:A35"/>
    <mergeCell ref="A36:A39"/>
    <mergeCell ref="A40:A43"/>
    <mergeCell ref="A44:A84"/>
    <mergeCell ref="AR36:AW39"/>
    <mergeCell ref="H40:M43"/>
    <mergeCell ref="N40:S43"/>
    <mergeCell ref="T40:Y43"/>
    <mergeCell ref="Z40:AE43"/>
    <mergeCell ref="AF40:AK43"/>
    <mergeCell ref="AL40:AQ43"/>
    <mergeCell ref="AR40:AW43"/>
    <mergeCell ref="F74:N75"/>
    <mergeCell ref="H58:M61"/>
    <mergeCell ref="K71:L71"/>
    <mergeCell ref="M71:N71"/>
    <mergeCell ref="O71:Q71"/>
    <mergeCell ref="H72:J72"/>
    <mergeCell ref="K72:L72"/>
    <mergeCell ref="M72:N72"/>
    <mergeCell ref="O72:Q72"/>
    <mergeCell ref="H73:J73"/>
    <mergeCell ref="K73:L73"/>
    <mergeCell ref="B9:B10"/>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21:G22"/>
    <mergeCell ref="C19:G20"/>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AF23:AF24"/>
    <mergeCell ref="AF25:AF26"/>
    <mergeCell ref="Z9:Z10"/>
    <mergeCell ref="Z11:Z12"/>
    <mergeCell ref="Z13:Z14"/>
    <mergeCell ref="Z15:Z16"/>
    <mergeCell ref="Z17:Z18"/>
    <mergeCell ref="Z19:Z20"/>
    <mergeCell ref="Z21:Z22"/>
    <mergeCell ref="Z23:Z24"/>
    <mergeCell ref="Z25:Z26"/>
    <mergeCell ref="AA25:AE26"/>
    <mergeCell ref="AA11:AE12"/>
    <mergeCell ref="AF19:AF20"/>
    <mergeCell ref="AF21:AF22"/>
    <mergeCell ref="AR25:AR26"/>
    <mergeCell ref="AL9:AL10"/>
    <mergeCell ref="AL11:AL12"/>
    <mergeCell ref="AL13:AL14"/>
    <mergeCell ref="AL15:AL16"/>
    <mergeCell ref="AL17:AL18"/>
    <mergeCell ref="AL19:AL20"/>
    <mergeCell ref="AL21:AL22"/>
    <mergeCell ref="AL23:AL24"/>
    <mergeCell ref="AL25:AL26"/>
    <mergeCell ref="AM23:AQ24"/>
    <mergeCell ref="AA9:AE10"/>
    <mergeCell ref="AN70:AW73"/>
    <mergeCell ref="B92:L101"/>
    <mergeCell ref="N58:P61"/>
    <mergeCell ref="O25:S26"/>
    <mergeCell ref="AS25:AW26"/>
    <mergeCell ref="AA13:AE14"/>
    <mergeCell ref="B86:AU88"/>
    <mergeCell ref="B90:W91"/>
    <mergeCell ref="U70:V72"/>
    <mergeCell ref="M92:W93"/>
    <mergeCell ref="AL59:AQ61"/>
    <mergeCell ref="U17:Y18"/>
    <mergeCell ref="H54:M57"/>
    <mergeCell ref="M94:W95"/>
    <mergeCell ref="M98:W99"/>
    <mergeCell ref="AA19:AE20"/>
    <mergeCell ref="W73:AJ75"/>
    <mergeCell ref="U13:Y14"/>
    <mergeCell ref="I17:M18"/>
    <mergeCell ref="AR9:AR10"/>
    <mergeCell ref="AR11:AR12"/>
    <mergeCell ref="AR13:AR14"/>
    <mergeCell ref="AR23:AR24"/>
    <mergeCell ref="I25:M26"/>
    <mergeCell ref="AM25:AQ26"/>
    <mergeCell ref="BD38:BU43"/>
    <mergeCell ref="U9:Y10"/>
    <mergeCell ref="AO109:AU111"/>
    <mergeCell ref="AA21:AE22"/>
    <mergeCell ref="AR32:AW35"/>
    <mergeCell ref="O17:S18"/>
    <mergeCell ref="AS17:AW18"/>
    <mergeCell ref="I21:M22"/>
    <mergeCell ref="AM21:AQ22"/>
    <mergeCell ref="AG21:AK22"/>
    <mergeCell ref="I9:M10"/>
    <mergeCell ref="AM9:AQ10"/>
    <mergeCell ref="I11:M12"/>
    <mergeCell ref="AM11:AQ12"/>
    <mergeCell ref="I19:M20"/>
    <mergeCell ref="AM19:AQ20"/>
    <mergeCell ref="AA17:AE18"/>
    <mergeCell ref="I15:M16"/>
    <mergeCell ref="AM15:AQ16"/>
    <mergeCell ref="O23:S24"/>
    <mergeCell ref="AS23:AW24"/>
    <mergeCell ref="AS11:AW12"/>
    <mergeCell ref="B32:G35"/>
    <mergeCell ref="H32:M35"/>
    <mergeCell ref="N32:S35"/>
    <mergeCell ref="T32:Y35"/>
    <mergeCell ref="Z32:AE35"/>
    <mergeCell ref="AF32:AK35"/>
    <mergeCell ref="AL32:AQ35"/>
    <mergeCell ref="U73:V75"/>
    <mergeCell ref="B44:G46"/>
    <mergeCell ref="H44:M46"/>
    <mergeCell ref="N44:S46"/>
    <mergeCell ref="H36:M39"/>
    <mergeCell ref="N36:S39"/>
    <mergeCell ref="T36:Y39"/>
    <mergeCell ref="Z36:AE39"/>
    <mergeCell ref="AF36:AK39"/>
    <mergeCell ref="AL36:AQ39"/>
    <mergeCell ref="N54:P57"/>
    <mergeCell ref="K49:P51"/>
    <mergeCell ref="F65:G73"/>
    <mergeCell ref="B40:G43"/>
    <mergeCell ref="W70:AJ72"/>
    <mergeCell ref="H71:J71"/>
    <mergeCell ref="M73:N73"/>
    <mergeCell ref="X113:AA114"/>
    <mergeCell ref="AJ113:AM114"/>
    <mergeCell ref="R109:W114"/>
    <mergeCell ref="R107:AA108"/>
    <mergeCell ref="M100:W101"/>
    <mergeCell ref="AC107:AM108"/>
    <mergeCell ref="AO112:AU121"/>
    <mergeCell ref="B109:M115"/>
    <mergeCell ref="AO107:AU108"/>
    <mergeCell ref="N109:P121"/>
    <mergeCell ref="B116:M121"/>
    <mergeCell ref="X110:AA111"/>
    <mergeCell ref="AJ110:AM111"/>
    <mergeCell ref="R115:AA121"/>
    <mergeCell ref="AC109:AI114"/>
    <mergeCell ref="AC115:AM121"/>
    <mergeCell ref="X109:AA109"/>
    <mergeCell ref="AJ109:AM109"/>
    <mergeCell ref="X112:AA112"/>
    <mergeCell ref="AJ112:AM112"/>
    <mergeCell ref="B107:P108"/>
    <mergeCell ref="B103:AU105"/>
    <mergeCell ref="W76:AJ78"/>
    <mergeCell ref="U64:V66"/>
    <mergeCell ref="AI98:AU99"/>
    <mergeCell ref="W67:AJ69"/>
    <mergeCell ref="U67:V69"/>
    <mergeCell ref="AN66:AW69"/>
    <mergeCell ref="U76:V78"/>
    <mergeCell ref="T44:Y46"/>
    <mergeCell ref="Z44:AE46"/>
    <mergeCell ref="AF44:AK46"/>
    <mergeCell ref="AL44:AQ46"/>
    <mergeCell ref="AR44:AW46"/>
    <mergeCell ref="W79:AJ81"/>
    <mergeCell ref="W64:AJ66"/>
    <mergeCell ref="AN64:AW65"/>
    <mergeCell ref="Y54:AF57"/>
    <mergeCell ref="M96:W97"/>
    <mergeCell ref="Z92:AU92"/>
    <mergeCell ref="Z90:AU91"/>
    <mergeCell ref="Z98:AG99"/>
    <mergeCell ref="O73:Q73"/>
    <mergeCell ref="U23:Y24"/>
    <mergeCell ref="AA23:AE24"/>
    <mergeCell ref="Z93:AJ96"/>
    <mergeCell ref="AK93:AU96"/>
    <mergeCell ref="AG23:AK24"/>
    <mergeCell ref="U79:V81"/>
    <mergeCell ref="U82:AJ84"/>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AL27:AQ31"/>
    <mergeCell ref="AR27:AW31"/>
    <mergeCell ref="T49:Y51"/>
    <mergeCell ref="AF49:AK51"/>
    <mergeCell ref="AL49:AQ51"/>
    <mergeCell ref="AR49:AW51"/>
    <mergeCell ref="B36:G39"/>
    <mergeCell ref="C9:G10"/>
    <mergeCell ref="AG9:AK10"/>
    <mergeCell ref="C11:G12"/>
    <mergeCell ref="AG11:AK12"/>
    <mergeCell ref="C25:G26"/>
    <mergeCell ref="AG25:AK26"/>
    <mergeCell ref="C17:G18"/>
    <mergeCell ref="AG17:AK18"/>
    <mergeCell ref="C15:G16"/>
    <mergeCell ref="AG15:AK16"/>
    <mergeCell ref="O21:S22"/>
    <mergeCell ref="O19:S20"/>
    <mergeCell ref="AA15:AE16"/>
    <mergeCell ref="U19:Y20"/>
    <mergeCell ref="U11:Y12"/>
    <mergeCell ref="C13:G14"/>
    <mergeCell ref="AG13:AK14"/>
    <mergeCell ref="I23:M24"/>
    <mergeCell ref="U25:Y26"/>
    <mergeCell ref="O11:S12"/>
    <mergeCell ref="AF9:AF10"/>
    <mergeCell ref="AF11:AF12"/>
    <mergeCell ref="AF13:AF14"/>
    <mergeCell ref="AS21:AW22"/>
    <mergeCell ref="U15:Y16"/>
    <mergeCell ref="U21:Y22"/>
    <mergeCell ref="I13:M14"/>
    <mergeCell ref="AM13:AQ14"/>
    <mergeCell ref="O13:S14"/>
    <mergeCell ref="AS13:AW14"/>
    <mergeCell ref="O15:S16"/>
    <mergeCell ref="AS15:AW16"/>
    <mergeCell ref="AG19:AK20"/>
    <mergeCell ref="AS19:AW20"/>
    <mergeCell ref="AM17:AQ18"/>
    <mergeCell ref="AR15:AR16"/>
    <mergeCell ref="AR17:AR18"/>
    <mergeCell ref="AR19:AR20"/>
    <mergeCell ref="AR21:AR22"/>
    <mergeCell ref="AF15:AF16"/>
    <mergeCell ref="AF17:AF18"/>
  </mergeCells>
  <phoneticPr fontId="203"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topLeftCell="A35" zoomScale="85" zoomScaleNormal="85" workbookViewId="0">
      <selection activeCell="Y147" sqref="Y147"/>
    </sheetView>
  </sheetViews>
  <sheetFormatPr defaultColWidth="9" defaultRowHeight="13.5"/>
  <cols>
    <col min="1" max="1" width="5.75" style="363" customWidth="1"/>
    <col min="2" max="4" width="9" style="363" customWidth="1"/>
    <col min="5" max="5" width="8.125" style="363" customWidth="1"/>
    <col min="6" max="6" width="8" style="363" customWidth="1"/>
    <col min="7" max="8" width="6.625" style="363" customWidth="1"/>
    <col min="9" max="10" width="7.625" style="363" customWidth="1"/>
    <col min="11" max="13" width="9" style="363" customWidth="1"/>
    <col min="14" max="14" width="8" style="363" customWidth="1"/>
    <col min="15" max="16" width="6.625" style="363" customWidth="1"/>
    <col min="17" max="18" width="7.625" style="363" customWidth="1"/>
    <col min="19" max="21" width="9" style="363" customWidth="1"/>
    <col min="22" max="22" width="8" style="363" customWidth="1"/>
    <col min="23" max="23" width="8.125" style="363" customWidth="1"/>
    <col min="24" max="24" width="6.625" style="363" customWidth="1"/>
    <col min="25" max="25" width="8" style="363" customWidth="1"/>
    <col min="26" max="26" width="7.625" style="363" customWidth="1"/>
    <col min="27" max="27" width="9" style="363" customWidth="1"/>
    <col min="28" max="16384" width="9" style="363"/>
  </cols>
  <sheetData>
    <row r="1" spans="1:28" ht="21" customHeight="1"/>
    <row r="2" spans="1:28" s="16" customFormat="1" ht="12" customHeight="1">
      <c r="B2" s="2334" t="s">
        <v>3793</v>
      </c>
      <c r="C2" s="2335"/>
      <c r="D2" s="2335"/>
      <c r="E2" s="2335"/>
      <c r="F2" s="2335"/>
      <c r="G2" s="2335"/>
      <c r="H2" s="2335"/>
      <c r="I2" s="2335"/>
      <c r="J2" s="2335"/>
      <c r="K2" s="2335"/>
      <c r="L2" s="2335"/>
      <c r="M2" s="2335"/>
      <c r="N2" s="2335"/>
      <c r="O2" s="2335"/>
      <c r="P2" s="2335"/>
      <c r="Q2" s="2335"/>
      <c r="R2" s="2335"/>
      <c r="S2" s="2335"/>
      <c r="T2" s="2335"/>
      <c r="U2" s="2335"/>
      <c r="V2" s="2335"/>
      <c r="W2" s="2335"/>
      <c r="X2" s="2335"/>
      <c r="Y2" s="2335"/>
      <c r="Z2" s="2335"/>
      <c r="AA2" s="2336"/>
      <c r="AB2" s="401"/>
    </row>
    <row r="3" spans="1:28" s="16" customFormat="1" ht="13.15" customHeight="1">
      <c r="B3" s="2337"/>
      <c r="C3" s="2338"/>
      <c r="D3" s="2338"/>
      <c r="E3" s="2338"/>
      <c r="F3" s="2338"/>
      <c r="G3" s="2338"/>
      <c r="H3" s="2338"/>
      <c r="I3" s="2338"/>
      <c r="J3" s="2338"/>
      <c r="K3" s="2338"/>
      <c r="L3" s="2338"/>
      <c r="M3" s="2338"/>
      <c r="N3" s="2338"/>
      <c r="O3" s="2338"/>
      <c r="P3" s="2338"/>
      <c r="Q3" s="2338"/>
      <c r="R3" s="2338"/>
      <c r="S3" s="2338"/>
      <c r="T3" s="2338"/>
      <c r="U3" s="2338"/>
      <c r="V3" s="2338"/>
      <c r="W3" s="2338"/>
      <c r="X3" s="2338"/>
      <c r="Y3" s="2338"/>
      <c r="Z3" s="2338"/>
      <c r="AA3" s="2339"/>
      <c r="AB3" s="401"/>
    </row>
    <row r="4" spans="1:28" s="16" customFormat="1" ht="18" customHeight="1">
      <c r="A4" s="364"/>
      <c r="B4" s="2340"/>
      <c r="C4" s="2341"/>
      <c r="D4" s="2341"/>
      <c r="E4" s="2341"/>
      <c r="F4" s="2341"/>
      <c r="G4" s="2341"/>
      <c r="H4" s="2341"/>
      <c r="I4" s="2341"/>
      <c r="J4" s="2341"/>
      <c r="K4" s="2341"/>
      <c r="L4" s="2341"/>
      <c r="M4" s="2341"/>
      <c r="N4" s="2341"/>
      <c r="O4" s="2341"/>
      <c r="P4" s="2341"/>
      <c r="Q4" s="2341"/>
      <c r="R4" s="2341"/>
      <c r="S4" s="2341"/>
      <c r="T4" s="2341"/>
      <c r="U4" s="2341"/>
      <c r="V4" s="2341"/>
      <c r="W4" s="2341"/>
      <c r="X4" s="2341"/>
      <c r="Y4" s="2341"/>
      <c r="Z4" s="2341"/>
      <c r="AA4" s="2342"/>
      <c r="AB4" s="401"/>
    </row>
    <row r="5" spans="1:28" s="16" customFormat="1" ht="16.5">
      <c r="B5" s="365"/>
      <c r="C5" s="365"/>
      <c r="D5" s="365"/>
      <c r="E5" s="365"/>
      <c r="F5" s="365"/>
      <c r="G5" s="365"/>
      <c r="H5" s="365"/>
      <c r="I5" s="365"/>
      <c r="J5" s="365"/>
      <c r="K5" s="365"/>
      <c r="L5" s="365"/>
      <c r="M5" s="365"/>
      <c r="N5" s="365"/>
      <c r="O5" s="365"/>
      <c r="P5" s="365"/>
      <c r="Q5" s="365"/>
      <c r="R5" s="365"/>
      <c r="S5" s="365"/>
      <c r="T5" s="365"/>
      <c r="V5" s="2799"/>
      <c r="W5" s="2799"/>
      <c r="X5" s="2799"/>
      <c r="Y5" s="2799"/>
      <c r="Z5" s="2799"/>
      <c r="AA5" s="2799"/>
      <c r="AB5" s="2800"/>
    </row>
    <row r="6" spans="1:28" s="16" customFormat="1" ht="16.5">
      <c r="A6" s="2691" t="s">
        <v>3794</v>
      </c>
      <c r="B6" s="2691"/>
      <c r="C6" s="2691"/>
      <c r="D6" s="2691"/>
      <c r="E6" s="1423" t="s">
        <v>3795</v>
      </c>
      <c r="F6" s="2796"/>
      <c r="G6" s="2796"/>
      <c r="H6" s="2796"/>
      <c r="I6" s="2796"/>
      <c r="J6" s="2796"/>
      <c r="K6" s="2797"/>
      <c r="L6" s="369"/>
      <c r="M6" s="1423" t="s">
        <v>3796</v>
      </c>
      <c r="N6" s="2796"/>
      <c r="O6" s="2796"/>
      <c r="P6" s="2796"/>
      <c r="Q6" s="2796"/>
      <c r="R6" s="2796"/>
      <c r="S6" s="2797"/>
      <c r="T6" s="369"/>
      <c r="U6" s="1423" t="s">
        <v>3797</v>
      </c>
      <c r="V6" s="2796"/>
      <c r="W6" s="2796"/>
      <c r="X6" s="2796"/>
      <c r="Y6" s="2796"/>
      <c r="Z6" s="2796"/>
      <c r="AA6" s="2797"/>
    </row>
    <row r="7" spans="1:28" s="16" customFormat="1" ht="16.5">
      <c r="A7" s="2691"/>
      <c r="B7" s="2691"/>
      <c r="C7" s="2691"/>
      <c r="D7" s="2691"/>
      <c r="E7" s="366" t="s">
        <v>181</v>
      </c>
      <c r="F7" s="367" t="s">
        <v>94</v>
      </c>
      <c r="G7" s="2798" t="s">
        <v>3798</v>
      </c>
      <c r="H7" s="2783"/>
      <c r="I7" s="2798" t="s">
        <v>183</v>
      </c>
      <c r="J7" s="2783"/>
      <c r="K7" s="386" t="s">
        <v>182</v>
      </c>
      <c r="L7" s="369"/>
      <c r="M7" s="366" t="s">
        <v>181</v>
      </c>
      <c r="N7" s="367" t="s">
        <v>94</v>
      </c>
      <c r="O7" s="2798" t="s">
        <v>3798</v>
      </c>
      <c r="P7" s="2783"/>
      <c r="Q7" s="2798" t="s">
        <v>183</v>
      </c>
      <c r="R7" s="2783"/>
      <c r="S7" s="386" t="s">
        <v>182</v>
      </c>
      <c r="T7" s="369"/>
      <c r="U7" s="366" t="s">
        <v>181</v>
      </c>
      <c r="V7" s="367" t="s">
        <v>94</v>
      </c>
      <c r="W7" s="2798" t="s">
        <v>3798</v>
      </c>
      <c r="X7" s="2783"/>
      <c r="Y7" s="2798" t="s">
        <v>183</v>
      </c>
      <c r="Z7" s="2783"/>
      <c r="AA7" s="386" t="s">
        <v>182</v>
      </c>
    </row>
    <row r="8" spans="1:28" s="16" customFormat="1" ht="39.950000000000003" customHeight="1">
      <c r="A8" s="2691"/>
      <c r="B8" s="2691"/>
      <c r="C8" s="2691"/>
      <c r="D8" s="2691"/>
      <c r="E8" s="368" t="s">
        <v>3799</v>
      </c>
      <c r="F8" s="369">
        <v>0</v>
      </c>
      <c r="G8" s="1489">
        <v>0.5</v>
      </c>
      <c r="H8" s="1489"/>
      <c r="I8" s="1489" t="s">
        <v>3800</v>
      </c>
      <c r="J8" s="1489"/>
      <c r="K8" s="387">
        <v>0.5</v>
      </c>
      <c r="L8" s="369"/>
      <c r="M8" s="368" t="s">
        <v>3799</v>
      </c>
      <c r="N8" s="369">
        <v>0</v>
      </c>
      <c r="O8" s="1489">
        <v>100</v>
      </c>
      <c r="P8" s="1489"/>
      <c r="Q8" s="1489" t="s">
        <v>3800</v>
      </c>
      <c r="R8" s="1489"/>
      <c r="S8" s="387">
        <v>50</v>
      </c>
      <c r="T8" s="369"/>
      <c r="U8" s="368" t="s">
        <v>3799</v>
      </c>
      <c r="V8" s="369">
        <v>0</v>
      </c>
      <c r="W8" s="1489">
        <v>1000</v>
      </c>
      <c r="X8" s="1489"/>
      <c r="Y8" s="1489" t="s">
        <v>3800</v>
      </c>
      <c r="Z8" s="1489"/>
      <c r="AA8" s="387">
        <v>500</v>
      </c>
    </row>
    <row r="9" spans="1:28" s="16" customFormat="1" ht="39.950000000000003" customHeight="1">
      <c r="A9" s="2205" t="s">
        <v>3801</v>
      </c>
      <c r="B9" s="2205"/>
      <c r="C9" s="2205"/>
      <c r="D9" s="2208"/>
      <c r="E9" s="372" t="s">
        <v>3802</v>
      </c>
      <c r="F9" s="373" t="s">
        <v>3803</v>
      </c>
      <c r="G9" s="1737" t="s">
        <v>3804</v>
      </c>
      <c r="H9" s="1104"/>
      <c r="I9" s="1737" t="s">
        <v>3805</v>
      </c>
      <c r="J9" s="1104"/>
      <c r="K9" s="388">
        <v>2</v>
      </c>
      <c r="L9" s="369"/>
      <c r="M9" s="372" t="s">
        <v>3802</v>
      </c>
      <c r="N9" s="373" t="s">
        <v>3803</v>
      </c>
      <c r="O9" s="1737" t="s">
        <v>3806</v>
      </c>
      <c r="P9" s="1104"/>
      <c r="Q9" s="1737" t="s">
        <v>3807</v>
      </c>
      <c r="R9" s="1104"/>
      <c r="S9" s="388">
        <v>100</v>
      </c>
      <c r="T9" s="369"/>
      <c r="U9" s="372" t="s">
        <v>3802</v>
      </c>
      <c r="V9" s="373" t="s">
        <v>3803</v>
      </c>
      <c r="W9" s="1737" t="s">
        <v>3808</v>
      </c>
      <c r="X9" s="1104"/>
      <c r="Y9" s="1737" t="s">
        <v>3809</v>
      </c>
      <c r="Z9" s="1104"/>
      <c r="AA9" s="388">
        <v>2000</v>
      </c>
    </row>
    <row r="10" spans="1:28" s="16" customFormat="1" ht="39.950000000000003" customHeight="1">
      <c r="A10" s="2205"/>
      <c r="B10" s="2205"/>
      <c r="C10" s="2205"/>
      <c r="D10" s="2208"/>
      <c r="E10" s="368" t="s">
        <v>3810</v>
      </c>
      <c r="F10" s="369" t="s">
        <v>3811</v>
      </c>
      <c r="G10" s="2522" t="s">
        <v>3812</v>
      </c>
      <c r="H10" s="2522"/>
      <c r="I10" s="2522" t="s">
        <v>3813</v>
      </c>
      <c r="J10" s="2522"/>
      <c r="K10" s="387">
        <v>10</v>
      </c>
      <c r="L10" s="369"/>
      <c r="M10" s="368" t="s">
        <v>3810</v>
      </c>
      <c r="N10" s="369" t="s">
        <v>3811</v>
      </c>
      <c r="O10" s="2522" t="s">
        <v>3814</v>
      </c>
      <c r="P10" s="2522"/>
      <c r="Q10" s="2522" t="s">
        <v>3815</v>
      </c>
      <c r="R10" s="2522"/>
      <c r="S10" s="387">
        <v>1000</v>
      </c>
      <c r="T10" s="369"/>
      <c r="U10" s="368" t="s">
        <v>3810</v>
      </c>
      <c r="V10" s="369" t="s">
        <v>3816</v>
      </c>
      <c r="W10" s="2522" t="s">
        <v>3817</v>
      </c>
      <c r="X10" s="2522"/>
      <c r="Y10" s="2522" t="s">
        <v>3818</v>
      </c>
      <c r="Z10" s="2522"/>
      <c r="AA10" s="387">
        <v>25000</v>
      </c>
    </row>
    <row r="11" spans="1:28" s="16" customFormat="1" ht="39.950000000000003" customHeight="1">
      <c r="A11" s="2205"/>
      <c r="B11" s="2205"/>
      <c r="C11" s="2205"/>
      <c r="D11" s="2208"/>
      <c r="E11" s="372" t="s">
        <v>3819</v>
      </c>
      <c r="F11" s="373" t="s">
        <v>3820</v>
      </c>
      <c r="G11" s="1737" t="s">
        <v>3821</v>
      </c>
      <c r="H11" s="1104"/>
      <c r="I11" s="1737" t="s">
        <v>3822</v>
      </c>
      <c r="J11" s="1104"/>
      <c r="K11" s="388">
        <v>50</v>
      </c>
      <c r="L11" s="369"/>
      <c r="M11" s="372" t="s">
        <v>3819</v>
      </c>
      <c r="N11" s="373" t="s">
        <v>3820</v>
      </c>
      <c r="O11" s="1737" t="s">
        <v>3822</v>
      </c>
      <c r="P11" s="1104"/>
      <c r="Q11" s="1737" t="s">
        <v>3823</v>
      </c>
      <c r="R11" s="1104"/>
      <c r="S11" s="388">
        <v>5000</v>
      </c>
      <c r="T11" s="369"/>
      <c r="U11" s="372" t="s">
        <v>3819</v>
      </c>
      <c r="V11" s="373" t="s">
        <v>3820</v>
      </c>
      <c r="W11" s="1737" t="s">
        <v>3824</v>
      </c>
      <c r="X11" s="1104"/>
      <c r="Y11" s="1737" t="s">
        <v>3825</v>
      </c>
      <c r="Z11" s="1104"/>
      <c r="AA11" s="388" t="s">
        <v>3826</v>
      </c>
    </row>
    <row r="12" spans="1:28" s="16" customFormat="1" ht="39.950000000000003" customHeight="1">
      <c r="A12" s="2422" t="s">
        <v>3827</v>
      </c>
      <c r="B12" s="2422"/>
      <c r="C12" s="2422"/>
      <c r="D12" s="2422"/>
      <c r="E12" s="368" t="s">
        <v>3828</v>
      </c>
      <c r="F12" s="369" t="s">
        <v>3829</v>
      </c>
      <c r="G12" s="2522" t="s">
        <v>3830</v>
      </c>
      <c r="H12" s="2522"/>
      <c r="I12" s="2522" t="s">
        <v>3808</v>
      </c>
      <c r="J12" s="2522"/>
      <c r="K12" s="387">
        <v>250</v>
      </c>
      <c r="L12" s="369"/>
      <c r="M12" s="368" t="s">
        <v>3828</v>
      </c>
      <c r="N12" s="369" t="s">
        <v>3829</v>
      </c>
      <c r="O12" s="2522" t="s">
        <v>3831</v>
      </c>
      <c r="P12" s="2522"/>
      <c r="Q12" s="2522" t="s">
        <v>3832</v>
      </c>
      <c r="R12" s="2522"/>
      <c r="S12" s="387" t="s">
        <v>3833</v>
      </c>
      <c r="T12" s="369"/>
      <c r="U12" s="368" t="s">
        <v>3828</v>
      </c>
      <c r="V12" s="369" t="s">
        <v>3829</v>
      </c>
      <c r="W12" s="2522" t="s">
        <v>3834</v>
      </c>
      <c r="X12" s="2522"/>
      <c r="Y12" s="2522" t="s">
        <v>3835</v>
      </c>
      <c r="Z12" s="2522"/>
      <c r="AA12" s="387" t="s">
        <v>3836</v>
      </c>
    </row>
    <row r="13" spans="1:28" s="16" customFormat="1" ht="39.950000000000003" customHeight="1">
      <c r="A13" s="2422"/>
      <c r="B13" s="2422"/>
      <c r="C13" s="2422"/>
      <c r="D13" s="2422"/>
      <c r="E13" s="374" t="s">
        <v>3837</v>
      </c>
      <c r="F13" s="375">
        <v>99</v>
      </c>
      <c r="G13" s="2794" t="s">
        <v>3838</v>
      </c>
      <c r="H13" s="2795"/>
      <c r="I13" s="2794" t="s">
        <v>3839</v>
      </c>
      <c r="J13" s="2795"/>
      <c r="K13" s="389">
        <v>5000</v>
      </c>
      <c r="L13" s="369"/>
      <c r="M13" s="374" t="s">
        <v>3837</v>
      </c>
      <c r="N13" s="375">
        <v>99</v>
      </c>
      <c r="O13" s="2794" t="s">
        <v>3840</v>
      </c>
      <c r="P13" s="2795"/>
      <c r="Q13" s="2794" t="s">
        <v>3841</v>
      </c>
      <c r="R13" s="2795"/>
      <c r="S13" s="389" t="s">
        <v>3826</v>
      </c>
      <c r="T13" s="369"/>
      <c r="U13" s="374" t="s">
        <v>3837</v>
      </c>
      <c r="V13" s="375">
        <v>99</v>
      </c>
      <c r="W13" s="2794" t="s">
        <v>3842</v>
      </c>
      <c r="X13" s="2795"/>
      <c r="Y13" s="2794" t="s">
        <v>3843</v>
      </c>
      <c r="Z13" s="2795"/>
      <c r="AA13" s="389" t="s">
        <v>3844</v>
      </c>
    </row>
    <row r="14" spans="1:28" s="16" customFormat="1" ht="14.1" customHeight="1">
      <c r="B14" s="1"/>
      <c r="C14" s="2"/>
      <c r="D14" s="376"/>
      <c r="E14" s="369"/>
      <c r="F14" s="369"/>
      <c r="G14" s="369"/>
      <c r="H14" s="369"/>
      <c r="I14" s="369"/>
      <c r="J14" s="369"/>
      <c r="K14" s="369"/>
      <c r="L14" s="369"/>
      <c r="M14" s="390"/>
      <c r="N14" s="369"/>
      <c r="O14" s="369"/>
      <c r="P14" s="369"/>
      <c r="Q14" s="369"/>
      <c r="R14" s="369"/>
      <c r="S14" s="369"/>
      <c r="T14" s="369"/>
      <c r="U14" s="390"/>
      <c r="V14" s="369"/>
      <c r="W14" s="369"/>
      <c r="X14" s="369"/>
      <c r="Y14" s="369"/>
      <c r="Z14" s="369"/>
      <c r="AA14" s="369"/>
    </row>
    <row r="15" spans="1:28" s="16" customFormat="1" ht="14.1" customHeight="1">
      <c r="B15" s="1"/>
      <c r="C15" s="2"/>
      <c r="D15" s="376"/>
      <c r="E15" s="1423" t="s">
        <v>3845</v>
      </c>
      <c r="F15" s="2796"/>
      <c r="G15" s="2796"/>
      <c r="H15" s="2796"/>
      <c r="I15" s="2796"/>
      <c r="J15" s="2796"/>
      <c r="K15" s="2797"/>
      <c r="L15" s="369"/>
      <c r="M15" s="1423" t="s">
        <v>3846</v>
      </c>
      <c r="N15" s="2796"/>
      <c r="O15" s="2796"/>
      <c r="P15" s="2796"/>
      <c r="Q15" s="2796"/>
      <c r="R15" s="2796"/>
      <c r="S15" s="2797"/>
      <c r="T15" s="369"/>
      <c r="U15" s="1423" t="s">
        <v>3847</v>
      </c>
      <c r="V15" s="2796"/>
      <c r="W15" s="2796"/>
      <c r="X15" s="2796"/>
      <c r="Y15" s="2796"/>
      <c r="Z15" s="2796"/>
      <c r="AA15" s="2797"/>
    </row>
    <row r="16" spans="1:28" s="16" customFormat="1" ht="20.25">
      <c r="B16" s="1"/>
      <c r="C16" s="2"/>
      <c r="D16" s="376"/>
      <c r="E16" s="366" t="s">
        <v>181</v>
      </c>
      <c r="F16" s="367" t="s">
        <v>94</v>
      </c>
      <c r="G16" s="2798" t="s">
        <v>3798</v>
      </c>
      <c r="H16" s="2783"/>
      <c r="I16" s="2798" t="s">
        <v>183</v>
      </c>
      <c r="J16" s="2783"/>
      <c r="K16" s="386" t="s">
        <v>182</v>
      </c>
      <c r="L16" s="369"/>
      <c r="M16" s="366" t="s">
        <v>181</v>
      </c>
      <c r="N16" s="367" t="s">
        <v>94</v>
      </c>
      <c r="O16" s="2798" t="s">
        <v>3798</v>
      </c>
      <c r="P16" s="2783"/>
      <c r="Q16" s="2798" t="s">
        <v>183</v>
      </c>
      <c r="R16" s="2783"/>
      <c r="S16" s="386" t="s">
        <v>182</v>
      </c>
      <c r="T16" s="369"/>
      <c r="U16" s="366" t="s">
        <v>181</v>
      </c>
      <c r="V16" s="367" t="s">
        <v>94</v>
      </c>
      <c r="W16" s="2798" t="s">
        <v>3798</v>
      </c>
      <c r="X16" s="2783"/>
      <c r="Y16" s="2798" t="s">
        <v>183</v>
      </c>
      <c r="Z16" s="2783"/>
      <c r="AA16" s="386" t="s">
        <v>182</v>
      </c>
    </row>
    <row r="17" spans="2:28" s="16" customFormat="1" ht="39.950000000000003" customHeight="1">
      <c r="B17" s="1"/>
      <c r="C17" s="2"/>
      <c r="D17" s="376"/>
      <c r="E17" s="368" t="s">
        <v>3799</v>
      </c>
      <c r="F17" s="369">
        <v>0</v>
      </c>
      <c r="G17" s="1489">
        <v>10</v>
      </c>
      <c r="H17" s="1489"/>
      <c r="I17" s="1489" t="s">
        <v>3800</v>
      </c>
      <c r="J17" s="1489"/>
      <c r="K17" s="387">
        <v>10</v>
      </c>
      <c r="L17" s="369"/>
      <c r="M17" s="368" t="s">
        <v>3799</v>
      </c>
      <c r="N17" s="369">
        <v>0</v>
      </c>
      <c r="O17" s="1489" t="s">
        <v>3848</v>
      </c>
      <c r="P17" s="1489"/>
      <c r="Q17" s="1489" t="s">
        <v>3800</v>
      </c>
      <c r="R17" s="1489"/>
      <c r="S17" s="387" t="s">
        <v>3849</v>
      </c>
      <c r="T17" s="369"/>
      <c r="U17" s="368" t="s">
        <v>3799</v>
      </c>
      <c r="V17" s="369">
        <v>0</v>
      </c>
      <c r="W17" s="1489">
        <v>10</v>
      </c>
      <c r="X17" s="1489"/>
      <c r="Y17" s="1489" t="s">
        <v>3800</v>
      </c>
      <c r="Z17" s="1489"/>
      <c r="AA17" s="387">
        <v>10</v>
      </c>
    </row>
    <row r="18" spans="2:28" s="16" customFormat="1" ht="39.950000000000003" customHeight="1">
      <c r="B18" s="1"/>
      <c r="C18" s="2"/>
      <c r="D18" s="376"/>
      <c r="E18" s="372" t="s">
        <v>3802</v>
      </c>
      <c r="F18" s="373" t="s">
        <v>3803</v>
      </c>
      <c r="G18" s="1737" t="s">
        <v>3850</v>
      </c>
      <c r="H18" s="1104"/>
      <c r="I18" s="1737" t="s">
        <v>3851</v>
      </c>
      <c r="J18" s="1104"/>
      <c r="K18" s="388">
        <v>40</v>
      </c>
      <c r="L18" s="369"/>
      <c r="M18" s="372" t="s">
        <v>3802</v>
      </c>
      <c r="N18" s="373" t="s">
        <v>3803</v>
      </c>
      <c r="O18" s="1737" t="s">
        <v>3852</v>
      </c>
      <c r="P18" s="1104"/>
      <c r="Q18" s="1737" t="s">
        <v>3853</v>
      </c>
      <c r="R18" s="1104"/>
      <c r="S18" s="388" t="s">
        <v>3854</v>
      </c>
      <c r="T18" s="369"/>
      <c r="U18" s="372" t="s">
        <v>3802</v>
      </c>
      <c r="V18" s="373" t="s">
        <v>3803</v>
      </c>
      <c r="W18" s="1737" t="s">
        <v>3855</v>
      </c>
      <c r="X18" s="1104"/>
      <c r="Y18" s="1737" t="s">
        <v>3856</v>
      </c>
      <c r="Z18" s="1104"/>
      <c r="AA18" s="388">
        <v>35</v>
      </c>
    </row>
    <row r="19" spans="2:28" s="16" customFormat="1" ht="39.950000000000003" customHeight="1">
      <c r="B19" s="1"/>
      <c r="C19" s="2"/>
      <c r="D19" s="376"/>
      <c r="E19" s="368" t="s">
        <v>3810</v>
      </c>
      <c r="F19" s="369" t="s">
        <v>3811</v>
      </c>
      <c r="G19" s="2522" t="s">
        <v>3857</v>
      </c>
      <c r="H19" s="2522"/>
      <c r="I19" s="2522" t="s">
        <v>3807</v>
      </c>
      <c r="J19" s="2522"/>
      <c r="K19" s="387">
        <v>200</v>
      </c>
      <c r="L19" s="369"/>
      <c r="M19" s="368" t="s">
        <v>3810</v>
      </c>
      <c r="N19" s="369" t="s">
        <v>3811</v>
      </c>
      <c r="O19" s="2522" t="s">
        <v>3853</v>
      </c>
      <c r="P19" s="2522"/>
      <c r="Q19" s="2522" t="s">
        <v>3830</v>
      </c>
      <c r="R19" s="2522"/>
      <c r="S19" s="394" t="s">
        <v>3858</v>
      </c>
      <c r="T19" s="369"/>
      <c r="U19" s="368" t="s">
        <v>3810</v>
      </c>
      <c r="V19" s="369" t="s">
        <v>3811</v>
      </c>
      <c r="W19" s="2522" t="s">
        <v>3859</v>
      </c>
      <c r="X19" s="2522"/>
      <c r="Y19" s="2522" t="s">
        <v>3822</v>
      </c>
      <c r="Z19" s="2522"/>
      <c r="AA19" s="387">
        <v>140</v>
      </c>
    </row>
    <row r="20" spans="2:28" s="16" customFormat="1" ht="39.950000000000003" customHeight="1">
      <c r="B20" s="1"/>
      <c r="C20" s="2"/>
      <c r="D20" s="376"/>
      <c r="E20" s="372" t="s">
        <v>3819</v>
      </c>
      <c r="F20" s="373" t="s">
        <v>3820</v>
      </c>
      <c r="G20" s="1737" t="s">
        <v>3806</v>
      </c>
      <c r="H20" s="1104"/>
      <c r="I20" s="1737" t="s">
        <v>3860</v>
      </c>
      <c r="J20" s="1104"/>
      <c r="K20" s="388">
        <v>1000</v>
      </c>
      <c r="L20" s="369"/>
      <c r="M20" s="372" t="s">
        <v>3819</v>
      </c>
      <c r="N20" s="373" t="s">
        <v>3820</v>
      </c>
      <c r="O20" s="1737" t="s">
        <v>3861</v>
      </c>
      <c r="P20" s="1104"/>
      <c r="Q20" s="1737" t="s">
        <v>3814</v>
      </c>
      <c r="R20" s="1104"/>
      <c r="S20" s="388">
        <v>15</v>
      </c>
      <c r="T20" s="369"/>
      <c r="U20" s="372" t="s">
        <v>3819</v>
      </c>
      <c r="V20" s="373" t="s">
        <v>3820</v>
      </c>
      <c r="W20" s="1737" t="s">
        <v>3862</v>
      </c>
      <c r="X20" s="1104"/>
      <c r="Y20" s="1737" t="s">
        <v>3863</v>
      </c>
      <c r="Z20" s="1104"/>
      <c r="AA20" s="388">
        <v>700</v>
      </c>
    </row>
    <row r="21" spans="2:28" s="16" customFormat="1" ht="39.950000000000003" customHeight="1">
      <c r="B21" s="1"/>
      <c r="C21" s="2"/>
      <c r="D21" s="376"/>
      <c r="E21" s="368" t="s">
        <v>3828</v>
      </c>
      <c r="F21" s="369" t="s">
        <v>3829</v>
      </c>
      <c r="G21" s="2522" t="s">
        <v>3864</v>
      </c>
      <c r="H21" s="2522"/>
      <c r="I21" s="2522" t="s">
        <v>3865</v>
      </c>
      <c r="J21" s="2522"/>
      <c r="K21" s="387">
        <v>5000</v>
      </c>
      <c r="L21" s="369"/>
      <c r="M21" s="368" t="s">
        <v>3828</v>
      </c>
      <c r="N21" s="369" t="s">
        <v>3829</v>
      </c>
      <c r="O21" s="2522" t="s">
        <v>3813</v>
      </c>
      <c r="P21" s="2522"/>
      <c r="Q21" s="2522" t="s">
        <v>3822</v>
      </c>
      <c r="R21" s="2522"/>
      <c r="S21" s="387">
        <v>50</v>
      </c>
      <c r="T21" s="369"/>
      <c r="U21" s="368" t="s">
        <v>3828</v>
      </c>
      <c r="V21" s="369" t="s">
        <v>3829</v>
      </c>
      <c r="W21" s="2522" t="s">
        <v>3866</v>
      </c>
      <c r="X21" s="2522"/>
      <c r="Y21" s="2522" t="s">
        <v>3867</v>
      </c>
      <c r="Z21" s="2522"/>
      <c r="AA21" s="387">
        <v>4000</v>
      </c>
    </row>
    <row r="22" spans="2:28" s="16" customFormat="1" ht="39.950000000000003" customHeight="1">
      <c r="B22" s="1"/>
      <c r="C22" s="2"/>
      <c r="D22" s="376"/>
      <c r="E22" s="374" t="s">
        <v>3837</v>
      </c>
      <c r="F22" s="375">
        <v>99</v>
      </c>
      <c r="G22" s="2794" t="s">
        <v>3840</v>
      </c>
      <c r="H22" s="2795"/>
      <c r="I22" s="2794" t="s">
        <v>3868</v>
      </c>
      <c r="J22" s="2795"/>
      <c r="K22" s="389" t="s">
        <v>3826</v>
      </c>
      <c r="L22" s="369"/>
      <c r="M22" s="374" t="s">
        <v>3837</v>
      </c>
      <c r="N22" s="375">
        <v>99</v>
      </c>
      <c r="O22" s="2794" t="s">
        <v>3869</v>
      </c>
      <c r="P22" s="2795"/>
      <c r="Q22" s="2794" t="s">
        <v>3870</v>
      </c>
      <c r="R22" s="2795"/>
      <c r="S22" s="389">
        <v>250</v>
      </c>
      <c r="T22" s="369"/>
      <c r="U22" s="374" t="s">
        <v>3837</v>
      </c>
      <c r="V22" s="375">
        <v>99</v>
      </c>
      <c r="W22" s="2794" t="s">
        <v>3840</v>
      </c>
      <c r="X22" s="2795"/>
      <c r="Y22" s="2794" t="s">
        <v>3871</v>
      </c>
      <c r="Z22" s="2795"/>
      <c r="AA22" s="389" t="s">
        <v>3872</v>
      </c>
    </row>
    <row r="23" spans="2:28" s="16" customFormat="1" ht="16.5">
      <c r="E23" s="369"/>
      <c r="F23" s="369"/>
      <c r="G23" s="369"/>
      <c r="H23" s="369"/>
      <c r="I23" s="369"/>
      <c r="J23" s="369"/>
      <c r="K23" s="369"/>
      <c r="L23" s="369"/>
      <c r="M23" s="1489" t="s">
        <v>3873</v>
      </c>
      <c r="N23" s="1489"/>
      <c r="O23" s="1489"/>
      <c r="P23" s="1489"/>
      <c r="Q23" s="1489"/>
      <c r="R23" s="1489"/>
      <c r="S23" s="1489"/>
      <c r="U23" s="369"/>
      <c r="V23" s="369"/>
      <c r="W23" s="369"/>
      <c r="X23" s="369"/>
      <c r="Y23" s="369"/>
      <c r="Z23" s="369"/>
      <c r="AA23" s="369"/>
      <c r="AB23" s="369"/>
    </row>
    <row r="24" spans="2:28" s="16" customFormat="1" ht="16.5">
      <c r="E24" s="369"/>
      <c r="F24" s="369"/>
      <c r="G24" s="369"/>
      <c r="H24" s="369"/>
      <c r="I24" s="369"/>
      <c r="J24" s="369"/>
      <c r="K24" s="369"/>
      <c r="L24" s="369"/>
      <c r="M24" s="369"/>
      <c r="U24" s="369"/>
      <c r="V24" s="369"/>
      <c r="W24" s="369"/>
      <c r="X24" s="369"/>
      <c r="Y24" s="369"/>
      <c r="Z24" s="369"/>
      <c r="AA24" s="369"/>
      <c r="AB24" s="369"/>
    </row>
    <row r="25" spans="2:28" s="16" customFormat="1" ht="16.5">
      <c r="E25" s="369"/>
      <c r="F25" s="2788" t="s">
        <v>3799</v>
      </c>
      <c r="G25" s="2789"/>
      <c r="H25" s="2789"/>
      <c r="I25" s="2789"/>
      <c r="J25" s="2790"/>
      <c r="K25" s="369"/>
      <c r="L25" s="369"/>
      <c r="M25" s="369"/>
      <c r="N25" s="2791" t="s">
        <v>3874</v>
      </c>
      <c r="O25" s="2792"/>
      <c r="P25" s="2792"/>
      <c r="Q25" s="2792"/>
      <c r="R25" s="2793"/>
      <c r="S25" s="395"/>
      <c r="T25" s="369"/>
      <c r="U25" s="369"/>
      <c r="V25" s="369"/>
      <c r="W25" s="395"/>
      <c r="X25" s="395"/>
      <c r="Y25" s="395"/>
      <c r="Z25" s="395"/>
      <c r="AA25" s="395"/>
      <c r="AB25" s="369"/>
    </row>
    <row r="26" spans="2:28" s="16" customFormat="1" ht="63.2" customHeight="1">
      <c r="E26" s="369"/>
      <c r="F26" s="2254" t="s">
        <v>3875</v>
      </c>
      <c r="G26" s="2205"/>
      <c r="H26" s="2205"/>
      <c r="I26" s="2205"/>
      <c r="J26" s="2208"/>
      <c r="K26" s="369"/>
      <c r="L26" s="369"/>
      <c r="M26" s="369"/>
      <c r="N26" s="2254" t="s">
        <v>3876</v>
      </c>
      <c r="O26" s="2205"/>
      <c r="P26" s="2205"/>
      <c r="Q26" s="2205"/>
      <c r="R26" s="2208"/>
      <c r="S26" s="396"/>
      <c r="T26" s="369"/>
      <c r="U26" s="369"/>
      <c r="V26" s="369"/>
      <c r="W26" s="396"/>
      <c r="X26" s="396"/>
      <c r="Y26" s="396"/>
      <c r="Z26" s="396"/>
      <c r="AA26" s="396"/>
      <c r="AB26" s="369"/>
    </row>
    <row r="27" spans="2:28" s="16" customFormat="1" ht="16.5">
      <c r="B27" s="378"/>
      <c r="E27" s="369"/>
      <c r="F27" s="2782" t="s">
        <v>3877</v>
      </c>
      <c r="G27" s="2783"/>
      <c r="H27" s="2783"/>
      <c r="I27" s="2783"/>
      <c r="J27" s="2784"/>
      <c r="K27" s="369"/>
      <c r="L27" s="369"/>
      <c r="M27" s="369"/>
      <c r="N27" s="2782" t="s">
        <v>3878</v>
      </c>
      <c r="O27" s="2783"/>
      <c r="P27" s="2783"/>
      <c r="Q27" s="2783"/>
      <c r="R27" s="2784"/>
      <c r="S27" s="395"/>
      <c r="T27" s="369"/>
      <c r="U27" s="369"/>
      <c r="V27" s="369"/>
      <c r="W27" s="395"/>
      <c r="X27" s="395"/>
      <c r="Y27" s="395"/>
      <c r="Z27" s="395"/>
      <c r="AA27" s="395"/>
      <c r="AB27" s="369"/>
    </row>
    <row r="28" spans="2:28" s="16" customFormat="1" ht="87" customHeight="1">
      <c r="E28" s="369"/>
      <c r="F28" s="2254" t="s">
        <v>3879</v>
      </c>
      <c r="G28" s="2205"/>
      <c r="H28" s="2205"/>
      <c r="I28" s="2205"/>
      <c r="J28" s="2208"/>
      <c r="K28" s="369"/>
      <c r="L28" s="369"/>
      <c r="M28" s="369"/>
      <c r="N28" s="2254" t="s">
        <v>3880</v>
      </c>
      <c r="O28" s="2205"/>
      <c r="P28" s="2205"/>
      <c r="Q28" s="2205"/>
      <c r="R28" s="2208"/>
      <c r="S28" s="396"/>
      <c r="T28" s="369"/>
      <c r="U28" s="369"/>
      <c r="V28" s="369"/>
      <c r="W28" s="396"/>
      <c r="X28" s="396"/>
      <c r="Y28" s="396"/>
      <c r="Z28" s="396"/>
      <c r="AA28" s="396"/>
      <c r="AB28" s="369"/>
    </row>
    <row r="29" spans="2:28" s="16" customFormat="1" ht="16.5">
      <c r="E29" s="369"/>
      <c r="F29" s="2782" t="s">
        <v>3810</v>
      </c>
      <c r="G29" s="2783"/>
      <c r="H29" s="2783"/>
      <c r="I29" s="2783"/>
      <c r="J29" s="2784"/>
      <c r="K29" s="369"/>
      <c r="L29" s="369"/>
      <c r="M29" s="369"/>
      <c r="N29" s="2782" t="s">
        <v>3881</v>
      </c>
      <c r="O29" s="2783"/>
      <c r="P29" s="2783"/>
      <c r="Q29" s="2783"/>
      <c r="R29" s="2784"/>
      <c r="S29" s="395"/>
      <c r="T29" s="369"/>
      <c r="U29" s="369"/>
      <c r="V29" s="369"/>
      <c r="W29" s="395"/>
      <c r="X29" s="395"/>
      <c r="Y29" s="395"/>
      <c r="Z29" s="395"/>
      <c r="AA29" s="395"/>
      <c r="AB29" s="369"/>
    </row>
    <row r="30" spans="2:28" s="16" customFormat="1" ht="50.1" customHeight="1">
      <c r="E30" s="369"/>
      <c r="F30" s="2254" t="s">
        <v>3882</v>
      </c>
      <c r="G30" s="2205"/>
      <c r="H30" s="2205"/>
      <c r="I30" s="2205"/>
      <c r="J30" s="2208"/>
      <c r="K30" s="369"/>
      <c r="L30" s="369"/>
      <c r="M30" s="369"/>
      <c r="N30" s="2254" t="s">
        <v>3883</v>
      </c>
      <c r="O30" s="2205"/>
      <c r="P30" s="2205"/>
      <c r="Q30" s="2205"/>
      <c r="R30" s="2208"/>
      <c r="S30" s="396"/>
      <c r="T30" s="369"/>
      <c r="U30" s="369"/>
      <c r="V30" s="369"/>
      <c r="W30" s="396"/>
      <c r="X30" s="396"/>
      <c r="Y30" s="396"/>
      <c r="Z30" s="396"/>
      <c r="AA30" s="396"/>
      <c r="AB30" s="369"/>
    </row>
    <row r="31" spans="2:28" s="16" customFormat="1" ht="16.5">
      <c r="E31" s="369"/>
      <c r="F31" s="2782" t="s">
        <v>3819</v>
      </c>
      <c r="G31" s="2783"/>
      <c r="H31" s="2783"/>
      <c r="I31" s="2783"/>
      <c r="J31" s="2784"/>
      <c r="K31" s="369"/>
      <c r="L31" s="369"/>
      <c r="M31" s="369"/>
      <c r="N31" s="2782" t="s">
        <v>3884</v>
      </c>
      <c r="O31" s="2783"/>
      <c r="P31" s="2783"/>
      <c r="Q31" s="2783"/>
      <c r="R31" s="2784"/>
      <c r="S31" s="395"/>
      <c r="T31" s="369"/>
      <c r="U31" s="369"/>
      <c r="V31" s="369"/>
      <c r="W31" s="395"/>
      <c r="X31" s="395"/>
      <c r="Y31" s="395"/>
      <c r="Z31" s="395"/>
      <c r="AA31" s="395"/>
      <c r="AB31" s="369"/>
    </row>
    <row r="32" spans="2:28" s="16" customFormat="1" ht="50.1" customHeight="1">
      <c r="E32" s="369"/>
      <c r="F32" s="2254" t="s">
        <v>3885</v>
      </c>
      <c r="G32" s="2205"/>
      <c r="H32" s="2205"/>
      <c r="I32" s="2205"/>
      <c r="J32" s="2208"/>
      <c r="K32" s="369"/>
      <c r="L32" s="369"/>
      <c r="M32" s="369"/>
      <c r="N32" s="2254" t="s">
        <v>3886</v>
      </c>
      <c r="O32" s="2205"/>
      <c r="P32" s="2205"/>
      <c r="Q32" s="2205"/>
      <c r="R32" s="2208"/>
      <c r="S32" s="396"/>
      <c r="T32" s="369"/>
      <c r="U32" s="369"/>
      <c r="V32" s="369"/>
      <c r="W32" s="396"/>
      <c r="X32" s="396"/>
      <c r="Y32" s="396"/>
      <c r="Z32" s="396"/>
      <c r="AA32" s="396"/>
      <c r="AB32" s="369"/>
    </row>
    <row r="33" spans="2:29" s="16" customFormat="1" ht="16.5">
      <c r="E33" s="369"/>
      <c r="F33" s="2782" t="s">
        <v>3828</v>
      </c>
      <c r="G33" s="2783"/>
      <c r="H33" s="2783"/>
      <c r="I33" s="2783"/>
      <c r="J33" s="2784"/>
      <c r="K33" s="369"/>
      <c r="L33" s="369"/>
      <c r="M33" s="369"/>
      <c r="N33" s="2254"/>
      <c r="O33" s="2205"/>
      <c r="P33" s="2205"/>
      <c r="Q33" s="2205"/>
      <c r="R33" s="2208"/>
      <c r="S33" s="395"/>
      <c r="T33" s="369"/>
      <c r="U33" s="369"/>
      <c r="V33" s="369"/>
      <c r="W33" s="395"/>
      <c r="X33" s="395"/>
      <c r="Y33" s="395"/>
      <c r="Z33" s="395"/>
      <c r="AA33" s="395"/>
      <c r="AB33" s="369"/>
    </row>
    <row r="34" spans="2:29" s="16" customFormat="1" ht="50.1" customHeight="1">
      <c r="E34" s="369"/>
      <c r="F34" s="2254" t="s">
        <v>3887</v>
      </c>
      <c r="G34" s="2205"/>
      <c r="H34" s="2205"/>
      <c r="I34" s="2205"/>
      <c r="J34" s="2208"/>
      <c r="K34" s="369"/>
      <c r="L34" s="369"/>
      <c r="M34" s="369"/>
      <c r="N34" s="2254"/>
      <c r="O34" s="2205"/>
      <c r="P34" s="2205"/>
      <c r="Q34" s="2205"/>
      <c r="R34" s="2208"/>
      <c r="S34" s="396"/>
      <c r="T34" s="369"/>
      <c r="U34" s="369"/>
      <c r="V34" s="369"/>
      <c r="W34" s="396"/>
      <c r="X34" s="396"/>
      <c r="Y34" s="396"/>
      <c r="Z34" s="396"/>
      <c r="AA34" s="396"/>
      <c r="AB34" s="369"/>
    </row>
    <row r="35" spans="2:29" s="16" customFormat="1" ht="16.5">
      <c r="B35" s="378"/>
      <c r="E35" s="369"/>
      <c r="F35" s="2782" t="s">
        <v>3888</v>
      </c>
      <c r="G35" s="2783"/>
      <c r="H35" s="2783"/>
      <c r="I35" s="2783"/>
      <c r="J35" s="2784"/>
      <c r="K35" s="369"/>
      <c r="L35" s="369"/>
      <c r="M35" s="369"/>
      <c r="N35" s="2782" t="s">
        <v>3889</v>
      </c>
      <c r="O35" s="2783"/>
      <c r="P35" s="2783"/>
      <c r="Q35" s="2783"/>
      <c r="R35" s="2784"/>
      <c r="S35" s="395"/>
      <c r="T35" s="369"/>
      <c r="U35" s="369"/>
      <c r="V35" s="369"/>
      <c r="W35" s="395"/>
      <c r="X35" s="395"/>
      <c r="Y35" s="395"/>
      <c r="Z35" s="395"/>
      <c r="AA35" s="395"/>
      <c r="AB35" s="369"/>
    </row>
    <row r="36" spans="2:29" s="16" customFormat="1" ht="50.1" customHeight="1">
      <c r="E36" s="369"/>
      <c r="F36" s="2785" t="s">
        <v>3890</v>
      </c>
      <c r="G36" s="2209"/>
      <c r="H36" s="2209"/>
      <c r="I36" s="2209"/>
      <c r="J36" s="2210"/>
      <c r="K36" s="369"/>
      <c r="L36" s="369"/>
      <c r="M36" s="369"/>
      <c r="N36" s="2785" t="s">
        <v>3891</v>
      </c>
      <c r="O36" s="2209"/>
      <c r="P36" s="2209"/>
      <c r="Q36" s="2209"/>
      <c r="R36" s="2210"/>
      <c r="S36" s="396"/>
      <c r="T36" s="369"/>
      <c r="U36" s="369"/>
      <c r="V36" s="369"/>
      <c r="W36" s="396"/>
      <c r="X36" s="396"/>
      <c r="Y36" s="396"/>
      <c r="Z36" s="396"/>
      <c r="AA36" s="396"/>
      <c r="AB36" s="369"/>
    </row>
    <row r="39" spans="2:29" ht="15" customHeight="1">
      <c r="B39" s="2334" t="s">
        <v>3892</v>
      </c>
      <c r="C39" s="2335"/>
      <c r="D39" s="2335"/>
      <c r="E39" s="2335"/>
      <c r="F39" s="2335"/>
      <c r="G39" s="2335"/>
      <c r="H39" s="2335"/>
      <c r="I39" s="2335"/>
      <c r="J39" s="2335"/>
      <c r="K39" s="2335"/>
      <c r="L39" s="2335"/>
      <c r="M39" s="2335"/>
      <c r="N39" s="2335"/>
      <c r="O39" s="2335"/>
      <c r="P39" s="2335"/>
      <c r="Q39" s="2335"/>
      <c r="R39" s="2335"/>
      <c r="S39" s="2335"/>
      <c r="T39" s="2335"/>
      <c r="U39" s="2335"/>
      <c r="V39" s="2335"/>
      <c r="W39" s="2335"/>
      <c r="X39" s="2335"/>
      <c r="Y39" s="2335"/>
      <c r="Z39" s="2335"/>
      <c r="AA39" s="2336"/>
      <c r="AB39" s="402"/>
    </row>
    <row r="40" spans="2:29" ht="15" customHeight="1">
      <c r="B40" s="2337"/>
      <c r="C40" s="2338"/>
      <c r="D40" s="2338"/>
      <c r="E40" s="2338"/>
      <c r="F40" s="2338"/>
      <c r="G40" s="2338"/>
      <c r="H40" s="2338"/>
      <c r="I40" s="2338"/>
      <c r="J40" s="2338"/>
      <c r="K40" s="2338"/>
      <c r="L40" s="2338"/>
      <c r="M40" s="2338"/>
      <c r="N40" s="2338"/>
      <c r="O40" s="2338"/>
      <c r="P40" s="2338"/>
      <c r="Q40" s="2338"/>
      <c r="R40" s="2338"/>
      <c r="S40" s="2338"/>
      <c r="T40" s="2338"/>
      <c r="U40" s="2338"/>
      <c r="V40" s="2338"/>
      <c r="W40" s="2338"/>
      <c r="X40" s="2338"/>
      <c r="Y40" s="2338"/>
      <c r="Z40" s="2338"/>
      <c r="AA40" s="2339"/>
      <c r="AB40" s="402"/>
    </row>
    <row r="41" spans="2:29" ht="15" customHeight="1">
      <c r="B41" s="2340"/>
      <c r="C41" s="2341"/>
      <c r="D41" s="2341"/>
      <c r="E41" s="2341"/>
      <c r="F41" s="2341"/>
      <c r="G41" s="2341"/>
      <c r="H41" s="2341"/>
      <c r="I41" s="2341"/>
      <c r="J41" s="2341"/>
      <c r="K41" s="2341"/>
      <c r="L41" s="2341"/>
      <c r="M41" s="2341"/>
      <c r="N41" s="2341"/>
      <c r="O41" s="2341"/>
      <c r="P41" s="2341"/>
      <c r="Q41" s="2341"/>
      <c r="R41" s="2341"/>
      <c r="S41" s="2341"/>
      <c r="T41" s="2341"/>
      <c r="U41" s="2341"/>
      <c r="V41" s="2341"/>
      <c r="W41" s="2341"/>
      <c r="X41" s="2341"/>
      <c r="Y41" s="2341"/>
      <c r="Z41" s="2341"/>
      <c r="AA41" s="2342"/>
      <c r="AB41" s="402"/>
    </row>
    <row r="42" spans="2:29" ht="14.25">
      <c r="B42" s="2786" t="s">
        <v>3893</v>
      </c>
      <c r="C42" s="2787"/>
      <c r="D42" s="2787"/>
      <c r="E42" s="2787"/>
      <c r="F42" s="2787"/>
      <c r="G42" s="2787"/>
      <c r="H42" s="2787"/>
      <c r="I42" s="2787"/>
      <c r="J42" s="2787"/>
      <c r="K42" s="2787"/>
      <c r="L42" s="2787"/>
      <c r="M42" s="2787"/>
      <c r="N42" s="2787"/>
      <c r="O42" s="2787"/>
      <c r="P42" s="2787"/>
      <c r="Q42" s="2787"/>
      <c r="R42" s="2787"/>
      <c r="S42" s="2787"/>
      <c r="T42" s="2787"/>
      <c r="U42" s="2787"/>
      <c r="V42" s="2787"/>
      <c r="W42" s="2787"/>
      <c r="X42" s="2787"/>
      <c r="Y42" s="2787"/>
      <c r="Z42" s="2787"/>
      <c r="AA42" s="2787"/>
    </row>
    <row r="43" spans="2:29" ht="16.149999999999999" customHeight="1">
      <c r="B43" s="2678" t="s">
        <v>3894</v>
      </c>
      <c r="C43" s="2679"/>
      <c r="D43" s="2679"/>
      <c r="E43" s="2680"/>
      <c r="F43" s="33"/>
      <c r="G43" s="2678" t="s">
        <v>3895</v>
      </c>
      <c r="H43" s="2679"/>
      <c r="I43" s="2679"/>
      <c r="J43" s="2679"/>
      <c r="K43" s="2680"/>
      <c r="L43" s="33"/>
      <c r="M43" s="2678" t="s">
        <v>3896</v>
      </c>
      <c r="N43" s="2679"/>
      <c r="O43" s="2679"/>
      <c r="P43" s="2680"/>
      <c r="Q43" s="33"/>
      <c r="R43" s="2678" t="s">
        <v>3897</v>
      </c>
      <c r="S43" s="2679"/>
      <c r="T43" s="2680"/>
      <c r="U43" s="383"/>
      <c r="V43" s="2678" t="s">
        <v>3898</v>
      </c>
      <c r="W43" s="2679"/>
      <c r="X43" s="2679"/>
      <c r="Y43" s="2679"/>
      <c r="Z43" s="2679"/>
      <c r="AA43" s="2680"/>
      <c r="AC43" s="403"/>
    </row>
    <row r="44" spans="2:29" ht="16.149999999999999" customHeight="1">
      <c r="B44" s="2683" t="s">
        <v>1494</v>
      </c>
      <c r="C44" s="2684"/>
      <c r="D44" s="2684"/>
      <c r="E44" s="380" t="s">
        <v>3899</v>
      </c>
      <c r="F44" s="33"/>
      <c r="G44" s="2683" t="s">
        <v>1494</v>
      </c>
      <c r="H44" s="2684"/>
      <c r="I44" s="2684"/>
      <c r="J44" s="2684"/>
      <c r="K44" s="380" t="s">
        <v>3899</v>
      </c>
      <c r="L44" s="33"/>
      <c r="M44" s="2683" t="s">
        <v>1494</v>
      </c>
      <c r="N44" s="2684"/>
      <c r="O44" s="2684"/>
      <c r="P44" s="380" t="s">
        <v>3899</v>
      </c>
      <c r="Q44" s="33"/>
      <c r="R44" s="2683" t="s">
        <v>1494</v>
      </c>
      <c r="S44" s="2684"/>
      <c r="T44" s="380" t="s">
        <v>3899</v>
      </c>
      <c r="U44" s="33"/>
      <c r="V44" s="2683" t="s">
        <v>1494</v>
      </c>
      <c r="W44" s="2684"/>
      <c r="X44" s="2684"/>
      <c r="Y44" s="2684"/>
      <c r="Z44" s="404" t="s">
        <v>3900</v>
      </c>
      <c r="AA44" s="380" t="s">
        <v>3899</v>
      </c>
      <c r="AC44" s="403"/>
    </row>
    <row r="45" spans="2:29" ht="16.149999999999999" customHeight="1">
      <c r="B45" s="2668" t="s">
        <v>3901</v>
      </c>
      <c r="C45" s="2669"/>
      <c r="D45" s="2669"/>
      <c r="E45" s="381" t="s">
        <v>3902</v>
      </c>
      <c r="F45" s="33"/>
      <c r="G45" s="2725" t="s">
        <v>3903</v>
      </c>
      <c r="H45" s="2726"/>
      <c r="I45" s="2726"/>
      <c r="J45" s="2726"/>
      <c r="K45" s="381" t="s">
        <v>3904</v>
      </c>
      <c r="L45" s="33"/>
      <c r="M45" s="2668" t="s">
        <v>3905</v>
      </c>
      <c r="N45" s="2669"/>
      <c r="O45" s="2669"/>
      <c r="P45" s="381">
        <v>25</v>
      </c>
      <c r="Q45" s="33"/>
      <c r="R45" s="2668" t="s">
        <v>3906</v>
      </c>
      <c r="S45" s="2669"/>
      <c r="T45" s="397">
        <v>20</v>
      </c>
      <c r="U45" s="33"/>
      <c r="V45" s="2771" t="s">
        <v>3907</v>
      </c>
      <c r="W45" s="2772"/>
      <c r="X45" s="2772"/>
      <c r="Y45" s="2772"/>
      <c r="Z45" s="385">
        <v>500</v>
      </c>
      <c r="AA45" s="397">
        <v>21</v>
      </c>
      <c r="AC45" s="403"/>
    </row>
    <row r="46" spans="2:29" ht="16.149999999999999" customHeight="1">
      <c r="B46" s="2674" t="s">
        <v>3908</v>
      </c>
      <c r="C46" s="2675"/>
      <c r="D46" s="2675"/>
      <c r="E46" s="382">
        <v>350</v>
      </c>
      <c r="F46" s="33"/>
      <c r="G46" s="2723" t="s">
        <v>3909</v>
      </c>
      <c r="H46" s="2724"/>
      <c r="I46" s="2724"/>
      <c r="J46" s="2724"/>
      <c r="K46" s="382" t="s">
        <v>3910</v>
      </c>
      <c r="L46" s="33"/>
      <c r="M46" s="2674" t="s">
        <v>3911</v>
      </c>
      <c r="N46" s="2675"/>
      <c r="O46" s="2675"/>
      <c r="P46" s="382">
        <v>60</v>
      </c>
      <c r="Q46" s="33"/>
      <c r="R46" s="2674" t="s">
        <v>3912</v>
      </c>
      <c r="S46" s="2675"/>
      <c r="T46" s="398">
        <v>50</v>
      </c>
      <c r="U46" s="33"/>
      <c r="V46" s="2778" t="s">
        <v>3913</v>
      </c>
      <c r="W46" s="2779"/>
      <c r="X46" s="2779"/>
      <c r="Y46" s="2779"/>
      <c r="Z46" s="405">
        <v>50</v>
      </c>
      <c r="AA46" s="398">
        <v>24</v>
      </c>
      <c r="AC46" s="403"/>
    </row>
    <row r="47" spans="2:29" ht="16.149999999999999" customHeight="1">
      <c r="B47" s="2668" t="s">
        <v>3914</v>
      </c>
      <c r="C47" s="2669"/>
      <c r="D47" s="2669"/>
      <c r="E47" s="381">
        <v>200</v>
      </c>
      <c r="F47" s="33"/>
      <c r="G47" s="2683" t="s">
        <v>3915</v>
      </c>
      <c r="H47" s="2684"/>
      <c r="I47" s="2684"/>
      <c r="J47" s="2684"/>
      <c r="K47" s="380" t="s">
        <v>3899</v>
      </c>
      <c r="L47" s="33"/>
      <c r="M47" s="2668" t="s">
        <v>3916</v>
      </c>
      <c r="N47" s="2669"/>
      <c r="O47" s="2669"/>
      <c r="P47" s="381">
        <v>110</v>
      </c>
      <c r="Q47" s="33"/>
      <c r="R47" s="2687" t="s">
        <v>3917</v>
      </c>
      <c r="S47" s="2688"/>
      <c r="T47" s="399">
        <v>50</v>
      </c>
      <c r="U47" s="33"/>
      <c r="V47" s="2780" t="s">
        <v>3918</v>
      </c>
      <c r="W47" s="2781"/>
      <c r="X47" s="2781"/>
      <c r="Y47" s="2781"/>
      <c r="Z47" s="406">
        <v>50</v>
      </c>
      <c r="AA47" s="397">
        <v>15</v>
      </c>
      <c r="AC47" s="403"/>
    </row>
    <row r="48" spans="2:29" ht="16.149999999999999" customHeight="1">
      <c r="B48" s="2674" t="s">
        <v>3919</v>
      </c>
      <c r="C48" s="2675"/>
      <c r="D48" s="2675"/>
      <c r="E48" s="382">
        <v>50</v>
      </c>
      <c r="F48" s="33"/>
      <c r="G48" s="2725" t="s">
        <v>3920</v>
      </c>
      <c r="H48" s="2726"/>
      <c r="I48" s="2726"/>
      <c r="J48" s="2726"/>
      <c r="K48" s="381" t="s">
        <v>3921</v>
      </c>
      <c r="L48" s="33"/>
      <c r="M48" s="2674" t="s">
        <v>3922</v>
      </c>
      <c r="N48" s="2675"/>
      <c r="O48" s="2675"/>
      <c r="P48" s="382">
        <v>30</v>
      </c>
      <c r="Q48" s="33"/>
      <c r="R48" s="2775"/>
      <c r="S48" s="2775"/>
      <c r="T48" s="385"/>
      <c r="U48" s="33"/>
      <c r="V48" s="2776" t="s">
        <v>3923</v>
      </c>
      <c r="W48" s="2777"/>
      <c r="X48" s="2777"/>
      <c r="Y48" s="2777"/>
      <c r="Z48" s="407">
        <v>50</v>
      </c>
      <c r="AA48" s="398">
        <v>15</v>
      </c>
      <c r="AC48" s="403"/>
    </row>
    <row r="49" spans="2:29" ht="16.149999999999999" customHeight="1">
      <c r="B49" s="2668" t="s">
        <v>3924</v>
      </c>
      <c r="C49" s="2669"/>
      <c r="D49" s="2669"/>
      <c r="E49" s="381">
        <v>200</v>
      </c>
      <c r="F49" s="33"/>
      <c r="G49" s="2723" t="s">
        <v>3925</v>
      </c>
      <c r="H49" s="2724"/>
      <c r="I49" s="2724"/>
      <c r="J49" s="2724"/>
      <c r="K49" s="382" t="s">
        <v>3926</v>
      </c>
      <c r="L49" s="33"/>
      <c r="M49" s="2668" t="s">
        <v>3927</v>
      </c>
      <c r="N49" s="2669"/>
      <c r="O49" s="2669"/>
      <c r="P49" s="381">
        <v>200</v>
      </c>
      <c r="Q49" s="33"/>
      <c r="R49" s="2678" t="s">
        <v>381</v>
      </c>
      <c r="S49" s="2679"/>
      <c r="T49" s="2680"/>
      <c r="U49" s="33"/>
      <c r="V49" s="2771" t="s">
        <v>3928</v>
      </c>
      <c r="W49" s="2772"/>
      <c r="X49" s="2772"/>
      <c r="Y49" s="2772"/>
      <c r="Z49" s="408">
        <v>50</v>
      </c>
      <c r="AA49" s="397">
        <v>15</v>
      </c>
      <c r="AC49" s="403"/>
    </row>
    <row r="50" spans="2:29" ht="16.149999999999999" customHeight="1">
      <c r="B50" s="2674" t="s">
        <v>3929</v>
      </c>
      <c r="C50" s="2675"/>
      <c r="D50" s="2675"/>
      <c r="E50" s="382">
        <v>250</v>
      </c>
      <c r="F50" s="33"/>
      <c r="G50" s="2725" t="s">
        <v>3930</v>
      </c>
      <c r="H50" s="2726"/>
      <c r="I50" s="2726"/>
      <c r="J50" s="2726"/>
      <c r="K50" s="381">
        <v>62.5</v>
      </c>
      <c r="L50" s="33"/>
      <c r="M50" s="2674" t="s">
        <v>3931</v>
      </c>
      <c r="N50" s="2675"/>
      <c r="O50" s="2675"/>
      <c r="P50" s="382">
        <v>30</v>
      </c>
      <c r="Q50" s="33"/>
      <c r="R50" s="2683" t="s">
        <v>1494</v>
      </c>
      <c r="S50" s="2684"/>
      <c r="T50" s="380" t="s">
        <v>3899</v>
      </c>
      <c r="U50" s="33"/>
      <c r="V50" s="2767" t="s">
        <v>3932</v>
      </c>
      <c r="W50" s="2768"/>
      <c r="X50" s="2768"/>
      <c r="Y50" s="2768"/>
      <c r="Z50" s="409">
        <v>50</v>
      </c>
      <c r="AA50" s="398">
        <v>22</v>
      </c>
      <c r="AC50" s="403"/>
    </row>
    <row r="51" spans="2:29" ht="16.149999999999999" customHeight="1">
      <c r="B51" s="2668" t="s">
        <v>3933</v>
      </c>
      <c r="C51" s="2669"/>
      <c r="D51" s="2669"/>
      <c r="E51" s="381">
        <v>35</v>
      </c>
      <c r="F51" s="33"/>
      <c r="G51" s="2729" t="s">
        <v>3934</v>
      </c>
      <c r="H51" s="2730"/>
      <c r="I51" s="2730"/>
      <c r="J51" s="2730"/>
      <c r="K51" s="380" t="s">
        <v>3899</v>
      </c>
      <c r="L51" s="33"/>
      <c r="M51" s="2668" t="s">
        <v>3935</v>
      </c>
      <c r="N51" s="2669"/>
      <c r="O51" s="2669"/>
      <c r="P51" s="381">
        <v>1300</v>
      </c>
      <c r="Q51" s="33"/>
      <c r="R51" s="2668" t="s">
        <v>3936</v>
      </c>
      <c r="S51" s="2669"/>
      <c r="T51" s="397" t="s">
        <v>3902</v>
      </c>
      <c r="U51" s="33"/>
      <c r="V51" s="2771" t="s">
        <v>3937</v>
      </c>
      <c r="W51" s="2772"/>
      <c r="X51" s="2772"/>
      <c r="Y51" s="2772"/>
      <c r="Z51" s="408">
        <v>50</v>
      </c>
      <c r="AA51" s="397">
        <v>17</v>
      </c>
      <c r="AC51" s="403"/>
    </row>
    <row r="52" spans="2:29" ht="16.149999999999999" customHeight="1">
      <c r="B52" s="2674" t="s">
        <v>3938</v>
      </c>
      <c r="C52" s="2675"/>
      <c r="D52" s="2675"/>
      <c r="E52" s="382">
        <v>36</v>
      </c>
      <c r="F52" s="33"/>
      <c r="G52" s="2725" t="s">
        <v>3939</v>
      </c>
      <c r="H52" s="2726"/>
      <c r="I52" s="2726"/>
      <c r="J52" s="2726"/>
      <c r="K52" s="381" t="s">
        <v>3940</v>
      </c>
      <c r="L52" s="33"/>
      <c r="M52" s="2674" t="s">
        <v>3941</v>
      </c>
      <c r="N52" s="2675"/>
      <c r="O52" s="2675"/>
      <c r="P52" s="382">
        <v>65</v>
      </c>
      <c r="Q52" s="33"/>
      <c r="R52" s="2674" t="s">
        <v>3942</v>
      </c>
      <c r="S52" s="2675"/>
      <c r="T52" s="398" t="s">
        <v>3943</v>
      </c>
      <c r="U52" s="33"/>
      <c r="V52" s="2767" t="s">
        <v>3944</v>
      </c>
      <c r="W52" s="2768"/>
      <c r="X52" s="2768"/>
      <c r="Y52" s="2768"/>
      <c r="Z52" s="409">
        <v>50</v>
      </c>
      <c r="AA52" s="398">
        <v>24</v>
      </c>
    </row>
    <row r="53" spans="2:29" ht="16.149999999999999" customHeight="1">
      <c r="B53" s="2668" t="s">
        <v>3945</v>
      </c>
      <c r="C53" s="2669"/>
      <c r="D53" s="2669"/>
      <c r="E53" s="381">
        <v>35</v>
      </c>
      <c r="F53" s="33"/>
      <c r="G53" s="2723" t="s">
        <v>3946</v>
      </c>
      <c r="H53" s="2724"/>
      <c r="I53" s="2724"/>
      <c r="J53" s="2724"/>
      <c r="K53" s="382" t="s">
        <v>3947</v>
      </c>
      <c r="L53" s="33"/>
      <c r="M53" s="2668" t="s">
        <v>3948</v>
      </c>
      <c r="N53" s="2669"/>
      <c r="O53" s="2669"/>
      <c r="P53" s="381">
        <v>30</v>
      </c>
      <c r="Q53" s="33"/>
      <c r="R53" s="2668" t="s">
        <v>3949</v>
      </c>
      <c r="S53" s="2669"/>
      <c r="T53" s="397" t="s">
        <v>3950</v>
      </c>
      <c r="U53" s="33"/>
      <c r="V53" s="2771" t="s">
        <v>3951</v>
      </c>
      <c r="W53" s="2772"/>
      <c r="X53" s="2772"/>
      <c r="Y53" s="2772"/>
      <c r="Z53" s="408">
        <v>50</v>
      </c>
      <c r="AA53" s="397">
        <v>12</v>
      </c>
    </row>
    <row r="54" spans="2:29" ht="16.149999999999999" customHeight="1">
      <c r="B54" s="2674" t="s">
        <v>3952</v>
      </c>
      <c r="C54" s="2675"/>
      <c r="D54" s="2675"/>
      <c r="E54" s="382">
        <v>40</v>
      </c>
      <c r="F54" s="33"/>
      <c r="G54" s="2773" t="s">
        <v>3953</v>
      </c>
      <c r="H54" s="2774"/>
      <c r="I54" s="2774"/>
      <c r="J54" s="2774"/>
      <c r="K54" s="392" t="s">
        <v>3954</v>
      </c>
      <c r="L54" s="33"/>
      <c r="M54" s="2674" t="s">
        <v>3955</v>
      </c>
      <c r="N54" s="2675"/>
      <c r="O54" s="2675"/>
      <c r="P54" s="382">
        <v>20</v>
      </c>
      <c r="Q54" s="33"/>
      <c r="R54" s="2674" t="s">
        <v>3956</v>
      </c>
      <c r="S54" s="2675"/>
      <c r="T54" s="398" t="s">
        <v>3957</v>
      </c>
      <c r="U54" s="33"/>
      <c r="V54" s="2767" t="s">
        <v>3958</v>
      </c>
      <c r="W54" s="2768"/>
      <c r="X54" s="2768"/>
      <c r="Y54" s="2768"/>
      <c r="Z54" s="409">
        <v>50</v>
      </c>
      <c r="AA54" s="398">
        <v>39</v>
      </c>
    </row>
    <row r="55" spans="2:29" ht="16.149999999999999" customHeight="1">
      <c r="B55" s="2668" t="s">
        <v>3959</v>
      </c>
      <c r="C55" s="2669"/>
      <c r="D55" s="2669"/>
      <c r="E55" s="381">
        <v>50</v>
      </c>
      <c r="F55" s="33"/>
      <c r="G55" s="383"/>
      <c r="H55" s="383"/>
      <c r="I55" s="383"/>
      <c r="J55" s="33"/>
      <c r="K55" s="33"/>
      <c r="L55" s="33"/>
      <c r="M55" s="2668" t="s">
        <v>3960</v>
      </c>
      <c r="N55" s="2669"/>
      <c r="O55" s="2669"/>
      <c r="P55" s="381">
        <v>250</v>
      </c>
      <c r="Q55" s="33"/>
      <c r="R55" s="2668" t="s">
        <v>3961</v>
      </c>
      <c r="S55" s="2669"/>
      <c r="T55" s="397">
        <v>400</v>
      </c>
      <c r="U55" s="33"/>
      <c r="V55" s="2771" t="s">
        <v>3962</v>
      </c>
      <c r="W55" s="2772"/>
      <c r="X55" s="2772"/>
      <c r="Y55" s="2772"/>
      <c r="Z55" s="408">
        <v>100</v>
      </c>
      <c r="AA55" s="397">
        <v>23</v>
      </c>
    </row>
    <row r="56" spans="2:29" ht="16.149999999999999" customHeight="1">
      <c r="B56" s="2674" t="s">
        <v>3963</v>
      </c>
      <c r="C56" s="2675"/>
      <c r="D56" s="2675"/>
      <c r="E56" s="382">
        <v>100</v>
      </c>
      <c r="F56" s="33"/>
      <c r="G56" s="2678" t="s">
        <v>3964</v>
      </c>
      <c r="H56" s="2679"/>
      <c r="I56" s="2679"/>
      <c r="J56" s="2679"/>
      <c r="K56" s="2680"/>
      <c r="L56" s="33"/>
      <c r="M56" s="2674" t="s">
        <v>3965</v>
      </c>
      <c r="N56" s="2675"/>
      <c r="O56" s="2675"/>
      <c r="P56" s="382">
        <v>260</v>
      </c>
      <c r="Q56" s="33"/>
      <c r="R56" s="2711" t="s">
        <v>3966</v>
      </c>
      <c r="S56" s="2712"/>
      <c r="T56" s="400">
        <v>200</v>
      </c>
      <c r="U56" s="33"/>
      <c r="V56" s="2767" t="s">
        <v>3967</v>
      </c>
      <c r="W56" s="2768"/>
      <c r="X56" s="2768"/>
      <c r="Y56" s="2768"/>
      <c r="Z56" s="409">
        <v>25</v>
      </c>
      <c r="AA56" s="398">
        <v>40</v>
      </c>
    </row>
    <row r="57" spans="2:29" ht="16.149999999999999" customHeight="1">
      <c r="B57" s="2668" t="s">
        <v>3968</v>
      </c>
      <c r="C57" s="2669"/>
      <c r="D57" s="2669"/>
      <c r="E57" s="381">
        <v>35</v>
      </c>
      <c r="F57" s="33"/>
      <c r="G57" s="2683" t="s">
        <v>1494</v>
      </c>
      <c r="H57" s="2684"/>
      <c r="I57" s="2684"/>
      <c r="J57" s="2684"/>
      <c r="K57" s="380" t="s">
        <v>3899</v>
      </c>
      <c r="L57" s="33"/>
      <c r="M57" s="2668" t="s">
        <v>3969</v>
      </c>
      <c r="N57" s="2669"/>
      <c r="O57" s="2669"/>
      <c r="P57" s="381">
        <v>2000</v>
      </c>
      <c r="Q57" s="33"/>
      <c r="R57" s="33"/>
      <c r="S57" s="33"/>
      <c r="T57" s="33"/>
      <c r="U57" s="33"/>
      <c r="V57" s="2771" t="s">
        <v>3970</v>
      </c>
      <c r="W57" s="2772"/>
      <c r="X57" s="2772"/>
      <c r="Y57" s="2772"/>
      <c r="Z57" s="385">
        <v>25</v>
      </c>
      <c r="AA57" s="397">
        <v>30</v>
      </c>
      <c r="AC57" s="403"/>
    </row>
    <row r="58" spans="2:29" ht="16.149999999999999" customHeight="1">
      <c r="B58" s="2674" t="s">
        <v>3971</v>
      </c>
      <c r="C58" s="2675"/>
      <c r="D58" s="2675"/>
      <c r="E58" s="382">
        <v>15</v>
      </c>
      <c r="F58" s="33"/>
      <c r="G58" s="2668" t="s">
        <v>3972</v>
      </c>
      <c r="H58" s="2669"/>
      <c r="I58" s="2669"/>
      <c r="J58" s="2669"/>
      <c r="K58" s="381">
        <v>23000</v>
      </c>
      <c r="L58" s="33"/>
      <c r="M58" s="2674" t="s">
        <v>3973</v>
      </c>
      <c r="N58" s="2675"/>
      <c r="O58" s="2675"/>
      <c r="P58" s="382">
        <v>1000</v>
      </c>
      <c r="Q58" s="33"/>
      <c r="R58" s="2678" t="s">
        <v>3974</v>
      </c>
      <c r="S58" s="2679"/>
      <c r="T58" s="2680"/>
      <c r="U58" s="33"/>
      <c r="V58" s="2767" t="s">
        <v>3975</v>
      </c>
      <c r="W58" s="2768"/>
      <c r="X58" s="2768"/>
      <c r="Y58" s="2768"/>
      <c r="Z58" s="410">
        <v>25</v>
      </c>
      <c r="AA58" s="398">
        <v>26</v>
      </c>
    </row>
    <row r="59" spans="2:29" ht="16.149999999999999" customHeight="1">
      <c r="B59" s="2668" t="s">
        <v>3976</v>
      </c>
      <c r="C59" s="2669"/>
      <c r="D59" s="2669"/>
      <c r="E59" s="381">
        <v>15</v>
      </c>
      <c r="F59" s="33"/>
      <c r="G59" s="2674" t="s">
        <v>3977</v>
      </c>
      <c r="H59" s="2675"/>
      <c r="I59" s="2675"/>
      <c r="J59" s="2675"/>
      <c r="K59" s="382">
        <v>13000</v>
      </c>
      <c r="L59" s="33"/>
      <c r="M59" s="2668" t="s">
        <v>3978</v>
      </c>
      <c r="N59" s="2669"/>
      <c r="O59" s="2669"/>
      <c r="P59" s="381" t="s">
        <v>3979</v>
      </c>
      <c r="Q59" s="33"/>
      <c r="R59" s="2683" t="s">
        <v>1494</v>
      </c>
      <c r="S59" s="2684"/>
      <c r="T59" s="380" t="s">
        <v>3899</v>
      </c>
      <c r="U59" s="33"/>
      <c r="V59" s="2769" t="s">
        <v>3980</v>
      </c>
      <c r="W59" s="2770"/>
      <c r="X59" s="2770"/>
      <c r="Y59" s="2770"/>
      <c r="Z59" s="411">
        <v>25</v>
      </c>
      <c r="AA59" s="399">
        <v>28</v>
      </c>
    </row>
    <row r="60" spans="2:29" ht="16.149999999999999" customHeight="1">
      <c r="B60" s="2674" t="s">
        <v>3981</v>
      </c>
      <c r="C60" s="2675"/>
      <c r="D60" s="2675"/>
      <c r="E60" s="382">
        <v>60</v>
      </c>
      <c r="F60" s="33"/>
      <c r="G60" s="2668" t="s">
        <v>3982</v>
      </c>
      <c r="H60" s="2669"/>
      <c r="I60" s="2669"/>
      <c r="J60" s="2669"/>
      <c r="K60" s="381">
        <v>260000</v>
      </c>
      <c r="L60" s="33"/>
      <c r="M60" s="2711" t="s">
        <v>3983</v>
      </c>
      <c r="N60" s="2712"/>
      <c r="O60" s="2712"/>
      <c r="P60" s="393">
        <v>100</v>
      </c>
      <c r="Q60" s="33"/>
      <c r="R60" s="2685" t="s">
        <v>3984</v>
      </c>
      <c r="S60" s="2686"/>
      <c r="T60" s="397">
        <v>600</v>
      </c>
      <c r="U60" s="33"/>
      <c r="V60" s="33"/>
      <c r="W60" s="33"/>
      <c r="X60" s="33"/>
      <c r="Y60" s="33"/>
      <c r="Z60" s="33"/>
      <c r="AA60" s="33"/>
    </row>
    <row r="61" spans="2:29" ht="16.149999999999999" customHeight="1">
      <c r="B61" s="2668" t="s">
        <v>3985</v>
      </c>
      <c r="C61" s="2669"/>
      <c r="D61" s="2669"/>
      <c r="E61" s="381">
        <v>200</v>
      </c>
      <c r="F61" s="33"/>
      <c r="G61" s="2674" t="s">
        <v>3986</v>
      </c>
      <c r="H61" s="2675"/>
      <c r="I61" s="2675"/>
      <c r="J61" s="2675"/>
      <c r="K61" s="382">
        <v>200500</v>
      </c>
      <c r="L61" s="33"/>
      <c r="M61" s="33"/>
      <c r="N61" s="383"/>
      <c r="O61" s="383"/>
      <c r="P61" s="383"/>
      <c r="Q61" s="33"/>
      <c r="R61" s="2707" t="s">
        <v>3987</v>
      </c>
      <c r="S61" s="2708"/>
      <c r="T61" s="398">
        <v>500</v>
      </c>
      <c r="U61" s="33"/>
      <c r="V61" s="2678" t="s">
        <v>3988</v>
      </c>
      <c r="W61" s="2679"/>
      <c r="X61" s="2679"/>
      <c r="Y61" s="2679"/>
      <c r="Z61" s="2679"/>
      <c r="AA61" s="2680"/>
    </row>
    <row r="62" spans="2:29" ht="16.149999999999999" customHeight="1">
      <c r="B62" s="2711" t="s">
        <v>3989</v>
      </c>
      <c r="C62" s="2712"/>
      <c r="D62" s="2712"/>
      <c r="E62" s="384">
        <v>600</v>
      </c>
      <c r="F62" s="33"/>
      <c r="G62" s="2668" t="s">
        <v>3990</v>
      </c>
      <c r="H62" s="2669"/>
      <c r="I62" s="2669"/>
      <c r="J62" s="2669"/>
      <c r="K62" s="381">
        <v>62000</v>
      </c>
      <c r="L62" s="33"/>
      <c r="M62" s="2758" t="s">
        <v>3991</v>
      </c>
      <c r="N62" s="2759"/>
      <c r="O62" s="2759"/>
      <c r="P62" s="2760"/>
      <c r="Q62" s="33"/>
      <c r="R62" s="2685" t="s">
        <v>3992</v>
      </c>
      <c r="S62" s="2686"/>
      <c r="T62" s="397">
        <v>1400</v>
      </c>
      <c r="U62" s="33"/>
      <c r="V62" s="2683" t="s">
        <v>1494</v>
      </c>
      <c r="W62" s="2684"/>
      <c r="X62" s="2684"/>
      <c r="Y62" s="2684"/>
      <c r="Z62" s="2765" t="s">
        <v>3899</v>
      </c>
      <c r="AA62" s="2766"/>
    </row>
    <row r="63" spans="2:29" ht="16.149999999999999" customHeight="1">
      <c r="B63" s="2702"/>
      <c r="C63" s="2702"/>
      <c r="D63" s="385"/>
      <c r="E63" s="383"/>
      <c r="F63" s="33"/>
      <c r="G63" s="2674" t="s">
        <v>3993</v>
      </c>
      <c r="H63" s="2675"/>
      <c r="I63" s="2675"/>
      <c r="J63" s="2675"/>
      <c r="K63" s="382">
        <v>38000</v>
      </c>
      <c r="L63" s="33"/>
      <c r="M63" s="2683" t="s">
        <v>1494</v>
      </c>
      <c r="N63" s="2684"/>
      <c r="O63" s="2684"/>
      <c r="P63" s="380" t="s">
        <v>3899</v>
      </c>
      <c r="Q63" s="33"/>
      <c r="R63" s="2763" t="s">
        <v>3994</v>
      </c>
      <c r="S63" s="2764"/>
      <c r="T63" s="400">
        <v>90</v>
      </c>
      <c r="U63" s="33"/>
      <c r="V63" s="2674" t="s">
        <v>3995</v>
      </c>
      <c r="W63" s="2675"/>
      <c r="X63" s="2675"/>
      <c r="Y63" s="2675"/>
      <c r="Z63" s="2754" t="s">
        <v>3902</v>
      </c>
      <c r="AA63" s="2755"/>
    </row>
    <row r="64" spans="2:29" ht="16.149999999999999" customHeight="1">
      <c r="B64" s="2678" t="s">
        <v>3996</v>
      </c>
      <c r="C64" s="2679"/>
      <c r="D64" s="2679"/>
      <c r="E64" s="2680"/>
      <c r="F64" s="33"/>
      <c r="G64" s="2668" t="s">
        <v>3997</v>
      </c>
      <c r="H64" s="2669"/>
      <c r="I64" s="2669"/>
      <c r="J64" s="2669"/>
      <c r="K64" s="381">
        <v>54000</v>
      </c>
      <c r="L64" s="33"/>
      <c r="M64" s="2668" t="s">
        <v>3998</v>
      </c>
      <c r="N64" s="2669"/>
      <c r="O64" s="2669"/>
      <c r="P64" s="381">
        <v>60</v>
      </c>
      <c r="Q64" s="33"/>
      <c r="R64" s="33"/>
      <c r="S64" s="33"/>
      <c r="T64" s="33"/>
      <c r="U64" s="33"/>
      <c r="V64" s="2668" t="s">
        <v>3999</v>
      </c>
      <c r="W64" s="2669"/>
      <c r="X64" s="2669"/>
      <c r="Y64" s="2669"/>
      <c r="Z64" s="2669" t="s">
        <v>4000</v>
      </c>
      <c r="AA64" s="2757"/>
    </row>
    <row r="65" spans="2:29" ht="16.149999999999999" customHeight="1">
      <c r="B65" s="2683" t="s">
        <v>1494</v>
      </c>
      <c r="C65" s="2684"/>
      <c r="D65" s="2684"/>
      <c r="E65" s="380" t="s">
        <v>3899</v>
      </c>
      <c r="F65" s="33"/>
      <c r="G65" s="2674" t="s">
        <v>4001</v>
      </c>
      <c r="H65" s="2675"/>
      <c r="I65" s="2675"/>
      <c r="J65" s="2675"/>
      <c r="K65" s="382">
        <v>33000</v>
      </c>
      <c r="L65" s="33"/>
      <c r="M65" s="2674" t="s">
        <v>4002</v>
      </c>
      <c r="N65" s="2675"/>
      <c r="O65" s="2675"/>
      <c r="P65" s="382">
        <v>90</v>
      </c>
      <c r="Q65" s="33"/>
      <c r="R65" s="2678" t="s">
        <v>4003</v>
      </c>
      <c r="S65" s="2679"/>
      <c r="T65" s="2680"/>
      <c r="U65" s="33"/>
      <c r="V65" s="2674" t="s">
        <v>4004</v>
      </c>
      <c r="W65" s="2675"/>
      <c r="X65" s="2675"/>
      <c r="Y65" s="2675"/>
      <c r="Z65" s="2754" t="s">
        <v>3665</v>
      </c>
      <c r="AA65" s="2755"/>
    </row>
    <row r="66" spans="2:29" ht="16.149999999999999" customHeight="1">
      <c r="B66" s="2668" t="s">
        <v>4005</v>
      </c>
      <c r="C66" s="2669"/>
      <c r="D66" s="2669"/>
      <c r="E66" s="381" t="s">
        <v>4006</v>
      </c>
      <c r="F66" s="33"/>
      <c r="G66" s="2668" t="s">
        <v>4007</v>
      </c>
      <c r="H66" s="2669"/>
      <c r="I66" s="2669"/>
      <c r="J66" s="2669"/>
      <c r="K66" s="381">
        <v>27000</v>
      </c>
      <c r="L66" s="33"/>
      <c r="M66" s="2687" t="s">
        <v>4008</v>
      </c>
      <c r="N66" s="2688"/>
      <c r="O66" s="2688"/>
      <c r="P66" s="392">
        <v>30</v>
      </c>
      <c r="Q66" s="33"/>
      <c r="R66" s="2683" t="s">
        <v>1494</v>
      </c>
      <c r="S66" s="2684"/>
      <c r="T66" s="380" t="s">
        <v>3899</v>
      </c>
      <c r="U66" s="33"/>
      <c r="V66" s="2668" t="s">
        <v>4009</v>
      </c>
      <c r="W66" s="2669"/>
      <c r="X66" s="2669"/>
      <c r="Y66" s="2669"/>
      <c r="Z66" s="2761" t="s">
        <v>3753</v>
      </c>
      <c r="AA66" s="2762"/>
    </row>
    <row r="67" spans="2:29" ht="16.149999999999999" customHeight="1">
      <c r="B67" s="2674" t="s">
        <v>4010</v>
      </c>
      <c r="C67" s="2675"/>
      <c r="D67" s="2675"/>
      <c r="E67" s="382">
        <v>400</v>
      </c>
      <c r="F67" s="33"/>
      <c r="G67" s="2711" t="s">
        <v>4011</v>
      </c>
      <c r="H67" s="2712"/>
      <c r="I67" s="2712"/>
      <c r="J67" s="2712"/>
      <c r="K67" s="384">
        <v>16500</v>
      </c>
      <c r="L67" s="33"/>
      <c r="M67" s="33"/>
      <c r="N67" s="33"/>
      <c r="O67" s="33"/>
      <c r="P67" s="33"/>
      <c r="Q67" s="33"/>
      <c r="R67" s="2743" t="s">
        <v>4012</v>
      </c>
      <c r="S67" s="2718"/>
      <c r="T67" s="397">
        <v>90</v>
      </c>
      <c r="U67" s="33"/>
      <c r="V67" s="2674" t="s">
        <v>4013</v>
      </c>
      <c r="W67" s="2675"/>
      <c r="X67" s="2675"/>
      <c r="Y67" s="2675"/>
      <c r="Z67" s="2754">
        <v>65</v>
      </c>
      <c r="AA67" s="2755"/>
      <c r="AB67" s="403"/>
      <c r="AC67" s="403"/>
    </row>
    <row r="68" spans="2:29" ht="16.149999999999999" customHeight="1">
      <c r="B68" s="2668" t="s">
        <v>4014</v>
      </c>
      <c r="C68" s="2669"/>
      <c r="D68" s="2669"/>
      <c r="E68" s="381">
        <v>150</v>
      </c>
      <c r="F68" s="33"/>
      <c r="G68" s="33"/>
      <c r="H68" s="33"/>
      <c r="I68" s="33"/>
      <c r="J68" s="33"/>
      <c r="K68" s="33"/>
      <c r="L68" s="33"/>
      <c r="M68" s="2758" t="s">
        <v>4015</v>
      </c>
      <c r="N68" s="2759"/>
      <c r="O68" s="2759"/>
      <c r="P68" s="2760"/>
      <c r="Q68" s="33"/>
      <c r="R68" s="2681" t="s">
        <v>4016</v>
      </c>
      <c r="S68" s="2682"/>
      <c r="T68" s="398">
        <v>35</v>
      </c>
      <c r="U68" s="33"/>
      <c r="V68" s="2668" t="s">
        <v>4017</v>
      </c>
      <c r="W68" s="2669"/>
      <c r="X68" s="2669"/>
      <c r="Y68" s="2669"/>
      <c r="Z68" s="2669">
        <v>16</v>
      </c>
      <c r="AA68" s="2757"/>
      <c r="AC68" s="403"/>
    </row>
    <row r="69" spans="2:29" ht="16.149999999999999" customHeight="1">
      <c r="B69" s="2674" t="s">
        <v>4018</v>
      </c>
      <c r="C69" s="2675"/>
      <c r="D69" s="2675"/>
      <c r="E69" s="382">
        <v>90</v>
      </c>
      <c r="F69" s="33"/>
      <c r="G69" s="2678" t="s">
        <v>4019</v>
      </c>
      <c r="H69" s="2679"/>
      <c r="I69" s="2679"/>
      <c r="J69" s="2679"/>
      <c r="K69" s="2680"/>
      <c r="L69" s="33"/>
      <c r="M69" s="2683" t="s">
        <v>1494</v>
      </c>
      <c r="N69" s="2684"/>
      <c r="O69" s="2684"/>
      <c r="P69" s="380" t="s">
        <v>3899</v>
      </c>
      <c r="Q69" s="33"/>
      <c r="R69" s="2685" t="s">
        <v>4020</v>
      </c>
      <c r="S69" s="2686"/>
      <c r="T69" s="397">
        <v>40</v>
      </c>
      <c r="U69" s="33"/>
      <c r="V69" s="2674" t="s">
        <v>4021</v>
      </c>
      <c r="W69" s="2675"/>
      <c r="X69" s="2675"/>
      <c r="Y69" s="2675"/>
      <c r="Z69" s="2754">
        <v>20</v>
      </c>
      <c r="AA69" s="2755"/>
      <c r="AC69" s="403"/>
    </row>
    <row r="70" spans="2:29" ht="16.149999999999999" customHeight="1">
      <c r="B70" s="2668" t="s">
        <v>4022</v>
      </c>
      <c r="C70" s="2669"/>
      <c r="D70" s="2669"/>
      <c r="E70" s="381">
        <v>25</v>
      </c>
      <c r="F70" s="33"/>
      <c r="G70" s="2683" t="s">
        <v>1494</v>
      </c>
      <c r="H70" s="2684"/>
      <c r="I70" s="2684"/>
      <c r="J70" s="2684"/>
      <c r="K70" s="380" t="s">
        <v>3899</v>
      </c>
      <c r="L70" s="33"/>
      <c r="M70" s="2668" t="s">
        <v>4023</v>
      </c>
      <c r="N70" s="2669"/>
      <c r="O70" s="2669"/>
      <c r="P70" s="381">
        <v>40</v>
      </c>
      <c r="Q70" s="33"/>
      <c r="R70" s="2681" t="s">
        <v>4024</v>
      </c>
      <c r="S70" s="2682"/>
      <c r="T70" s="398">
        <v>450</v>
      </c>
      <c r="U70" s="33"/>
      <c r="V70" s="2668" t="s">
        <v>4025</v>
      </c>
      <c r="W70" s="2669"/>
      <c r="X70" s="2669"/>
      <c r="Y70" s="2669"/>
      <c r="Z70" s="2669" t="s">
        <v>4026</v>
      </c>
      <c r="AA70" s="2757"/>
      <c r="AC70" s="403"/>
    </row>
    <row r="71" spans="2:29" ht="16.149999999999999" customHeight="1">
      <c r="B71" s="2674" t="s">
        <v>4027</v>
      </c>
      <c r="C71" s="2675"/>
      <c r="D71" s="2675"/>
      <c r="E71" s="382">
        <v>35</v>
      </c>
      <c r="F71" s="33"/>
      <c r="G71" s="2668" t="s">
        <v>4028</v>
      </c>
      <c r="H71" s="2669"/>
      <c r="I71" s="2669"/>
      <c r="J71" s="2669"/>
      <c r="K71" s="416">
        <v>70</v>
      </c>
      <c r="L71" s="33"/>
      <c r="M71" s="2674" t="s">
        <v>4029</v>
      </c>
      <c r="N71" s="2675"/>
      <c r="O71" s="2675"/>
      <c r="P71" s="382" t="s">
        <v>4030</v>
      </c>
      <c r="Q71" s="33"/>
      <c r="R71" s="2685" t="s">
        <v>4031</v>
      </c>
      <c r="S71" s="2686"/>
      <c r="T71" s="397">
        <v>10</v>
      </c>
      <c r="U71" s="33"/>
      <c r="V71" s="2674" t="s">
        <v>4032</v>
      </c>
      <c r="W71" s="2675"/>
      <c r="X71" s="2675"/>
      <c r="Y71" s="2675"/>
      <c r="Z71" s="2754">
        <v>38</v>
      </c>
      <c r="AA71" s="2755"/>
      <c r="AC71" s="403"/>
    </row>
    <row r="72" spans="2:29" ht="16.149999999999999" customHeight="1">
      <c r="B72" s="2668" t="s">
        <v>4033</v>
      </c>
      <c r="C72" s="2669"/>
      <c r="D72" s="2669"/>
      <c r="E72" s="381">
        <v>260</v>
      </c>
      <c r="F72" s="33"/>
      <c r="G72" s="2674" t="s">
        <v>4034</v>
      </c>
      <c r="H72" s="2675"/>
      <c r="I72" s="2675"/>
      <c r="J72" s="2675"/>
      <c r="K72" s="417">
        <v>300</v>
      </c>
      <c r="L72" s="33"/>
      <c r="M72" s="2668" t="s">
        <v>4035</v>
      </c>
      <c r="N72" s="2669"/>
      <c r="O72" s="2669"/>
      <c r="P72" s="381">
        <v>500</v>
      </c>
      <c r="Q72" s="33"/>
      <c r="R72" s="2681" t="s">
        <v>4036</v>
      </c>
      <c r="S72" s="2682"/>
      <c r="T72" s="398">
        <v>240</v>
      </c>
      <c r="U72" s="33"/>
      <c r="V72" s="2725" t="s">
        <v>4037</v>
      </c>
      <c r="W72" s="2669"/>
      <c r="X72" s="2669"/>
      <c r="Y72" s="2669"/>
      <c r="Z72" s="2669">
        <v>35</v>
      </c>
      <c r="AA72" s="2757"/>
      <c r="AC72" s="403"/>
    </row>
    <row r="73" spans="2:29" ht="16.149999999999999" customHeight="1">
      <c r="B73" s="2674" t="s">
        <v>4038</v>
      </c>
      <c r="C73" s="2675"/>
      <c r="D73" s="2675"/>
      <c r="E73" s="382">
        <v>190</v>
      </c>
      <c r="F73" s="33"/>
      <c r="G73" s="2668" t="s">
        <v>4039</v>
      </c>
      <c r="H73" s="2669"/>
      <c r="I73" s="2669"/>
      <c r="J73" s="2669"/>
      <c r="K73" s="416" t="s">
        <v>4040</v>
      </c>
      <c r="L73" s="33"/>
      <c r="M73" s="2674" t="s">
        <v>4041</v>
      </c>
      <c r="N73" s="2675"/>
      <c r="O73" s="2675"/>
      <c r="P73" s="382" t="s">
        <v>3665</v>
      </c>
      <c r="Q73" s="33"/>
      <c r="R73" s="2685" t="s">
        <v>4042</v>
      </c>
      <c r="S73" s="2686"/>
      <c r="T73" s="397">
        <v>400</v>
      </c>
      <c r="U73" s="33"/>
      <c r="V73" s="2674" t="s">
        <v>4043</v>
      </c>
      <c r="W73" s="2675"/>
      <c r="X73" s="2675"/>
      <c r="Y73" s="2675"/>
      <c r="Z73" s="2754">
        <v>60</v>
      </c>
      <c r="AA73" s="2755"/>
      <c r="AC73" s="403"/>
    </row>
    <row r="74" spans="2:29" ht="16.149999999999999" customHeight="1">
      <c r="B74" s="2668" t="s">
        <v>4044</v>
      </c>
      <c r="C74" s="2669"/>
      <c r="D74" s="2669"/>
      <c r="E74" s="381">
        <v>35</v>
      </c>
      <c r="F74" s="33"/>
      <c r="G74" s="2711" t="s">
        <v>4045</v>
      </c>
      <c r="H74" s="2712"/>
      <c r="I74" s="2712"/>
      <c r="J74" s="2712"/>
      <c r="K74" s="418">
        <v>200</v>
      </c>
      <c r="L74" s="33"/>
      <c r="M74" s="2668" t="s">
        <v>4046</v>
      </c>
      <c r="N74" s="2669"/>
      <c r="O74" s="2669"/>
      <c r="P74" s="381" t="s">
        <v>4026</v>
      </c>
      <c r="Q74" s="33"/>
      <c r="R74" s="2681" t="s">
        <v>4047</v>
      </c>
      <c r="S74" s="2682"/>
      <c r="T74" s="398">
        <v>200</v>
      </c>
      <c r="U74" s="33"/>
      <c r="V74" s="2687" t="s">
        <v>4048</v>
      </c>
      <c r="W74" s="2688"/>
      <c r="X74" s="2688"/>
      <c r="Y74" s="2688"/>
      <c r="Z74" s="2688">
        <v>25</v>
      </c>
      <c r="AA74" s="2756"/>
      <c r="AC74" s="403"/>
    </row>
    <row r="75" spans="2:29" ht="16.149999999999999" customHeight="1">
      <c r="B75" s="2674" t="s">
        <v>4049</v>
      </c>
      <c r="C75" s="2675"/>
      <c r="D75" s="2675"/>
      <c r="E75" s="382">
        <v>50</v>
      </c>
      <c r="F75" s="33"/>
      <c r="G75" s="33"/>
      <c r="H75" s="33"/>
      <c r="I75" s="33"/>
      <c r="J75" s="33"/>
      <c r="K75" s="33"/>
      <c r="L75" s="33"/>
      <c r="M75" s="2674" t="s">
        <v>4050</v>
      </c>
      <c r="N75" s="2675"/>
      <c r="O75" s="2675"/>
      <c r="P75" s="382" t="s">
        <v>4051</v>
      </c>
      <c r="Q75" s="33"/>
      <c r="R75" s="2685" t="s">
        <v>4052</v>
      </c>
      <c r="S75" s="2686"/>
      <c r="T75" s="397">
        <v>260</v>
      </c>
      <c r="U75" s="33"/>
      <c r="V75" s="412"/>
      <c r="W75" s="412"/>
      <c r="X75" s="412"/>
      <c r="Y75" s="412"/>
      <c r="Z75" s="412"/>
      <c r="AA75" s="412"/>
      <c r="AC75" s="403"/>
    </row>
    <row r="76" spans="2:29" ht="16.149999999999999" customHeight="1">
      <c r="B76" s="2668" t="s">
        <v>4053</v>
      </c>
      <c r="C76" s="2669"/>
      <c r="D76" s="2669"/>
      <c r="E76" s="381">
        <v>100</v>
      </c>
      <c r="F76" s="33"/>
      <c r="G76" s="2678" t="s">
        <v>4054</v>
      </c>
      <c r="H76" s="2679"/>
      <c r="I76" s="2679"/>
      <c r="J76" s="2679"/>
      <c r="K76" s="2680"/>
      <c r="L76" s="33"/>
      <c r="M76" s="2687" t="s">
        <v>4055</v>
      </c>
      <c r="N76" s="2688"/>
      <c r="O76" s="2688"/>
      <c r="P76" s="392" t="s">
        <v>4056</v>
      </c>
      <c r="Q76" s="33"/>
      <c r="R76" s="2681" t="s">
        <v>4057</v>
      </c>
      <c r="S76" s="2682"/>
      <c r="T76" s="398">
        <v>60</v>
      </c>
      <c r="U76" s="33"/>
      <c r="V76" s="412"/>
      <c r="W76" s="412"/>
      <c r="X76" s="412"/>
      <c r="Y76" s="412"/>
      <c r="Z76" s="412"/>
      <c r="AA76" s="412"/>
      <c r="AC76" s="403"/>
    </row>
    <row r="77" spans="2:29" ht="16.149999999999999" customHeight="1">
      <c r="B77" s="2674" t="s">
        <v>4058</v>
      </c>
      <c r="C77" s="2675"/>
      <c r="D77" s="2675"/>
      <c r="E77" s="382">
        <v>160</v>
      </c>
      <c r="F77" s="33"/>
      <c r="G77" s="2683" t="s">
        <v>1494</v>
      </c>
      <c r="H77" s="2684"/>
      <c r="I77" s="2684"/>
      <c r="J77" s="2684"/>
      <c r="K77" s="380" t="s">
        <v>3899</v>
      </c>
      <c r="L77" s="33"/>
      <c r="M77" s="33"/>
      <c r="N77" s="33"/>
      <c r="O77" s="33"/>
      <c r="P77" s="33"/>
      <c r="Q77" s="33"/>
      <c r="R77" s="2685" t="s">
        <v>4059</v>
      </c>
      <c r="S77" s="2686"/>
      <c r="T77" s="397">
        <v>250</v>
      </c>
      <c r="U77" s="33"/>
      <c r="V77" s="412"/>
      <c r="W77" s="412"/>
      <c r="X77" s="412"/>
      <c r="Y77" s="412"/>
      <c r="Z77" s="412"/>
      <c r="AA77" s="412"/>
      <c r="AC77" s="403"/>
    </row>
    <row r="78" spans="2:29" ht="16.149999999999999" customHeight="1">
      <c r="B78" s="2668" t="s">
        <v>3985</v>
      </c>
      <c r="C78" s="2669"/>
      <c r="D78" s="2669"/>
      <c r="E78" s="381">
        <v>200</v>
      </c>
      <c r="F78" s="33"/>
      <c r="G78" s="2674" t="s">
        <v>4060</v>
      </c>
      <c r="H78" s="2675"/>
      <c r="I78" s="2675"/>
      <c r="J78" s="2675"/>
      <c r="K78" s="417">
        <v>100</v>
      </c>
      <c r="L78" s="33"/>
      <c r="M78" s="2678" t="s">
        <v>4061</v>
      </c>
      <c r="N78" s="2679"/>
      <c r="O78" s="2679"/>
      <c r="P78" s="2680"/>
      <c r="Q78" s="33"/>
      <c r="R78" s="2681" t="s">
        <v>4062</v>
      </c>
      <c r="S78" s="2682"/>
      <c r="T78" s="398">
        <v>400</v>
      </c>
      <c r="U78" s="33"/>
      <c r="V78" s="412"/>
      <c r="W78" s="412"/>
      <c r="X78" s="412"/>
      <c r="Y78" s="412"/>
      <c r="Z78" s="412"/>
      <c r="AA78" s="412"/>
      <c r="AC78" s="403"/>
    </row>
    <row r="79" spans="2:29" ht="16.149999999999999" customHeight="1">
      <c r="B79" s="2674" t="s">
        <v>4063</v>
      </c>
      <c r="C79" s="2675"/>
      <c r="D79" s="2675"/>
      <c r="E79" s="382">
        <v>350</v>
      </c>
      <c r="F79" s="33"/>
      <c r="G79" s="2668" t="s">
        <v>4064</v>
      </c>
      <c r="H79" s="2669"/>
      <c r="I79" s="2669"/>
      <c r="J79" s="2669"/>
      <c r="K79" s="416">
        <v>30</v>
      </c>
      <c r="L79" s="33"/>
      <c r="M79" s="2683" t="s">
        <v>1494</v>
      </c>
      <c r="N79" s="2684"/>
      <c r="O79" s="2684"/>
      <c r="P79" s="380" t="s">
        <v>3899</v>
      </c>
      <c r="Q79" s="383"/>
      <c r="R79" s="2685" t="s">
        <v>4065</v>
      </c>
      <c r="S79" s="2686"/>
      <c r="T79" s="397">
        <v>900</v>
      </c>
      <c r="U79" s="33"/>
      <c r="V79" s="412"/>
      <c r="W79" s="412"/>
      <c r="X79" s="412"/>
      <c r="Y79" s="412"/>
      <c r="Z79" s="412"/>
      <c r="AA79" s="412"/>
      <c r="AC79" s="403"/>
    </row>
    <row r="80" spans="2:29" ht="16.149999999999999" customHeight="1">
      <c r="B80" s="2668" t="s">
        <v>4066</v>
      </c>
      <c r="C80" s="2669"/>
      <c r="D80" s="2669"/>
      <c r="E80" s="381">
        <v>20</v>
      </c>
      <c r="F80" s="33"/>
      <c r="G80" s="2674" t="s">
        <v>4067</v>
      </c>
      <c r="H80" s="2675"/>
      <c r="I80" s="2675"/>
      <c r="J80" s="2675"/>
      <c r="K80" s="417">
        <v>60</v>
      </c>
      <c r="L80" s="33"/>
      <c r="M80" s="2668" t="s">
        <v>4068</v>
      </c>
      <c r="N80" s="2669"/>
      <c r="O80" s="2669"/>
      <c r="P80" s="381" t="s">
        <v>3902</v>
      </c>
      <c r="Q80" s="383"/>
      <c r="R80" s="2681" t="s">
        <v>4069</v>
      </c>
      <c r="S80" s="2682"/>
      <c r="T80" s="398">
        <v>200</v>
      </c>
      <c r="U80" s="383"/>
      <c r="V80" s="412"/>
      <c r="W80" s="412"/>
      <c r="X80" s="412"/>
      <c r="Y80" s="412"/>
      <c r="Z80" s="412"/>
      <c r="AA80" s="412"/>
      <c r="AC80" s="403"/>
    </row>
    <row r="81" spans="2:27" ht="16.149999999999999" customHeight="1">
      <c r="B81" s="2674" t="s">
        <v>3981</v>
      </c>
      <c r="C81" s="2675"/>
      <c r="D81" s="2675"/>
      <c r="E81" s="382">
        <v>60</v>
      </c>
      <c r="F81" s="33"/>
      <c r="G81" s="2668" t="s">
        <v>4070</v>
      </c>
      <c r="H81" s="2669"/>
      <c r="I81" s="2669"/>
      <c r="J81" s="2669"/>
      <c r="K81" s="416">
        <v>160</v>
      </c>
      <c r="L81" s="383"/>
      <c r="M81" s="2674" t="s">
        <v>4071</v>
      </c>
      <c r="N81" s="2675"/>
      <c r="O81" s="2675"/>
      <c r="P81" s="382" t="s">
        <v>4072</v>
      </c>
      <c r="Q81" s="383"/>
      <c r="R81" s="2685" t="s">
        <v>4073</v>
      </c>
      <c r="S81" s="2686"/>
      <c r="T81" s="397" t="s">
        <v>4000</v>
      </c>
      <c r="U81" s="33"/>
      <c r="V81" s="412"/>
      <c r="W81" s="412"/>
      <c r="X81" s="412"/>
      <c r="Y81" s="412"/>
      <c r="Z81" s="412"/>
      <c r="AA81" s="412"/>
    </row>
    <row r="82" spans="2:27" ht="16.149999999999999" customHeight="1">
      <c r="B82" s="2687" t="s">
        <v>3989</v>
      </c>
      <c r="C82" s="2688"/>
      <c r="D82" s="2688"/>
      <c r="E82" s="392" t="s">
        <v>4026</v>
      </c>
      <c r="F82" s="33"/>
      <c r="G82" s="2711" t="s">
        <v>4074</v>
      </c>
      <c r="H82" s="2712"/>
      <c r="I82" s="2712"/>
      <c r="J82" s="2712"/>
      <c r="K82" s="418">
        <v>70</v>
      </c>
      <c r="L82" s="33"/>
      <c r="M82" s="2668" t="s">
        <v>4075</v>
      </c>
      <c r="N82" s="2669"/>
      <c r="O82" s="2669"/>
      <c r="P82" s="381">
        <v>10</v>
      </c>
      <c r="Q82" s="383"/>
      <c r="R82" s="2681" t="s">
        <v>4076</v>
      </c>
      <c r="S82" s="2682"/>
      <c r="T82" s="398" t="s">
        <v>3665</v>
      </c>
      <c r="U82" s="33"/>
      <c r="V82" s="412"/>
      <c r="W82" s="412"/>
      <c r="X82" s="412"/>
      <c r="Y82" s="412"/>
      <c r="Z82" s="412"/>
      <c r="AA82" s="412"/>
    </row>
    <row r="83" spans="2:27" ht="16.149999999999999" customHeight="1">
      <c r="B83" s="412"/>
      <c r="C83" s="412"/>
      <c r="D83" s="412"/>
      <c r="E83" s="383"/>
      <c r="F83" s="33"/>
      <c r="G83" s="33"/>
      <c r="H83" s="33"/>
      <c r="I83" s="33"/>
      <c r="J83" s="33"/>
      <c r="K83" s="33"/>
      <c r="L83" s="33"/>
      <c r="M83" s="2674" t="s">
        <v>4077</v>
      </c>
      <c r="N83" s="2675"/>
      <c r="O83" s="2675"/>
      <c r="P83" s="382" t="s">
        <v>3753</v>
      </c>
      <c r="Q83" s="383"/>
      <c r="R83" s="2752" t="s">
        <v>4078</v>
      </c>
      <c r="S83" s="2753"/>
      <c r="T83" s="399" t="s">
        <v>4026</v>
      </c>
      <c r="U83" s="33"/>
      <c r="V83" s="421"/>
      <c r="W83" s="421"/>
      <c r="X83" s="421"/>
      <c r="Y83" s="33"/>
      <c r="Z83" s="33"/>
      <c r="AA83" s="33"/>
    </row>
    <row r="84" spans="2:27" ht="16.149999999999999" customHeight="1">
      <c r="B84" s="383"/>
      <c r="C84" s="383"/>
      <c r="D84" s="383"/>
      <c r="E84" s="383"/>
      <c r="F84" s="33"/>
      <c r="G84" s="33"/>
      <c r="H84" s="33"/>
      <c r="I84" s="383"/>
      <c r="J84" s="33"/>
      <c r="K84" s="33"/>
      <c r="L84" s="33"/>
      <c r="M84" s="2668" t="s">
        <v>4079</v>
      </c>
      <c r="N84" s="2669"/>
      <c r="O84" s="2669"/>
      <c r="P84" s="381">
        <v>55</v>
      </c>
      <c r="Q84" s="383"/>
      <c r="R84" s="33"/>
      <c r="S84" s="33"/>
      <c r="T84" s="33"/>
      <c r="U84" s="33"/>
      <c r="V84" s="33"/>
      <c r="W84" s="33"/>
      <c r="X84" s="33"/>
      <c r="Y84" s="33"/>
      <c r="Z84" s="33"/>
      <c r="AA84" s="33"/>
    </row>
    <row r="85" spans="2:27" ht="16.149999999999999" customHeight="1">
      <c r="B85" s="383"/>
      <c r="C85" s="383"/>
      <c r="D85" s="383"/>
      <c r="E85" s="383"/>
      <c r="F85" s="33"/>
      <c r="G85" s="33"/>
      <c r="H85" s="33"/>
      <c r="I85" s="383"/>
      <c r="J85" s="33"/>
      <c r="K85" s="33"/>
      <c r="L85" s="33"/>
      <c r="M85" s="2711" t="s">
        <v>4080</v>
      </c>
      <c r="N85" s="2712"/>
      <c r="O85" s="2712"/>
      <c r="P85" s="384">
        <v>65</v>
      </c>
      <c r="Q85" s="383"/>
      <c r="R85" s="33"/>
      <c r="S85" s="33"/>
      <c r="T85" s="33"/>
      <c r="U85" s="33"/>
      <c r="V85" s="33"/>
      <c r="W85" s="33"/>
      <c r="X85" s="33"/>
      <c r="Y85" s="33"/>
      <c r="Z85" s="33"/>
      <c r="AA85" s="33"/>
    </row>
    <row r="86" spans="2:27" ht="16.149999999999999" customHeight="1">
      <c r="B86" s="403"/>
      <c r="C86" s="403"/>
      <c r="D86" s="403"/>
      <c r="E86" s="403"/>
      <c r="I86" s="403"/>
      <c r="Q86" s="403"/>
    </row>
    <row r="87" spans="2:27" ht="16.149999999999999" customHeight="1">
      <c r="B87" s="2334" t="s">
        <v>4081</v>
      </c>
      <c r="C87" s="2335"/>
      <c r="D87" s="2335"/>
      <c r="E87" s="2335"/>
      <c r="F87" s="2335"/>
      <c r="G87" s="2335"/>
      <c r="H87" s="2335"/>
      <c r="I87" s="2335"/>
      <c r="J87" s="2335"/>
      <c r="K87" s="2335"/>
      <c r="L87" s="2335"/>
      <c r="M87" s="2335"/>
      <c r="N87" s="2335"/>
      <c r="O87" s="2335"/>
      <c r="P87" s="2335"/>
      <c r="Q87" s="2335"/>
      <c r="R87" s="2335"/>
      <c r="S87" s="2335"/>
      <c r="T87" s="2335"/>
      <c r="U87" s="2335"/>
      <c r="V87" s="2335"/>
      <c r="W87" s="2335"/>
      <c r="X87" s="2335"/>
      <c r="Y87" s="2335"/>
      <c r="Z87" s="2335"/>
      <c r="AA87" s="2336"/>
    </row>
    <row r="88" spans="2:27" ht="16.149999999999999" customHeight="1">
      <c r="B88" s="2337"/>
      <c r="C88" s="2338"/>
      <c r="D88" s="2338"/>
      <c r="E88" s="2338"/>
      <c r="F88" s="2338"/>
      <c r="G88" s="2338"/>
      <c r="H88" s="2338"/>
      <c r="I88" s="2338"/>
      <c r="J88" s="2338"/>
      <c r="K88" s="2338"/>
      <c r="L88" s="2338"/>
      <c r="M88" s="2338"/>
      <c r="N88" s="2338"/>
      <c r="O88" s="2338"/>
      <c r="P88" s="2338"/>
      <c r="Q88" s="2338"/>
      <c r="R88" s="2338"/>
      <c r="S88" s="2338"/>
      <c r="T88" s="2338"/>
      <c r="U88" s="2338"/>
      <c r="V88" s="2338"/>
      <c r="W88" s="2338"/>
      <c r="X88" s="2338"/>
      <c r="Y88" s="2338"/>
      <c r="Z88" s="2338"/>
      <c r="AA88" s="2339"/>
    </row>
    <row r="89" spans="2:27" ht="16.149999999999999" customHeight="1">
      <c r="B89" s="2340"/>
      <c r="C89" s="2341"/>
      <c r="D89" s="2341"/>
      <c r="E89" s="2341"/>
      <c r="F89" s="2341"/>
      <c r="G89" s="2341"/>
      <c r="H89" s="2341"/>
      <c r="I89" s="2341"/>
      <c r="J89" s="2341"/>
      <c r="K89" s="2341"/>
      <c r="L89" s="2341"/>
      <c r="M89" s="2341"/>
      <c r="N89" s="2341"/>
      <c r="O89" s="2341"/>
      <c r="P89" s="2341"/>
      <c r="Q89" s="2341"/>
      <c r="R89" s="2341"/>
      <c r="S89" s="2341"/>
      <c r="T89" s="2341"/>
      <c r="U89" s="2341"/>
      <c r="V89" s="2341"/>
      <c r="W89" s="2341"/>
      <c r="X89" s="2341"/>
      <c r="Y89" s="2341"/>
      <c r="Z89" s="2341"/>
      <c r="AA89" s="2342"/>
    </row>
    <row r="90" spans="2:27" ht="16.149999999999999" customHeight="1">
      <c r="B90" s="2751" t="s">
        <v>4082</v>
      </c>
      <c r="C90" s="2751"/>
      <c r="D90" s="2751"/>
      <c r="E90" s="2751"/>
      <c r="F90" s="2751"/>
      <c r="G90" s="2751"/>
      <c r="H90" s="2751"/>
      <c r="I90" s="2751"/>
      <c r="J90" s="2751"/>
      <c r="K90" s="2751"/>
      <c r="L90" s="2751"/>
      <c r="M90" s="2751"/>
      <c r="N90" s="2751"/>
      <c r="O90" s="2751"/>
      <c r="P90" s="2751"/>
      <c r="Q90" s="2751"/>
      <c r="R90" s="2751"/>
      <c r="S90" s="2751"/>
      <c r="T90" s="2751"/>
      <c r="U90" s="2751"/>
      <c r="V90" s="2751"/>
      <c r="W90" s="2751"/>
      <c r="X90" s="2751"/>
      <c r="Y90" s="2751"/>
      <c r="Z90" s="2751"/>
      <c r="AA90" s="2751"/>
    </row>
    <row r="91" spans="2:27" ht="16.149999999999999" customHeight="1">
      <c r="B91" s="2678" t="s">
        <v>3894</v>
      </c>
      <c r="C91" s="2679"/>
      <c r="D91" s="2679"/>
      <c r="E91" s="2680"/>
      <c r="G91" s="2678" t="s">
        <v>3896</v>
      </c>
      <c r="H91" s="2679"/>
      <c r="I91" s="2679"/>
      <c r="J91" s="2679"/>
      <c r="K91" s="2680"/>
      <c r="L91"/>
      <c r="M91" s="2678" t="s">
        <v>4083</v>
      </c>
      <c r="N91" s="2679"/>
      <c r="O91" s="2679"/>
      <c r="P91" s="2679"/>
      <c r="Q91" s="2680"/>
      <c r="R91" s="422"/>
      <c r="S91" s="2678" t="s">
        <v>4084</v>
      </c>
      <c r="T91" s="2679"/>
      <c r="U91" s="2679"/>
      <c r="V91" s="2680"/>
      <c r="W91" s="423"/>
      <c r="X91" s="2678" t="s">
        <v>4085</v>
      </c>
      <c r="Y91" s="2679"/>
      <c r="Z91" s="2679"/>
      <c r="AA91" s="2680"/>
    </row>
    <row r="92" spans="2:27" ht="16.149999999999999" customHeight="1">
      <c r="B92" s="2683" t="s">
        <v>1494</v>
      </c>
      <c r="C92" s="2684"/>
      <c r="D92" s="404" t="s">
        <v>3899</v>
      </c>
      <c r="E92" s="380" t="s">
        <v>4086</v>
      </c>
      <c r="G92" s="2683" t="s">
        <v>1494</v>
      </c>
      <c r="H92" s="2684"/>
      <c r="I92" s="2684"/>
      <c r="J92" s="404" t="s">
        <v>3899</v>
      </c>
      <c r="K92" s="380" t="s">
        <v>4086</v>
      </c>
      <c r="L92"/>
      <c r="M92" s="2683" t="s">
        <v>1494</v>
      </c>
      <c r="N92" s="2684"/>
      <c r="O92" s="2684"/>
      <c r="P92" s="404" t="s">
        <v>3899</v>
      </c>
      <c r="Q92" s="424" t="s">
        <v>4086</v>
      </c>
      <c r="R92" s="415"/>
      <c r="S92" s="2683" t="s">
        <v>1494</v>
      </c>
      <c r="T92" s="2684"/>
      <c r="U92" s="404" t="s">
        <v>3899</v>
      </c>
      <c r="V92" s="424" t="s">
        <v>4086</v>
      </c>
      <c r="X92" s="2683" t="s">
        <v>1494</v>
      </c>
      <c r="Y92" s="2684"/>
      <c r="Z92" s="404" t="s">
        <v>3900</v>
      </c>
      <c r="AA92" s="424" t="s">
        <v>3899</v>
      </c>
    </row>
    <row r="93" spans="2:27" ht="16.149999999999999" customHeight="1">
      <c r="B93" s="2668" t="s">
        <v>4087</v>
      </c>
      <c r="C93" s="2669"/>
      <c r="D93" s="385">
        <v>17.95</v>
      </c>
      <c r="E93" s="381">
        <f>D93*20</f>
        <v>359</v>
      </c>
      <c r="G93" s="2668" t="s">
        <v>4088</v>
      </c>
      <c r="H93" s="2669"/>
      <c r="I93" s="2669"/>
      <c r="J93" s="385">
        <v>8.98</v>
      </c>
      <c r="K93" s="381">
        <f t="shared" ref="K93:K119" si="0">J93*20</f>
        <v>179.6</v>
      </c>
      <c r="L93"/>
      <c r="M93" s="2668" t="s">
        <v>4089</v>
      </c>
      <c r="N93" s="2669"/>
      <c r="O93" s="2669"/>
      <c r="P93" s="385">
        <v>1.79</v>
      </c>
      <c r="Q93" s="381">
        <f t="shared" ref="Q93:Q99" si="1">P93*20</f>
        <v>35.799999999999997</v>
      </c>
      <c r="R93" s="415"/>
      <c r="S93" s="2695" t="s">
        <v>4090</v>
      </c>
      <c r="T93" s="2696"/>
      <c r="U93" s="385">
        <v>2.5</v>
      </c>
      <c r="V93" s="381">
        <f t="shared" ref="V93:V98" si="2">U93*20</f>
        <v>50</v>
      </c>
      <c r="X93" s="2744" t="s">
        <v>3907</v>
      </c>
      <c r="Y93" s="2745"/>
      <c r="Z93" s="385">
        <v>100</v>
      </c>
      <c r="AA93" s="381">
        <v>0.54</v>
      </c>
    </row>
    <row r="94" spans="2:27" ht="16.149999999999999" customHeight="1">
      <c r="B94" s="2674" t="s">
        <v>4091</v>
      </c>
      <c r="C94" s="2675"/>
      <c r="D94" s="410">
        <v>18.5</v>
      </c>
      <c r="E94" s="382">
        <f t="shared" ref="E94:E112" si="3">D94*20</f>
        <v>370</v>
      </c>
      <c r="G94" s="2674" t="s">
        <v>4092</v>
      </c>
      <c r="H94" s="2675"/>
      <c r="I94" s="2675"/>
      <c r="J94" s="410">
        <v>6.1</v>
      </c>
      <c r="K94" s="382">
        <f t="shared" si="0"/>
        <v>122</v>
      </c>
      <c r="L94"/>
      <c r="M94" s="2674" t="s">
        <v>4093</v>
      </c>
      <c r="N94" s="2675"/>
      <c r="O94" s="2675"/>
      <c r="P94" s="410">
        <v>2.98</v>
      </c>
      <c r="Q94" s="382">
        <f t="shared" si="1"/>
        <v>59.6</v>
      </c>
      <c r="R94" s="415"/>
      <c r="S94" s="2674" t="s">
        <v>4094</v>
      </c>
      <c r="T94" s="2675"/>
      <c r="U94" s="410">
        <v>0.45</v>
      </c>
      <c r="V94" s="382">
        <f t="shared" si="2"/>
        <v>9</v>
      </c>
      <c r="X94" s="2746" t="s">
        <v>4095</v>
      </c>
      <c r="Y94" s="2747"/>
      <c r="Z94" s="410">
        <v>100</v>
      </c>
      <c r="AA94" s="382">
        <v>0.53</v>
      </c>
    </row>
    <row r="95" spans="2:27" ht="16.149999999999999" customHeight="1">
      <c r="B95" s="2668" t="s">
        <v>4096</v>
      </c>
      <c r="C95" s="2669"/>
      <c r="D95" s="385">
        <v>13.85</v>
      </c>
      <c r="E95" s="381">
        <f t="shared" si="3"/>
        <v>277</v>
      </c>
      <c r="G95" s="2668" t="s">
        <v>4097</v>
      </c>
      <c r="H95" s="2669"/>
      <c r="I95" s="2669"/>
      <c r="J95" s="385">
        <v>0.89</v>
      </c>
      <c r="K95" s="381">
        <f t="shared" si="0"/>
        <v>17.8</v>
      </c>
      <c r="L95"/>
      <c r="M95" s="2668" t="s">
        <v>4098</v>
      </c>
      <c r="N95" s="2669"/>
      <c r="O95" s="2669"/>
      <c r="P95" s="385">
        <v>2.98</v>
      </c>
      <c r="Q95" s="381">
        <f t="shared" si="1"/>
        <v>59.6</v>
      </c>
      <c r="R95" s="415"/>
      <c r="S95" s="2668" t="s">
        <v>4099</v>
      </c>
      <c r="T95" s="2669"/>
      <c r="U95" s="385">
        <v>0.65</v>
      </c>
      <c r="V95" s="381">
        <f t="shared" si="2"/>
        <v>13</v>
      </c>
      <c r="X95" s="2748" t="s">
        <v>4100</v>
      </c>
      <c r="Y95" s="2749"/>
      <c r="Z95" s="385">
        <v>100</v>
      </c>
      <c r="AA95" s="381">
        <v>1.34</v>
      </c>
    </row>
    <row r="96" spans="2:27" ht="16.149999999999999" customHeight="1">
      <c r="B96" s="2674" t="s">
        <v>4101</v>
      </c>
      <c r="C96" s="2675"/>
      <c r="D96" s="410">
        <v>9.9499999999999993</v>
      </c>
      <c r="E96" s="382">
        <f t="shared" si="3"/>
        <v>199</v>
      </c>
      <c r="G96" s="2674" t="s">
        <v>4102</v>
      </c>
      <c r="H96" s="2675"/>
      <c r="I96" s="2675"/>
      <c r="J96" s="410">
        <v>6.79</v>
      </c>
      <c r="K96" s="382">
        <f t="shared" si="0"/>
        <v>135.80000000000001</v>
      </c>
      <c r="L96"/>
      <c r="M96" s="2674" t="s">
        <v>4103</v>
      </c>
      <c r="N96" s="2675"/>
      <c r="O96" s="2675"/>
      <c r="P96" s="410">
        <v>0.98</v>
      </c>
      <c r="Q96" s="382">
        <f t="shared" si="1"/>
        <v>19.600000000000001</v>
      </c>
      <c r="R96"/>
      <c r="S96" s="2674" t="s">
        <v>4104</v>
      </c>
      <c r="T96" s="2675"/>
      <c r="U96" s="410">
        <v>1.25</v>
      </c>
      <c r="V96" s="382">
        <f t="shared" si="2"/>
        <v>25</v>
      </c>
      <c r="X96" s="2750" t="s">
        <v>4105</v>
      </c>
      <c r="Y96" s="2710"/>
      <c r="Z96" s="410">
        <v>100</v>
      </c>
      <c r="AA96" s="382">
        <v>7.63</v>
      </c>
    </row>
    <row r="97" spans="2:27" ht="16.149999999999999" customHeight="1">
      <c r="B97" s="2668" t="s">
        <v>4106</v>
      </c>
      <c r="C97" s="2669"/>
      <c r="D97" s="385">
        <v>0.69</v>
      </c>
      <c r="E97" s="381">
        <f t="shared" si="3"/>
        <v>13.8</v>
      </c>
      <c r="G97" s="2715" t="s">
        <v>4107</v>
      </c>
      <c r="H97" s="2716"/>
      <c r="I97" s="2716"/>
      <c r="J97" s="385">
        <v>5.0599999999999996</v>
      </c>
      <c r="K97" s="381">
        <f t="shared" si="0"/>
        <v>101.2</v>
      </c>
      <c r="L97"/>
      <c r="M97" s="2668" t="s">
        <v>4108</v>
      </c>
      <c r="N97" s="2669"/>
      <c r="O97" s="2669"/>
      <c r="P97" s="385">
        <v>2.59</v>
      </c>
      <c r="Q97" s="381">
        <f t="shared" si="1"/>
        <v>51.8</v>
      </c>
      <c r="R97" s="422"/>
      <c r="S97" s="2668" t="s">
        <v>4109</v>
      </c>
      <c r="T97" s="2669"/>
      <c r="U97" s="385">
        <v>2.5</v>
      </c>
      <c r="V97" s="381">
        <f t="shared" si="2"/>
        <v>50</v>
      </c>
      <c r="X97" s="2748" t="s">
        <v>4110</v>
      </c>
      <c r="Y97" s="2749"/>
      <c r="Z97" s="385">
        <v>100</v>
      </c>
      <c r="AA97" s="381">
        <v>5.95</v>
      </c>
    </row>
    <row r="98" spans="2:27" ht="16.149999999999999" customHeight="1">
      <c r="B98" s="2674" t="s">
        <v>4111</v>
      </c>
      <c r="C98" s="2675"/>
      <c r="D98" s="410" t="s">
        <v>4112</v>
      </c>
      <c r="E98" s="382" t="s">
        <v>4113</v>
      </c>
      <c r="G98" s="2674" t="s">
        <v>4114</v>
      </c>
      <c r="H98" s="2675"/>
      <c r="I98" s="2675"/>
      <c r="J98" s="410">
        <v>3.65</v>
      </c>
      <c r="K98" s="382">
        <f t="shared" si="0"/>
        <v>73</v>
      </c>
      <c r="L98"/>
      <c r="M98" s="2674" t="s">
        <v>4115</v>
      </c>
      <c r="N98" s="2675"/>
      <c r="O98" s="2675"/>
      <c r="P98" s="410">
        <v>4.95</v>
      </c>
      <c r="Q98" s="382">
        <f t="shared" si="1"/>
        <v>99</v>
      </c>
      <c r="R98" s="415"/>
      <c r="S98" s="2711" t="s">
        <v>4116</v>
      </c>
      <c r="T98" s="2712"/>
      <c r="U98" s="420">
        <v>0.45</v>
      </c>
      <c r="V98" s="384">
        <f t="shared" si="2"/>
        <v>9</v>
      </c>
      <c r="X98" s="2746" t="s">
        <v>4117</v>
      </c>
      <c r="Y98" s="2747"/>
      <c r="Z98" s="410">
        <v>100</v>
      </c>
      <c r="AA98" s="382">
        <v>2.97</v>
      </c>
    </row>
    <row r="99" spans="2:27" ht="16.149999999999999" customHeight="1">
      <c r="B99" s="2668" t="s">
        <v>4118</v>
      </c>
      <c r="C99" s="2669"/>
      <c r="D99" s="385">
        <v>37.5</v>
      </c>
      <c r="E99" s="381">
        <f t="shared" si="3"/>
        <v>750</v>
      </c>
      <c r="G99" s="2668" t="s">
        <v>4119</v>
      </c>
      <c r="H99" s="2669"/>
      <c r="I99" s="2669"/>
      <c r="J99" s="385">
        <v>2.59</v>
      </c>
      <c r="K99" s="381">
        <f t="shared" si="0"/>
        <v>51.8</v>
      </c>
      <c r="L99"/>
      <c r="M99" s="2668" t="s">
        <v>4120</v>
      </c>
      <c r="N99" s="2669"/>
      <c r="O99" s="2669"/>
      <c r="P99" s="385">
        <v>0.4</v>
      </c>
      <c r="Q99" s="381">
        <f t="shared" si="1"/>
        <v>8</v>
      </c>
      <c r="R99" s="415"/>
      <c r="X99" s="2701" t="s">
        <v>4121</v>
      </c>
      <c r="Y99" s="2702"/>
      <c r="Z99" s="385">
        <v>100</v>
      </c>
      <c r="AA99" s="381">
        <v>1.75</v>
      </c>
    </row>
    <row r="100" spans="2:27" ht="16.149999999999999" customHeight="1">
      <c r="B100" s="2719" t="s">
        <v>4122</v>
      </c>
      <c r="C100" s="2720"/>
      <c r="D100" s="413">
        <v>19.95</v>
      </c>
      <c r="E100" s="382">
        <f t="shared" si="3"/>
        <v>399</v>
      </c>
      <c r="G100" s="2674" t="s">
        <v>4123</v>
      </c>
      <c r="H100" s="2675"/>
      <c r="I100" s="2675"/>
      <c r="J100" s="410">
        <v>0.25</v>
      </c>
      <c r="K100" s="382">
        <f t="shared" si="0"/>
        <v>5</v>
      </c>
      <c r="L100"/>
      <c r="M100" s="2678" t="s">
        <v>4124</v>
      </c>
      <c r="N100" s="2679"/>
      <c r="O100" s="2679"/>
      <c r="P100" s="2679"/>
      <c r="Q100" s="2680"/>
      <c r="R100" s="415"/>
      <c r="S100" s="2678" t="s">
        <v>4125</v>
      </c>
      <c r="T100" s="2679"/>
      <c r="U100" s="2679"/>
      <c r="V100" s="2680"/>
      <c r="W100" s="423"/>
      <c r="X100" s="2746" t="s">
        <v>4126</v>
      </c>
      <c r="Y100" s="2747"/>
      <c r="Z100" s="410">
        <v>100</v>
      </c>
      <c r="AA100" s="382">
        <v>6.6</v>
      </c>
    </row>
    <row r="101" spans="2:27" ht="16.149999999999999" customHeight="1">
      <c r="B101" s="2668" t="s">
        <v>4127</v>
      </c>
      <c r="C101" s="2669"/>
      <c r="D101" s="385">
        <v>6.95</v>
      </c>
      <c r="E101" s="381">
        <f t="shared" si="3"/>
        <v>139</v>
      </c>
      <c r="G101" s="2668" t="s">
        <v>4128</v>
      </c>
      <c r="H101" s="2669"/>
      <c r="I101" s="2669"/>
      <c r="J101" s="385">
        <v>5.95</v>
      </c>
      <c r="K101" s="381">
        <f t="shared" si="0"/>
        <v>119</v>
      </c>
      <c r="L101"/>
      <c r="M101" s="2668" t="s">
        <v>4129</v>
      </c>
      <c r="N101" s="2669"/>
      <c r="O101" s="2669"/>
      <c r="P101" s="385">
        <v>1.69</v>
      </c>
      <c r="Q101" s="381">
        <f t="shared" ref="Q101:Q105" si="4">P101*20</f>
        <v>33.799999999999997</v>
      </c>
      <c r="R101" s="415"/>
      <c r="S101" s="2683" t="s">
        <v>4130</v>
      </c>
      <c r="T101" s="2684"/>
      <c r="U101" s="404" t="s">
        <v>3899</v>
      </c>
      <c r="V101" s="424" t="s">
        <v>4086</v>
      </c>
      <c r="X101" s="2744" t="s">
        <v>4131</v>
      </c>
      <c r="Y101" s="2745"/>
      <c r="Z101" s="385">
        <v>100</v>
      </c>
      <c r="AA101" s="381">
        <v>4.49</v>
      </c>
    </row>
    <row r="102" spans="2:27" ht="16.149999999999999" customHeight="1">
      <c r="B102" s="2674" t="s">
        <v>4132</v>
      </c>
      <c r="C102" s="2675"/>
      <c r="D102" s="410">
        <v>4.95</v>
      </c>
      <c r="E102" s="382">
        <f t="shared" si="3"/>
        <v>99</v>
      </c>
      <c r="G102" s="2674" t="s">
        <v>4133</v>
      </c>
      <c r="H102" s="2675"/>
      <c r="I102" s="2675"/>
      <c r="J102" s="410">
        <v>6.59</v>
      </c>
      <c r="K102" s="382">
        <f t="shared" si="0"/>
        <v>131.80000000000001</v>
      </c>
      <c r="L102"/>
      <c r="M102" s="2674" t="s">
        <v>4134</v>
      </c>
      <c r="N102" s="2675"/>
      <c r="O102" s="2675"/>
      <c r="P102" s="410">
        <v>3.98</v>
      </c>
      <c r="Q102" s="382">
        <f t="shared" si="4"/>
        <v>79.599999999999994</v>
      </c>
      <c r="R102" s="415"/>
      <c r="S102" s="2668" t="s">
        <v>4135</v>
      </c>
      <c r="T102" s="2669"/>
      <c r="U102" s="385">
        <v>0.25</v>
      </c>
      <c r="V102" s="381">
        <f t="shared" ref="V102:V121" si="5">U102*20</f>
        <v>5</v>
      </c>
      <c r="X102" s="2746" t="s">
        <v>4136</v>
      </c>
      <c r="Y102" s="2747"/>
      <c r="Z102" s="410">
        <v>100</v>
      </c>
      <c r="AA102" s="382">
        <v>4.43</v>
      </c>
    </row>
    <row r="103" spans="2:27" ht="16.149999999999999" customHeight="1">
      <c r="B103" s="2685" t="s">
        <v>4137</v>
      </c>
      <c r="C103" s="2686"/>
      <c r="D103" s="385">
        <v>8</v>
      </c>
      <c r="E103" s="381">
        <f t="shared" si="3"/>
        <v>160</v>
      </c>
      <c r="G103" s="2668" t="s">
        <v>4138</v>
      </c>
      <c r="H103" s="2669"/>
      <c r="I103" s="2669"/>
      <c r="J103" s="385">
        <v>1.39</v>
      </c>
      <c r="K103" s="381">
        <f t="shared" si="0"/>
        <v>27.8</v>
      </c>
      <c r="L103"/>
      <c r="M103" s="2668" t="s">
        <v>4139</v>
      </c>
      <c r="N103" s="2669"/>
      <c r="O103" s="2669"/>
      <c r="P103" s="385">
        <v>0.8</v>
      </c>
      <c r="Q103" s="381">
        <f t="shared" si="4"/>
        <v>16</v>
      </c>
      <c r="R103" s="415"/>
      <c r="S103" s="2674" t="s">
        <v>4140</v>
      </c>
      <c r="T103" s="2675"/>
      <c r="U103" s="410">
        <v>0.1</v>
      </c>
      <c r="V103" s="382">
        <f t="shared" si="5"/>
        <v>2</v>
      </c>
      <c r="X103" s="2701" t="s">
        <v>3967</v>
      </c>
      <c r="Y103" s="2702"/>
      <c r="Z103" s="385">
        <v>25</v>
      </c>
      <c r="AA103" s="381">
        <v>1</v>
      </c>
    </row>
    <row r="104" spans="2:27" ht="16.149999999999999" customHeight="1">
      <c r="B104" s="2674" t="s">
        <v>4141</v>
      </c>
      <c r="C104" s="2675"/>
      <c r="D104" s="410">
        <v>4.95</v>
      </c>
      <c r="E104" s="382">
        <f t="shared" si="3"/>
        <v>99</v>
      </c>
      <c r="G104" s="2674" t="s">
        <v>4142</v>
      </c>
      <c r="H104" s="2675"/>
      <c r="I104" s="2675"/>
      <c r="J104" s="410">
        <v>1.68</v>
      </c>
      <c r="K104" s="382">
        <f t="shared" si="0"/>
        <v>33.6</v>
      </c>
      <c r="L104"/>
      <c r="M104" s="2674" t="s">
        <v>4143</v>
      </c>
      <c r="N104" s="2675"/>
      <c r="O104" s="2675"/>
      <c r="P104" s="410">
        <v>1.04</v>
      </c>
      <c r="Q104" s="382">
        <f t="shared" si="4"/>
        <v>20.8</v>
      </c>
      <c r="R104" s="415"/>
      <c r="S104" s="2743" t="s">
        <v>4144</v>
      </c>
      <c r="T104" s="2718"/>
      <c r="U104" s="385">
        <v>0.19</v>
      </c>
      <c r="V104" s="381">
        <f t="shared" si="5"/>
        <v>3.8</v>
      </c>
      <c r="X104" s="2709" t="s">
        <v>3967</v>
      </c>
      <c r="Y104" s="2710"/>
      <c r="Z104" s="410">
        <v>100</v>
      </c>
      <c r="AA104" s="382">
        <v>3.91</v>
      </c>
    </row>
    <row r="105" spans="2:27" ht="16.149999999999999" customHeight="1">
      <c r="B105" s="2668" t="s">
        <v>4145</v>
      </c>
      <c r="C105" s="2669"/>
      <c r="D105" s="385" t="s">
        <v>4146</v>
      </c>
      <c r="E105" s="381" t="s">
        <v>4147</v>
      </c>
      <c r="G105" s="2668" t="s">
        <v>4148</v>
      </c>
      <c r="H105" s="2669"/>
      <c r="I105" s="2669"/>
      <c r="J105" s="414" t="s">
        <v>4149</v>
      </c>
      <c r="K105" s="381" t="s">
        <v>4150</v>
      </c>
      <c r="L105"/>
      <c r="M105" s="2687" t="s">
        <v>4151</v>
      </c>
      <c r="N105" s="2688"/>
      <c r="O105" s="2688"/>
      <c r="P105" s="411">
        <v>2.06</v>
      </c>
      <c r="Q105" s="392">
        <f t="shared" si="4"/>
        <v>41.2</v>
      </c>
      <c r="R105"/>
      <c r="S105" s="2672" t="s">
        <v>4152</v>
      </c>
      <c r="T105" s="2673"/>
      <c r="U105" s="410">
        <v>0.43</v>
      </c>
      <c r="V105" s="382">
        <f t="shared" si="5"/>
        <v>8.6</v>
      </c>
      <c r="X105" s="2701" t="s">
        <v>3970</v>
      </c>
      <c r="Y105" s="2702"/>
      <c r="Z105" s="385">
        <v>100</v>
      </c>
      <c r="AA105" s="381">
        <v>3.63</v>
      </c>
    </row>
    <row r="106" spans="2:27" ht="16.149999999999999" customHeight="1">
      <c r="B106" s="2674" t="s">
        <v>4153</v>
      </c>
      <c r="C106" s="2675"/>
      <c r="D106" s="410">
        <v>19.5</v>
      </c>
      <c r="E106" s="382">
        <f t="shared" si="3"/>
        <v>390</v>
      </c>
      <c r="G106" s="2674" t="s">
        <v>4154</v>
      </c>
      <c r="H106" s="2675"/>
      <c r="I106" s="2675"/>
      <c r="J106" s="410">
        <v>0.6</v>
      </c>
      <c r="K106" s="382">
        <f t="shared" si="0"/>
        <v>12</v>
      </c>
      <c r="L106"/>
      <c r="R106" s="422"/>
      <c r="S106" s="2668" t="s">
        <v>4155</v>
      </c>
      <c r="T106" s="2669"/>
      <c r="U106" s="385">
        <v>0.25</v>
      </c>
      <c r="V106" s="381">
        <f t="shared" si="5"/>
        <v>5</v>
      </c>
      <c r="X106" s="2703" t="s">
        <v>3975</v>
      </c>
      <c r="Y106" s="2704"/>
      <c r="Z106" s="410">
        <v>25</v>
      </c>
      <c r="AA106" s="382">
        <v>0.86</v>
      </c>
    </row>
    <row r="107" spans="2:27" ht="16.149999999999999" customHeight="1">
      <c r="B107" s="2668" t="s">
        <v>4156</v>
      </c>
      <c r="C107" s="2669"/>
      <c r="D107" s="385">
        <v>7.69</v>
      </c>
      <c r="E107" s="381">
        <f t="shared" si="3"/>
        <v>153.80000000000001</v>
      </c>
      <c r="G107" s="2668" t="s">
        <v>4157</v>
      </c>
      <c r="H107" s="2669"/>
      <c r="I107" s="2669"/>
      <c r="J107" s="385">
        <v>1</v>
      </c>
      <c r="K107" s="381">
        <f t="shared" si="0"/>
        <v>20</v>
      </c>
      <c r="L107"/>
      <c r="M107" s="2678" t="s">
        <v>4054</v>
      </c>
      <c r="N107" s="2679"/>
      <c r="O107" s="2679"/>
      <c r="P107" s="2679"/>
      <c r="Q107" s="2680"/>
      <c r="R107" s="415"/>
      <c r="S107" s="2674" t="s">
        <v>4158</v>
      </c>
      <c r="T107" s="2675"/>
      <c r="U107" s="410">
        <v>0.13</v>
      </c>
      <c r="V107" s="382">
        <f t="shared" si="5"/>
        <v>2.6</v>
      </c>
      <c r="X107" s="2701" t="s">
        <v>3975</v>
      </c>
      <c r="Y107" s="2702"/>
      <c r="Z107" s="385">
        <v>100</v>
      </c>
      <c r="AA107" s="381">
        <v>3.34</v>
      </c>
    </row>
    <row r="108" spans="2:27" ht="16.149999999999999" customHeight="1">
      <c r="B108" s="2674" t="s">
        <v>4159</v>
      </c>
      <c r="C108" s="2675"/>
      <c r="D108" s="410">
        <v>4.95</v>
      </c>
      <c r="E108" s="382">
        <f t="shared" si="3"/>
        <v>99</v>
      </c>
      <c r="G108" s="2674" t="s">
        <v>4160</v>
      </c>
      <c r="H108" s="2675"/>
      <c r="I108" s="2675"/>
      <c r="J108" s="410">
        <v>0.27</v>
      </c>
      <c r="K108" s="382">
        <f t="shared" si="0"/>
        <v>5.4</v>
      </c>
      <c r="L108"/>
      <c r="M108" s="2683" t="s">
        <v>1494</v>
      </c>
      <c r="N108" s="2684"/>
      <c r="O108" s="2684"/>
      <c r="P108" s="404" t="s">
        <v>3899</v>
      </c>
      <c r="Q108" s="424" t="s">
        <v>4086</v>
      </c>
      <c r="R108" s="415"/>
      <c r="S108" s="2668" t="s">
        <v>4161</v>
      </c>
      <c r="T108" s="2669"/>
      <c r="U108" s="385">
        <v>0.4</v>
      </c>
      <c r="V108" s="381">
        <f t="shared" si="5"/>
        <v>8</v>
      </c>
      <c r="X108" s="2703" t="s">
        <v>3980</v>
      </c>
      <c r="Y108" s="2704"/>
      <c r="Z108" s="410">
        <v>25</v>
      </c>
      <c r="AA108" s="382">
        <v>0.85</v>
      </c>
    </row>
    <row r="109" spans="2:27" ht="16.149999999999999" customHeight="1">
      <c r="B109" s="2668" t="s">
        <v>4162</v>
      </c>
      <c r="C109" s="2669"/>
      <c r="D109" s="385">
        <v>0.79</v>
      </c>
      <c r="E109" s="381">
        <f t="shared" si="3"/>
        <v>15.8</v>
      </c>
      <c r="G109" s="2668" t="s">
        <v>4163</v>
      </c>
      <c r="H109" s="2669"/>
      <c r="I109" s="2669"/>
      <c r="J109" s="385">
        <v>3.45</v>
      </c>
      <c r="K109" s="381">
        <f t="shared" si="0"/>
        <v>69</v>
      </c>
      <c r="L109"/>
      <c r="M109" s="2674" t="s">
        <v>4164</v>
      </c>
      <c r="N109" s="2675"/>
      <c r="O109" s="2675"/>
      <c r="P109" s="410">
        <v>0.1</v>
      </c>
      <c r="Q109" s="382">
        <f t="shared" ref="Q109:Q127" si="6">P109*20</f>
        <v>2</v>
      </c>
      <c r="R109" s="425"/>
      <c r="S109" s="2672" t="s">
        <v>4165</v>
      </c>
      <c r="T109" s="2673"/>
      <c r="U109" s="410">
        <v>0.17</v>
      </c>
      <c r="V109" s="382">
        <f t="shared" si="5"/>
        <v>3.4</v>
      </c>
      <c r="X109" s="2741" t="s">
        <v>3980</v>
      </c>
      <c r="Y109" s="2742"/>
      <c r="Z109" s="411">
        <v>100</v>
      </c>
      <c r="AA109" s="392">
        <v>3.3</v>
      </c>
    </row>
    <row r="110" spans="2:27" ht="16.149999999999999" customHeight="1">
      <c r="B110" s="2674" t="s">
        <v>4166</v>
      </c>
      <c r="C110" s="2675"/>
      <c r="D110" s="410">
        <v>1.95</v>
      </c>
      <c r="E110" s="382">
        <f t="shared" si="3"/>
        <v>39</v>
      </c>
      <c r="G110" s="2672" t="s">
        <v>4167</v>
      </c>
      <c r="H110" s="2673"/>
      <c r="I110" s="2673"/>
      <c r="J110" s="419" t="s">
        <v>4168</v>
      </c>
      <c r="K110" s="382" t="s">
        <v>4169</v>
      </c>
      <c r="L110"/>
      <c r="M110" s="2668" t="s">
        <v>4170</v>
      </c>
      <c r="N110" s="2669"/>
      <c r="O110" s="2669"/>
      <c r="P110" s="385">
        <v>0.9</v>
      </c>
      <c r="Q110" s="381">
        <f t="shared" si="6"/>
        <v>18</v>
      </c>
      <c r="R110" s="415"/>
      <c r="S110" s="2668" t="s">
        <v>4171</v>
      </c>
      <c r="T110" s="2669"/>
      <c r="U110" s="385">
        <v>0.5</v>
      </c>
      <c r="V110" s="381">
        <f t="shared" si="5"/>
        <v>10</v>
      </c>
    </row>
    <row r="111" spans="2:27" ht="16.149999999999999" customHeight="1">
      <c r="B111" s="2699" t="s">
        <v>4172</v>
      </c>
      <c r="C111" s="2700"/>
      <c r="D111" s="385">
        <v>3.65</v>
      </c>
      <c r="E111" s="381">
        <f t="shared" si="3"/>
        <v>73</v>
      </c>
      <c r="G111" s="2668" t="s">
        <v>4173</v>
      </c>
      <c r="H111" s="2669"/>
      <c r="I111" s="2669"/>
      <c r="J111" s="385">
        <v>28.5</v>
      </c>
      <c r="K111" s="381">
        <f t="shared" si="0"/>
        <v>570</v>
      </c>
      <c r="L111"/>
      <c r="M111" s="2674" t="s">
        <v>4174</v>
      </c>
      <c r="N111" s="2675"/>
      <c r="O111" s="2675"/>
      <c r="P111" s="410">
        <v>0.25</v>
      </c>
      <c r="Q111" s="382">
        <f t="shared" si="6"/>
        <v>5</v>
      </c>
      <c r="R111" s="415"/>
      <c r="S111" s="2674" t="s">
        <v>4175</v>
      </c>
      <c r="T111" s="2675"/>
      <c r="U111" s="410">
        <v>0.12</v>
      </c>
      <c r="V111" s="382">
        <f t="shared" si="5"/>
        <v>2.4</v>
      </c>
      <c r="X111" s="2678" t="s">
        <v>3988</v>
      </c>
      <c r="Y111" s="2679"/>
      <c r="Z111" s="2679"/>
      <c r="AA111" s="2680"/>
    </row>
    <row r="112" spans="2:27" ht="16.149999999999999" customHeight="1">
      <c r="B112" s="2674" t="s">
        <v>4176</v>
      </c>
      <c r="C112" s="2675"/>
      <c r="D112" s="410">
        <v>0.98</v>
      </c>
      <c r="E112" s="382">
        <f t="shared" si="3"/>
        <v>19.600000000000001</v>
      </c>
      <c r="G112" s="2674" t="s">
        <v>4177</v>
      </c>
      <c r="H112" s="2675"/>
      <c r="I112" s="2675"/>
      <c r="J112" s="410">
        <v>3.25</v>
      </c>
      <c r="K112" s="382">
        <f t="shared" si="0"/>
        <v>65</v>
      </c>
      <c r="L112"/>
      <c r="M112" s="2668" t="s">
        <v>4178</v>
      </c>
      <c r="N112" s="2669"/>
      <c r="O112" s="2669"/>
      <c r="P112" s="385">
        <v>0.25</v>
      </c>
      <c r="Q112" s="381">
        <f t="shared" si="6"/>
        <v>5</v>
      </c>
      <c r="R112"/>
      <c r="S112" s="2668" t="s">
        <v>4179</v>
      </c>
      <c r="T112" s="2669"/>
      <c r="U112" s="385">
        <v>7.0000000000000007E-2</v>
      </c>
      <c r="V112" s="381">
        <f t="shared" si="5"/>
        <v>1.4</v>
      </c>
      <c r="X112" s="2683" t="s">
        <v>1494</v>
      </c>
      <c r="Y112" s="2684"/>
      <c r="Z112" s="404" t="s">
        <v>3899</v>
      </c>
      <c r="AA112" s="424" t="s">
        <v>4086</v>
      </c>
    </row>
    <row r="113" spans="2:27" ht="16.149999999999999" customHeight="1">
      <c r="B113" s="2668" t="s">
        <v>4180</v>
      </c>
      <c r="C113" s="2669"/>
      <c r="D113" s="385">
        <v>16.95</v>
      </c>
      <c r="E113" s="381">
        <f t="shared" ref="E113:E118" si="7">D113*20</f>
        <v>339</v>
      </c>
      <c r="G113" s="2668" t="s">
        <v>4181</v>
      </c>
      <c r="H113" s="2669"/>
      <c r="I113" s="2669"/>
      <c r="J113" s="385">
        <v>2.85</v>
      </c>
      <c r="K113" s="381">
        <f t="shared" si="0"/>
        <v>57</v>
      </c>
      <c r="L113"/>
      <c r="M113" s="2674" t="s">
        <v>4182</v>
      </c>
      <c r="N113" s="2675"/>
      <c r="O113" s="2675"/>
      <c r="P113" s="410">
        <v>10.45</v>
      </c>
      <c r="Q113" s="382">
        <f t="shared" si="6"/>
        <v>209</v>
      </c>
      <c r="R113" s="422"/>
      <c r="S113" s="2674" t="s">
        <v>4183</v>
      </c>
      <c r="T113" s="2675"/>
      <c r="U113" s="410">
        <v>0.1</v>
      </c>
      <c r="V113" s="382">
        <f t="shared" si="5"/>
        <v>2</v>
      </c>
      <c r="X113" s="2737" t="s">
        <v>4184</v>
      </c>
      <c r="Y113" s="2738"/>
      <c r="Z113" s="410">
        <v>9.1999999999999993</v>
      </c>
      <c r="AA113" s="382">
        <f>Z113*20</f>
        <v>184</v>
      </c>
    </row>
    <row r="114" spans="2:27" ht="16.149999999999999" customHeight="1">
      <c r="B114" s="2674" t="s">
        <v>4185</v>
      </c>
      <c r="C114" s="2675"/>
      <c r="D114" s="410">
        <v>0.96</v>
      </c>
      <c r="E114" s="382">
        <f t="shared" si="7"/>
        <v>19.2</v>
      </c>
      <c r="G114" s="2672" t="s">
        <v>4186</v>
      </c>
      <c r="H114" s="2673"/>
      <c r="I114" s="2673"/>
      <c r="J114" s="410">
        <v>9.35</v>
      </c>
      <c r="K114" s="382">
        <f t="shared" si="0"/>
        <v>187</v>
      </c>
      <c r="L114"/>
      <c r="M114" s="2668" t="s">
        <v>4187</v>
      </c>
      <c r="N114" s="2669"/>
      <c r="O114" s="2669"/>
      <c r="P114" s="385">
        <v>3.59</v>
      </c>
      <c r="Q114" s="381">
        <f t="shared" si="6"/>
        <v>71.8</v>
      </c>
      <c r="R114" s="415"/>
      <c r="S114" s="2668" t="s">
        <v>4188</v>
      </c>
      <c r="T114" s="2669"/>
      <c r="U114" s="385">
        <v>0.15</v>
      </c>
      <c r="V114" s="381">
        <f t="shared" si="5"/>
        <v>3</v>
      </c>
      <c r="X114" s="2739" t="s">
        <v>4189</v>
      </c>
      <c r="Y114" s="2740"/>
      <c r="Z114" s="385">
        <v>21.35</v>
      </c>
      <c r="AA114" s="381">
        <f>Z114*20</f>
        <v>427</v>
      </c>
    </row>
    <row r="115" spans="2:27" ht="16.149999999999999" customHeight="1">
      <c r="B115" s="2668" t="s">
        <v>3968</v>
      </c>
      <c r="C115" s="2669"/>
      <c r="D115" s="385">
        <v>0.5</v>
      </c>
      <c r="E115" s="381">
        <f t="shared" si="7"/>
        <v>10</v>
      </c>
      <c r="G115" s="2668" t="s">
        <v>4190</v>
      </c>
      <c r="H115" s="2669"/>
      <c r="I115" s="2669"/>
      <c r="J115" s="385">
        <v>0.27</v>
      </c>
      <c r="K115" s="381">
        <f t="shared" si="0"/>
        <v>5.4</v>
      </c>
      <c r="L115"/>
      <c r="M115" s="2674" t="s">
        <v>4191</v>
      </c>
      <c r="N115" s="2675"/>
      <c r="O115" s="2675"/>
      <c r="P115" s="410">
        <v>1.39</v>
      </c>
      <c r="Q115" s="382">
        <f t="shared" si="6"/>
        <v>27.8</v>
      </c>
      <c r="R115" s="426"/>
      <c r="S115" s="2674" t="s">
        <v>4192</v>
      </c>
      <c r="T115" s="2675"/>
      <c r="U115" s="410">
        <v>0.1</v>
      </c>
      <c r="V115" s="382">
        <f t="shared" si="5"/>
        <v>2</v>
      </c>
      <c r="X115" s="2713" t="s">
        <v>4193</v>
      </c>
      <c r="Y115" s="2714"/>
      <c r="Z115" s="420">
        <v>1.9</v>
      </c>
      <c r="AA115" s="384">
        <f>Z115*20</f>
        <v>38</v>
      </c>
    </row>
    <row r="116" spans="2:27" ht="16.149999999999999" customHeight="1">
      <c r="B116" s="2674" t="s">
        <v>4194</v>
      </c>
      <c r="C116" s="2675"/>
      <c r="D116" s="410">
        <v>0.55000000000000004</v>
      </c>
      <c r="E116" s="382">
        <f t="shared" si="7"/>
        <v>11</v>
      </c>
      <c r="G116" s="2674" t="s">
        <v>4195</v>
      </c>
      <c r="H116" s="2675"/>
      <c r="I116" s="2675"/>
      <c r="J116" s="410">
        <v>1.7</v>
      </c>
      <c r="K116" s="382">
        <f t="shared" si="0"/>
        <v>34</v>
      </c>
      <c r="L116"/>
      <c r="M116" s="2668" t="s">
        <v>4196</v>
      </c>
      <c r="N116" s="2669"/>
      <c r="O116" s="2669"/>
      <c r="P116" s="385">
        <v>12.5</v>
      </c>
      <c r="Q116" s="381">
        <f t="shared" si="6"/>
        <v>250</v>
      </c>
      <c r="R116" s="415"/>
      <c r="S116" s="2668" t="s">
        <v>4197</v>
      </c>
      <c r="T116" s="2669"/>
      <c r="U116" s="385">
        <v>0.1</v>
      </c>
      <c r="V116" s="381">
        <f t="shared" si="5"/>
        <v>2</v>
      </c>
    </row>
    <row r="117" spans="2:27" ht="16.149999999999999" customHeight="1">
      <c r="B117" s="2668" t="s">
        <v>4198</v>
      </c>
      <c r="C117" s="2669"/>
      <c r="D117" s="385">
        <v>0.39</v>
      </c>
      <c r="E117" s="381">
        <f t="shared" si="7"/>
        <v>7.8</v>
      </c>
      <c r="G117" s="2668" t="s">
        <v>4199</v>
      </c>
      <c r="H117" s="2669"/>
      <c r="I117" s="2669"/>
      <c r="J117" s="385">
        <v>3.45</v>
      </c>
      <c r="K117" s="381">
        <f t="shared" si="0"/>
        <v>69</v>
      </c>
      <c r="L117"/>
      <c r="M117" s="2674" t="s">
        <v>4200</v>
      </c>
      <c r="N117" s="2675"/>
      <c r="O117" s="2675"/>
      <c r="P117" s="410">
        <v>1.39</v>
      </c>
      <c r="Q117" s="382">
        <f t="shared" si="6"/>
        <v>27.8</v>
      </c>
      <c r="R117" s="415"/>
      <c r="S117" s="2674" t="s">
        <v>4201</v>
      </c>
      <c r="T117" s="2675"/>
      <c r="U117" s="410">
        <v>0.13</v>
      </c>
      <c r="V117" s="382">
        <f t="shared" si="5"/>
        <v>2.6</v>
      </c>
      <c r="X117" s="2678" t="s">
        <v>4202</v>
      </c>
      <c r="Y117" s="2679"/>
      <c r="Z117" s="2679"/>
      <c r="AA117" s="2680"/>
    </row>
    <row r="118" spans="2:27" ht="16.149999999999999" customHeight="1">
      <c r="B118" s="2674" t="s">
        <v>4203</v>
      </c>
      <c r="C118" s="2675"/>
      <c r="D118" s="410">
        <v>1.48</v>
      </c>
      <c r="E118" s="382">
        <f t="shared" si="7"/>
        <v>29.6</v>
      </c>
      <c r="G118" s="2674" t="s">
        <v>4204</v>
      </c>
      <c r="H118" s="2675"/>
      <c r="I118" s="2675"/>
      <c r="J118" s="410">
        <v>0.62</v>
      </c>
      <c r="K118" s="382">
        <f t="shared" si="0"/>
        <v>12.4</v>
      </c>
      <c r="L118"/>
      <c r="M118" s="2668" t="s">
        <v>4205</v>
      </c>
      <c r="N118" s="2669"/>
      <c r="O118" s="2669"/>
      <c r="P118" s="385">
        <v>0.69</v>
      </c>
      <c r="Q118" s="381">
        <f t="shared" si="6"/>
        <v>13.8</v>
      </c>
      <c r="R118" s="415"/>
      <c r="S118" s="2668" t="s">
        <v>4206</v>
      </c>
      <c r="T118" s="2669"/>
      <c r="U118" s="385">
        <v>0.1</v>
      </c>
      <c r="V118" s="381">
        <f t="shared" si="5"/>
        <v>2</v>
      </c>
      <c r="X118" s="2683" t="s">
        <v>1494</v>
      </c>
      <c r="Y118" s="2684"/>
      <c r="Z118" s="404" t="s">
        <v>3899</v>
      </c>
      <c r="AA118" s="424" t="s">
        <v>4086</v>
      </c>
    </row>
    <row r="119" spans="2:27" ht="16.149999999999999" customHeight="1">
      <c r="B119" s="2668" t="s">
        <v>4207</v>
      </c>
      <c r="C119" s="2669"/>
      <c r="D119" s="385">
        <v>0.4</v>
      </c>
      <c r="E119" s="381">
        <f t="shared" ref="E119:E124" si="8">D119*20</f>
        <v>8</v>
      </c>
      <c r="G119" s="2668" t="s">
        <v>4208</v>
      </c>
      <c r="H119" s="2669"/>
      <c r="I119" s="2669"/>
      <c r="J119" s="385">
        <v>0.48</v>
      </c>
      <c r="K119" s="381">
        <f t="shared" si="0"/>
        <v>9.6</v>
      </c>
      <c r="L119"/>
      <c r="M119" s="2674" t="s">
        <v>4209</v>
      </c>
      <c r="N119" s="2675"/>
      <c r="O119" s="2675"/>
      <c r="P119" s="410">
        <v>0.69</v>
      </c>
      <c r="Q119" s="382">
        <f t="shared" si="6"/>
        <v>13.8</v>
      </c>
      <c r="R119" s="415"/>
      <c r="S119" s="2672" t="s">
        <v>4210</v>
      </c>
      <c r="T119" s="2673"/>
      <c r="U119" s="410">
        <v>2.25</v>
      </c>
      <c r="V119" s="382">
        <f t="shared" si="5"/>
        <v>45</v>
      </c>
      <c r="X119" s="2701" t="s">
        <v>4211</v>
      </c>
      <c r="Y119" s="2702"/>
      <c r="Z119" s="385">
        <v>12.5</v>
      </c>
      <c r="AA119" s="381">
        <f t="shared" ref="AA119:AA127" si="9">Z119*20</f>
        <v>250</v>
      </c>
    </row>
    <row r="120" spans="2:27" ht="16.149999999999999" customHeight="1">
      <c r="B120" s="2674" t="s">
        <v>4212</v>
      </c>
      <c r="C120" s="2675"/>
      <c r="D120" s="410">
        <v>1.35</v>
      </c>
      <c r="E120" s="382">
        <f t="shared" si="8"/>
        <v>27</v>
      </c>
      <c r="G120" s="2692" t="s">
        <v>4213</v>
      </c>
      <c r="H120" s="2693"/>
      <c r="I120" s="2693"/>
      <c r="J120" s="2693"/>
      <c r="K120" s="2694"/>
      <c r="L120"/>
      <c r="M120" s="2668" t="s">
        <v>4214</v>
      </c>
      <c r="N120" s="2669"/>
      <c r="O120" s="2669"/>
      <c r="P120" s="385">
        <v>0.2</v>
      </c>
      <c r="Q120" s="381">
        <f t="shared" si="6"/>
        <v>4</v>
      </c>
      <c r="R120" s="415"/>
      <c r="S120" s="2668" t="s">
        <v>4215</v>
      </c>
      <c r="T120" s="2669"/>
      <c r="U120" s="385">
        <v>0.25</v>
      </c>
      <c r="V120" s="381">
        <f t="shared" si="5"/>
        <v>5</v>
      </c>
      <c r="X120" s="2703" t="s">
        <v>4216</v>
      </c>
      <c r="Y120" s="2704"/>
      <c r="Z120" s="410">
        <v>3.75</v>
      </c>
      <c r="AA120" s="382">
        <f t="shared" si="9"/>
        <v>75</v>
      </c>
    </row>
    <row r="121" spans="2:27" ht="16.149999999999999" customHeight="1">
      <c r="B121" s="2668" t="s">
        <v>4217</v>
      </c>
      <c r="C121" s="2669"/>
      <c r="D121" s="385">
        <v>0.79</v>
      </c>
      <c r="E121" s="381">
        <f t="shared" si="8"/>
        <v>15.8</v>
      </c>
      <c r="G121" s="2674" t="s">
        <v>4218</v>
      </c>
      <c r="H121" s="2675"/>
      <c r="I121" s="2675"/>
      <c r="J121" s="410">
        <v>2.35</v>
      </c>
      <c r="K121" s="382">
        <f>J121*20</f>
        <v>47</v>
      </c>
      <c r="L121"/>
      <c r="M121" s="2674" t="s">
        <v>4219</v>
      </c>
      <c r="N121" s="2675"/>
      <c r="O121" s="2675"/>
      <c r="P121" s="410">
        <v>0.69</v>
      </c>
      <c r="Q121" s="382">
        <f t="shared" si="6"/>
        <v>13.8</v>
      </c>
      <c r="R121" s="415"/>
      <c r="S121" s="2711" t="s">
        <v>4220</v>
      </c>
      <c r="T121" s="2712"/>
      <c r="U121" s="420">
        <v>0.45</v>
      </c>
      <c r="V121" s="384">
        <f t="shared" si="5"/>
        <v>9</v>
      </c>
      <c r="X121" s="2701" t="s">
        <v>4221</v>
      </c>
      <c r="Y121" s="2702"/>
      <c r="Z121" s="385">
        <v>2.5</v>
      </c>
      <c r="AA121" s="381">
        <f t="shared" si="9"/>
        <v>50</v>
      </c>
    </row>
    <row r="122" spans="2:27" ht="16.149999999999999" customHeight="1">
      <c r="B122" s="2674" t="s">
        <v>4222</v>
      </c>
      <c r="C122" s="2675"/>
      <c r="D122" s="410">
        <v>7.25</v>
      </c>
      <c r="E122" s="382">
        <f t="shared" si="8"/>
        <v>145</v>
      </c>
      <c r="G122" s="2668" t="s">
        <v>4223</v>
      </c>
      <c r="H122" s="2669"/>
      <c r="I122" s="2669"/>
      <c r="J122" s="385">
        <v>1.2</v>
      </c>
      <c r="K122" s="381">
        <f>J122*20</f>
        <v>24</v>
      </c>
      <c r="L122"/>
      <c r="M122" s="2668" t="s">
        <v>4224</v>
      </c>
      <c r="N122" s="2669"/>
      <c r="O122" s="2669"/>
      <c r="P122" s="385">
        <v>1.79</v>
      </c>
      <c r="Q122" s="381">
        <f t="shared" si="6"/>
        <v>35.799999999999997</v>
      </c>
      <c r="R122" s="415"/>
      <c r="X122" s="2703" t="s">
        <v>4225</v>
      </c>
      <c r="Y122" s="2704"/>
      <c r="Z122" s="427" t="s">
        <v>4226</v>
      </c>
      <c r="AA122" s="428" t="s">
        <v>4227</v>
      </c>
    </row>
    <row r="123" spans="2:27" ht="16.149999999999999" customHeight="1">
      <c r="B123" s="2668" t="s">
        <v>4228</v>
      </c>
      <c r="C123" s="2669"/>
      <c r="D123" s="385">
        <v>5.25</v>
      </c>
      <c r="E123" s="381">
        <f t="shared" si="8"/>
        <v>105</v>
      </c>
      <c r="G123" s="2674" t="s">
        <v>4229</v>
      </c>
      <c r="H123" s="2675"/>
      <c r="I123" s="2675"/>
      <c r="J123" s="410">
        <v>0.98</v>
      </c>
      <c r="K123" s="382">
        <f>J123*20</f>
        <v>19.600000000000001</v>
      </c>
      <c r="L123"/>
      <c r="M123" s="2674" t="s">
        <v>4230</v>
      </c>
      <c r="N123" s="2675"/>
      <c r="O123" s="2675"/>
      <c r="P123" s="410">
        <v>39.950000000000003</v>
      </c>
      <c r="Q123" s="382">
        <f t="shared" si="6"/>
        <v>799</v>
      </c>
      <c r="R123" s="415"/>
      <c r="S123" s="2678" t="s">
        <v>4231</v>
      </c>
      <c r="T123" s="2679"/>
      <c r="U123" s="2679"/>
      <c r="V123" s="2680"/>
      <c r="W123" s="423"/>
      <c r="X123" s="2701" t="s">
        <v>4232</v>
      </c>
      <c r="Y123" s="2702"/>
      <c r="Z123" s="385">
        <v>1</v>
      </c>
      <c r="AA123" s="381">
        <f t="shared" si="9"/>
        <v>20</v>
      </c>
    </row>
    <row r="124" spans="2:27" ht="16.149999999999999" customHeight="1">
      <c r="B124" s="2674" t="s">
        <v>4233</v>
      </c>
      <c r="C124" s="2675"/>
      <c r="D124" s="410">
        <v>3.45</v>
      </c>
      <c r="E124" s="382">
        <f t="shared" si="8"/>
        <v>69</v>
      </c>
      <c r="G124" s="2692" t="s">
        <v>4234</v>
      </c>
      <c r="H124" s="2693"/>
      <c r="I124" s="2693"/>
      <c r="J124" s="2693"/>
      <c r="K124" s="2694"/>
      <c r="L124"/>
      <c r="M124" s="2668" t="s">
        <v>4235</v>
      </c>
      <c r="N124" s="2669"/>
      <c r="O124" s="2669"/>
      <c r="P124" s="385">
        <v>1.59</v>
      </c>
      <c r="Q124" s="381">
        <f t="shared" si="6"/>
        <v>31.8</v>
      </c>
      <c r="R124" s="415"/>
      <c r="S124" s="2683" t="s">
        <v>1494</v>
      </c>
      <c r="T124" s="2684"/>
      <c r="U124" s="404" t="s">
        <v>3899</v>
      </c>
      <c r="V124" s="424" t="s">
        <v>4086</v>
      </c>
      <c r="X124" s="2703" t="s">
        <v>4236</v>
      </c>
      <c r="Y124" s="2704"/>
      <c r="Z124" s="410">
        <v>1.98</v>
      </c>
      <c r="AA124" s="382">
        <f t="shared" si="9"/>
        <v>39.6</v>
      </c>
    </row>
    <row r="125" spans="2:27" ht="16.149999999999999" customHeight="1">
      <c r="B125" s="2687" t="s">
        <v>4237</v>
      </c>
      <c r="C125" s="2688"/>
      <c r="D125" s="411">
        <v>0.75</v>
      </c>
      <c r="E125" s="392">
        <f t="shared" ref="E125:E136" si="10">D125*20</f>
        <v>15</v>
      </c>
      <c r="G125" s="2695" t="s">
        <v>4238</v>
      </c>
      <c r="H125" s="2696"/>
      <c r="I125" s="2696"/>
      <c r="J125" s="385">
        <v>2.48</v>
      </c>
      <c r="K125" s="381">
        <f>J125*20</f>
        <v>49.6</v>
      </c>
      <c r="L125"/>
      <c r="M125" s="2674" t="s">
        <v>4239</v>
      </c>
      <c r="N125" s="2675"/>
      <c r="O125" s="2675"/>
      <c r="P125" s="410">
        <v>0.28999999999999998</v>
      </c>
      <c r="Q125" s="382">
        <f t="shared" si="6"/>
        <v>5.8</v>
      </c>
      <c r="R125" s="415"/>
      <c r="S125" s="2668" t="s">
        <v>4240</v>
      </c>
      <c r="T125" s="2669"/>
      <c r="U125" s="385">
        <v>2.5</v>
      </c>
      <c r="V125" s="381">
        <f t="shared" ref="V125:V128" si="11">U125*20</f>
        <v>50</v>
      </c>
      <c r="X125" s="2701" t="s">
        <v>4241</v>
      </c>
      <c r="Y125" s="2702"/>
      <c r="Z125" s="385">
        <v>0.6</v>
      </c>
      <c r="AA125" s="381">
        <f t="shared" si="9"/>
        <v>12</v>
      </c>
    </row>
    <row r="126" spans="2:27" ht="16.149999999999999" customHeight="1">
      <c r="B126" s="415"/>
      <c r="C126" s="415"/>
      <c r="D126" s="415"/>
      <c r="E126" s="415"/>
      <c r="G126" s="2697" t="s">
        <v>4242</v>
      </c>
      <c r="H126" s="2698"/>
      <c r="I126" s="2698"/>
      <c r="J126" s="410">
        <v>5.98</v>
      </c>
      <c r="K126" s="382">
        <f>J126*20</f>
        <v>119.6</v>
      </c>
      <c r="L126"/>
      <c r="M126" s="2668" t="s">
        <v>4243</v>
      </c>
      <c r="N126" s="2669"/>
      <c r="O126" s="2669"/>
      <c r="P126" s="385">
        <v>1.98</v>
      </c>
      <c r="Q126" s="381">
        <f t="shared" si="6"/>
        <v>39.6</v>
      </c>
      <c r="R126" s="415"/>
      <c r="S126" s="2674" t="s">
        <v>4244</v>
      </c>
      <c r="T126" s="2675"/>
      <c r="U126" s="410">
        <v>0.45</v>
      </c>
      <c r="V126" s="382">
        <f t="shared" si="11"/>
        <v>9</v>
      </c>
      <c r="X126" s="2703" t="s">
        <v>4245</v>
      </c>
      <c r="Y126" s="2704"/>
      <c r="Z126" s="410">
        <v>1.95</v>
      </c>
      <c r="AA126" s="382">
        <f t="shared" si="9"/>
        <v>39</v>
      </c>
    </row>
    <row r="127" spans="2:27" ht="16.149999999999999" customHeight="1">
      <c r="B127" s="2678" t="s">
        <v>3996</v>
      </c>
      <c r="C127" s="2679"/>
      <c r="D127" s="2679"/>
      <c r="E127" s="2680"/>
      <c r="G127" s="2668" t="s">
        <v>4246</v>
      </c>
      <c r="H127" s="2669"/>
      <c r="I127" s="2669"/>
      <c r="J127" s="385">
        <v>11.43</v>
      </c>
      <c r="K127" s="381">
        <f>J127*20</f>
        <v>228.6</v>
      </c>
      <c r="L127"/>
      <c r="M127" s="2711" t="s">
        <v>4247</v>
      </c>
      <c r="N127" s="2712"/>
      <c r="O127" s="2712"/>
      <c r="P127" s="420">
        <v>0.98</v>
      </c>
      <c r="Q127" s="384">
        <f t="shared" si="6"/>
        <v>19.600000000000001</v>
      </c>
      <c r="R127" s="415"/>
      <c r="S127" s="2668" t="s">
        <v>4248</v>
      </c>
      <c r="T127" s="2669"/>
      <c r="U127" s="385">
        <v>0.65</v>
      </c>
      <c r="V127" s="381">
        <f t="shared" si="11"/>
        <v>13</v>
      </c>
      <c r="X127" s="2705" t="s">
        <v>4249</v>
      </c>
      <c r="Y127" s="2706"/>
      <c r="Z127" s="411">
        <v>1.75</v>
      </c>
      <c r="AA127" s="392">
        <f t="shared" si="9"/>
        <v>35</v>
      </c>
    </row>
    <row r="128" spans="2:27" ht="16.149999999999999" customHeight="1">
      <c r="B128" s="2683" t="s">
        <v>1494</v>
      </c>
      <c r="C128" s="2684"/>
      <c r="D128" s="404" t="s">
        <v>3899</v>
      </c>
      <c r="E128" s="380" t="s">
        <v>4086</v>
      </c>
      <c r="G128" s="2692" t="s">
        <v>4250</v>
      </c>
      <c r="H128" s="2693"/>
      <c r="I128" s="2693"/>
      <c r="J128" s="2693"/>
      <c r="K128" s="2694"/>
      <c r="L128"/>
      <c r="R128" s="415"/>
      <c r="S128" s="2711" t="s">
        <v>4251</v>
      </c>
      <c r="T128" s="2712"/>
      <c r="U128" s="420">
        <v>1.25</v>
      </c>
      <c r="V128" s="384">
        <f t="shared" si="11"/>
        <v>25</v>
      </c>
    </row>
    <row r="129" spans="2:27" ht="16.149999999999999" customHeight="1">
      <c r="B129" s="2668" t="s">
        <v>4252</v>
      </c>
      <c r="C129" s="2669"/>
      <c r="D129" s="385" t="s">
        <v>4030</v>
      </c>
      <c r="E129" s="381" t="s">
        <v>4253</v>
      </c>
      <c r="G129" s="2674" t="s">
        <v>4254</v>
      </c>
      <c r="H129" s="2675"/>
      <c r="I129" s="2675"/>
      <c r="J129" s="410">
        <v>35.200000000000003</v>
      </c>
      <c r="K129" s="382">
        <f>J129*20</f>
        <v>704</v>
      </c>
      <c r="L129" s="415"/>
      <c r="M129" s="2678" t="s">
        <v>4255</v>
      </c>
      <c r="N129" s="2679"/>
      <c r="O129" s="2679"/>
      <c r="P129" s="2679"/>
      <c r="Q129" s="2680"/>
      <c r="R129" s="415"/>
      <c r="X129" s="2678" t="s">
        <v>4256</v>
      </c>
      <c r="Y129" s="2679"/>
      <c r="Z129" s="2679"/>
      <c r="AA129" s="2680"/>
    </row>
    <row r="130" spans="2:27" ht="16.149999999999999" customHeight="1">
      <c r="B130" s="2674" t="s">
        <v>4257</v>
      </c>
      <c r="C130" s="2675"/>
      <c r="D130" s="410">
        <v>13.95</v>
      </c>
      <c r="E130" s="382">
        <f t="shared" si="10"/>
        <v>279</v>
      </c>
      <c r="G130" s="2668" t="s">
        <v>4258</v>
      </c>
      <c r="H130" s="2669"/>
      <c r="I130" s="2669"/>
      <c r="J130" s="385">
        <v>79.95</v>
      </c>
      <c r="K130" s="381">
        <f>J130*20</f>
        <v>1599</v>
      </c>
      <c r="L130"/>
      <c r="M130" s="2683" t="s">
        <v>1494</v>
      </c>
      <c r="N130" s="2684"/>
      <c r="O130" s="2684"/>
      <c r="P130" s="404" t="s">
        <v>3899</v>
      </c>
      <c r="Q130" s="434" t="s">
        <v>4086</v>
      </c>
      <c r="R130" s="415"/>
      <c r="S130" s="2678" t="s">
        <v>3974</v>
      </c>
      <c r="T130" s="2679"/>
      <c r="U130" s="2679"/>
      <c r="V130" s="2680"/>
      <c r="X130" s="2683" t="s">
        <v>1494</v>
      </c>
      <c r="Y130" s="2684"/>
      <c r="Z130" s="2684"/>
      <c r="AA130" s="380" t="s">
        <v>3899</v>
      </c>
    </row>
    <row r="131" spans="2:27" ht="16.149999999999999" customHeight="1">
      <c r="B131" s="2668" t="s">
        <v>4259</v>
      </c>
      <c r="C131" s="2669"/>
      <c r="D131" s="385">
        <v>10.95</v>
      </c>
      <c r="E131" s="381">
        <f t="shared" si="10"/>
        <v>219</v>
      </c>
      <c r="G131" s="2711" t="s">
        <v>4260</v>
      </c>
      <c r="H131" s="2712"/>
      <c r="I131" s="2712"/>
      <c r="J131" s="420">
        <v>75</v>
      </c>
      <c r="K131" s="384">
        <f>J131*20</f>
        <v>1500</v>
      </c>
      <c r="L131"/>
      <c r="M131" s="2668" t="s">
        <v>4261</v>
      </c>
      <c r="N131" s="2669"/>
      <c r="O131" s="2669"/>
      <c r="P131" s="385">
        <v>4.9800000000000004</v>
      </c>
      <c r="Q131" s="381">
        <f>P131*20</f>
        <v>99.6</v>
      </c>
      <c r="R131" s="415"/>
      <c r="S131" s="2683" t="s">
        <v>1494</v>
      </c>
      <c r="T131" s="2684"/>
      <c r="U131" s="404" t="s">
        <v>3899</v>
      </c>
      <c r="V131" s="424" t="s">
        <v>4086</v>
      </c>
      <c r="X131" s="2701" t="s">
        <v>4262</v>
      </c>
      <c r="Y131" s="2702"/>
      <c r="Z131" s="2702"/>
      <c r="AA131" s="381" t="s">
        <v>4263</v>
      </c>
    </row>
    <row r="132" spans="2:27" ht="16.149999999999999" customHeight="1">
      <c r="B132" s="2674" t="s">
        <v>4264</v>
      </c>
      <c r="C132" s="2675"/>
      <c r="D132" s="410">
        <v>10.95</v>
      </c>
      <c r="E132" s="382">
        <f t="shared" si="10"/>
        <v>219</v>
      </c>
      <c r="M132" s="2672" t="s">
        <v>4265</v>
      </c>
      <c r="N132" s="2673"/>
      <c r="O132" s="2673"/>
      <c r="P132" s="410">
        <v>9.98</v>
      </c>
      <c r="Q132" s="382">
        <f>P132*20</f>
        <v>199.6</v>
      </c>
      <c r="S132" s="2695" t="s">
        <v>4266</v>
      </c>
      <c r="T132" s="2696"/>
      <c r="U132" s="385">
        <v>14.9</v>
      </c>
      <c r="V132" s="381">
        <f t="shared" ref="V132:V148" si="12">U132*20</f>
        <v>298</v>
      </c>
      <c r="X132" s="2703" t="s">
        <v>4267</v>
      </c>
      <c r="Y132" s="2704"/>
      <c r="Z132" s="2704"/>
      <c r="AA132" s="382" t="s">
        <v>4268</v>
      </c>
    </row>
    <row r="133" spans="2:27" ht="16.149999999999999" customHeight="1">
      <c r="B133" s="2668" t="s">
        <v>4269</v>
      </c>
      <c r="C133" s="2669"/>
      <c r="D133" s="385">
        <v>2.59</v>
      </c>
      <c r="E133" s="381">
        <f t="shared" si="10"/>
        <v>51.8</v>
      </c>
      <c r="G133" s="2678" t="s">
        <v>4270</v>
      </c>
      <c r="H133" s="2679"/>
      <c r="I133" s="2679"/>
      <c r="J133" s="2679"/>
      <c r="K133" s="2680"/>
      <c r="M133" s="2695" t="s">
        <v>4271</v>
      </c>
      <c r="N133" s="2696"/>
      <c r="O133" s="2696"/>
      <c r="P133" s="385">
        <v>22.95</v>
      </c>
      <c r="Q133" s="381">
        <f>P133*20</f>
        <v>459</v>
      </c>
      <c r="S133" s="2697" t="s">
        <v>4272</v>
      </c>
      <c r="T133" s="2698"/>
      <c r="U133" s="410">
        <v>6.15</v>
      </c>
      <c r="V133" s="382">
        <f t="shared" si="12"/>
        <v>123</v>
      </c>
      <c r="X133" s="2701" t="s">
        <v>4273</v>
      </c>
      <c r="Y133" s="2702"/>
      <c r="Z133" s="2702"/>
      <c r="AA133" s="381">
        <v>25</v>
      </c>
    </row>
    <row r="134" spans="2:27" ht="16.149999999999999" customHeight="1">
      <c r="B134" s="2674" t="s">
        <v>4274</v>
      </c>
      <c r="C134" s="2675"/>
      <c r="D134" s="410">
        <v>10.95</v>
      </c>
      <c r="E134" s="382">
        <f t="shared" si="10"/>
        <v>219</v>
      </c>
      <c r="G134" s="2683" t="s">
        <v>4275</v>
      </c>
      <c r="H134" s="2684"/>
      <c r="I134" s="2684"/>
      <c r="J134" s="2684"/>
      <c r="K134" s="380" t="s">
        <v>3899</v>
      </c>
      <c r="M134" s="2674" t="s">
        <v>4276</v>
      </c>
      <c r="N134" s="2675"/>
      <c r="O134" s="2675"/>
      <c r="P134" s="410">
        <v>0.79</v>
      </c>
      <c r="Q134" s="382">
        <f>P134*20</f>
        <v>15.8</v>
      </c>
      <c r="S134" s="2668" t="s">
        <v>4277</v>
      </c>
      <c r="T134" s="2669"/>
      <c r="U134" s="385">
        <v>1.75</v>
      </c>
      <c r="V134" s="381">
        <f t="shared" si="12"/>
        <v>35</v>
      </c>
      <c r="X134" s="2703" t="s">
        <v>4278</v>
      </c>
      <c r="Y134" s="2704"/>
      <c r="Z134" s="2704"/>
      <c r="AA134" s="437" t="s">
        <v>4279</v>
      </c>
    </row>
    <row r="135" spans="2:27" ht="16.149999999999999" customHeight="1">
      <c r="B135" s="2668" t="s">
        <v>4280</v>
      </c>
      <c r="C135" s="2669"/>
      <c r="D135" s="385">
        <v>7.95</v>
      </c>
      <c r="E135" s="381">
        <f t="shared" si="10"/>
        <v>159</v>
      </c>
      <c r="G135" s="2725" t="s">
        <v>4281</v>
      </c>
      <c r="H135" s="2726"/>
      <c r="I135" s="2726"/>
      <c r="J135" s="2726"/>
      <c r="K135" s="381">
        <v>2</v>
      </c>
      <c r="M135" s="2668" t="s">
        <v>4282</v>
      </c>
      <c r="N135" s="2669"/>
      <c r="O135" s="2669"/>
      <c r="P135" s="385">
        <v>2.19</v>
      </c>
      <c r="Q135" s="381">
        <v>43.8</v>
      </c>
      <c r="S135" s="2674" t="s">
        <v>4283</v>
      </c>
      <c r="T135" s="2675"/>
      <c r="U135" s="410">
        <v>0.95</v>
      </c>
      <c r="V135" s="382">
        <f t="shared" si="12"/>
        <v>19</v>
      </c>
      <c r="X135" s="2701" t="s">
        <v>4284</v>
      </c>
      <c r="Y135" s="2702"/>
      <c r="Z135" s="2702"/>
      <c r="AA135" s="381">
        <v>45</v>
      </c>
    </row>
    <row r="136" spans="2:27" ht="16.149999999999999" customHeight="1">
      <c r="B136" s="2674" t="s">
        <v>4285</v>
      </c>
      <c r="C136" s="2675"/>
      <c r="D136" s="410">
        <v>1.98</v>
      </c>
      <c r="E136" s="382">
        <f t="shared" si="10"/>
        <v>39.6</v>
      </c>
      <c r="G136" s="2723" t="s">
        <v>4286</v>
      </c>
      <c r="H136" s="2724"/>
      <c r="I136" s="2724"/>
      <c r="J136" s="2724"/>
      <c r="K136" s="382">
        <v>18</v>
      </c>
      <c r="M136" s="2674" t="s">
        <v>4287</v>
      </c>
      <c r="N136" s="2675"/>
      <c r="O136" s="2675"/>
      <c r="P136" s="410">
        <v>0.89</v>
      </c>
      <c r="Q136" s="382">
        <v>17.8</v>
      </c>
      <c r="S136" s="2668" t="s">
        <v>4288</v>
      </c>
      <c r="T136" s="2669"/>
      <c r="U136" s="385">
        <v>8.6</v>
      </c>
      <c r="V136" s="381">
        <f t="shared" si="12"/>
        <v>172</v>
      </c>
      <c r="X136" s="2703" t="s">
        <v>4289</v>
      </c>
      <c r="Y136" s="2704"/>
      <c r="Z136" s="2704"/>
      <c r="AA136" s="382" t="s">
        <v>4290</v>
      </c>
    </row>
    <row r="137" spans="2:27" ht="16.149999999999999" customHeight="1">
      <c r="B137" s="2668" t="s">
        <v>4291</v>
      </c>
      <c r="C137" s="2669"/>
      <c r="D137" s="385">
        <v>9.48</v>
      </c>
      <c r="E137" s="381">
        <f t="shared" ref="E137:E144" si="13">D137*20</f>
        <v>189.6</v>
      </c>
      <c r="G137" s="2725" t="s">
        <v>4292</v>
      </c>
      <c r="H137" s="2726"/>
      <c r="I137" s="2726"/>
      <c r="J137" s="2726"/>
      <c r="K137" s="381">
        <v>300</v>
      </c>
      <c r="M137" s="2668" t="s">
        <v>4293</v>
      </c>
      <c r="N137" s="2669"/>
      <c r="O137" s="2669"/>
      <c r="P137" s="385">
        <v>0.25</v>
      </c>
      <c r="Q137" s="381">
        <v>5</v>
      </c>
      <c r="S137" s="2674" t="s">
        <v>4294</v>
      </c>
      <c r="T137" s="2675"/>
      <c r="U137" s="410">
        <v>0.1</v>
      </c>
      <c r="V137" s="382">
        <f t="shared" si="12"/>
        <v>2</v>
      </c>
      <c r="X137" s="2735" t="s">
        <v>4295</v>
      </c>
      <c r="Y137" s="2736"/>
      <c r="Z137" s="2736"/>
      <c r="AA137" s="381">
        <v>2</v>
      </c>
    </row>
    <row r="138" spans="2:27" ht="16.149999999999999" customHeight="1">
      <c r="B138" s="2674" t="s">
        <v>4296</v>
      </c>
      <c r="C138" s="2675"/>
      <c r="D138" s="410">
        <v>0.88</v>
      </c>
      <c r="E138" s="382">
        <f t="shared" si="13"/>
        <v>17.600000000000001</v>
      </c>
      <c r="G138" s="2723" t="s">
        <v>4297</v>
      </c>
      <c r="H138" s="2724"/>
      <c r="I138" s="2724"/>
      <c r="J138" s="2724"/>
      <c r="K138" s="382">
        <v>3000</v>
      </c>
      <c r="M138" s="2674" t="s">
        <v>4298</v>
      </c>
      <c r="N138" s="2675"/>
      <c r="O138" s="2675"/>
      <c r="P138" s="410">
        <v>0.79</v>
      </c>
      <c r="Q138" s="382">
        <v>15.8</v>
      </c>
      <c r="S138" s="2668" t="s">
        <v>4299</v>
      </c>
      <c r="T138" s="2669"/>
      <c r="U138" s="385">
        <v>7.74</v>
      </c>
      <c r="V138" s="381">
        <f t="shared" si="12"/>
        <v>154.80000000000001</v>
      </c>
      <c r="X138" s="2733" t="s">
        <v>4300</v>
      </c>
      <c r="Y138" s="2734"/>
      <c r="Z138" s="2734"/>
      <c r="AA138" s="382">
        <v>2</v>
      </c>
    </row>
    <row r="139" spans="2:27" ht="16.149999999999999" customHeight="1">
      <c r="B139" s="2668" t="s">
        <v>4301</v>
      </c>
      <c r="C139" s="2669"/>
      <c r="D139" s="385">
        <v>4.45</v>
      </c>
      <c r="E139" s="381">
        <f t="shared" si="13"/>
        <v>89</v>
      </c>
      <c r="G139" s="2683" t="s">
        <v>4302</v>
      </c>
      <c r="H139" s="2684"/>
      <c r="I139" s="2684"/>
      <c r="J139" s="2684"/>
      <c r="K139" s="380" t="s">
        <v>3899</v>
      </c>
      <c r="M139" s="2668" t="s">
        <v>4303</v>
      </c>
      <c r="N139" s="2669"/>
      <c r="O139" s="2669"/>
      <c r="P139" s="385">
        <v>0.5</v>
      </c>
      <c r="Q139" s="381">
        <v>10</v>
      </c>
      <c r="S139" s="2674" t="s">
        <v>4304</v>
      </c>
      <c r="T139" s="2675"/>
      <c r="U139" s="410">
        <v>2.25</v>
      </c>
      <c r="V139" s="382">
        <f t="shared" si="12"/>
        <v>45</v>
      </c>
      <c r="X139" s="2733" t="s">
        <v>4305</v>
      </c>
      <c r="Y139" s="2734"/>
      <c r="Z139" s="2734"/>
      <c r="AA139" s="438" t="s">
        <v>4306</v>
      </c>
    </row>
    <row r="140" spans="2:27" ht="16.149999999999999" customHeight="1">
      <c r="B140" s="2674" t="s">
        <v>4307</v>
      </c>
      <c r="C140" s="2675"/>
      <c r="D140" s="410">
        <v>0.98</v>
      </c>
      <c r="E140" s="382">
        <f t="shared" si="13"/>
        <v>19.600000000000001</v>
      </c>
      <c r="G140" s="2725" t="s">
        <v>3920</v>
      </c>
      <c r="H140" s="2726"/>
      <c r="I140" s="2726"/>
      <c r="J140" s="2726"/>
      <c r="K140" s="381">
        <v>2</v>
      </c>
      <c r="M140" s="2674" t="s">
        <v>4308</v>
      </c>
      <c r="N140" s="2675"/>
      <c r="O140" s="2675"/>
      <c r="P140" s="410">
        <v>1.39</v>
      </c>
      <c r="Q140" s="382">
        <v>27.8</v>
      </c>
      <c r="S140" s="2668" t="s">
        <v>4309</v>
      </c>
      <c r="T140" s="2669"/>
      <c r="U140" s="385">
        <v>1.65</v>
      </c>
      <c r="V140" s="381">
        <f t="shared" si="12"/>
        <v>33</v>
      </c>
      <c r="X140" s="2731" t="s">
        <v>4310</v>
      </c>
      <c r="Y140" s="2732"/>
      <c r="Z140" s="2732"/>
      <c r="AA140" s="382">
        <v>10</v>
      </c>
    </row>
    <row r="141" spans="2:27" ht="16.149999999999999" customHeight="1">
      <c r="B141" s="2668" t="s">
        <v>4311</v>
      </c>
      <c r="C141" s="2669"/>
      <c r="D141" s="385">
        <v>4.4400000000000004</v>
      </c>
      <c r="E141" s="381">
        <f t="shared" si="13"/>
        <v>88.8</v>
      </c>
      <c r="G141" s="2723" t="s">
        <v>3925</v>
      </c>
      <c r="H141" s="2724"/>
      <c r="I141" s="2724"/>
      <c r="J141" s="2724"/>
      <c r="K141" s="382">
        <v>3</v>
      </c>
      <c r="M141" s="2668" t="s">
        <v>4312</v>
      </c>
      <c r="N141" s="2669"/>
      <c r="O141" s="2669"/>
      <c r="P141" s="385">
        <v>0.19</v>
      </c>
      <c r="Q141" s="381">
        <v>3.8</v>
      </c>
      <c r="S141" s="2674" t="s">
        <v>4313</v>
      </c>
      <c r="T141" s="2675"/>
      <c r="U141" s="410">
        <v>4.45</v>
      </c>
      <c r="V141" s="382">
        <f t="shared" si="12"/>
        <v>89</v>
      </c>
      <c r="X141" s="2662" t="s">
        <v>4314</v>
      </c>
      <c r="Y141" s="2663"/>
      <c r="Z141" s="2663"/>
      <c r="AA141" s="2664"/>
    </row>
    <row r="142" spans="2:27" ht="16.149999999999999" customHeight="1">
      <c r="B142" s="2674" t="s">
        <v>4315</v>
      </c>
      <c r="C142" s="2675"/>
      <c r="D142" s="410">
        <v>3.69</v>
      </c>
      <c r="E142" s="382">
        <f t="shared" si="13"/>
        <v>73.8</v>
      </c>
      <c r="G142" s="2725" t="s">
        <v>3930</v>
      </c>
      <c r="H142" s="2726"/>
      <c r="I142" s="2726"/>
      <c r="J142" s="2726"/>
      <c r="K142" s="381">
        <v>6</v>
      </c>
      <c r="M142" s="2711" t="s">
        <v>4316</v>
      </c>
      <c r="N142" s="2712"/>
      <c r="O142" s="2712"/>
      <c r="P142" s="420">
        <v>0.39</v>
      </c>
      <c r="Q142" s="384">
        <v>7.8</v>
      </c>
      <c r="S142" s="2668" t="s">
        <v>4317</v>
      </c>
      <c r="T142" s="2669"/>
      <c r="U142" s="385">
        <v>1.98</v>
      </c>
      <c r="V142" s="381">
        <f t="shared" si="12"/>
        <v>39.6</v>
      </c>
      <c r="X142" s="2662"/>
      <c r="Y142" s="2663"/>
      <c r="Z142" s="2663"/>
      <c r="AA142" s="2664"/>
    </row>
    <row r="143" spans="2:27" ht="16.149999999999999" customHeight="1">
      <c r="B143" s="2685" t="s">
        <v>4318</v>
      </c>
      <c r="C143" s="2686"/>
      <c r="D143" s="385">
        <v>2.59</v>
      </c>
      <c r="E143" s="381">
        <f t="shared" si="13"/>
        <v>51.8</v>
      </c>
      <c r="G143" s="2729" t="s">
        <v>4319</v>
      </c>
      <c r="H143" s="2730"/>
      <c r="I143" s="2730"/>
      <c r="J143" s="2730"/>
      <c r="K143" s="380" t="s">
        <v>3899</v>
      </c>
      <c r="S143" s="2719" t="s">
        <v>4320</v>
      </c>
      <c r="T143" s="2720"/>
      <c r="U143" s="410">
        <v>3.33</v>
      </c>
      <c r="V143" s="382">
        <f t="shared" si="12"/>
        <v>66.599999999999994</v>
      </c>
      <c r="X143" s="2662"/>
      <c r="Y143" s="2663"/>
      <c r="Z143" s="2663"/>
      <c r="AA143" s="2664"/>
    </row>
    <row r="144" spans="2:27" ht="16.149999999999999" customHeight="1">
      <c r="B144" s="2674" t="s">
        <v>4321</v>
      </c>
      <c r="C144" s="2675"/>
      <c r="D144" s="410">
        <v>1.59</v>
      </c>
      <c r="E144" s="382">
        <f t="shared" si="13"/>
        <v>31.8</v>
      </c>
      <c r="G144" s="2725" t="s">
        <v>4322</v>
      </c>
      <c r="H144" s="2726"/>
      <c r="I144" s="2726"/>
      <c r="J144" s="2726"/>
      <c r="K144" s="381">
        <v>120</v>
      </c>
      <c r="M144" s="2678" t="s">
        <v>197</v>
      </c>
      <c r="N144" s="2679"/>
      <c r="O144" s="2679"/>
      <c r="P144" s="2679"/>
      <c r="Q144" s="2680"/>
      <c r="S144" s="2668" t="s">
        <v>4323</v>
      </c>
      <c r="T144" s="2669"/>
      <c r="U144" s="385">
        <v>2.52</v>
      </c>
      <c r="V144" s="381">
        <f t="shared" si="12"/>
        <v>50.4</v>
      </c>
      <c r="X144" s="2662"/>
      <c r="Y144" s="2663"/>
      <c r="Z144" s="2663"/>
      <c r="AA144" s="2664"/>
    </row>
    <row r="145" spans="2:27" ht="16.149999999999999" customHeight="1">
      <c r="B145" s="2668" t="s">
        <v>4324</v>
      </c>
      <c r="C145" s="2669"/>
      <c r="D145" s="385">
        <v>2.25</v>
      </c>
      <c r="E145" s="381">
        <f t="shared" ref="E145:E153" si="14">D145*20</f>
        <v>45</v>
      </c>
      <c r="G145" s="2723" t="s">
        <v>4325</v>
      </c>
      <c r="H145" s="2724"/>
      <c r="I145" s="2724"/>
      <c r="J145" s="2724"/>
      <c r="K145" s="382">
        <v>200</v>
      </c>
      <c r="M145" s="2683" t="s">
        <v>1494</v>
      </c>
      <c r="N145" s="2684"/>
      <c r="O145" s="2684"/>
      <c r="P145" s="404" t="s">
        <v>3899</v>
      </c>
      <c r="Q145" s="424" t="s">
        <v>4086</v>
      </c>
      <c r="S145" s="2697" t="s">
        <v>4326</v>
      </c>
      <c r="T145" s="2698"/>
      <c r="U145" s="410">
        <v>15.98</v>
      </c>
      <c r="V145" s="382">
        <f t="shared" si="12"/>
        <v>319.60000000000002</v>
      </c>
      <c r="X145" s="2662"/>
      <c r="Y145" s="2663"/>
      <c r="Z145" s="2663"/>
      <c r="AA145" s="2664"/>
    </row>
    <row r="146" spans="2:27" ht="16.149999999999999" customHeight="1">
      <c r="B146" s="2674" t="s">
        <v>4327</v>
      </c>
      <c r="C146" s="2675"/>
      <c r="D146" s="410" t="s">
        <v>4328</v>
      </c>
      <c r="E146" s="428" t="s">
        <v>4329</v>
      </c>
      <c r="G146" s="2725" t="s">
        <v>4330</v>
      </c>
      <c r="H146" s="2726"/>
      <c r="I146" s="2726"/>
      <c r="J146" s="2726"/>
      <c r="K146" s="381">
        <v>35</v>
      </c>
      <c r="M146" s="2695" t="s">
        <v>4331</v>
      </c>
      <c r="N146" s="2696"/>
      <c r="O146" s="2696"/>
      <c r="P146" s="385">
        <v>95</v>
      </c>
      <c r="Q146" s="381">
        <f t="shared" ref="Q146:Q188" si="15">P146*20</f>
        <v>1900</v>
      </c>
      <c r="S146" s="2668" t="s">
        <v>4332</v>
      </c>
      <c r="T146" s="2669"/>
      <c r="U146" s="385">
        <v>6.9</v>
      </c>
      <c r="V146" s="381">
        <f t="shared" si="12"/>
        <v>138</v>
      </c>
      <c r="X146" s="2665"/>
      <c r="Y146" s="2666"/>
      <c r="Z146" s="2666"/>
      <c r="AA146" s="2667"/>
    </row>
    <row r="147" spans="2:27" ht="16.149999999999999" customHeight="1">
      <c r="B147" s="2668" t="s">
        <v>4333</v>
      </c>
      <c r="C147" s="2669"/>
      <c r="D147" s="385">
        <v>3.95</v>
      </c>
      <c r="E147" s="381">
        <f t="shared" si="14"/>
        <v>79</v>
      </c>
      <c r="G147" s="2729" t="s">
        <v>4334</v>
      </c>
      <c r="H147" s="2730"/>
      <c r="I147" s="2730"/>
      <c r="J147" s="404" t="s">
        <v>3899</v>
      </c>
      <c r="K147" s="424" t="s">
        <v>4086</v>
      </c>
      <c r="M147" s="2672" t="s">
        <v>4335</v>
      </c>
      <c r="N147" s="2673"/>
      <c r="O147" s="2673"/>
      <c r="P147" s="410">
        <v>1020</v>
      </c>
      <c r="Q147" s="382">
        <f t="shared" si="15"/>
        <v>20400</v>
      </c>
      <c r="S147" s="2674" t="s">
        <v>4336</v>
      </c>
      <c r="T147" s="2675"/>
      <c r="U147" s="410">
        <v>0.95</v>
      </c>
      <c r="V147" s="382">
        <f t="shared" si="12"/>
        <v>19</v>
      </c>
      <c r="X147" s="403"/>
      <c r="Y147" s="403"/>
      <c r="Z147" s="403"/>
      <c r="AA147" s="403"/>
    </row>
    <row r="148" spans="2:27" ht="16.149999999999999" customHeight="1">
      <c r="B148" s="2707" t="s">
        <v>4337</v>
      </c>
      <c r="C148" s="2708"/>
      <c r="D148" s="410">
        <v>39.75</v>
      </c>
      <c r="E148" s="382">
        <f t="shared" si="14"/>
        <v>795</v>
      </c>
      <c r="G148" s="2723" t="s">
        <v>4338</v>
      </c>
      <c r="H148" s="2724"/>
      <c r="I148" s="2724"/>
      <c r="J148" s="410" t="s">
        <v>4253</v>
      </c>
      <c r="K148" s="382" t="s">
        <v>4339</v>
      </c>
      <c r="M148" s="2695" t="s">
        <v>4340</v>
      </c>
      <c r="N148" s="2696"/>
      <c r="O148" s="2696"/>
      <c r="P148" s="385">
        <v>2240</v>
      </c>
      <c r="Q148" s="381">
        <f t="shared" si="15"/>
        <v>44800</v>
      </c>
      <c r="S148" s="2687" t="s">
        <v>4341</v>
      </c>
      <c r="T148" s="2688"/>
      <c r="U148" s="411">
        <v>14.9</v>
      </c>
      <c r="V148" s="392">
        <f t="shared" si="12"/>
        <v>298</v>
      </c>
      <c r="X148" s="403"/>
      <c r="Y148" s="403"/>
      <c r="Z148" s="403"/>
      <c r="AA148" s="403"/>
    </row>
    <row r="149" spans="2:27" ht="16.149999999999999" customHeight="1">
      <c r="B149" s="2668" t="s">
        <v>4342</v>
      </c>
      <c r="C149" s="2669"/>
      <c r="D149" s="385">
        <v>198</v>
      </c>
      <c r="E149" s="381">
        <f t="shared" si="14"/>
        <v>3960</v>
      </c>
      <c r="G149" s="2725" t="s">
        <v>4343</v>
      </c>
      <c r="H149" s="2726"/>
      <c r="I149" s="2726"/>
      <c r="J149" s="385">
        <v>0.1</v>
      </c>
      <c r="K149" s="381">
        <f t="shared" ref="K149:K150" si="16">J149*20</f>
        <v>2</v>
      </c>
      <c r="M149" s="2672" t="s">
        <v>4344</v>
      </c>
      <c r="N149" s="2673"/>
      <c r="O149" s="2673"/>
      <c r="P149" s="410">
        <v>695</v>
      </c>
      <c r="Q149" s="382">
        <f t="shared" si="15"/>
        <v>13900</v>
      </c>
    </row>
    <row r="150" spans="2:27" ht="16.149999999999999" customHeight="1">
      <c r="B150" s="2674" t="s">
        <v>4345</v>
      </c>
      <c r="C150" s="2675"/>
      <c r="D150" s="410">
        <v>3.98</v>
      </c>
      <c r="E150" s="382">
        <f t="shared" si="14"/>
        <v>79.599999999999994</v>
      </c>
      <c r="G150" s="2727" t="s">
        <v>4346</v>
      </c>
      <c r="H150" s="2728"/>
      <c r="I150" s="2728"/>
      <c r="J150" s="420">
        <v>0.05</v>
      </c>
      <c r="K150" s="384">
        <f t="shared" si="16"/>
        <v>1</v>
      </c>
      <c r="M150" s="2695" t="s">
        <v>4347</v>
      </c>
      <c r="N150" s="2696"/>
      <c r="O150" s="2696"/>
      <c r="P150" s="385">
        <v>1045</v>
      </c>
      <c r="Q150" s="381">
        <f t="shared" si="15"/>
        <v>20900</v>
      </c>
      <c r="S150" s="2678" t="s">
        <v>4348</v>
      </c>
      <c r="T150" s="2679"/>
      <c r="U150" s="2679"/>
      <c r="V150" s="2680"/>
    </row>
    <row r="151" spans="2:27" ht="16.149999999999999" customHeight="1">
      <c r="B151" s="2668" t="s">
        <v>4349</v>
      </c>
      <c r="C151" s="2669"/>
      <c r="D151" s="385">
        <v>8.98</v>
      </c>
      <c r="E151" s="381">
        <f t="shared" si="14"/>
        <v>179.6</v>
      </c>
      <c r="M151" s="2672" t="s">
        <v>4350</v>
      </c>
      <c r="N151" s="2673"/>
      <c r="O151" s="2673"/>
      <c r="P151" s="410">
        <v>985</v>
      </c>
      <c r="Q151" s="382">
        <f t="shared" si="15"/>
        <v>19700</v>
      </c>
      <c r="S151" s="2683" t="s">
        <v>1494</v>
      </c>
      <c r="T151" s="2684"/>
      <c r="U151" s="404" t="s">
        <v>3899</v>
      </c>
      <c r="V151" s="424" t="s">
        <v>4086</v>
      </c>
    </row>
    <row r="152" spans="2:27" ht="16.149999999999999" customHeight="1">
      <c r="B152" s="2674" t="s">
        <v>4351</v>
      </c>
      <c r="C152" s="2675"/>
      <c r="D152" s="410">
        <v>4.9800000000000004</v>
      </c>
      <c r="E152" s="382">
        <f t="shared" si="14"/>
        <v>99.6</v>
      </c>
      <c r="G152" s="2678" t="s">
        <v>4352</v>
      </c>
      <c r="H152" s="2679"/>
      <c r="I152" s="2679"/>
      <c r="J152" s="2679"/>
      <c r="K152" s="2680"/>
      <c r="M152" s="2695" t="s">
        <v>4353</v>
      </c>
      <c r="N152" s="2696"/>
      <c r="O152" s="2696"/>
      <c r="P152" s="385">
        <v>20000</v>
      </c>
      <c r="Q152" s="381">
        <f t="shared" si="15"/>
        <v>400000</v>
      </c>
      <c r="S152" s="2668" t="s">
        <v>4354</v>
      </c>
      <c r="T152" s="2669"/>
      <c r="U152" s="385">
        <v>3.35</v>
      </c>
      <c r="V152" s="381">
        <f t="shared" ref="V152:V155" si="17">U152*20</f>
        <v>67</v>
      </c>
    </row>
    <row r="153" spans="2:27" ht="16.149999999999999" customHeight="1">
      <c r="B153" s="2687" t="s">
        <v>4355</v>
      </c>
      <c r="C153" s="2688"/>
      <c r="D153" s="411">
        <v>0.98</v>
      </c>
      <c r="E153" s="392">
        <f t="shared" si="14"/>
        <v>19.600000000000001</v>
      </c>
      <c r="G153" s="2683" t="s">
        <v>1494</v>
      </c>
      <c r="H153" s="2684"/>
      <c r="I153" s="2684"/>
      <c r="J153" s="404" t="s">
        <v>3899</v>
      </c>
      <c r="K153" s="424" t="s">
        <v>4086</v>
      </c>
      <c r="M153" s="2672" t="s">
        <v>4356</v>
      </c>
      <c r="N153" s="2673"/>
      <c r="O153" s="2673"/>
      <c r="P153" s="410">
        <v>360</v>
      </c>
      <c r="Q153" s="382">
        <f t="shared" si="15"/>
        <v>7200</v>
      </c>
      <c r="S153" s="2674" t="s">
        <v>4357</v>
      </c>
      <c r="T153" s="2675"/>
      <c r="U153" s="410">
        <v>0.28000000000000003</v>
      </c>
      <c r="V153" s="382">
        <f t="shared" ref="V153:V185" si="18">U153*20</f>
        <v>5.6</v>
      </c>
    </row>
    <row r="154" spans="2:27" ht="16.149999999999999" customHeight="1">
      <c r="G154" s="2707" t="s">
        <v>4358</v>
      </c>
      <c r="H154" s="2708"/>
      <c r="I154" s="2708"/>
      <c r="J154" s="410" t="s">
        <v>4051</v>
      </c>
      <c r="K154" s="382" t="s">
        <v>4359</v>
      </c>
      <c r="M154" s="2695" t="s">
        <v>4360</v>
      </c>
      <c r="N154" s="2696"/>
      <c r="O154" s="2696"/>
      <c r="P154" s="385">
        <v>450</v>
      </c>
      <c r="Q154" s="381">
        <f t="shared" si="15"/>
        <v>9000</v>
      </c>
      <c r="S154" s="2668" t="s">
        <v>4361</v>
      </c>
      <c r="T154" s="2669"/>
      <c r="U154" s="385">
        <v>0.3</v>
      </c>
      <c r="V154" s="381">
        <f t="shared" si="17"/>
        <v>6</v>
      </c>
    </row>
    <row r="155" spans="2:27" ht="16.149999999999999" customHeight="1">
      <c r="B155" s="2678" t="s">
        <v>4362</v>
      </c>
      <c r="C155" s="2679"/>
      <c r="D155" s="2679"/>
      <c r="E155" s="2680"/>
      <c r="F155" s="429"/>
      <c r="G155" s="2668" t="s">
        <v>4363</v>
      </c>
      <c r="H155" s="2669"/>
      <c r="I155" s="2669"/>
      <c r="J155" s="385" t="s">
        <v>4364</v>
      </c>
      <c r="K155" s="381" t="s">
        <v>4365</v>
      </c>
      <c r="M155" s="2672" t="s">
        <v>4366</v>
      </c>
      <c r="N155" s="2673"/>
      <c r="O155" s="2673"/>
      <c r="P155" s="410">
        <v>1750</v>
      </c>
      <c r="Q155" s="382">
        <f t="shared" si="15"/>
        <v>35000</v>
      </c>
      <c r="S155" s="2674" t="s">
        <v>4367</v>
      </c>
      <c r="T155" s="2675"/>
      <c r="U155" s="410">
        <v>39.950000000000003</v>
      </c>
      <c r="V155" s="382">
        <f t="shared" si="17"/>
        <v>799</v>
      </c>
      <c r="X155" s="436"/>
      <c r="Y155" s="436"/>
      <c r="Z155" s="436"/>
      <c r="AA155" s="436"/>
    </row>
    <row r="156" spans="2:27" ht="16.149999999999999" customHeight="1">
      <c r="B156" s="2683" t="s">
        <v>1494</v>
      </c>
      <c r="C156" s="2684"/>
      <c r="D156" s="404" t="s">
        <v>3899</v>
      </c>
      <c r="E156" s="380" t="s">
        <v>4086</v>
      </c>
      <c r="F156" s="429"/>
      <c r="G156" s="2674" t="s">
        <v>4368</v>
      </c>
      <c r="H156" s="2675"/>
      <c r="I156" s="2675"/>
      <c r="J156" s="432" t="s">
        <v>4369</v>
      </c>
      <c r="K156" s="428" t="s">
        <v>4370</v>
      </c>
      <c r="M156" s="2695" t="s">
        <v>4371</v>
      </c>
      <c r="N156" s="2696"/>
      <c r="O156" s="2696"/>
      <c r="P156" s="385">
        <v>1345</v>
      </c>
      <c r="Q156" s="381">
        <f t="shared" si="15"/>
        <v>26900</v>
      </c>
      <c r="S156" s="2668" t="s">
        <v>4372</v>
      </c>
      <c r="T156" s="2669"/>
      <c r="U156" s="385">
        <v>129.94999999999999</v>
      </c>
      <c r="V156" s="381" t="s">
        <v>4373</v>
      </c>
      <c r="X156" s="436"/>
      <c r="Y156" s="436"/>
      <c r="Z156" s="436"/>
      <c r="AA156" s="436"/>
    </row>
    <row r="157" spans="2:27" ht="16.149999999999999" customHeight="1">
      <c r="B157" s="2668" t="s">
        <v>4374</v>
      </c>
      <c r="C157" s="2669"/>
      <c r="D157" s="385">
        <v>1.79</v>
      </c>
      <c r="E157" s="381">
        <f>D157*20</f>
        <v>35.799999999999997</v>
      </c>
      <c r="F157" s="429"/>
      <c r="G157" s="2668" t="s">
        <v>4375</v>
      </c>
      <c r="H157" s="2669"/>
      <c r="I157" s="2669"/>
      <c r="J157" s="385" t="s">
        <v>4376</v>
      </c>
      <c r="K157" s="381" t="s">
        <v>4377</v>
      </c>
      <c r="M157" s="2672" t="s">
        <v>4378</v>
      </c>
      <c r="N157" s="2673"/>
      <c r="O157" s="2673"/>
      <c r="P157" s="410">
        <v>2950</v>
      </c>
      <c r="Q157" s="382">
        <f t="shared" si="15"/>
        <v>59000</v>
      </c>
      <c r="S157" s="2674" t="s">
        <v>4379</v>
      </c>
      <c r="T157" s="2675"/>
      <c r="U157" s="410">
        <v>5.95</v>
      </c>
      <c r="V157" s="382">
        <f t="shared" si="18"/>
        <v>119</v>
      </c>
      <c r="X157" s="436"/>
      <c r="Y157" s="436"/>
      <c r="Z157" s="436"/>
      <c r="AA157" s="436"/>
    </row>
    <row r="158" spans="2:27" ht="16.149999999999999" customHeight="1">
      <c r="B158" s="2674" t="s">
        <v>4380</v>
      </c>
      <c r="C158" s="2675"/>
      <c r="D158" s="410">
        <v>2.98</v>
      </c>
      <c r="E158" s="382">
        <f>D158*20</f>
        <v>59.6</v>
      </c>
      <c r="F158" s="429"/>
      <c r="G158" s="2674" t="s">
        <v>4381</v>
      </c>
      <c r="H158" s="2675"/>
      <c r="I158" s="2675"/>
      <c r="J158" s="410">
        <v>3100</v>
      </c>
      <c r="K158" s="382">
        <f t="shared" ref="K158:K163" si="19">J158*20</f>
        <v>62000</v>
      </c>
      <c r="M158" s="2695" t="s">
        <v>4382</v>
      </c>
      <c r="N158" s="2696"/>
      <c r="O158" s="2696"/>
      <c r="P158" s="385">
        <v>6000</v>
      </c>
      <c r="Q158" s="381">
        <f t="shared" si="15"/>
        <v>120000</v>
      </c>
      <c r="S158" s="2668" t="s">
        <v>4383</v>
      </c>
      <c r="T158" s="2669"/>
      <c r="U158" s="385">
        <v>35.1</v>
      </c>
      <c r="V158" s="381">
        <f t="shared" si="18"/>
        <v>702</v>
      </c>
      <c r="X158" s="436"/>
      <c r="Y158" s="436"/>
      <c r="Z158" s="436"/>
      <c r="AA158" s="436"/>
    </row>
    <row r="159" spans="2:27" ht="16.149999999999999" customHeight="1">
      <c r="B159" s="2692" t="s">
        <v>4384</v>
      </c>
      <c r="C159" s="2693"/>
      <c r="D159" s="2693"/>
      <c r="E159" s="2694"/>
      <c r="F159" s="429"/>
      <c r="G159" s="2692" t="s">
        <v>4385</v>
      </c>
      <c r="H159" s="2693"/>
      <c r="I159" s="2693"/>
      <c r="J159" s="2693"/>
      <c r="K159" s="2694"/>
      <c r="M159" s="2672" t="s">
        <v>4386</v>
      </c>
      <c r="N159" s="2673"/>
      <c r="O159" s="2673"/>
      <c r="P159" s="410">
        <v>745</v>
      </c>
      <c r="Q159" s="382">
        <f t="shared" si="15"/>
        <v>14900</v>
      </c>
      <c r="S159" s="2674" t="s">
        <v>4387</v>
      </c>
      <c r="T159" s="2675"/>
      <c r="U159" s="410">
        <v>1.8</v>
      </c>
      <c r="V159" s="382">
        <f t="shared" si="18"/>
        <v>36</v>
      </c>
    </row>
    <row r="160" spans="2:27" ht="16.149999999999999" customHeight="1">
      <c r="B160" s="2668" t="s">
        <v>4374</v>
      </c>
      <c r="C160" s="2669"/>
      <c r="D160" s="385">
        <v>1.79</v>
      </c>
      <c r="E160" s="381">
        <f t="shared" ref="E160:E168" si="20">D160*20</f>
        <v>35.799999999999997</v>
      </c>
      <c r="F160" s="429"/>
      <c r="G160" s="2674" t="s">
        <v>4388</v>
      </c>
      <c r="H160" s="2675"/>
      <c r="I160" s="2675"/>
      <c r="J160" s="410">
        <v>1175</v>
      </c>
      <c r="K160" s="382">
        <f t="shared" si="19"/>
        <v>23500</v>
      </c>
      <c r="M160" s="2695" t="s">
        <v>4389</v>
      </c>
      <c r="N160" s="2696"/>
      <c r="O160" s="2696"/>
      <c r="P160" s="385">
        <v>995</v>
      </c>
      <c r="Q160" s="381">
        <f t="shared" si="15"/>
        <v>19900</v>
      </c>
      <c r="S160" s="2668" t="s">
        <v>4390</v>
      </c>
      <c r="T160" s="2669"/>
      <c r="U160" s="385">
        <v>0.85</v>
      </c>
      <c r="V160" s="381">
        <f t="shared" si="18"/>
        <v>17</v>
      </c>
    </row>
    <row r="161" spans="2:22" ht="16.149999999999999" customHeight="1">
      <c r="B161" s="2674" t="s">
        <v>4391</v>
      </c>
      <c r="C161" s="2675"/>
      <c r="D161" s="410">
        <v>2.98</v>
      </c>
      <c r="E161" s="382">
        <f t="shared" si="20"/>
        <v>59.6</v>
      </c>
      <c r="F161" s="429"/>
      <c r="G161" s="2668" t="s">
        <v>4392</v>
      </c>
      <c r="H161" s="2669"/>
      <c r="I161" s="2669"/>
      <c r="J161" s="385">
        <v>2135</v>
      </c>
      <c r="K161" s="381">
        <f t="shared" si="19"/>
        <v>42700</v>
      </c>
      <c r="M161" s="2672" t="s">
        <v>4393</v>
      </c>
      <c r="N161" s="2673"/>
      <c r="O161" s="2673"/>
      <c r="P161" s="410">
        <v>570</v>
      </c>
      <c r="Q161" s="382">
        <f t="shared" si="15"/>
        <v>11400</v>
      </c>
      <c r="S161" s="2674" t="s">
        <v>4394</v>
      </c>
      <c r="T161" s="2675"/>
      <c r="U161" s="410">
        <v>0.2</v>
      </c>
      <c r="V161" s="382">
        <f t="shared" si="18"/>
        <v>4</v>
      </c>
    </row>
    <row r="162" spans="2:22" ht="16.149999999999999" customHeight="1">
      <c r="B162" s="2668" t="s">
        <v>4395</v>
      </c>
      <c r="C162" s="2669"/>
      <c r="D162" s="385">
        <v>2.98</v>
      </c>
      <c r="E162" s="381">
        <f t="shared" si="20"/>
        <v>59.6</v>
      </c>
      <c r="F162" s="429"/>
      <c r="G162" s="2674" t="s">
        <v>4396</v>
      </c>
      <c r="H162" s="2675"/>
      <c r="I162" s="2675"/>
      <c r="J162" s="410">
        <v>3278</v>
      </c>
      <c r="K162" s="382">
        <f t="shared" si="19"/>
        <v>65560</v>
      </c>
      <c r="M162" s="2695" t="s">
        <v>4397</v>
      </c>
      <c r="N162" s="2696"/>
      <c r="O162" s="2696"/>
      <c r="P162" s="385">
        <v>1450</v>
      </c>
      <c r="Q162" s="381">
        <f t="shared" si="15"/>
        <v>29000</v>
      </c>
      <c r="S162" s="2668" t="s">
        <v>4398</v>
      </c>
      <c r="T162" s="2669"/>
      <c r="U162" s="385">
        <v>9.5</v>
      </c>
      <c r="V162" s="381">
        <f t="shared" si="18"/>
        <v>190</v>
      </c>
    </row>
    <row r="163" spans="2:22" ht="16.149999999999999" customHeight="1">
      <c r="B163" s="2674" t="s">
        <v>4399</v>
      </c>
      <c r="C163" s="2675"/>
      <c r="D163" s="410">
        <v>0.98</v>
      </c>
      <c r="E163" s="382">
        <f t="shared" si="20"/>
        <v>19.600000000000001</v>
      </c>
      <c r="G163" s="2687" t="s">
        <v>4400</v>
      </c>
      <c r="H163" s="2688"/>
      <c r="I163" s="2688"/>
      <c r="J163" s="411">
        <v>4492</v>
      </c>
      <c r="K163" s="392">
        <f t="shared" si="19"/>
        <v>89840</v>
      </c>
      <c r="M163" s="2672" t="s">
        <v>4401</v>
      </c>
      <c r="N163" s="2673"/>
      <c r="O163" s="2673"/>
      <c r="P163" s="410">
        <v>995</v>
      </c>
      <c r="Q163" s="382">
        <f t="shared" si="15"/>
        <v>19900</v>
      </c>
      <c r="S163" s="2674" t="s">
        <v>4402</v>
      </c>
      <c r="T163" s="2675"/>
      <c r="U163" s="410">
        <v>0.25</v>
      </c>
      <c r="V163" s="382">
        <f t="shared" si="18"/>
        <v>5</v>
      </c>
    </row>
    <row r="164" spans="2:22" ht="16.149999999999999" customHeight="1">
      <c r="B164" s="2668" t="s">
        <v>4403</v>
      </c>
      <c r="C164" s="2669"/>
      <c r="D164" s="385">
        <v>2.59</v>
      </c>
      <c r="E164" s="381">
        <f t="shared" si="20"/>
        <v>51.8</v>
      </c>
      <c r="M164" s="2695" t="s">
        <v>4404</v>
      </c>
      <c r="N164" s="2696"/>
      <c r="O164" s="2696"/>
      <c r="P164" s="385">
        <v>300</v>
      </c>
      <c r="Q164" s="381">
        <f t="shared" si="15"/>
        <v>6000</v>
      </c>
      <c r="S164" s="2668" t="s">
        <v>4405</v>
      </c>
      <c r="T164" s="2669"/>
      <c r="U164" s="385">
        <v>1200</v>
      </c>
      <c r="V164" s="381">
        <f t="shared" si="18"/>
        <v>24000</v>
      </c>
    </row>
    <row r="165" spans="2:22" ht="16.149999999999999" customHeight="1">
      <c r="B165" s="2674" t="s">
        <v>4233</v>
      </c>
      <c r="C165" s="2675"/>
      <c r="D165" s="410">
        <v>4.95</v>
      </c>
      <c r="E165" s="382">
        <f t="shared" si="20"/>
        <v>99</v>
      </c>
      <c r="G165" s="2678" t="s">
        <v>4015</v>
      </c>
      <c r="H165" s="2679"/>
      <c r="I165" s="2679"/>
      <c r="J165" s="2679"/>
      <c r="K165" s="2680"/>
      <c r="M165" s="2672" t="s">
        <v>4406</v>
      </c>
      <c r="N165" s="2673"/>
      <c r="O165" s="2673"/>
      <c r="P165" s="410">
        <v>75</v>
      </c>
      <c r="Q165" s="382">
        <f t="shared" si="15"/>
        <v>1500</v>
      </c>
      <c r="S165" s="2674" t="s">
        <v>4407</v>
      </c>
      <c r="T165" s="2675"/>
      <c r="U165" s="410">
        <v>40</v>
      </c>
      <c r="V165" s="382" t="s">
        <v>4373</v>
      </c>
    </row>
    <row r="166" spans="2:22" ht="16.149999999999999" customHeight="1">
      <c r="B166" s="2668" t="s">
        <v>4408</v>
      </c>
      <c r="C166" s="2669"/>
      <c r="D166" s="385">
        <v>0.4</v>
      </c>
      <c r="E166" s="381">
        <f t="shared" si="20"/>
        <v>8</v>
      </c>
      <c r="G166" s="2683" t="s">
        <v>4409</v>
      </c>
      <c r="H166" s="2684"/>
      <c r="I166" s="2684"/>
      <c r="J166" s="404" t="s">
        <v>3899</v>
      </c>
      <c r="K166" s="424" t="s">
        <v>4086</v>
      </c>
      <c r="M166" s="2695" t="s">
        <v>4410</v>
      </c>
      <c r="N166" s="2696"/>
      <c r="O166" s="2696"/>
      <c r="P166" s="385">
        <v>545</v>
      </c>
      <c r="Q166" s="381">
        <f t="shared" si="15"/>
        <v>10900</v>
      </c>
      <c r="S166" s="2668" t="s">
        <v>4411</v>
      </c>
      <c r="T166" s="2669"/>
      <c r="U166" s="385">
        <v>66.75</v>
      </c>
      <c r="V166" s="381" t="s">
        <v>4373</v>
      </c>
    </row>
    <row r="167" spans="2:22" ht="16.149999999999999" customHeight="1">
      <c r="B167" s="2674" t="s">
        <v>4237</v>
      </c>
      <c r="C167" s="2675"/>
      <c r="D167" s="410">
        <v>0.54</v>
      </c>
      <c r="E167" s="382">
        <f t="shared" si="20"/>
        <v>10.8</v>
      </c>
      <c r="G167" s="2685" t="s">
        <v>4412</v>
      </c>
      <c r="H167" s="2686"/>
      <c r="I167" s="2686"/>
      <c r="J167" s="385">
        <v>4.45</v>
      </c>
      <c r="K167" s="381">
        <f t="shared" ref="K167:K180" si="21">J167*20</f>
        <v>89</v>
      </c>
      <c r="M167" s="2672" t="s">
        <v>4413</v>
      </c>
      <c r="N167" s="2673"/>
      <c r="O167" s="2673"/>
      <c r="P167" s="410">
        <v>1085</v>
      </c>
      <c r="Q167" s="382">
        <f t="shared" si="15"/>
        <v>21700</v>
      </c>
      <c r="S167" s="2674" t="s">
        <v>4414</v>
      </c>
      <c r="T167" s="2675"/>
      <c r="U167" s="410">
        <v>0.57999999999999996</v>
      </c>
      <c r="V167" s="382">
        <f t="shared" si="18"/>
        <v>11.6</v>
      </c>
    </row>
    <row r="168" spans="2:22" ht="16.149999999999999" customHeight="1">
      <c r="B168" s="2721" t="s">
        <v>4415</v>
      </c>
      <c r="C168" s="2722"/>
      <c r="D168" s="411">
        <v>1.29</v>
      </c>
      <c r="E168" s="392">
        <f t="shared" si="20"/>
        <v>25.8</v>
      </c>
      <c r="G168" s="2674" t="s">
        <v>4416</v>
      </c>
      <c r="H168" s="2675"/>
      <c r="I168" s="2675"/>
      <c r="J168" s="410">
        <v>10</v>
      </c>
      <c r="K168" s="382">
        <f t="shared" si="21"/>
        <v>200</v>
      </c>
      <c r="M168" s="2695" t="s">
        <v>4417</v>
      </c>
      <c r="N168" s="2696"/>
      <c r="O168" s="2696"/>
      <c r="P168" s="385">
        <v>490</v>
      </c>
      <c r="Q168" s="381">
        <f t="shared" si="15"/>
        <v>9800</v>
      </c>
      <c r="S168" s="2668" t="s">
        <v>4418</v>
      </c>
      <c r="T168" s="2669"/>
      <c r="U168" s="385">
        <v>17.5</v>
      </c>
      <c r="V168" s="381">
        <f t="shared" si="18"/>
        <v>350</v>
      </c>
    </row>
    <row r="169" spans="2:22" ht="16.149999999999999" customHeight="1">
      <c r="G169" s="2685" t="s">
        <v>4419</v>
      </c>
      <c r="H169" s="2686"/>
      <c r="I169" s="2686"/>
      <c r="J169" s="385">
        <v>0.75</v>
      </c>
      <c r="K169" s="381">
        <f t="shared" si="21"/>
        <v>15</v>
      </c>
      <c r="M169" s="2672" t="s">
        <v>4420</v>
      </c>
      <c r="N169" s="2673"/>
      <c r="O169" s="2673"/>
      <c r="P169" s="410">
        <v>9000</v>
      </c>
      <c r="Q169" s="382">
        <f t="shared" si="15"/>
        <v>180000</v>
      </c>
      <c r="S169" s="2719" t="s">
        <v>4421</v>
      </c>
      <c r="T169" s="2720"/>
      <c r="U169" s="410">
        <v>62.5</v>
      </c>
      <c r="V169" s="382">
        <f t="shared" si="18"/>
        <v>1250</v>
      </c>
    </row>
    <row r="170" spans="2:22" ht="16.149999999999999" customHeight="1">
      <c r="B170" s="2678" t="s">
        <v>3991</v>
      </c>
      <c r="C170" s="2679"/>
      <c r="D170" s="2679"/>
      <c r="E170" s="2680"/>
      <c r="G170" s="2681" t="s">
        <v>4041</v>
      </c>
      <c r="H170" s="2682"/>
      <c r="I170" s="2682"/>
      <c r="J170" s="410">
        <v>9</v>
      </c>
      <c r="K170" s="382">
        <f t="shared" si="21"/>
        <v>180</v>
      </c>
      <c r="M170" s="2695" t="s">
        <v>4422</v>
      </c>
      <c r="N170" s="2696"/>
      <c r="O170" s="2696"/>
      <c r="P170" s="385">
        <v>1225</v>
      </c>
      <c r="Q170" s="381">
        <f t="shared" si="15"/>
        <v>24500</v>
      </c>
      <c r="S170" s="2668" t="s">
        <v>4423</v>
      </c>
      <c r="T170" s="2669"/>
      <c r="U170" s="385">
        <v>1.79</v>
      </c>
      <c r="V170" s="381">
        <f t="shared" si="18"/>
        <v>35.799999999999997</v>
      </c>
    </row>
    <row r="171" spans="2:22" ht="16.149999999999999" customHeight="1">
      <c r="B171" s="2683" t="s">
        <v>1494</v>
      </c>
      <c r="C171" s="2684"/>
      <c r="D171" s="404" t="s">
        <v>3899</v>
      </c>
      <c r="E171" s="380" t="s">
        <v>4086</v>
      </c>
      <c r="G171" s="2668" t="s">
        <v>4424</v>
      </c>
      <c r="H171" s="2669"/>
      <c r="I171" s="2669"/>
      <c r="J171" s="385">
        <v>24</v>
      </c>
      <c r="K171" s="381">
        <f t="shared" si="21"/>
        <v>480</v>
      </c>
      <c r="M171" s="2672" t="s">
        <v>4425</v>
      </c>
      <c r="N171" s="2673"/>
      <c r="O171" s="2673"/>
      <c r="P171" s="410">
        <v>800</v>
      </c>
      <c r="Q171" s="382">
        <f t="shared" si="15"/>
        <v>16000</v>
      </c>
      <c r="S171" s="2674" t="s">
        <v>4426</v>
      </c>
      <c r="T171" s="2675"/>
      <c r="U171" s="410">
        <v>0.99</v>
      </c>
      <c r="V171" s="382">
        <f t="shared" si="18"/>
        <v>19.8</v>
      </c>
    </row>
    <row r="172" spans="2:22" ht="16.149999999999999" customHeight="1">
      <c r="B172" s="2701" t="s">
        <v>4427</v>
      </c>
      <c r="C172" s="2702"/>
      <c r="D172" s="385">
        <v>7.45</v>
      </c>
      <c r="E172" s="381">
        <f t="shared" ref="E172:E174" si="22">D172*20</f>
        <v>149</v>
      </c>
      <c r="G172" s="2681" t="s">
        <v>4428</v>
      </c>
      <c r="H172" s="2682"/>
      <c r="I172" s="2682"/>
      <c r="J172" s="410" t="s">
        <v>4429</v>
      </c>
      <c r="K172" s="382" t="s">
        <v>4026</v>
      </c>
      <c r="M172" s="2715" t="s">
        <v>4430</v>
      </c>
      <c r="N172" s="2716"/>
      <c r="O172" s="2716"/>
      <c r="P172" s="385">
        <v>4000</v>
      </c>
      <c r="Q172" s="381">
        <f t="shared" si="15"/>
        <v>80000</v>
      </c>
      <c r="S172" s="2668" t="s">
        <v>4431</v>
      </c>
      <c r="T172" s="2669"/>
      <c r="U172" s="385">
        <v>0.1</v>
      </c>
      <c r="V172" s="381">
        <f t="shared" si="18"/>
        <v>2</v>
      </c>
    </row>
    <row r="173" spans="2:22" ht="16.149999999999999" customHeight="1">
      <c r="B173" s="2703" t="s">
        <v>4432</v>
      </c>
      <c r="C173" s="2704"/>
      <c r="D173" s="410">
        <v>9.9499999999999993</v>
      </c>
      <c r="E173" s="382">
        <f t="shared" si="22"/>
        <v>199</v>
      </c>
      <c r="G173" s="2717" t="s">
        <v>4433</v>
      </c>
      <c r="H173" s="2718"/>
      <c r="I173" s="2718"/>
      <c r="J173" s="385">
        <v>5</v>
      </c>
      <c r="K173" s="381">
        <f t="shared" si="21"/>
        <v>100</v>
      </c>
      <c r="M173" s="2672" t="s">
        <v>4434</v>
      </c>
      <c r="N173" s="2673"/>
      <c r="O173" s="2673"/>
      <c r="P173" s="410">
        <v>4050</v>
      </c>
      <c r="Q173" s="382">
        <f t="shared" si="15"/>
        <v>81000</v>
      </c>
      <c r="S173" s="2674" t="s">
        <v>4435</v>
      </c>
      <c r="T173" s="2675"/>
      <c r="U173" s="410">
        <v>2.29</v>
      </c>
      <c r="V173" s="382">
        <f t="shared" si="18"/>
        <v>45.8</v>
      </c>
    </row>
    <row r="174" spans="2:22" ht="16.149999999999999" customHeight="1">
      <c r="B174" s="2701" t="s">
        <v>4436</v>
      </c>
      <c r="C174" s="2702"/>
      <c r="D174" s="385">
        <v>12</v>
      </c>
      <c r="E174" s="381">
        <f t="shared" si="22"/>
        <v>240</v>
      </c>
      <c r="G174" s="2692" t="s">
        <v>4437</v>
      </c>
      <c r="H174" s="2693"/>
      <c r="I174" s="2693"/>
      <c r="J174" s="2693"/>
      <c r="K174" s="2694"/>
      <c r="M174" s="2695" t="s">
        <v>4438</v>
      </c>
      <c r="N174" s="2696"/>
      <c r="O174" s="2696"/>
      <c r="P174" s="385">
        <v>7750</v>
      </c>
      <c r="Q174" s="381">
        <f t="shared" si="15"/>
        <v>155000</v>
      </c>
      <c r="S174" s="2668" t="s">
        <v>4439</v>
      </c>
      <c r="T174" s="2669"/>
      <c r="U174" s="385">
        <v>6.75</v>
      </c>
      <c r="V174" s="381">
        <f t="shared" si="18"/>
        <v>135</v>
      </c>
    </row>
    <row r="175" spans="2:22" ht="16.149999999999999" customHeight="1">
      <c r="B175" s="2703" t="s">
        <v>4440</v>
      </c>
      <c r="C175" s="2704"/>
      <c r="D175" s="410">
        <v>54.95</v>
      </c>
      <c r="E175" s="382">
        <f t="shared" ref="E175:E177" si="23">D175*20</f>
        <v>1099</v>
      </c>
      <c r="G175" s="2668" t="s">
        <v>4441</v>
      </c>
      <c r="H175" s="2669"/>
      <c r="I175" s="2669"/>
      <c r="J175" s="385">
        <v>1000</v>
      </c>
      <c r="K175" s="381">
        <f t="shared" si="21"/>
        <v>20000</v>
      </c>
      <c r="M175" s="2672" t="s">
        <v>4442</v>
      </c>
      <c r="N175" s="2673"/>
      <c r="O175" s="2673"/>
      <c r="P175" s="410">
        <v>500</v>
      </c>
      <c r="Q175" s="382">
        <f t="shared" si="15"/>
        <v>10000</v>
      </c>
      <c r="S175" s="2674" t="s">
        <v>4443</v>
      </c>
      <c r="T175" s="2675"/>
      <c r="U175" s="410">
        <v>49</v>
      </c>
      <c r="V175" s="382">
        <f t="shared" si="18"/>
        <v>980</v>
      </c>
    </row>
    <row r="176" spans="2:22" ht="16.149999999999999" customHeight="1">
      <c r="B176" s="2701" t="s">
        <v>4444</v>
      </c>
      <c r="C176" s="2702"/>
      <c r="D176" s="385">
        <v>79.95</v>
      </c>
      <c r="E176" s="381">
        <f t="shared" si="23"/>
        <v>1599</v>
      </c>
      <c r="G176" s="2674" t="s">
        <v>4445</v>
      </c>
      <c r="H176" s="2675"/>
      <c r="I176" s="2675"/>
      <c r="J176" s="410">
        <v>55</v>
      </c>
      <c r="K176" s="382">
        <f t="shared" si="21"/>
        <v>1100</v>
      </c>
      <c r="M176" s="2695" t="s">
        <v>4446</v>
      </c>
      <c r="N176" s="2696"/>
      <c r="O176" s="2696"/>
      <c r="P176" s="385">
        <v>6750</v>
      </c>
      <c r="Q176" s="381">
        <f t="shared" si="15"/>
        <v>135000</v>
      </c>
      <c r="S176" s="2668" t="s">
        <v>4447</v>
      </c>
      <c r="T176" s="2669"/>
      <c r="U176" s="385">
        <v>1.95</v>
      </c>
      <c r="V176" s="381">
        <f t="shared" si="18"/>
        <v>39</v>
      </c>
    </row>
    <row r="177" spans="2:22" ht="16.149999999999999" customHeight="1">
      <c r="B177" s="2713" t="s">
        <v>4448</v>
      </c>
      <c r="C177" s="2714"/>
      <c r="D177" s="420">
        <v>12.5</v>
      </c>
      <c r="E177" s="384">
        <f t="shared" si="23"/>
        <v>250</v>
      </c>
      <c r="G177" s="2668" t="s">
        <v>4449</v>
      </c>
      <c r="H177" s="2669"/>
      <c r="I177" s="2669"/>
      <c r="J177" s="385">
        <v>350</v>
      </c>
      <c r="K177" s="381">
        <f t="shared" si="21"/>
        <v>7000</v>
      </c>
      <c r="M177" s="2672" t="s">
        <v>4450</v>
      </c>
      <c r="N177" s="2673"/>
      <c r="O177" s="2673"/>
      <c r="P177" s="410">
        <v>10800</v>
      </c>
      <c r="Q177" s="382">
        <f t="shared" si="15"/>
        <v>216000</v>
      </c>
      <c r="S177" s="2674" t="s">
        <v>4451</v>
      </c>
      <c r="T177" s="2675"/>
      <c r="U177" s="410">
        <v>1.68</v>
      </c>
      <c r="V177" s="382">
        <f t="shared" si="18"/>
        <v>33.6</v>
      </c>
    </row>
    <row r="178" spans="2:22" ht="16.149999999999999" customHeight="1">
      <c r="G178" s="2674" t="s">
        <v>4452</v>
      </c>
      <c r="H178" s="2675"/>
      <c r="I178" s="2675"/>
      <c r="J178" s="410">
        <v>12.5</v>
      </c>
      <c r="K178" s="382">
        <f t="shared" si="21"/>
        <v>250</v>
      </c>
      <c r="M178" s="2692" t="s">
        <v>4453</v>
      </c>
      <c r="N178" s="2693"/>
      <c r="O178" s="2693"/>
      <c r="P178" s="2693"/>
      <c r="Q178" s="2694"/>
      <c r="S178" s="2668" t="s">
        <v>4454</v>
      </c>
      <c r="T178" s="2669"/>
      <c r="U178" s="385">
        <v>3.98</v>
      </c>
      <c r="V178" s="381">
        <f t="shared" si="18"/>
        <v>79.599999999999994</v>
      </c>
    </row>
    <row r="179" spans="2:22" ht="16.149999999999999" customHeight="1">
      <c r="B179" s="2678" t="s">
        <v>3897</v>
      </c>
      <c r="C179" s="2679"/>
      <c r="D179" s="2679"/>
      <c r="E179" s="2680"/>
      <c r="G179" s="2668" t="s">
        <v>4455</v>
      </c>
      <c r="H179" s="2669"/>
      <c r="I179" s="2669"/>
      <c r="J179" s="385">
        <v>10</v>
      </c>
      <c r="K179" s="381">
        <f t="shared" si="21"/>
        <v>200</v>
      </c>
      <c r="M179" s="2674" t="s">
        <v>4456</v>
      </c>
      <c r="N179" s="2675"/>
      <c r="O179" s="2675"/>
      <c r="P179" s="410">
        <v>10.95</v>
      </c>
      <c r="Q179" s="382">
        <f t="shared" si="15"/>
        <v>219</v>
      </c>
      <c r="S179" s="2674" t="s">
        <v>4457</v>
      </c>
      <c r="T179" s="2675"/>
      <c r="U179" s="410">
        <v>1.48</v>
      </c>
      <c r="V179" s="382">
        <f t="shared" si="18"/>
        <v>29.6</v>
      </c>
    </row>
    <row r="180" spans="2:22" ht="16.149999999999999" customHeight="1">
      <c r="B180" s="2683" t="s">
        <v>1494</v>
      </c>
      <c r="C180" s="2684"/>
      <c r="D180" s="404" t="s">
        <v>3899</v>
      </c>
      <c r="E180" s="424" t="s">
        <v>4086</v>
      </c>
      <c r="G180" s="2711" t="s">
        <v>4458</v>
      </c>
      <c r="H180" s="2712"/>
      <c r="I180" s="2712"/>
      <c r="J180" s="420">
        <v>40</v>
      </c>
      <c r="K180" s="384">
        <f t="shared" si="21"/>
        <v>800</v>
      </c>
      <c r="M180" s="2668" t="s">
        <v>4459</v>
      </c>
      <c r="N180" s="2669"/>
      <c r="O180" s="2669"/>
      <c r="P180" s="385">
        <v>0.32</v>
      </c>
      <c r="Q180" s="381">
        <f t="shared" si="15"/>
        <v>6.4</v>
      </c>
      <c r="S180" s="2668" t="s">
        <v>4460</v>
      </c>
      <c r="T180" s="2669"/>
      <c r="U180" s="385">
        <v>9.9499999999999993</v>
      </c>
      <c r="V180" s="381">
        <f t="shared" si="18"/>
        <v>199</v>
      </c>
    </row>
    <row r="181" spans="2:22" ht="16.149999999999999" customHeight="1">
      <c r="B181" s="2695" t="s">
        <v>4461</v>
      </c>
      <c r="C181" s="2696"/>
      <c r="D181" s="385">
        <v>0.25</v>
      </c>
      <c r="E181" s="2689" t="s">
        <v>4462</v>
      </c>
      <c r="G181" s="383"/>
      <c r="H181" s="383"/>
      <c r="I181" s="383"/>
      <c r="J181" s="383"/>
      <c r="K181" s="383"/>
      <c r="M181" s="2674" t="s">
        <v>4463</v>
      </c>
      <c r="N181" s="2675"/>
      <c r="O181" s="2675"/>
      <c r="P181" s="410">
        <v>4.95</v>
      </c>
      <c r="Q181" s="382">
        <f t="shared" si="15"/>
        <v>99</v>
      </c>
      <c r="S181" s="2674" t="s">
        <v>4464</v>
      </c>
      <c r="T181" s="2675"/>
      <c r="U181" s="410">
        <v>16.649999999999999</v>
      </c>
      <c r="V181" s="382">
        <f t="shared" si="18"/>
        <v>333</v>
      </c>
    </row>
    <row r="182" spans="2:22" ht="16.149999999999999" customHeight="1">
      <c r="B182" s="2697" t="s">
        <v>4465</v>
      </c>
      <c r="C182" s="2698"/>
      <c r="D182" s="410">
        <v>0.02</v>
      </c>
      <c r="E182" s="2689"/>
      <c r="G182" s="2678" t="s">
        <v>4466</v>
      </c>
      <c r="H182" s="2679"/>
      <c r="I182" s="2679"/>
      <c r="J182" s="2679"/>
      <c r="K182" s="2680"/>
      <c r="M182" s="2668" t="s">
        <v>4467</v>
      </c>
      <c r="N182" s="2669"/>
      <c r="O182" s="2669"/>
      <c r="P182" s="385">
        <v>1</v>
      </c>
      <c r="Q182" s="381">
        <f t="shared" si="15"/>
        <v>20</v>
      </c>
      <c r="S182" s="2695" t="s">
        <v>4468</v>
      </c>
      <c r="T182" s="2696"/>
      <c r="U182" s="385">
        <v>24.65</v>
      </c>
      <c r="V182" s="381">
        <f t="shared" si="18"/>
        <v>493</v>
      </c>
    </row>
    <row r="183" spans="2:22" ht="16.149999999999999" customHeight="1">
      <c r="B183" s="2668" t="s">
        <v>4469</v>
      </c>
      <c r="C183" s="2669"/>
      <c r="D183" s="385">
        <v>1.25</v>
      </c>
      <c r="E183" s="2689"/>
      <c r="G183" s="2683" t="s">
        <v>1494</v>
      </c>
      <c r="H183" s="2684"/>
      <c r="I183" s="2684"/>
      <c r="J183" s="404" t="s">
        <v>3899</v>
      </c>
      <c r="K183" s="424" t="s">
        <v>4086</v>
      </c>
      <c r="M183" s="2674" t="s">
        <v>4470</v>
      </c>
      <c r="N183" s="2675"/>
      <c r="O183" s="2675"/>
      <c r="P183" s="410">
        <v>14.15</v>
      </c>
      <c r="Q183" s="382">
        <f t="shared" si="15"/>
        <v>283</v>
      </c>
      <c r="S183" s="2674" t="s">
        <v>4471</v>
      </c>
      <c r="T183" s="2675"/>
      <c r="U183" s="410">
        <v>34.450000000000003</v>
      </c>
      <c r="V183" s="382">
        <f t="shared" si="18"/>
        <v>689</v>
      </c>
    </row>
    <row r="184" spans="2:22" ht="16.149999999999999" customHeight="1">
      <c r="B184" s="2709" t="s">
        <v>4472</v>
      </c>
      <c r="C184" s="2710"/>
      <c r="D184" s="410">
        <v>0.02</v>
      </c>
      <c r="E184" s="382">
        <f>D184*20</f>
        <v>0.4</v>
      </c>
      <c r="F184" s="423"/>
      <c r="G184" s="2676" t="s">
        <v>4473</v>
      </c>
      <c r="H184" s="2677"/>
      <c r="I184" s="2677"/>
      <c r="J184" s="385">
        <v>25</v>
      </c>
      <c r="K184" s="381">
        <f>J184*20</f>
        <v>500</v>
      </c>
      <c r="M184" s="2668" t="s">
        <v>4474</v>
      </c>
      <c r="N184" s="2669"/>
      <c r="O184" s="2669"/>
      <c r="P184" s="385">
        <v>8.69</v>
      </c>
      <c r="Q184" s="381">
        <f t="shared" si="15"/>
        <v>173.8</v>
      </c>
      <c r="S184" s="2668" t="s">
        <v>4475</v>
      </c>
      <c r="T184" s="2669"/>
      <c r="U184" s="385">
        <v>13.85</v>
      </c>
      <c r="V184" s="381">
        <f t="shared" si="18"/>
        <v>277</v>
      </c>
    </row>
    <row r="185" spans="2:22" ht="16.149999999999999" customHeight="1">
      <c r="B185" s="2701" t="s">
        <v>4476</v>
      </c>
      <c r="C185" s="2702"/>
      <c r="D185" s="431" t="s">
        <v>803</v>
      </c>
      <c r="E185" s="381" t="s">
        <v>4477</v>
      </c>
      <c r="G185" s="2674" t="s">
        <v>4478</v>
      </c>
      <c r="H185" s="2675"/>
      <c r="I185" s="2675"/>
      <c r="J185" s="410">
        <v>25</v>
      </c>
      <c r="K185" s="382">
        <f t="shared" ref="K185:K198" si="24">J185*20</f>
        <v>500</v>
      </c>
      <c r="M185" s="2674" t="s">
        <v>4479</v>
      </c>
      <c r="N185" s="2675"/>
      <c r="O185" s="2675"/>
      <c r="P185" s="410">
        <v>0.3</v>
      </c>
      <c r="Q185" s="382">
        <f t="shared" si="15"/>
        <v>6</v>
      </c>
      <c r="S185" s="2711" t="s">
        <v>4480</v>
      </c>
      <c r="T185" s="2712"/>
      <c r="U185" s="420">
        <v>0.45</v>
      </c>
      <c r="V185" s="384">
        <f t="shared" si="18"/>
        <v>9</v>
      </c>
    </row>
    <row r="186" spans="2:22" ht="16.149999999999999" customHeight="1">
      <c r="B186" s="2703" t="s">
        <v>4481</v>
      </c>
      <c r="C186" s="2704"/>
      <c r="D186" s="410">
        <v>49.95</v>
      </c>
      <c r="E186" s="382" t="s">
        <v>4373</v>
      </c>
      <c r="G186" s="2668" t="s">
        <v>4482</v>
      </c>
      <c r="H186" s="2669"/>
      <c r="I186" s="2669"/>
      <c r="J186" s="385">
        <v>80</v>
      </c>
      <c r="K186" s="381">
        <f t="shared" si="24"/>
        <v>1600</v>
      </c>
      <c r="M186" s="2668" t="s">
        <v>4483</v>
      </c>
      <c r="N186" s="2669"/>
      <c r="O186" s="2669"/>
      <c r="P186" s="385">
        <v>3.25</v>
      </c>
      <c r="Q186" s="381">
        <f t="shared" si="15"/>
        <v>65</v>
      </c>
    </row>
    <row r="187" spans="2:22" ht="16.149999999999999" customHeight="1">
      <c r="B187" s="2701" t="s">
        <v>4484</v>
      </c>
      <c r="C187" s="2702"/>
      <c r="D187" s="385">
        <v>15.75</v>
      </c>
      <c r="E187" s="381">
        <f>D187*20</f>
        <v>315</v>
      </c>
      <c r="G187" s="2674" t="s">
        <v>4485</v>
      </c>
      <c r="H187" s="2675"/>
      <c r="I187" s="2675"/>
      <c r="J187" s="410" t="s">
        <v>509</v>
      </c>
      <c r="K187" s="433" t="s">
        <v>4486</v>
      </c>
      <c r="M187" s="2674" t="s">
        <v>4487</v>
      </c>
      <c r="N187" s="2675"/>
      <c r="O187" s="2675"/>
      <c r="P187" s="410">
        <v>2.95</v>
      </c>
      <c r="Q187" s="382">
        <f t="shared" si="15"/>
        <v>59</v>
      </c>
      <c r="S187" s="2678" t="s">
        <v>4488</v>
      </c>
      <c r="T187" s="2679"/>
      <c r="U187" s="2679"/>
      <c r="V187" s="2680"/>
    </row>
    <row r="188" spans="2:22" ht="16.149999999999999" customHeight="1">
      <c r="B188" s="2703" t="s">
        <v>4489</v>
      </c>
      <c r="C188" s="2704"/>
      <c r="D188" s="410">
        <v>1.25</v>
      </c>
      <c r="E188" s="382" t="s">
        <v>4373</v>
      </c>
      <c r="G188" s="2676" t="s">
        <v>4490</v>
      </c>
      <c r="H188" s="2677"/>
      <c r="I188" s="2677"/>
      <c r="J188" s="385">
        <v>199</v>
      </c>
      <c r="K188" s="381">
        <f t="shared" si="24"/>
        <v>3980</v>
      </c>
      <c r="M188" s="2687" t="s">
        <v>4491</v>
      </c>
      <c r="N188" s="2688"/>
      <c r="O188" s="2688"/>
      <c r="P188" s="411">
        <v>1.35</v>
      </c>
      <c r="Q188" s="392">
        <f t="shared" si="15"/>
        <v>27</v>
      </c>
      <c r="S188" s="2683" t="s">
        <v>1494</v>
      </c>
      <c r="T188" s="2684"/>
      <c r="U188" s="404" t="s">
        <v>3899</v>
      </c>
      <c r="V188" s="424" t="s">
        <v>4086</v>
      </c>
    </row>
    <row r="189" spans="2:22" ht="16.149999999999999" customHeight="1">
      <c r="B189" s="2705" t="s">
        <v>4492</v>
      </c>
      <c r="C189" s="2706"/>
      <c r="D189" s="411">
        <v>0.05</v>
      </c>
      <c r="E189" s="392">
        <f>D189*20</f>
        <v>1</v>
      </c>
      <c r="G189" s="2707" t="s">
        <v>4493</v>
      </c>
      <c r="H189" s="2708"/>
      <c r="I189" s="2708"/>
      <c r="J189" s="410">
        <v>295</v>
      </c>
      <c r="K189" s="382">
        <f t="shared" si="24"/>
        <v>5900</v>
      </c>
      <c r="M189" s="383"/>
      <c r="N189" s="383"/>
      <c r="O189" s="383"/>
      <c r="P189" s="383"/>
      <c r="Q189" s="383"/>
      <c r="S189" s="2668" t="s">
        <v>4494</v>
      </c>
      <c r="T189" s="2669"/>
      <c r="U189" s="385">
        <v>0.15</v>
      </c>
      <c r="V189" s="381">
        <f t="shared" ref="V189:V212" si="25">U189*20</f>
        <v>3</v>
      </c>
    </row>
    <row r="190" spans="2:22" ht="16.149999999999999" customHeight="1">
      <c r="G190" s="2699" t="s">
        <v>4495</v>
      </c>
      <c r="H190" s="2700"/>
      <c r="I190" s="2700"/>
      <c r="J190" s="430">
        <v>395</v>
      </c>
      <c r="K190" s="381">
        <f t="shared" si="24"/>
        <v>7900</v>
      </c>
      <c r="M190" s="2678" t="s">
        <v>4061</v>
      </c>
      <c r="N190" s="2679"/>
      <c r="O190" s="2679"/>
      <c r="P190" s="2679"/>
      <c r="Q190" s="2680"/>
      <c r="S190" s="2672" t="s">
        <v>4496</v>
      </c>
      <c r="T190" s="2673"/>
      <c r="U190" s="410">
        <v>0.33</v>
      </c>
      <c r="V190" s="382">
        <f t="shared" si="25"/>
        <v>6.6</v>
      </c>
    </row>
    <row r="191" spans="2:22" ht="16.149999999999999" customHeight="1">
      <c r="G191" s="2692" t="s">
        <v>4497</v>
      </c>
      <c r="H191" s="2693"/>
      <c r="I191" s="2693"/>
      <c r="J191" s="2693"/>
      <c r="K191" s="2694"/>
      <c r="M191" s="2683" t="s">
        <v>1494</v>
      </c>
      <c r="N191" s="2684"/>
      <c r="O191" s="2684"/>
      <c r="P191" s="404" t="s">
        <v>3899</v>
      </c>
      <c r="Q191" s="424" t="s">
        <v>4086</v>
      </c>
      <c r="S191" s="2668" t="s">
        <v>4498</v>
      </c>
      <c r="T191" s="2669"/>
      <c r="U191" s="385">
        <v>5.45</v>
      </c>
      <c r="V191" s="381">
        <f t="shared" si="25"/>
        <v>109</v>
      </c>
    </row>
    <row r="192" spans="2:22" ht="16.149999999999999" customHeight="1">
      <c r="G192" s="2668" t="s">
        <v>4499</v>
      </c>
      <c r="H192" s="2669"/>
      <c r="I192" s="2669"/>
      <c r="J192" s="385">
        <v>10</v>
      </c>
      <c r="K192" s="381">
        <f t="shared" si="24"/>
        <v>200</v>
      </c>
      <c r="M192" s="2668" t="s">
        <v>4500</v>
      </c>
      <c r="N192" s="2669"/>
      <c r="O192" s="2669"/>
      <c r="P192" s="385">
        <v>0.15</v>
      </c>
      <c r="Q192" s="381">
        <f>P192*20</f>
        <v>3</v>
      </c>
      <c r="S192" s="2674" t="s">
        <v>4501</v>
      </c>
      <c r="T192" s="2675"/>
      <c r="U192" s="410">
        <v>1.3</v>
      </c>
      <c r="V192" s="382">
        <f t="shared" si="25"/>
        <v>26</v>
      </c>
    </row>
    <row r="193" spans="7:22" ht="16.149999999999999" customHeight="1">
      <c r="G193" s="2674" t="s">
        <v>4502</v>
      </c>
      <c r="H193" s="2675"/>
      <c r="I193" s="2675"/>
      <c r="J193" s="410">
        <v>19.95</v>
      </c>
      <c r="K193" s="382">
        <f t="shared" si="24"/>
        <v>399</v>
      </c>
      <c r="M193" s="2674" t="s">
        <v>4503</v>
      </c>
      <c r="N193" s="2675"/>
      <c r="O193" s="2675"/>
      <c r="P193" s="410">
        <v>0.05</v>
      </c>
      <c r="Q193" s="382">
        <f>P193*20</f>
        <v>1</v>
      </c>
      <c r="S193" s="2676" t="s">
        <v>4504</v>
      </c>
      <c r="T193" s="2677"/>
      <c r="U193" s="385">
        <v>14.1</v>
      </c>
      <c r="V193" s="381">
        <f t="shared" si="25"/>
        <v>282</v>
      </c>
    </row>
    <row r="194" spans="7:22" ht="16.149999999999999" customHeight="1">
      <c r="G194" s="2668" t="s">
        <v>4505</v>
      </c>
      <c r="H194" s="2669"/>
      <c r="I194" s="2669"/>
      <c r="J194" s="385">
        <v>5</v>
      </c>
      <c r="K194" s="381">
        <f t="shared" si="24"/>
        <v>100</v>
      </c>
      <c r="M194" s="2668" t="s">
        <v>4506</v>
      </c>
      <c r="N194" s="2669"/>
      <c r="O194" s="2669"/>
      <c r="P194" s="385">
        <v>1</v>
      </c>
      <c r="Q194" s="381">
        <f>P194*20</f>
        <v>20</v>
      </c>
      <c r="S194" s="2674" t="s">
        <v>4507</v>
      </c>
      <c r="T194" s="2675"/>
      <c r="U194" s="410">
        <v>0.55000000000000004</v>
      </c>
      <c r="V194" s="382">
        <f t="shared" si="25"/>
        <v>11</v>
      </c>
    </row>
    <row r="195" spans="7:22" ht="16.149999999999999" customHeight="1">
      <c r="G195" s="2674" t="s">
        <v>4508</v>
      </c>
      <c r="H195" s="2675"/>
      <c r="I195" s="2675"/>
      <c r="J195" s="410">
        <v>77</v>
      </c>
      <c r="K195" s="382">
        <f t="shared" si="24"/>
        <v>1540</v>
      </c>
      <c r="M195" s="2674" t="s">
        <v>4509</v>
      </c>
      <c r="N195" s="2675"/>
      <c r="O195" s="2675"/>
      <c r="P195" s="410">
        <v>4</v>
      </c>
      <c r="Q195" s="382">
        <f>P195*20</f>
        <v>80</v>
      </c>
      <c r="S195" s="2668" t="s">
        <v>4510</v>
      </c>
      <c r="T195" s="2669"/>
      <c r="U195" s="385">
        <v>6.75</v>
      </c>
      <c r="V195" s="381">
        <f t="shared" si="25"/>
        <v>135</v>
      </c>
    </row>
    <row r="196" spans="7:22" ht="16.149999999999999" customHeight="1">
      <c r="G196" s="2668" t="s">
        <v>4511</v>
      </c>
      <c r="H196" s="2669"/>
      <c r="I196" s="2669"/>
      <c r="J196" s="385">
        <v>49.5</v>
      </c>
      <c r="K196" s="381">
        <f t="shared" si="24"/>
        <v>990</v>
      </c>
      <c r="M196" s="2668" t="s">
        <v>4512</v>
      </c>
      <c r="N196" s="2669"/>
      <c r="O196" s="2669"/>
      <c r="P196" s="385">
        <v>10</v>
      </c>
      <c r="Q196" s="381">
        <f>P196*20</f>
        <v>200</v>
      </c>
      <c r="S196" s="2674" t="s">
        <v>4513</v>
      </c>
      <c r="T196" s="2675"/>
      <c r="U196" s="410">
        <v>4.1500000000000004</v>
      </c>
      <c r="V196" s="382">
        <f t="shared" si="25"/>
        <v>83</v>
      </c>
    </row>
    <row r="197" spans="7:22" ht="16.149999999999999" customHeight="1">
      <c r="G197" s="2674" t="s">
        <v>4514</v>
      </c>
      <c r="H197" s="2675"/>
      <c r="I197" s="2675"/>
      <c r="J197" s="410">
        <v>48</v>
      </c>
      <c r="K197" s="382">
        <f t="shared" si="24"/>
        <v>960</v>
      </c>
      <c r="M197" s="2692" t="s">
        <v>4515</v>
      </c>
      <c r="N197" s="2693"/>
      <c r="O197" s="2693"/>
      <c r="P197" s="2693"/>
      <c r="Q197" s="2694"/>
      <c r="S197" s="2668" t="s">
        <v>4516</v>
      </c>
      <c r="T197" s="2669"/>
      <c r="U197" s="385">
        <v>1.65</v>
      </c>
      <c r="V197" s="381">
        <f t="shared" si="25"/>
        <v>33</v>
      </c>
    </row>
    <row r="198" spans="7:22" ht="16.149999999999999" customHeight="1">
      <c r="G198" s="2687" t="s">
        <v>4517</v>
      </c>
      <c r="H198" s="2688"/>
      <c r="I198" s="2688"/>
      <c r="J198" s="411">
        <v>125</v>
      </c>
      <c r="K198" s="392">
        <f t="shared" si="24"/>
        <v>2500</v>
      </c>
      <c r="M198" s="2668" t="s">
        <v>4518</v>
      </c>
      <c r="N198" s="2669"/>
      <c r="O198" s="2669"/>
      <c r="P198" s="385">
        <v>98</v>
      </c>
      <c r="Q198" s="2690" t="s">
        <v>4373</v>
      </c>
      <c r="S198" s="2674" t="s">
        <v>4519</v>
      </c>
      <c r="T198" s="2675"/>
      <c r="U198" s="410">
        <v>4.82</v>
      </c>
      <c r="V198" s="382">
        <f t="shared" si="25"/>
        <v>96.4</v>
      </c>
    </row>
    <row r="199" spans="7:22" ht="16.149999999999999" customHeight="1">
      <c r="M199" s="2674" t="s">
        <v>4520</v>
      </c>
      <c r="N199" s="2675"/>
      <c r="O199" s="2675"/>
      <c r="P199" s="410">
        <v>0.75</v>
      </c>
      <c r="Q199" s="2690"/>
      <c r="S199" s="2676" t="s">
        <v>4521</v>
      </c>
      <c r="T199" s="2677"/>
      <c r="U199" s="385">
        <v>9.25</v>
      </c>
      <c r="V199" s="381">
        <f t="shared" si="25"/>
        <v>185</v>
      </c>
    </row>
    <row r="200" spans="7:22" ht="16.149999999999999" customHeight="1">
      <c r="G200" s="2678" t="s">
        <v>384</v>
      </c>
      <c r="H200" s="2679"/>
      <c r="I200" s="2679"/>
      <c r="J200" s="2679"/>
      <c r="K200" s="2680"/>
      <c r="M200" s="2668" t="s">
        <v>4522</v>
      </c>
      <c r="N200" s="2669"/>
      <c r="O200" s="2669"/>
      <c r="P200" s="414" t="s">
        <v>4523</v>
      </c>
      <c r="Q200" s="2690"/>
      <c r="S200" s="2681" t="s">
        <v>4524</v>
      </c>
      <c r="T200" s="2682"/>
      <c r="U200" s="410">
        <v>6.15</v>
      </c>
      <c r="V200" s="382">
        <f t="shared" si="25"/>
        <v>123</v>
      </c>
    </row>
    <row r="201" spans="7:22" ht="16.149999999999999" customHeight="1">
      <c r="G201" s="2683" t="s">
        <v>1494</v>
      </c>
      <c r="H201" s="2684"/>
      <c r="I201" s="2684"/>
      <c r="J201" s="404" t="s">
        <v>3899</v>
      </c>
      <c r="K201" s="424" t="s">
        <v>4086</v>
      </c>
      <c r="M201" s="2674" t="s">
        <v>4525</v>
      </c>
      <c r="N201" s="2675"/>
      <c r="O201" s="2675"/>
      <c r="P201" s="410">
        <v>0.38</v>
      </c>
      <c r="Q201" s="2690"/>
      <c r="S201" s="2685" t="s">
        <v>4526</v>
      </c>
      <c r="T201" s="2686"/>
      <c r="U201" s="385">
        <v>5.95</v>
      </c>
      <c r="V201" s="381">
        <f t="shared" si="25"/>
        <v>119</v>
      </c>
    </row>
    <row r="202" spans="7:22" ht="16.149999999999999" customHeight="1">
      <c r="G202" s="2668" t="s">
        <v>4527</v>
      </c>
      <c r="H202" s="2669"/>
      <c r="I202" s="2669"/>
      <c r="J202" s="385" t="s">
        <v>4528</v>
      </c>
      <c r="K202" s="439" t="s">
        <v>4529</v>
      </c>
      <c r="M202" s="2668" t="s">
        <v>4530</v>
      </c>
      <c r="N202" s="2669"/>
      <c r="O202" s="2669"/>
      <c r="P202" s="385">
        <v>4.95</v>
      </c>
      <c r="Q202" s="2690"/>
      <c r="S202" s="2674" t="s">
        <v>4531</v>
      </c>
      <c r="T202" s="2675"/>
      <c r="U202" s="410">
        <v>3.75</v>
      </c>
      <c r="V202" s="382">
        <f t="shared" si="25"/>
        <v>75</v>
      </c>
    </row>
    <row r="203" spans="7:22" ht="16.149999999999999" customHeight="1">
      <c r="G203" s="2674" t="s">
        <v>4532</v>
      </c>
      <c r="H203" s="2675"/>
      <c r="I203" s="2675"/>
      <c r="J203" s="410" t="s">
        <v>4533</v>
      </c>
      <c r="K203" s="433" t="s">
        <v>4534</v>
      </c>
      <c r="M203" s="2674" t="s">
        <v>4535</v>
      </c>
      <c r="N203" s="2675"/>
      <c r="O203" s="2675"/>
      <c r="P203" s="440" t="s">
        <v>4536</v>
      </c>
      <c r="Q203" s="2690"/>
      <c r="S203" s="2668" t="s">
        <v>4537</v>
      </c>
      <c r="T203" s="2669"/>
      <c r="U203" s="385">
        <v>1.68</v>
      </c>
      <c r="V203" s="381">
        <f t="shared" si="25"/>
        <v>33.6</v>
      </c>
    </row>
    <row r="204" spans="7:22" ht="16.149999999999999" customHeight="1">
      <c r="G204" s="2687" t="s">
        <v>4538</v>
      </c>
      <c r="H204" s="2688"/>
      <c r="I204" s="2688"/>
      <c r="J204" s="411">
        <v>30</v>
      </c>
      <c r="K204" s="392">
        <f t="shared" ref="K204" si="26">J204*20</f>
        <v>600</v>
      </c>
      <c r="M204" s="2668" t="s">
        <v>4539</v>
      </c>
      <c r="N204" s="2669"/>
      <c r="O204" s="2669"/>
      <c r="P204" s="385">
        <v>140</v>
      </c>
      <c r="Q204" s="2690"/>
      <c r="S204" s="2672" t="s">
        <v>4540</v>
      </c>
      <c r="T204" s="2673"/>
      <c r="U204" s="410">
        <v>7.4</v>
      </c>
      <c r="V204" s="382">
        <f t="shared" si="25"/>
        <v>148</v>
      </c>
    </row>
    <row r="205" spans="7:22" ht="16.149999999999999" customHeight="1">
      <c r="M205" s="2674" t="s">
        <v>4541</v>
      </c>
      <c r="N205" s="2675"/>
      <c r="O205" s="2675"/>
      <c r="P205" s="410">
        <v>335</v>
      </c>
      <c r="Q205" s="2690"/>
      <c r="S205" s="2668" t="s">
        <v>4542</v>
      </c>
      <c r="T205" s="2669"/>
      <c r="U205" s="385">
        <v>0.59</v>
      </c>
      <c r="V205" s="381">
        <f t="shared" si="25"/>
        <v>11.8</v>
      </c>
    </row>
    <row r="206" spans="7:22" ht="16.149999999999999" customHeight="1">
      <c r="M206" s="2668" t="s">
        <v>4543</v>
      </c>
      <c r="N206" s="2669"/>
      <c r="O206" s="2669"/>
      <c r="P206" s="385">
        <v>65</v>
      </c>
      <c r="Q206" s="2690"/>
      <c r="S206" s="2672" t="s">
        <v>4544</v>
      </c>
      <c r="T206" s="2673"/>
      <c r="U206" s="410">
        <v>0.98</v>
      </c>
      <c r="V206" s="382">
        <f t="shared" si="25"/>
        <v>19.600000000000001</v>
      </c>
    </row>
    <row r="207" spans="7:22" ht="16.149999999999999" customHeight="1">
      <c r="M207" s="2692" t="s">
        <v>1380</v>
      </c>
      <c r="N207" s="2693"/>
      <c r="O207" s="2693"/>
      <c r="P207" s="2693"/>
      <c r="Q207" s="2694"/>
      <c r="S207" s="2668" t="s">
        <v>4545</v>
      </c>
      <c r="T207" s="2669"/>
      <c r="U207" s="385">
        <v>0.59</v>
      </c>
      <c r="V207" s="381">
        <f t="shared" si="25"/>
        <v>11.8</v>
      </c>
    </row>
    <row r="208" spans="7:22" ht="16.149999999999999" customHeight="1">
      <c r="M208" s="2668" t="s">
        <v>4546</v>
      </c>
      <c r="N208" s="2669"/>
      <c r="O208" s="2669"/>
      <c r="P208" s="385">
        <v>7.45</v>
      </c>
      <c r="Q208" s="381">
        <f t="shared" ref="Q208:Q216" si="27">P208*20</f>
        <v>149</v>
      </c>
      <c r="S208" s="2674" t="s">
        <v>4547</v>
      </c>
      <c r="T208" s="2675"/>
      <c r="U208" s="410">
        <v>1.39</v>
      </c>
      <c r="V208" s="382">
        <f t="shared" si="25"/>
        <v>27.8</v>
      </c>
    </row>
    <row r="209" spans="8:22" ht="16.149999999999999" customHeight="1">
      <c r="M209" s="2674" t="s">
        <v>4548</v>
      </c>
      <c r="N209" s="2675"/>
      <c r="O209" s="2675"/>
      <c r="P209" s="410">
        <v>69.75</v>
      </c>
      <c r="Q209" s="382">
        <f t="shared" si="27"/>
        <v>1395</v>
      </c>
      <c r="S209" s="2695" t="s">
        <v>4549</v>
      </c>
      <c r="T209" s="2696"/>
      <c r="U209" s="385">
        <v>23.95</v>
      </c>
      <c r="V209" s="381">
        <f t="shared" si="25"/>
        <v>479</v>
      </c>
    </row>
    <row r="210" spans="8:22" ht="16.149999999999999" customHeight="1">
      <c r="H210" s="423"/>
      <c r="M210" s="2668" t="s">
        <v>4550</v>
      </c>
      <c r="N210" s="2669"/>
      <c r="O210" s="2669"/>
      <c r="P210" s="385">
        <v>8.9499999999999993</v>
      </c>
      <c r="Q210" s="381">
        <f t="shared" si="27"/>
        <v>179</v>
      </c>
      <c r="S210" s="2697" t="s">
        <v>4551</v>
      </c>
      <c r="T210" s="2698"/>
      <c r="U210" s="410">
        <v>2.2999999999999998</v>
      </c>
      <c r="V210" s="382">
        <f t="shared" si="25"/>
        <v>46</v>
      </c>
    </row>
    <row r="211" spans="8:22" ht="16.149999999999999" customHeight="1">
      <c r="M211" s="2674" t="s">
        <v>4552</v>
      </c>
      <c r="N211" s="2675"/>
      <c r="O211" s="2675"/>
      <c r="P211" s="410">
        <v>2.75</v>
      </c>
      <c r="Q211" s="382">
        <f t="shared" si="27"/>
        <v>55</v>
      </c>
      <c r="S211" s="2668" t="s">
        <v>4553</v>
      </c>
      <c r="T211" s="2669"/>
      <c r="U211" s="385">
        <v>1.99</v>
      </c>
      <c r="V211" s="381">
        <f t="shared" si="25"/>
        <v>39.799999999999997</v>
      </c>
    </row>
    <row r="212" spans="8:22" ht="16.149999999999999" customHeight="1">
      <c r="M212" s="2668" t="s">
        <v>4554</v>
      </c>
      <c r="N212" s="2669"/>
      <c r="O212" s="2669"/>
      <c r="P212" s="385">
        <v>9.9499999999999993</v>
      </c>
      <c r="Q212" s="381">
        <f t="shared" si="27"/>
        <v>199</v>
      </c>
      <c r="S212" s="2670" t="s">
        <v>4555</v>
      </c>
      <c r="T212" s="2671"/>
      <c r="U212" s="420">
        <v>1.8</v>
      </c>
      <c r="V212" s="384">
        <f t="shared" si="25"/>
        <v>36</v>
      </c>
    </row>
    <row r="213" spans="8:22" ht="16.149999999999999" customHeight="1">
      <c r="M213" s="2674" t="s">
        <v>4556</v>
      </c>
      <c r="N213" s="2675"/>
      <c r="O213" s="2675"/>
      <c r="P213" s="410">
        <v>14.95</v>
      </c>
      <c r="Q213" s="382">
        <f t="shared" si="27"/>
        <v>299</v>
      </c>
    </row>
    <row r="214" spans="8:22" ht="16.149999999999999" customHeight="1">
      <c r="M214" s="2668" t="s">
        <v>4557</v>
      </c>
      <c r="N214" s="2669"/>
      <c r="O214" s="2669"/>
      <c r="P214" s="385">
        <v>3.45</v>
      </c>
      <c r="Q214" s="381">
        <f t="shared" si="27"/>
        <v>69</v>
      </c>
    </row>
    <row r="215" spans="8:22" ht="16.149999999999999" customHeight="1">
      <c r="M215" s="2674" t="s">
        <v>4558</v>
      </c>
      <c r="N215" s="2675"/>
      <c r="O215" s="2675"/>
      <c r="P215" s="410">
        <v>127</v>
      </c>
      <c r="Q215" s="382">
        <f t="shared" si="27"/>
        <v>2540</v>
      </c>
    </row>
    <row r="216" spans="8:22" ht="16.149999999999999" customHeight="1">
      <c r="M216" s="2687" t="s">
        <v>4559</v>
      </c>
      <c r="N216" s="2688"/>
      <c r="O216" s="2688"/>
      <c r="P216" s="411">
        <v>447</v>
      </c>
      <c r="Q216" s="392">
        <f t="shared" si="27"/>
        <v>8940</v>
      </c>
    </row>
    <row r="217" spans="8:22" ht="16.149999999999999" customHeight="1"/>
    <row r="218" spans="8:22" ht="16.149999999999999" customHeight="1"/>
    <row r="219" spans="8:22" ht="16.149999999999999" customHeight="1"/>
    <row r="220" spans="8:22" ht="16.149999999999999" customHeight="1"/>
    <row r="221" spans="8:22" ht="16.149999999999999" customHeight="1"/>
    <row r="222" spans="8:22" ht="16.149999999999999" customHeight="1"/>
    <row r="223" spans="8:22" ht="16.149999999999999" customHeight="1"/>
    <row r="224" spans="8:22" ht="16.149999999999999" customHeight="1"/>
    <row r="225" spans="19:22" ht="16.149999999999999" customHeight="1"/>
    <row r="226" spans="19:22" ht="16.149999999999999" customHeight="1">
      <c r="S226" s="403"/>
      <c r="T226" s="403"/>
      <c r="U226" s="403"/>
      <c r="V226" s="383"/>
    </row>
    <row r="227" spans="19:22" ht="16.149999999999999" customHeight="1">
      <c r="S227" s="403"/>
      <c r="T227" s="403"/>
      <c r="U227" s="403"/>
      <c r="V227" s="383"/>
    </row>
    <row r="228" spans="19:22" ht="16.149999999999999" customHeight="1">
      <c r="S228" s="403"/>
      <c r="T228" s="403"/>
      <c r="U228" s="403"/>
      <c r="V228" s="383"/>
    </row>
    <row r="229" spans="19:22" ht="16.149999999999999" customHeight="1">
      <c r="S229" s="403"/>
      <c r="T229" s="403"/>
      <c r="U229" s="403"/>
      <c r="V229" s="383"/>
    </row>
    <row r="230" spans="19:22" ht="16.149999999999999" customHeight="1"/>
    <row r="231" spans="19:22" ht="16.149999999999999" customHeight="1"/>
    <row r="232" spans="19:22" ht="16.149999999999999" customHeight="1"/>
    <row r="233" spans="19:22" ht="16.149999999999999" customHeight="1"/>
    <row r="234" spans="19:22" ht="16.149999999999999" customHeight="1"/>
    <row r="235" spans="19:22" ht="16.149999999999999" customHeight="1"/>
  </sheetData>
  <sheetProtection password="D857" sheet="1" object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M213:O213"/>
    <mergeCell ref="M214:O214"/>
    <mergeCell ref="M215:O215"/>
    <mergeCell ref="M216:O216"/>
    <mergeCell ref="E181:E183"/>
    <mergeCell ref="Q198:Q206"/>
    <mergeCell ref="A6:D8"/>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B2:AA4"/>
    <mergeCell ref="N32:R34"/>
    <mergeCell ref="X141:AA146"/>
    <mergeCell ref="B39:AA41"/>
    <mergeCell ref="A9:D11"/>
    <mergeCell ref="A12:D13"/>
    <mergeCell ref="B87:AA89"/>
    <mergeCell ref="M212:O212"/>
    <mergeCell ref="S212:T212"/>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s>
  <phoneticPr fontId="203" type="noConversion"/>
  <dataValidations count="7">
    <dataValidation allowBlank="1" showInputMessage="1" showErrorMessage="1" promptTitle="注" prompt="不知道为什么，物价表的信号枪价值100美元。_x000a_武器列表的信号枪却价值75美元了。_x000a_我觉得可能是求生和军用的区别吧？" sqref="P60" xr:uid="{00000000-0002-0000-0800-000000000000}"/>
    <dataValidation allowBlank="1" showInputMessage="1" showErrorMessage="1" promptTitle="注" prompt="和信号枪一样_x000a_价格跟武器表不一样_x000a_嘛，看kp啦" sqref="Z66:AA66" xr:uid="{00000000-0002-0000-0800-000001000000}"/>
    <dataValidation allowBlank="1" showInputMessage="1" showErrorMessage="1" promptTitle="注" prompt="和信号枪一样_x000a_这个价格也和武器表不一样_x000a_嘛，主要看dm怎么觉定啦" sqref="AA67" xr:uid="{00000000-0002-0000-0800-000002000000}"/>
    <dataValidation allowBlank="1" showInputMessage="1" showErrorMessage="1" promptTitle="注" prompt="哑弹率30%" sqref="X137:Z137" xr:uid="{00000000-0002-0000-0800-000003000000}"/>
    <dataValidation allowBlank="1" showInputMessage="1" showErrorMessage="1" promptTitle="注" prompt="悬停25秒" sqref="X138:Z138" xr:uid="{00000000-0002-0000-0800-000004000000}"/>
    <dataValidation allowBlank="1" showInputMessage="1" showErrorMessage="1" promptTitle="注" prompt="价格在$3000 以下的，准确射程不到 200 码" sqref="X139:Z139"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arrUserId title="技能表以上" rangeCreator="" othersAccessPermission="edit"/>
    <arrUserId title="技能表往下" rangeCreator="" othersAccessPermission="edit"/>
    <arrUserId title="技能表以上_2" rangeCreator="" othersAccessPermission="edit"/>
    <arrUserId title="技能表往下_1" rangeCreator="" othersAccessPermission="edit"/>
    <arrUserId title="技能表往下_2" rangeCreator="" othersAccessPermission="edit"/>
    <arrUserId title="技能表以上_1" rangeCreator="" othersAccessPermission="edit"/>
    <arrUserId title="技能表以上_1_1" rangeCreator="" othersAccessPermission="edit"/>
    <arrUserId title="技能表以上_3" rangeCreator="" othersAccessPermission="edit"/>
    <arrUserId title="技能表以上_4" rangeCreator="" othersAccessPermission="edit"/>
  </rangeList>
  <rangeList sheetStid="2" master="">
    <arrUserId title="技能表以上" rangeCreator="" othersAccessPermission="edit"/>
    <arrUserId title="技能表以上_1" rangeCreator="" othersAccessPermission="edit"/>
  </rangeList>
  <rangeList sheetStid="3" master=""/>
  <rangeList sheetStid="4" master=""/>
  <rangeList sheetStid="5" master=""/>
  <rangeList sheetStid="6" master="">
    <arrUserId title="技能表以上" rangeCreator="" othersAccessPermission="edit"/>
  </rangeList>
  <rangeList sheetStid="7" master="">
    <arrUserId title="技能表以上_1" rangeCreator="" othersAccessPermission="edit"/>
  </rangeList>
  <rangeList sheetStid="8" master=""/>
  <rangeList sheetStid="9" master=""/>
  <rangeList sheetStid="10" master=""/>
  <rangeList sheetStid="11" master=""/>
  <rangeList sheetStid="12" master=""/>
  <rangeList sheetStid="13"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丛雨; 坪</dc:creator>
  <cp:lastModifiedBy>electricarc</cp:lastModifiedBy>
  <cp:revision>1</cp:revision>
  <dcterms:created xsi:type="dcterms:W3CDTF">2018-08-01T05:00:00Z</dcterms:created>
  <dcterms:modified xsi:type="dcterms:W3CDTF">2024-11-10T07:50:52Z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2052-12.1.0.17147</vt:lpwstr>
  </property>
  <property fmtid="{D5CDD505-2E9C-101B-9397-08002B2CF9AE}" pid="3" name="ICV">
    <vt:lpwstr>E4BDBB39582643509521AE45A45C83DD_13</vt:lpwstr>
  </property>
  <property fmtid="{D5CDD505-2E9C-101B-9397-08002B2CF9AE}" pid="4" name="MSIP_Label_defa4170-0d19-0005-0004-bc88714345d2_Enabled">
    <vt:lpwstr>true</vt:lpwstr>
  </property>
  <property fmtid="{D5CDD505-2E9C-101B-9397-08002B2CF9AE}" pid="5" name="MSIP_Label_defa4170-0d19-0005-0004-bc88714345d2_SetDate">
    <vt:lpwstr>2024-11-10T06:19:40Z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0449f2b8-0433-43e9-8fa2-3cfaceb82fcc</vt:lpwstr>
  </property>
  <property fmtid="{D5CDD505-2E9C-101B-9397-08002B2CF9AE}" pid="9" name="MSIP_Label_defa4170-0d19-0005-0004-bc88714345d2_ActionId">
    <vt:lpwstr>63abac43-8cfd-4518-83cd-3c2f3594444f</vt:lpwstr>
  </property>
  <property fmtid="{D5CDD505-2E9C-101B-9397-08002B2CF9AE}" pid="10" name="MSIP_Label_defa4170-0d19-0005-0004-bc88714345d2_ContentBits">
    <vt:lpwstr>0</vt:lpwstr>
  </property>
</Properties>
</file>