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lpit\studia\Semestr 5\Projektowanie modeli łączenia źródeł danych\Projekt\"/>
    </mc:Choice>
  </mc:AlternateContent>
  <bookViews>
    <workbookView xWindow="0" yWindow="0" windowWidth="17685" windowHeight="10815" firstSheet="10" activeTab="11"/>
  </bookViews>
  <sheets>
    <sheet name="Dane" sheetId="11" r:id="rId1"/>
    <sheet name="Quazi-stałych" sheetId="1" r:id="rId2"/>
    <sheet name="Korelacja" sheetId="12" r:id="rId3"/>
    <sheet name="Hellwiga" sheetId="2" r:id="rId4"/>
    <sheet name="Estymacja" sheetId="3" r:id="rId5"/>
    <sheet name="Weryfikacja" sheetId="4" r:id="rId6"/>
    <sheet name="Test symetrii" sheetId="5" r:id="rId7"/>
    <sheet name="Test Shapiro-Wilka" sheetId="6" r:id="rId8"/>
    <sheet name="Test serii" sheetId="7" r:id="rId9"/>
    <sheet name="Test Durbina-Watsona" sheetId="10" r:id="rId10"/>
    <sheet name="Test Goldfelda-Quandta" sheetId="9" r:id="rId11"/>
    <sheet name="Prognozy" sheetId="13" r:id="rId12"/>
    <sheet name="Prog_cen_mieszkań" sheetId="19" r:id="rId13"/>
    <sheet name="prog_cen_szkła" sheetId="20" r:id="rId14"/>
    <sheet name="prog_cen_cegły" sheetId="21" r:id="rId15"/>
    <sheet name="prog_wynagrodzen" sheetId="2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22" l="1"/>
  <c r="C22" i="22"/>
  <c r="C23" i="22"/>
  <c r="C21" i="22"/>
  <c r="C19" i="22"/>
  <c r="C19" i="21"/>
  <c r="C23" i="21"/>
  <c r="C22" i="21"/>
  <c r="C20" i="21"/>
  <c r="C21" i="21"/>
  <c r="C19" i="20"/>
  <c r="C23" i="20"/>
  <c r="C21" i="20"/>
  <c r="C22" i="20"/>
  <c r="C20" i="20"/>
  <c r="C20" i="19"/>
  <c r="C21" i="19"/>
  <c r="C22" i="19"/>
  <c r="C19" i="19"/>
  <c r="C23" i="19"/>
  <c r="F22" i="13"/>
  <c r="F23" i="13"/>
  <c r="F20" i="13"/>
  <c r="F21" i="13"/>
  <c r="F19" i="13"/>
  <c r="E20" i="13"/>
  <c r="E22" i="13"/>
  <c r="E23" i="13"/>
  <c r="E21" i="13"/>
  <c r="E19" i="13"/>
  <c r="C20" i="13"/>
  <c r="C21" i="13"/>
  <c r="C22" i="13"/>
  <c r="C23" i="13"/>
  <c r="C19" i="13"/>
  <c r="D22" i="13"/>
  <c r="D23" i="13"/>
  <c r="D20" i="13"/>
  <c r="D21" i="13"/>
  <c r="D19" i="13"/>
  <c r="E19" i="9" l="1"/>
  <c r="D9" i="9"/>
  <c r="D8" i="9"/>
  <c r="D7" i="9"/>
  <c r="D6" i="9"/>
  <c r="D5" i="9"/>
  <c r="D4" i="9"/>
  <c r="D3" i="9"/>
  <c r="D2" i="9"/>
  <c r="C12" i="9" s="1"/>
  <c r="C13" i="9" s="1"/>
  <c r="H10" i="9"/>
  <c r="H9" i="9"/>
  <c r="H8" i="9"/>
  <c r="H7" i="9"/>
  <c r="H6" i="9"/>
  <c r="H5" i="9"/>
  <c r="H4" i="9"/>
  <c r="H3" i="9"/>
  <c r="H2" i="9"/>
  <c r="G13" i="9" s="1"/>
  <c r="G14" i="9" s="1"/>
  <c r="F21" i="10"/>
  <c r="G19" i="10"/>
  <c r="F19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3" i="10"/>
  <c r="D19" i="22"/>
  <c r="D23" i="22"/>
  <c r="D20" i="22"/>
  <c r="D21" i="22"/>
  <c r="E19" i="22"/>
  <c r="E23" i="22"/>
  <c r="E20" i="22"/>
  <c r="E22" i="22"/>
  <c r="D22" i="22"/>
  <c r="E21" i="22"/>
  <c r="E21" i="21"/>
  <c r="D22" i="21"/>
  <c r="E19" i="21"/>
  <c r="D23" i="21"/>
  <c r="E23" i="21"/>
  <c r="D21" i="21"/>
  <c r="E22" i="21"/>
  <c r="D19" i="21"/>
  <c r="E20" i="21"/>
  <c r="D20" i="21"/>
  <c r="D20" i="20"/>
  <c r="E21" i="20"/>
  <c r="D19" i="20"/>
  <c r="D23" i="20"/>
  <c r="E22" i="20"/>
  <c r="E20" i="20"/>
  <c r="D21" i="20"/>
  <c r="E19" i="20"/>
  <c r="E23" i="20"/>
  <c r="D22" i="20"/>
  <c r="D23" i="19"/>
  <c r="E22" i="19"/>
  <c r="D20" i="19"/>
  <c r="E23" i="19"/>
  <c r="D22" i="19"/>
  <c r="E20" i="19"/>
  <c r="D19" i="19"/>
  <c r="D21" i="19"/>
  <c r="E19" i="19"/>
  <c r="E21" i="19"/>
  <c r="E18" i="9" l="1"/>
  <c r="G2" i="4" l="1"/>
  <c r="C31" i="12"/>
  <c r="C32" i="12" s="1"/>
  <c r="C33" i="12" s="1"/>
  <c r="G18" i="6" l="1"/>
  <c r="H18" i="6" s="1"/>
  <c r="I18" i="6" s="1"/>
  <c r="G17" i="6"/>
  <c r="H17" i="6" s="1"/>
  <c r="I17" i="6" s="1"/>
  <c r="G16" i="6"/>
  <c r="H16" i="6" s="1"/>
  <c r="I16" i="6" s="1"/>
  <c r="G15" i="6"/>
  <c r="H15" i="6" s="1"/>
  <c r="I15" i="6" s="1"/>
  <c r="G14" i="6"/>
  <c r="H14" i="6" s="1"/>
  <c r="I14" i="6" s="1"/>
  <c r="G13" i="6"/>
  <c r="H13" i="6" s="1"/>
  <c r="I13" i="6" s="1"/>
  <c r="G12" i="6"/>
  <c r="H12" i="6" s="1"/>
  <c r="I12" i="6" s="1"/>
  <c r="G11" i="6"/>
  <c r="H11" i="6" s="1"/>
  <c r="I11" i="6" s="1"/>
  <c r="G10" i="6"/>
  <c r="H10" i="6" s="1"/>
  <c r="I10" i="6" s="1"/>
  <c r="G9" i="6"/>
  <c r="H9" i="6" s="1"/>
  <c r="I9" i="6" s="1"/>
  <c r="G8" i="6"/>
  <c r="H8" i="6" s="1"/>
  <c r="I8" i="6" s="1"/>
  <c r="G7" i="6"/>
  <c r="H7" i="6" s="1"/>
  <c r="I7" i="6" s="1"/>
  <c r="G6" i="6"/>
  <c r="H6" i="6" s="1"/>
  <c r="I6" i="6" s="1"/>
  <c r="G5" i="6"/>
  <c r="H5" i="6" s="1"/>
  <c r="I5" i="6" s="1"/>
  <c r="G4" i="6"/>
  <c r="H4" i="6" s="1"/>
  <c r="I4" i="6" s="1"/>
  <c r="G3" i="6"/>
  <c r="H3" i="6" s="1"/>
  <c r="I3" i="6" s="1"/>
  <c r="G2" i="6"/>
  <c r="H2" i="6" s="1"/>
  <c r="I2" i="6" s="1"/>
  <c r="L1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2" i="5"/>
  <c r="G18" i="5"/>
  <c r="H18" i="5" s="1"/>
  <c r="G17" i="5"/>
  <c r="H17" i="5" s="1"/>
  <c r="H16" i="5"/>
  <c r="G16" i="5"/>
  <c r="G15" i="5"/>
  <c r="H15" i="5" s="1"/>
  <c r="G14" i="5"/>
  <c r="H14" i="5" s="1"/>
  <c r="G13" i="5"/>
  <c r="H13" i="5" s="1"/>
  <c r="G12" i="5"/>
  <c r="H12" i="5" s="1"/>
  <c r="G11" i="5"/>
  <c r="H11" i="5" s="1"/>
  <c r="G10" i="5"/>
  <c r="H10" i="5" s="1"/>
  <c r="G9" i="5"/>
  <c r="H9" i="5" s="1"/>
  <c r="H8" i="5"/>
  <c r="G8" i="5"/>
  <c r="G7" i="5"/>
  <c r="H7" i="5" s="1"/>
  <c r="G6" i="5"/>
  <c r="H6" i="5" s="1"/>
  <c r="G5" i="5"/>
  <c r="H5" i="5" s="1"/>
  <c r="G4" i="5"/>
  <c r="H4" i="5" s="1"/>
  <c r="G3" i="5"/>
  <c r="H3" i="5" s="1"/>
  <c r="G2" i="5"/>
  <c r="H2" i="5" s="1"/>
  <c r="C41" i="6" l="1"/>
  <c r="C42" i="6" l="1"/>
  <c r="F33" i="6" s="1"/>
  <c r="I33" i="6" l="1"/>
  <c r="J33" i="6"/>
  <c r="F24" i="6"/>
  <c r="F39" i="6"/>
  <c r="F31" i="6"/>
  <c r="F32" i="6"/>
  <c r="F28" i="6"/>
  <c r="F40" i="6"/>
  <c r="F30" i="6"/>
  <c r="F26" i="6"/>
  <c r="F27" i="6"/>
  <c r="F35" i="6"/>
  <c r="F25" i="6"/>
  <c r="F29" i="6"/>
  <c r="F36" i="6"/>
  <c r="F38" i="6"/>
  <c r="F37" i="6"/>
  <c r="F34" i="6"/>
  <c r="J38" i="6" l="1"/>
  <c r="I38" i="6"/>
  <c r="I39" i="6"/>
  <c r="J39" i="6"/>
  <c r="J28" i="6"/>
  <c r="I28" i="6"/>
  <c r="J26" i="6"/>
  <c r="I26" i="6"/>
  <c r="J35" i="6"/>
  <c r="I35" i="6"/>
  <c r="J40" i="6"/>
  <c r="I40" i="6"/>
  <c r="J36" i="6"/>
  <c r="I36" i="6"/>
  <c r="I27" i="6"/>
  <c r="J27" i="6"/>
  <c r="I24" i="6"/>
  <c r="J24" i="6"/>
  <c r="J34" i="6"/>
  <c r="I34" i="6"/>
  <c r="I29" i="6"/>
  <c r="J29" i="6"/>
  <c r="I32" i="6"/>
  <c r="J32" i="6"/>
  <c r="I37" i="6"/>
  <c r="J37" i="6"/>
  <c r="I25" i="6"/>
  <c r="J25" i="6"/>
  <c r="J30" i="6"/>
  <c r="I30" i="6"/>
  <c r="J31" i="6"/>
  <c r="I31" i="6"/>
  <c r="J42" i="6" l="1"/>
  <c r="I42" i="6"/>
  <c r="I44" i="6" s="1"/>
  <c r="G28" i="4" l="1"/>
  <c r="E28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2" i="4"/>
  <c r="G3" i="4"/>
  <c r="H3" i="4" s="1"/>
  <c r="I3" i="4" s="1"/>
  <c r="G4" i="4"/>
  <c r="H4" i="4" s="1"/>
  <c r="I4" i="4" s="1"/>
  <c r="G5" i="4"/>
  <c r="H5" i="4" s="1"/>
  <c r="I5" i="4" s="1"/>
  <c r="G6" i="4"/>
  <c r="G7" i="4"/>
  <c r="H7" i="4" s="1"/>
  <c r="I7" i="4" s="1"/>
  <c r="G8" i="4"/>
  <c r="H8" i="4" s="1"/>
  <c r="I8" i="4" s="1"/>
  <c r="G9" i="4"/>
  <c r="H9" i="4" s="1"/>
  <c r="I9" i="4" s="1"/>
  <c r="G10" i="4"/>
  <c r="G11" i="4"/>
  <c r="H11" i="4" s="1"/>
  <c r="I11" i="4" s="1"/>
  <c r="G12" i="4"/>
  <c r="H12" i="4" s="1"/>
  <c r="I12" i="4" s="1"/>
  <c r="G13" i="4"/>
  <c r="H13" i="4" s="1"/>
  <c r="I13" i="4" s="1"/>
  <c r="G14" i="4"/>
  <c r="G15" i="4"/>
  <c r="H15" i="4" s="1"/>
  <c r="I15" i="4" s="1"/>
  <c r="G16" i="4"/>
  <c r="H16" i="4" s="1"/>
  <c r="I16" i="4" s="1"/>
  <c r="G17" i="4"/>
  <c r="H17" i="4" s="1"/>
  <c r="I17" i="4" s="1"/>
  <c r="G18" i="4"/>
  <c r="J19" i="4" l="1"/>
  <c r="K4" i="4"/>
  <c r="K18" i="4"/>
  <c r="K14" i="4"/>
  <c r="K10" i="4"/>
  <c r="K6" i="4"/>
  <c r="H14" i="4"/>
  <c r="I14" i="4" s="1"/>
  <c r="H6" i="4"/>
  <c r="I6" i="4" s="1"/>
  <c r="K2" i="4"/>
  <c r="K15" i="4"/>
  <c r="K11" i="4"/>
  <c r="K7" i="4"/>
  <c r="K3" i="4"/>
  <c r="K17" i="4"/>
  <c r="K13" i="4"/>
  <c r="K9" i="4"/>
  <c r="K5" i="4"/>
  <c r="H2" i="4"/>
  <c r="I2" i="4" s="1"/>
  <c r="K16" i="4"/>
  <c r="K12" i="4"/>
  <c r="K8" i="4"/>
  <c r="H18" i="4"/>
  <c r="I18" i="4" s="1"/>
  <c r="H10" i="4"/>
  <c r="I10" i="4" s="1"/>
  <c r="A35" i="3" a="1"/>
  <c r="A35" i="3" s="1"/>
  <c r="A29" i="3" a="1"/>
  <c r="B29" i="3" s="1"/>
  <c r="I19" i="4" l="1"/>
  <c r="K19" i="4"/>
  <c r="A38" i="3"/>
  <c r="A37" i="3"/>
  <c r="A36" i="3"/>
  <c r="A32" i="3"/>
  <c r="A31" i="3"/>
  <c r="A30" i="3"/>
  <c r="A29" i="3"/>
  <c r="D32" i="3"/>
  <c r="D31" i="3"/>
  <c r="D30" i="3"/>
  <c r="D29" i="3"/>
  <c r="C32" i="3"/>
  <c r="C31" i="3"/>
  <c r="C30" i="3"/>
  <c r="C29" i="3"/>
  <c r="B32" i="3"/>
  <c r="B31" i="3"/>
  <c r="B30" i="3"/>
  <c r="F29" i="3" l="1" a="1"/>
  <c r="H29" i="3" s="1"/>
  <c r="I29" i="3" l="1"/>
  <c r="F29" i="3"/>
  <c r="F32" i="3"/>
  <c r="H30" i="3"/>
  <c r="I32" i="3"/>
  <c r="G29" i="3"/>
  <c r="H31" i="3"/>
  <c r="G30" i="3"/>
  <c r="I31" i="3"/>
  <c r="H32" i="3"/>
  <c r="G31" i="3"/>
  <c r="F30" i="3"/>
  <c r="I30" i="3"/>
  <c r="G32" i="3"/>
  <c r="F31" i="3"/>
  <c r="D35" i="3" a="1"/>
  <c r="D36" i="3" l="1"/>
  <c r="D35" i="3"/>
  <c r="D38" i="3"/>
  <c r="D37" i="3"/>
  <c r="D39" i="2" l="1"/>
  <c r="E39" i="2"/>
  <c r="F39" i="2"/>
  <c r="C38" i="2"/>
  <c r="E38" i="2"/>
  <c r="F38" i="2"/>
  <c r="B38" i="2"/>
  <c r="C37" i="2"/>
  <c r="D37" i="2"/>
  <c r="F37" i="2"/>
  <c r="B26" i="2"/>
  <c r="E18" i="2"/>
  <c r="E34" i="2"/>
  <c r="D33" i="2"/>
  <c r="F33" i="2"/>
  <c r="C33" i="2"/>
  <c r="D32" i="2"/>
  <c r="E32" i="2"/>
  <c r="C32" i="2"/>
  <c r="E31" i="2"/>
  <c r="F31" i="2"/>
  <c r="F30" i="2"/>
  <c r="D30" i="2"/>
  <c r="F28" i="2"/>
  <c r="E27" i="2"/>
  <c r="E29" i="2"/>
  <c r="D29" i="2"/>
  <c r="C28" i="2"/>
  <c r="C27" i="2"/>
  <c r="B27" i="2"/>
  <c r="C26" i="2"/>
  <c r="D26" i="2"/>
  <c r="G26" i="2" s="1"/>
  <c r="B31" i="2"/>
  <c r="B30" i="2"/>
  <c r="B29" i="2"/>
  <c r="B28" i="2"/>
  <c r="D23" i="2"/>
  <c r="D20" i="2"/>
  <c r="D17" i="2"/>
  <c r="B17" i="2"/>
  <c r="B16" i="2"/>
  <c r="F15" i="2"/>
  <c r="G15" i="2" s="1"/>
  <c r="E14" i="2"/>
  <c r="G14" i="2" s="1"/>
  <c r="D13" i="2"/>
  <c r="G13" i="2" s="1"/>
  <c r="C12" i="2"/>
  <c r="F41" i="2"/>
  <c r="E41" i="2"/>
  <c r="D41" i="2"/>
  <c r="C41" i="2"/>
  <c r="B41" i="2"/>
  <c r="F40" i="2"/>
  <c r="E40" i="2"/>
  <c r="D40" i="2"/>
  <c r="C40" i="2"/>
  <c r="B39" i="2"/>
  <c r="B37" i="2"/>
  <c r="E36" i="2"/>
  <c r="D36" i="2"/>
  <c r="C36" i="2"/>
  <c r="B36" i="2"/>
  <c r="F35" i="2"/>
  <c r="E35" i="2"/>
  <c r="D35" i="2"/>
  <c r="F34" i="2"/>
  <c r="C34" i="2"/>
  <c r="F25" i="2"/>
  <c r="E25" i="2"/>
  <c r="F24" i="2"/>
  <c r="D24" i="2"/>
  <c r="E23" i="2"/>
  <c r="G23" i="2" s="1"/>
  <c r="F22" i="2"/>
  <c r="C22" i="2"/>
  <c r="E21" i="2"/>
  <c r="C21" i="2"/>
  <c r="C20" i="2"/>
  <c r="F19" i="2"/>
  <c r="B19" i="2"/>
  <c r="B18" i="2"/>
  <c r="C16" i="2"/>
  <c r="G12" i="2"/>
  <c r="B11" i="2"/>
  <c r="G11" i="2" s="1"/>
  <c r="G20" i="2" l="1"/>
  <c r="G29" i="2"/>
  <c r="G34" i="2"/>
  <c r="G22" i="2"/>
  <c r="G17" i="2"/>
  <c r="G35" i="2"/>
  <c r="G33" i="2"/>
  <c r="G25" i="2"/>
  <c r="G21" i="2"/>
  <c r="G31" i="2"/>
  <c r="G18" i="2"/>
  <c r="G30" i="2"/>
  <c r="G28" i="2"/>
  <c r="G27" i="2"/>
  <c r="G32" i="2"/>
  <c r="G16" i="2"/>
  <c r="G19" i="2"/>
  <c r="G24" i="2"/>
  <c r="G36" i="2"/>
  <c r="G37" i="2"/>
  <c r="G38" i="2"/>
  <c r="G39" i="2"/>
  <c r="G40" i="2"/>
  <c r="G41" i="2"/>
  <c r="J21" i="1" l="1"/>
  <c r="I21" i="1"/>
  <c r="H21" i="1"/>
  <c r="G21" i="1"/>
  <c r="F21" i="1"/>
  <c r="E21" i="1"/>
  <c r="D21" i="1"/>
  <c r="C21" i="1"/>
  <c r="J20" i="1"/>
  <c r="I20" i="1"/>
  <c r="H20" i="1"/>
  <c r="G20" i="1"/>
  <c r="F20" i="1"/>
  <c r="E20" i="1"/>
  <c r="D20" i="1"/>
  <c r="C20" i="1"/>
  <c r="D22" i="1" l="1"/>
  <c r="G22" i="1"/>
  <c r="G23" i="1" s="1"/>
  <c r="J22" i="1"/>
  <c r="J23" i="1" s="1"/>
  <c r="D23" i="1"/>
  <c r="H22" i="1"/>
  <c r="H23" i="1" s="1"/>
  <c r="F22" i="1"/>
  <c r="F23" i="1" s="1"/>
  <c r="E22" i="1"/>
  <c r="E23" i="1" s="1"/>
  <c r="I22" i="1"/>
  <c r="I23" i="1" s="1"/>
</calcChain>
</file>

<file path=xl/sharedStrings.xml><?xml version="1.0" encoding="utf-8"?>
<sst xmlns="http://schemas.openxmlformats.org/spreadsheetml/2006/main" count="398" uniqueCount="141">
  <si>
    <t>Rok</t>
  </si>
  <si>
    <t>t</t>
  </si>
  <si>
    <t>Y</t>
  </si>
  <si>
    <t>X1</t>
  </si>
  <si>
    <t>X2</t>
  </si>
  <si>
    <t>X3</t>
  </si>
  <si>
    <t>X4</t>
  </si>
  <si>
    <t>X5</t>
  </si>
  <si>
    <t>X6</t>
  </si>
  <si>
    <t>X7</t>
  </si>
  <si>
    <t>y - Cena mieszkania za m^2</t>
  </si>
  <si>
    <t>X1 - Mieszkania oddane do użytkowania</t>
  </si>
  <si>
    <t>X2 - Ludność</t>
  </si>
  <si>
    <t>X3 - Ilość małżeństw</t>
  </si>
  <si>
    <t>X4 - Cena szkła okiennego ciąganego za 1m^2</t>
  </si>
  <si>
    <t>X5 - Cena cegły palonej za m^2</t>
  </si>
  <si>
    <t>X6 - Bezrobotni zarejestrowani</t>
  </si>
  <si>
    <t>X7 - Przeciętne wynagrodzenie brutto</t>
  </si>
  <si>
    <t>średnia</t>
  </si>
  <si>
    <t>odchylenie stand</t>
  </si>
  <si>
    <t>vj</t>
  </si>
  <si>
    <t>wartość kryt.</t>
  </si>
  <si>
    <t>Postać modelu:</t>
  </si>
  <si>
    <t>x1</t>
  </si>
  <si>
    <t>x6</t>
  </si>
  <si>
    <t>x7</t>
  </si>
  <si>
    <t>H</t>
  </si>
  <si>
    <t>x1x6</t>
  </si>
  <si>
    <t>x1x7</t>
  </si>
  <si>
    <t>x6x7</t>
  </si>
  <si>
    <t>x1x6x7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</si>
  <si>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</si>
  <si>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</si>
  <si>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</si>
  <si>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</si>
  <si>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</si>
  <si>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</si>
  <si>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</si>
  <si>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</si>
  <si>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df</t>
  </si>
  <si>
    <t>SS</t>
  </si>
  <si>
    <t>MS</t>
  </si>
  <si>
    <t>F</t>
  </si>
  <si>
    <t>Istotność F</t>
  </si>
  <si>
    <t>Regresja</t>
  </si>
  <si>
    <t>Resztkowy</t>
  </si>
  <si>
    <t>Razem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</si>
  <si>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</si>
  <si>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</si>
  <si>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</si>
  <si>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</si>
  <si>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</si>
  <si>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</si>
  <si>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</si>
  <si>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Przecięcie</t>
  </si>
  <si>
    <t>Do modelu wchodzą zmienne x1,x4,x5,x6,x7 dla wartości krytycznej 15%</t>
  </si>
  <si>
    <t>x4</t>
  </si>
  <si>
    <t>x5</t>
  </si>
  <si>
    <t>x1x4</t>
  </si>
  <si>
    <t>x1x5</t>
  </si>
  <si>
    <t>x4x5</t>
  </si>
  <si>
    <t>x4x6</t>
  </si>
  <si>
    <t>x4x7</t>
  </si>
  <si>
    <t>x5x6</t>
  </si>
  <si>
    <t>x5x7</t>
  </si>
  <si>
    <t>x1x4x5</t>
  </si>
  <si>
    <t>x1x4x6</t>
  </si>
  <si>
    <t>x1x4x7</t>
  </si>
  <si>
    <t>x4x5x6</t>
  </si>
  <si>
    <t>x1x5x6</t>
  </si>
  <si>
    <t>x1x5x7</t>
  </si>
  <si>
    <t>x4x5x7</t>
  </si>
  <si>
    <t>x4x6x7</t>
  </si>
  <si>
    <t>x5x6x7</t>
  </si>
  <si>
    <t>x1x4x5x6x7</t>
  </si>
  <si>
    <t>x1x4x5x6</t>
  </si>
  <si>
    <t>x1x4x5x7</t>
  </si>
  <si>
    <t>x1x5x6x7</t>
  </si>
  <si>
    <t>x4x5x6x7</t>
  </si>
  <si>
    <t>x1x4x6x7</t>
  </si>
  <si>
    <t>Korelacja</t>
  </si>
  <si>
    <t>alfa</t>
  </si>
  <si>
    <t>T</t>
  </si>
  <si>
    <t>Wartość krytyczna</t>
  </si>
  <si>
    <t>Korelacja war. Bezw.</t>
  </si>
  <si>
    <t>Kombinacja</t>
  </si>
  <si>
    <t>X</t>
  </si>
  <si>
    <t>XT</t>
  </si>
  <si>
    <t>XTX^-1</t>
  </si>
  <si>
    <t>XTY</t>
  </si>
  <si>
    <t>A</t>
  </si>
  <si>
    <t>Wyraz wolny</t>
  </si>
  <si>
    <t>XT*X</t>
  </si>
  <si>
    <t>e</t>
  </si>
  <si>
    <t>e^2</t>
  </si>
  <si>
    <t>SSE</t>
  </si>
  <si>
    <t>SST</t>
  </si>
  <si>
    <t>SSR</t>
  </si>
  <si>
    <t>Y^</t>
  </si>
  <si>
    <t>Wsp. Zbieżności</t>
  </si>
  <si>
    <t>Wyrazistość</t>
  </si>
  <si>
    <t>czy &gt;0?</t>
  </si>
  <si>
    <t>dodatnie</t>
  </si>
  <si>
    <t>liczba próby</t>
  </si>
  <si>
    <t>wartość stat.</t>
  </si>
  <si>
    <t>odch.stand</t>
  </si>
  <si>
    <t>u rosnąco</t>
  </si>
  <si>
    <t>u malejąco</t>
  </si>
  <si>
    <t>a</t>
  </si>
  <si>
    <t>(um-ur)*a</t>
  </si>
  <si>
    <t>(ur-średnia)^2</t>
  </si>
  <si>
    <t>suma</t>
  </si>
  <si>
    <t>W</t>
  </si>
  <si>
    <t>n</t>
  </si>
  <si>
    <t>(0;0,892)</t>
  </si>
  <si>
    <t>obszar kryt.</t>
  </si>
  <si>
    <t>Y - Cena mieszkania za m^2</t>
  </si>
  <si>
    <t>X4 - Cena szkła okiennego ciągnionego za m^2</t>
  </si>
  <si>
    <t>r*</t>
  </si>
  <si>
    <t>Nr serii</t>
  </si>
  <si>
    <t>Nr serii dla posortowanych</t>
  </si>
  <si>
    <t>e(t-1)</t>
  </si>
  <si>
    <t>e-e(t-1)</t>
  </si>
  <si>
    <t>(e-e(t-1))^2</t>
  </si>
  <si>
    <t>stat. Testu</t>
  </si>
  <si>
    <t>dL</t>
  </si>
  <si>
    <t>dG</t>
  </si>
  <si>
    <t>n1</t>
  </si>
  <si>
    <t>suma1</t>
  </si>
  <si>
    <t>wariancja1</t>
  </si>
  <si>
    <t>Stat. Testu</t>
  </si>
  <si>
    <t>war. Kryt.</t>
  </si>
  <si>
    <t>Oś czasu</t>
  </si>
  <si>
    <t>Wartości</t>
  </si>
  <si>
    <t>Prognoza</t>
  </si>
  <si>
    <t>Dolna granica ufności</t>
  </si>
  <si>
    <t>Górna granica ufności</t>
  </si>
  <si>
    <r>
      <t>Cena szkła okiennego ciągnionego za 1m</t>
    </r>
    <r>
      <rPr>
        <vertAlign val="superscript"/>
        <sz val="14"/>
        <color rgb="FF595959"/>
        <rFont val="Calibri"/>
        <family val="2"/>
        <charset val="238"/>
        <scheme val="minor"/>
      </rPr>
      <t>2</t>
    </r>
    <r>
      <rPr>
        <sz val="14"/>
        <color rgb="FF595959"/>
        <rFont val="Calibri"/>
        <family val="2"/>
        <charset val="238"/>
        <scheme val="minor"/>
      </rPr>
      <t xml:space="preserve"> </t>
    </r>
  </si>
  <si>
    <t>Ceny mieszkań za m^2</t>
  </si>
  <si>
    <t>Cena cegły palonej za 1m^2</t>
  </si>
  <si>
    <t>Przeciętne wynagrodzenie 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</si>
</sst>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name val="Calibri"/>
      <family val="2"/>
      <charset val="238"/>
      <scheme val="minor"/>
    </font>
    <font>
      <sz val="14"/>
      <color rgb="FF595959"/>
      <name val="Calibri"/>
      <family val="2"/>
      <charset val="238"/>
      <scheme val="minor"/>
    </font>
    <font>
      <vertAlign val="superscript"/>
      <sz val="14"/>
      <color rgb="FF595959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/>
    <xf numFmtId="0" fontId="4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90">
    <xf numFmtId="0" fontId="0" fillId="0" borderId="0" xfId="0"/>
    <xf numFmtId="0" fontId="2" fillId="3" borderId="1" xfId="2" applyBorder="1" applyAlignment="1">
      <alignment horizontal="center"/>
    </xf>
    <xf numFmtId="0" fontId="1" fillId="4" borderId="2" xfId="3" applyBorder="1"/>
    <xf numFmtId="0" fontId="1" fillId="4" borderId="3" xfId="3" applyBorder="1"/>
    <xf numFmtId="0" fontId="1" fillId="4" borderId="4" xfId="3" applyBorder="1"/>
    <xf numFmtId="0" fontId="1" fillId="4" borderId="0" xfId="3"/>
    <xf numFmtId="0" fontId="2" fillId="3" borderId="0" xfId="2"/>
    <xf numFmtId="3" fontId="2" fillId="3" borderId="1" xfId="2" applyNumberFormat="1" applyBorder="1" applyAlignment="1">
      <alignment horizontal="center"/>
    </xf>
    <xf numFmtId="3" fontId="3" fillId="0" borderId="0" xfId="5" applyNumberFormat="1" applyFont="1" applyAlignment="1">
      <alignment horizontal="center"/>
    </xf>
    <xf numFmtId="3" fontId="1" fillId="4" borderId="1" xfId="3" applyNumberFormat="1" applyBorder="1" applyAlignment="1">
      <alignment horizontal="center"/>
    </xf>
    <xf numFmtId="0" fontId="1" fillId="4" borderId="1" xfId="3" applyBorder="1" applyAlignment="1">
      <alignment horizontal="center"/>
    </xf>
    <xf numFmtId="4" fontId="1" fillId="4" borderId="1" xfId="3" applyNumberFormat="1" applyBorder="1" applyAlignment="1">
      <alignment horizontal="center"/>
    </xf>
    <xf numFmtId="4" fontId="3" fillId="0" borderId="0" xfId="5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4" borderId="1" xfId="3" applyNumberFormat="1" applyBorder="1" applyAlignment="1">
      <alignment horizontal="center"/>
    </xf>
    <xf numFmtId="10" fontId="1" fillId="4" borderId="1" xfId="3" applyNumberFormat="1" applyBorder="1" applyAlignment="1">
      <alignment horizontal="center"/>
    </xf>
    <xf numFmtId="9" fontId="1" fillId="4" borderId="1" xfId="3" applyNumberFormat="1" applyBorder="1" applyAlignment="1">
      <alignment horizontal="center"/>
    </xf>
    <xf numFmtId="0" fontId="1" fillId="6" borderId="1" xfId="3" applyFill="1" applyBorder="1" applyAlignment="1">
      <alignment horizontal="center"/>
    </xf>
    <xf numFmtId="0" fontId="1" fillId="7" borderId="1" xfId="3" applyFill="1" applyBorder="1" applyAlignment="1">
      <alignment horizontal="center"/>
    </xf>
    <xf numFmtId="0" fontId="1" fillId="8" borderId="1" xfId="3" applyFill="1" applyBorder="1" applyAlignment="1">
      <alignment horizontal="center"/>
    </xf>
    <xf numFmtId="0" fontId="1" fillId="4" borderId="6" xfId="3" applyBorder="1" applyAlignment="1">
      <alignment horizontal="center"/>
    </xf>
    <xf numFmtId="0" fontId="1" fillId="4" borderId="7" xfId="3" applyBorder="1" applyAlignment="1">
      <alignment horizontal="center"/>
    </xf>
    <xf numFmtId="0" fontId="2" fillId="3" borderId="5" xfId="2" applyBorder="1" applyAlignment="1">
      <alignment horizontal="center"/>
    </xf>
    <xf numFmtId="0" fontId="1" fillId="4" borderId="5" xfId="3" applyBorder="1" applyAlignment="1">
      <alignment horizontal="center"/>
    </xf>
    <xf numFmtId="0" fontId="4" fillId="0" borderId="0" xfId="6" applyAlignment="1">
      <alignment horizontal="center"/>
    </xf>
    <xf numFmtId="0" fontId="0" fillId="0" borderId="0" xfId="0" applyBorder="1" applyAlignment="1">
      <alignment horizontal="center"/>
    </xf>
    <xf numFmtId="0" fontId="2" fillId="3" borderId="2" xfId="2" applyBorder="1" applyAlignment="1">
      <alignment horizontal="center"/>
    </xf>
    <xf numFmtId="0" fontId="1" fillId="4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0" xfId="3" applyBorder="1" applyAlignment="1">
      <alignment horizontal="center"/>
    </xf>
    <xf numFmtId="0" fontId="2" fillId="3" borderId="4" xfId="2" applyBorder="1" applyAlignment="1">
      <alignment horizontal="center"/>
    </xf>
    <xf numFmtId="0" fontId="1" fillId="4" borderId="4" xfId="3" applyBorder="1" applyAlignment="1">
      <alignment horizontal="center"/>
    </xf>
    <xf numFmtId="0" fontId="0" fillId="4" borderId="5" xfId="3" applyFont="1" applyBorder="1" applyAlignment="1">
      <alignment horizontal="left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2" fillId="5" borderId="3" xfId="4" applyBorder="1" applyAlignment="1">
      <alignment horizontal="center"/>
    </xf>
    <xf numFmtId="0" fontId="2" fillId="5" borderId="10" xfId="4" applyBorder="1" applyAlignment="1">
      <alignment horizontal="center"/>
    </xf>
    <xf numFmtId="0" fontId="1" fillId="4" borderId="1" xfId="3" applyBorder="1"/>
    <xf numFmtId="0" fontId="2" fillId="3" borderId="1" xfId="2" applyBorder="1"/>
    <xf numFmtId="0" fontId="4" fillId="0" borderId="0" xfId="6"/>
    <xf numFmtId="0" fontId="2" fillId="3" borderId="1" xfId="2" applyBorder="1" applyAlignment="1"/>
    <xf numFmtId="0" fontId="1" fillId="9" borderId="1" xfId="7" applyBorder="1" applyAlignment="1"/>
    <xf numFmtId="9" fontId="1" fillId="4" borderId="1" xfId="3" applyNumberFormat="1" applyBorder="1"/>
    <xf numFmtId="0" fontId="2" fillId="3" borderId="1" xfId="2" applyBorder="1" applyAlignment="1">
      <alignment horizontal="centerContinuous"/>
    </xf>
    <xf numFmtId="0" fontId="1" fillId="4" borderId="1" xfId="3" applyBorder="1" applyAlignment="1"/>
    <xf numFmtId="0" fontId="5" fillId="8" borderId="1" xfId="0" applyFont="1" applyFill="1" applyBorder="1" applyAlignment="1"/>
    <xf numFmtId="0" fontId="2" fillId="11" borderId="1" xfId="9" applyBorder="1"/>
    <xf numFmtId="0" fontId="1" fillId="10" borderId="3" xfId="8" applyBorder="1"/>
    <xf numFmtId="0" fontId="0" fillId="0" borderId="0" xfId="0" applyBorder="1"/>
    <xf numFmtId="164" fontId="2" fillId="11" borderId="1" xfId="9" applyNumberFormat="1" applyBorder="1"/>
    <xf numFmtId="2" fontId="2" fillId="3" borderId="3" xfId="2" applyNumberFormat="1" applyBorder="1" applyAlignment="1">
      <alignment horizontal="center"/>
    </xf>
    <xf numFmtId="2" fontId="2" fillId="3" borderId="1" xfId="2" applyNumberFormat="1" applyBorder="1" applyAlignment="1">
      <alignment horizontal="center"/>
    </xf>
    <xf numFmtId="165" fontId="1" fillId="4" borderId="1" xfId="3" applyNumberFormat="1" applyBorder="1" applyAlignment="1">
      <alignment horizontal="center"/>
    </xf>
    <xf numFmtId="3" fontId="1" fillId="4" borderId="0" xfId="3" applyNumberFormat="1" applyAlignment="1">
      <alignment horizontal="center"/>
    </xf>
    <xf numFmtId="0" fontId="1" fillId="4" borderId="0" xfId="3" applyAlignment="1">
      <alignment horizontal="center"/>
    </xf>
    <xf numFmtId="0" fontId="1" fillId="14" borderId="1" xfId="12" applyBorder="1" applyAlignment="1">
      <alignment horizontal="center"/>
    </xf>
    <xf numFmtId="0" fontId="2" fillId="11" borderId="1" xfId="9" applyBorder="1" applyAlignment="1">
      <alignment horizontal="center"/>
    </xf>
    <xf numFmtId="0" fontId="2" fillId="12" borderId="1" xfId="10" applyBorder="1" applyAlignment="1">
      <alignment horizontal="center"/>
    </xf>
    <xf numFmtId="0" fontId="0" fillId="8" borderId="1" xfId="0" applyFill="1" applyBorder="1" applyAlignment="1"/>
    <xf numFmtId="0" fontId="2" fillId="11" borderId="1" xfId="9" applyBorder="1" applyAlignment="1"/>
    <xf numFmtId="0" fontId="0" fillId="0" borderId="0" xfId="0" applyNumberFormat="1"/>
    <xf numFmtId="2" fontId="0" fillId="0" borderId="0" xfId="0" applyNumberFormat="1"/>
    <xf numFmtId="0" fontId="6" fillId="0" borderId="0" xfId="0" applyFont="1" applyAlignment="1">
      <alignment horizontal="center" vertical="center" readingOrder="1"/>
    </xf>
    <xf numFmtId="4" fontId="0" fillId="0" borderId="0" xfId="0" applyNumberFormat="1"/>
    <xf numFmtId="3" fontId="0" fillId="0" borderId="0" xfId="0" applyNumberFormat="1"/>
    <xf numFmtId="3" fontId="1" fillId="13" borderId="1" xfId="11" applyNumberFormat="1" applyBorder="1" applyAlignment="1">
      <alignment horizontal="center"/>
    </xf>
    <xf numFmtId="0" fontId="2" fillId="12" borderId="3" xfId="10" applyBorder="1" applyAlignment="1">
      <alignment horizontal="center"/>
    </xf>
    <xf numFmtId="0" fontId="1" fillId="13" borderId="1" xfId="11" applyBorder="1"/>
    <xf numFmtId="0" fontId="1" fillId="4" borderId="12" xfId="3" applyBorder="1" applyAlignment="1">
      <alignment horizontal="center"/>
    </xf>
    <xf numFmtId="0" fontId="1" fillId="4" borderId="13" xfId="3" applyBorder="1" applyAlignment="1">
      <alignment horizontal="center"/>
    </xf>
    <xf numFmtId="0" fontId="1" fillId="4" borderId="15" xfId="3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1" fillId="4" borderId="14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8" xfId="3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3" xfId="2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</cellXfs>
  <cellStyles count="13">
    <cellStyle name="20% — akcent 1" xfId="7" builtinId="30"/>
    <cellStyle name="20% — akcent 2" xfId="1" builtinId="34"/>
    <cellStyle name="20% — akcent 5" xfId="3" builtinId="46"/>
    <cellStyle name="20% — akcent 6" xfId="11" builtinId="50"/>
    <cellStyle name="40% — akcent 5" xfId="8" builtinId="47"/>
    <cellStyle name="40% — akcent 6" xfId="12" builtinId="51"/>
    <cellStyle name="60% — akcent 5" xfId="9" builtinId="48"/>
    <cellStyle name="60% — akcent 6" xfId="4" builtinId="52"/>
    <cellStyle name="Akcent 5" xfId="2" builtinId="45"/>
    <cellStyle name="Akcent 6" xfId="10" builtinId="49"/>
    <cellStyle name="Normal" xfId="6"/>
    <cellStyle name="Normalny" xfId="0" builtinId="0"/>
    <cellStyle name="Normalny 2" xfId="5"/>
  </cellStyles>
  <dxfs count="16"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rozrzutu reszt</a:t>
            </a:r>
            <a:endParaRPr lang="pl-PL"/>
          </a:p>
        </c:rich>
      </c:tx>
      <c:layout>
        <c:manualLayout>
          <c:xMode val="edge"/>
          <c:yMode val="edge"/>
          <c:x val="0.382576334208223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Weryfikacja!$H$2:$H$18</c:f>
              <c:numCache>
                <c:formatCode>General</c:formatCode>
                <c:ptCount val="17"/>
                <c:pt idx="0">
                  <c:v>-22.234424120400035</c:v>
                </c:pt>
                <c:pt idx="1">
                  <c:v>-101.62104300259944</c:v>
                </c:pt>
                <c:pt idx="2">
                  <c:v>-529.52744768800039</c:v>
                </c:pt>
                <c:pt idx="3">
                  <c:v>-235.40786552780037</c:v>
                </c:pt>
                <c:pt idx="4">
                  <c:v>326.13250775359984</c:v>
                </c:pt>
                <c:pt idx="5">
                  <c:v>748.08688980560055</c:v>
                </c:pt>
                <c:pt idx="6">
                  <c:v>111.7724666895997</c:v>
                </c:pt>
                <c:pt idx="7">
                  <c:v>138.11271209399956</c:v>
                </c:pt>
                <c:pt idx="8">
                  <c:v>72.827222766800787</c:v>
                </c:pt>
                <c:pt idx="9">
                  <c:v>-2.518993191800746</c:v>
                </c:pt>
                <c:pt idx="10">
                  <c:v>-89.867117984400011</c:v>
                </c:pt>
                <c:pt idx="11">
                  <c:v>-67.117364166800144</c:v>
                </c:pt>
                <c:pt idx="12">
                  <c:v>-65.599701753799309</c:v>
                </c:pt>
                <c:pt idx="13">
                  <c:v>-207.11537162479908</c:v>
                </c:pt>
                <c:pt idx="14">
                  <c:v>-152.8468151584002</c:v>
                </c:pt>
                <c:pt idx="15">
                  <c:v>40.635330005001379</c:v>
                </c:pt>
                <c:pt idx="16">
                  <c:v>36.289023410799928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FB-4F30-AAF2-AC0D788D2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65567"/>
        <c:axId val="259965983"/>
      </c:scatterChart>
      <c:valAx>
        <c:axId val="25996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9965983"/>
        <c:crosses val="autoZero"/>
        <c:crossBetween val="midCat"/>
      </c:valAx>
      <c:valAx>
        <c:axId val="25996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996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Prog_cen_mieszkań!$B$1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Prog_cen_mieszkań!$B$2:$B$23</c:f>
              <c:numCache>
                <c:formatCode>General</c:formatCode>
                <c:ptCount val="22"/>
                <c:pt idx="0">
                  <c:v>2439.25</c:v>
                </c:pt>
                <c:pt idx="1">
                  <c:v>2545.25</c:v>
                </c:pt>
                <c:pt idx="2">
                  <c:v>2816</c:v>
                </c:pt>
                <c:pt idx="3">
                  <c:v>3316.25</c:v>
                </c:pt>
                <c:pt idx="4">
                  <c:v>3891.5</c:v>
                </c:pt>
                <c:pt idx="5">
                  <c:v>4360.25</c:v>
                </c:pt>
                <c:pt idx="6">
                  <c:v>3858.25</c:v>
                </c:pt>
                <c:pt idx="7">
                  <c:v>3996.25</c:v>
                </c:pt>
                <c:pt idx="8">
                  <c:v>4025.25</c:v>
                </c:pt>
                <c:pt idx="9">
                  <c:v>4033.5</c:v>
                </c:pt>
                <c:pt idx="10">
                  <c:v>3969.5</c:v>
                </c:pt>
                <c:pt idx="11">
                  <c:v>4054</c:v>
                </c:pt>
                <c:pt idx="12">
                  <c:v>4170</c:v>
                </c:pt>
                <c:pt idx="13">
                  <c:v>4237.5</c:v>
                </c:pt>
                <c:pt idx="14">
                  <c:v>4461.25</c:v>
                </c:pt>
                <c:pt idx="15">
                  <c:v>4891.5</c:v>
                </c:pt>
                <c:pt idx="16">
                  <c:v>5134.25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B-4900-A710-25DC0C5B52B8}"/>
            </c:ext>
          </c:extLst>
        </c:ser>
        <c:ser>
          <c:idx val="1"/>
          <c:order val="1"/>
          <c:tx>
            <c:strRef>
              <c:f>Prog_cen_mieszkań!$C$1</c:f>
              <c:strCache>
                <c:ptCount val="1"/>
                <c:pt idx="0">
                  <c:v>Prognoza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Prog_cen_mieszkań!$A$2:$A$23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Prog_cen_mieszkań!$C$2:$C$23</c:f>
              <c:numCache>
                <c:formatCode>General</c:formatCode>
                <c:ptCount val="22"/>
                <c:pt idx="16">
                  <c:v>5134.25</c:v>
                </c:pt>
                <c:pt idx="17">
                  <c:v>5250.2682116088872</c:v>
                </c:pt>
                <c:pt idx="18">
                  <c:v>5380.6304320975978</c:v>
                </c:pt>
                <c:pt idx="19">
                  <c:v>5510.9926525863084</c:v>
                </c:pt>
                <c:pt idx="20">
                  <c:v>5641.354873075019</c:v>
                </c:pt>
                <c:pt idx="21">
                  <c:v>5771.7170935637296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B-4900-A710-25DC0C5B52B8}"/>
            </c:ext>
          </c:extLst>
        </c:ser>
        <c:ser>
          <c:idx val="2"/>
          <c:order val="2"/>
          <c:tx>
            <c:strRef>
              <c:f>Prog_cen_mieszkań!$D$1</c:f>
              <c:strCache>
                <c:ptCount val="1"/>
                <c:pt idx="0">
                  <c:v>Dolna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Prog_cen_mieszkań!$A$2:$A$23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Prog_cen_mieszkań!$D$2:$D$23</c:f>
              <c:numCache>
                <c:formatCode>General</c:formatCode>
                <c:ptCount val="22"/>
                <c:pt idx="16" formatCode="0.00">
                  <c:v>5134.25</c:v>
                </c:pt>
                <c:pt idx="17" formatCode="0.00">
                  <c:v>4749.1402497192621</c:v>
                </c:pt>
                <c:pt idx="18" formatCode="0.00">
                  <c:v>4706.0963724457388</c:v>
                </c:pt>
                <c:pt idx="19" formatCode="0.00">
                  <c:v>4699.0099267340729</c:v>
                </c:pt>
                <c:pt idx="20" formatCode="0.00">
                  <c:v>4711.7910050153014</c:v>
                </c:pt>
                <c:pt idx="21" formatCode="0.00">
                  <c:v>4737.6398174145834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0B-4900-A710-25DC0C5B52B8}"/>
            </c:ext>
          </c:extLst>
        </c:ser>
        <c:ser>
          <c:idx val="3"/>
          <c:order val="3"/>
          <c:tx>
            <c:strRef>
              <c:f>Prog_cen_mieszkań!$E$1</c:f>
              <c:strCache>
                <c:ptCount val="1"/>
                <c:pt idx="0">
                  <c:v>Górna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Prog_cen_mieszkań!$A$2:$A$23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Prog_cen_mieszkań!$E$2:$E$23</c:f>
              <c:numCache>
                <c:formatCode>General</c:formatCode>
                <c:ptCount val="22"/>
                <c:pt idx="16" formatCode="0.00">
                  <c:v>5134.25</c:v>
                </c:pt>
                <c:pt idx="17" formatCode="0.00">
                  <c:v>5751.3961734985123</c:v>
                </c:pt>
                <c:pt idx="18" formatCode="0.00">
                  <c:v>6055.1644917494568</c:v>
                </c:pt>
                <c:pt idx="19" formatCode="0.00">
                  <c:v>6322.9753784385439</c:v>
                </c:pt>
                <c:pt idx="20" formatCode="0.00">
                  <c:v>6570.9187411347366</c:v>
                </c:pt>
                <c:pt idx="21" formatCode="0.00">
                  <c:v>6805.7943697128758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0B-4900-A710-25DC0C5B5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752367"/>
        <c:axId val="2136749871"/>
      </c:lineChart>
      <c:catAx>
        <c:axId val="213675236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6749871"/>
        <c:crosses val="autoZero"/>
        <c:auto val="1"/>
        <c:lblAlgn val="ctr"/>
        <c:lblOffset val="100"/>
        <c:noMultiLvlLbl val="0"/>
      </c:catAx>
      <c:valAx>
        <c:axId val="21367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675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prog_cen_szkła!$B$1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prog_cen_szkła!$B$2:$B$23</c:f>
              <c:numCache>
                <c:formatCode>General</c:formatCode>
                <c:ptCount val="22"/>
                <c:pt idx="0">
                  <c:v>39.119999999999997</c:v>
                </c:pt>
                <c:pt idx="1">
                  <c:v>41.98</c:v>
                </c:pt>
                <c:pt idx="2">
                  <c:v>44.35</c:v>
                </c:pt>
                <c:pt idx="3">
                  <c:v>45.24</c:v>
                </c:pt>
                <c:pt idx="4">
                  <c:v>47.47</c:v>
                </c:pt>
                <c:pt idx="5">
                  <c:v>49.72</c:v>
                </c:pt>
                <c:pt idx="6">
                  <c:v>52.17</c:v>
                </c:pt>
                <c:pt idx="7">
                  <c:v>54.1</c:v>
                </c:pt>
                <c:pt idx="8">
                  <c:v>55.91</c:v>
                </c:pt>
                <c:pt idx="9">
                  <c:v>57.34</c:v>
                </c:pt>
                <c:pt idx="10">
                  <c:v>57.87</c:v>
                </c:pt>
                <c:pt idx="11">
                  <c:v>58.84</c:v>
                </c:pt>
                <c:pt idx="12">
                  <c:v>60.39</c:v>
                </c:pt>
                <c:pt idx="13">
                  <c:v>62.64</c:v>
                </c:pt>
                <c:pt idx="14">
                  <c:v>63.32</c:v>
                </c:pt>
                <c:pt idx="15">
                  <c:v>65.849999999999994</c:v>
                </c:pt>
                <c:pt idx="16">
                  <c:v>67.540000000000006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B-411B-B58E-68504C652D2E}"/>
            </c:ext>
          </c:extLst>
        </c:ser>
        <c:ser>
          <c:idx val="1"/>
          <c:order val="1"/>
          <c:tx>
            <c:strRef>
              <c:f>prog_cen_szkła!$C$1</c:f>
              <c:strCache>
                <c:ptCount val="1"/>
                <c:pt idx="0">
                  <c:v>Prognoza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prog_cen_szkła!$A$2:$A$23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prog_cen_szkła!$C$2:$C$23</c:f>
              <c:numCache>
                <c:formatCode>General</c:formatCode>
                <c:ptCount val="22"/>
                <c:pt idx="16">
                  <c:v>67.540000000000006</c:v>
                </c:pt>
                <c:pt idx="17">
                  <c:v>69.220881713537921</c:v>
                </c:pt>
                <c:pt idx="18">
                  <c:v>70.901793664718753</c:v>
                </c:pt>
                <c:pt idx="19">
                  <c:v>72.58270561589957</c:v>
                </c:pt>
                <c:pt idx="20">
                  <c:v>74.263617567080388</c:v>
                </c:pt>
                <c:pt idx="21">
                  <c:v>75.94452951826122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B-411B-B58E-68504C652D2E}"/>
            </c:ext>
          </c:extLst>
        </c:ser>
        <c:ser>
          <c:idx val="2"/>
          <c:order val="2"/>
          <c:tx>
            <c:strRef>
              <c:f>prog_cen_szkła!$D$1</c:f>
              <c:strCache>
                <c:ptCount val="1"/>
                <c:pt idx="0">
                  <c:v>Dolna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prog_cen_szkła!$A$2:$A$23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prog_cen_szkła!$D$2:$D$23</c:f>
              <c:numCache>
                <c:formatCode>General</c:formatCode>
                <c:ptCount val="22"/>
                <c:pt idx="16" formatCode="0.00">
                  <c:v>67.540000000000006</c:v>
                </c:pt>
                <c:pt idx="17" formatCode="0.00">
                  <c:v>67.806706618912116</c:v>
                </c:pt>
                <c:pt idx="18" formatCode="0.00">
                  <c:v>68.641320260633933</c:v>
                </c:pt>
                <c:pt idx="19" formatCode="0.00">
                  <c:v>69.486655146262549</c:v>
                </c:pt>
                <c:pt idx="20" formatCode="0.00">
                  <c:v>70.304419768722639</c:v>
                </c:pt>
                <c:pt idx="21" formatCode="0.00">
                  <c:v>71.083779925154687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7B-411B-B58E-68504C652D2E}"/>
            </c:ext>
          </c:extLst>
        </c:ser>
        <c:ser>
          <c:idx val="3"/>
          <c:order val="3"/>
          <c:tx>
            <c:strRef>
              <c:f>prog_cen_szkła!$E$1</c:f>
              <c:strCache>
                <c:ptCount val="1"/>
                <c:pt idx="0">
                  <c:v>Górna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prog_cen_szkła!$A$2:$A$23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prog_cen_szkła!$E$2:$E$23</c:f>
              <c:numCache>
                <c:formatCode>General</c:formatCode>
                <c:ptCount val="22"/>
                <c:pt idx="16" formatCode="0.00">
                  <c:v>67.540000000000006</c:v>
                </c:pt>
                <c:pt idx="17" formatCode="0.00">
                  <c:v>70.635056808163725</c:v>
                </c:pt>
                <c:pt idx="18" formatCode="0.00">
                  <c:v>73.162267068803573</c:v>
                </c:pt>
                <c:pt idx="19" formatCode="0.00">
                  <c:v>75.678756085536591</c:v>
                </c:pt>
                <c:pt idx="20" formatCode="0.00">
                  <c:v>78.222815365438137</c:v>
                </c:pt>
                <c:pt idx="21" formatCode="0.00">
                  <c:v>80.805279111367753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7B-411B-B58E-68504C652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759439"/>
        <c:axId val="2136757775"/>
      </c:lineChart>
      <c:catAx>
        <c:axId val="213675943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6757775"/>
        <c:crosses val="autoZero"/>
        <c:auto val="1"/>
        <c:lblAlgn val="ctr"/>
        <c:lblOffset val="100"/>
        <c:noMultiLvlLbl val="0"/>
      </c:catAx>
      <c:valAx>
        <c:axId val="213675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675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prog_cen_cegły!$B$1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prog_cen_cegły!$B$2:$B$23</c:f>
              <c:numCache>
                <c:formatCode>#,##0.00</c:formatCode>
                <c:ptCount val="22"/>
                <c:pt idx="0">
                  <c:v>0.73</c:v>
                </c:pt>
                <c:pt idx="1">
                  <c:v>0.75</c:v>
                </c:pt>
                <c:pt idx="2">
                  <c:v>1.34</c:v>
                </c:pt>
                <c:pt idx="3">
                  <c:v>1.48</c:v>
                </c:pt>
                <c:pt idx="4">
                  <c:v>1.33</c:v>
                </c:pt>
                <c:pt idx="5">
                  <c:v>1.23</c:v>
                </c:pt>
                <c:pt idx="6">
                  <c:v>1.21</c:v>
                </c:pt>
                <c:pt idx="7">
                  <c:v>1.2</c:v>
                </c:pt>
                <c:pt idx="8">
                  <c:v>1.18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1.1399999999999999</c:v>
                </c:pt>
                <c:pt idx="12">
                  <c:v>1.1399999999999999</c:v>
                </c:pt>
                <c:pt idx="13">
                  <c:v>1.19</c:v>
                </c:pt>
                <c:pt idx="14">
                  <c:v>1.29</c:v>
                </c:pt>
                <c:pt idx="15">
                  <c:v>1.37</c:v>
                </c:pt>
                <c:pt idx="16">
                  <c:v>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5-45B6-96B0-272BC3A5EAF0}"/>
            </c:ext>
          </c:extLst>
        </c:ser>
        <c:ser>
          <c:idx val="1"/>
          <c:order val="1"/>
          <c:tx>
            <c:strRef>
              <c:f>prog_cen_cegły!$C$1</c:f>
              <c:strCache>
                <c:ptCount val="1"/>
                <c:pt idx="0">
                  <c:v>Prognoza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prog_cen_cegły!$A$2:$A$23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prog_cen_cegły!$C$2:$C$23</c:f>
              <c:numCache>
                <c:formatCode>General</c:formatCode>
                <c:ptCount val="22"/>
                <c:pt idx="16" formatCode="#,##0.00">
                  <c:v>1.52</c:v>
                </c:pt>
                <c:pt idx="17" formatCode="#,##0.00">
                  <c:v>1.5257074640258455</c:v>
                </c:pt>
                <c:pt idx="18" formatCode="#,##0.00">
                  <c:v>1.5451732063942778</c:v>
                </c:pt>
                <c:pt idx="19" formatCode="#,##0.00">
                  <c:v>1.5646389487627101</c:v>
                </c:pt>
                <c:pt idx="20" formatCode="#,##0.00">
                  <c:v>1.5841046911311425</c:v>
                </c:pt>
                <c:pt idx="21" formatCode="#,##0.00">
                  <c:v>1.6035704334995748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5-45B6-96B0-272BC3A5EAF0}"/>
            </c:ext>
          </c:extLst>
        </c:ser>
        <c:ser>
          <c:idx val="2"/>
          <c:order val="2"/>
          <c:tx>
            <c:strRef>
              <c:f>prog_cen_cegły!$D$1</c:f>
              <c:strCache>
                <c:ptCount val="1"/>
                <c:pt idx="0">
                  <c:v>Dolna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prog_cen_cegły!$A$2:$A$23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prog_cen_cegły!$D$2:$D$23</c:f>
              <c:numCache>
                <c:formatCode>General</c:formatCode>
                <c:ptCount val="22"/>
                <c:pt idx="16" formatCode="#,##0.00">
                  <c:v>1.52</c:v>
                </c:pt>
                <c:pt idx="17" formatCode="#,##0.00">
                  <c:v>1.2100576497179865</c:v>
                </c:pt>
                <c:pt idx="18" formatCode="#,##0.00">
                  <c:v>1.1202985897981856</c:v>
                </c:pt>
                <c:pt idx="19" formatCode="#,##0.00">
                  <c:v>1.0531883490595979</c:v>
                </c:pt>
                <c:pt idx="20" formatCode="#,##0.00">
                  <c:v>0.99859223791670648</c:v>
                </c:pt>
                <c:pt idx="21" formatCode="#,##0.00">
                  <c:v>0.95222721376451946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5-45B6-96B0-272BC3A5EAF0}"/>
            </c:ext>
          </c:extLst>
        </c:ser>
        <c:ser>
          <c:idx val="3"/>
          <c:order val="3"/>
          <c:tx>
            <c:strRef>
              <c:f>prog_cen_cegły!$E$1</c:f>
              <c:strCache>
                <c:ptCount val="1"/>
                <c:pt idx="0">
                  <c:v>Górna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prog_cen_cegły!$A$2:$A$23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prog_cen_cegły!$E$2:$E$23</c:f>
              <c:numCache>
                <c:formatCode>General</c:formatCode>
                <c:ptCount val="22"/>
                <c:pt idx="16" formatCode="#,##0.00">
                  <c:v>1.52</c:v>
                </c:pt>
                <c:pt idx="17" formatCode="#,##0.00">
                  <c:v>1.8413572783337044</c:v>
                </c:pt>
                <c:pt idx="18" formatCode="#,##0.00">
                  <c:v>1.97004782299037</c:v>
                </c:pt>
                <c:pt idx="19" formatCode="#,##0.00">
                  <c:v>2.0760895484658226</c:v>
                </c:pt>
                <c:pt idx="20" formatCode="#,##0.00">
                  <c:v>2.1696171443455787</c:v>
                </c:pt>
                <c:pt idx="21" formatCode="#,##0.00">
                  <c:v>2.2549136532346301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E5-45B6-96B0-272BC3A5E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50255"/>
        <c:axId val="191052335"/>
      </c:lineChart>
      <c:catAx>
        <c:axId val="19105025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052335"/>
        <c:crosses val="autoZero"/>
        <c:auto val="1"/>
        <c:lblAlgn val="ctr"/>
        <c:lblOffset val="100"/>
        <c:noMultiLvlLbl val="0"/>
      </c:catAx>
      <c:valAx>
        <c:axId val="19105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05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prog_wynagrodzen!$B$1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prog_wynagrodzen!$B$2:$B$23</c:f>
              <c:numCache>
                <c:formatCode>#,##0</c:formatCode>
                <c:ptCount val="22"/>
                <c:pt idx="0">
                  <c:v>2306</c:v>
                </c:pt>
                <c:pt idx="1">
                  <c:v>2413</c:v>
                </c:pt>
                <c:pt idx="2">
                  <c:v>2603</c:v>
                </c:pt>
                <c:pt idx="3">
                  <c:v>2849</c:v>
                </c:pt>
                <c:pt idx="4">
                  <c:v>3139</c:v>
                </c:pt>
                <c:pt idx="5">
                  <c:v>3300</c:v>
                </c:pt>
                <c:pt idx="6">
                  <c:v>3481</c:v>
                </c:pt>
                <c:pt idx="7">
                  <c:v>3628</c:v>
                </c:pt>
                <c:pt idx="8">
                  <c:v>3761</c:v>
                </c:pt>
                <c:pt idx="9">
                  <c:v>3899</c:v>
                </c:pt>
                <c:pt idx="10">
                  <c:v>4017</c:v>
                </c:pt>
                <c:pt idx="11">
                  <c:v>4182</c:v>
                </c:pt>
                <c:pt idx="12">
                  <c:v>4454</c:v>
                </c:pt>
                <c:pt idx="13">
                  <c:v>4816</c:v>
                </c:pt>
                <c:pt idx="14">
                  <c:v>5168</c:v>
                </c:pt>
                <c:pt idx="15">
                  <c:v>5394</c:v>
                </c:pt>
                <c:pt idx="16">
                  <c:v>5536.8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D-4D3D-8EA6-C7A2B11B6109}"/>
            </c:ext>
          </c:extLst>
        </c:ser>
        <c:ser>
          <c:idx val="1"/>
          <c:order val="1"/>
          <c:tx>
            <c:strRef>
              <c:f>prog_wynagrodzen!$C$1</c:f>
              <c:strCache>
                <c:ptCount val="1"/>
                <c:pt idx="0">
                  <c:v>Prognoza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prog_wynagrodzen!$A$2:$A$23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prog_wynagrodzen!$C$2:$C$23</c:f>
              <c:numCache>
                <c:formatCode>General</c:formatCode>
                <c:ptCount val="22"/>
                <c:pt idx="16" formatCode="#,##0">
                  <c:v>5536.8</c:v>
                </c:pt>
                <c:pt idx="17" formatCode="#,##0">
                  <c:v>5626.9218227087831</c:v>
                </c:pt>
                <c:pt idx="18" formatCode="#,##0">
                  <c:v>5825.4761988962227</c:v>
                </c:pt>
                <c:pt idx="19" formatCode="#,##0">
                  <c:v>6024.0305750836615</c:v>
                </c:pt>
                <c:pt idx="20" formatCode="#,##0">
                  <c:v>6222.5849512711002</c:v>
                </c:pt>
                <c:pt idx="21" formatCode="#,##0">
                  <c:v>6421.1393274585389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D-4D3D-8EA6-C7A2B11B6109}"/>
            </c:ext>
          </c:extLst>
        </c:ser>
        <c:ser>
          <c:idx val="2"/>
          <c:order val="2"/>
          <c:tx>
            <c:strRef>
              <c:f>prog_wynagrodzen!$D$1</c:f>
              <c:strCache>
                <c:ptCount val="1"/>
                <c:pt idx="0">
                  <c:v>Dolna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prog_wynagrodzen!$A$2:$A$23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prog_wynagrodzen!$D$2:$D$23</c:f>
              <c:numCache>
                <c:formatCode>General</c:formatCode>
                <c:ptCount val="22"/>
                <c:pt idx="16" formatCode="#,##0">
                  <c:v>5536.8</c:v>
                </c:pt>
                <c:pt idx="17" formatCode="#,##0">
                  <c:v>5375.8534660479218</c:v>
                </c:pt>
                <c:pt idx="18" formatCode="#,##0">
                  <c:v>5572.3912005496368</c:v>
                </c:pt>
                <c:pt idx="19" formatCode="#,##0">
                  <c:v>5768.9133724760668</c:v>
                </c:pt>
                <c:pt idx="20" formatCode="#,##0">
                  <c:v>5965.4201056531101</c:v>
                </c:pt>
                <c:pt idx="21" formatCode="#,##0">
                  <c:v>6161.9115227675065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AD-4D3D-8EA6-C7A2B11B6109}"/>
            </c:ext>
          </c:extLst>
        </c:ser>
        <c:ser>
          <c:idx val="3"/>
          <c:order val="3"/>
          <c:tx>
            <c:strRef>
              <c:f>prog_wynagrodzen!$E$1</c:f>
              <c:strCache>
                <c:ptCount val="1"/>
                <c:pt idx="0">
                  <c:v>Górna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prog_wynagrodzen!$A$2:$A$23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prog_wynagrodzen!$E$2:$E$23</c:f>
              <c:numCache>
                <c:formatCode>General</c:formatCode>
                <c:ptCount val="22"/>
                <c:pt idx="16" formatCode="#,##0">
                  <c:v>5536.8</c:v>
                </c:pt>
                <c:pt idx="17" formatCode="#,##0">
                  <c:v>5877.9901793696445</c:v>
                </c:pt>
                <c:pt idx="18" formatCode="#,##0">
                  <c:v>6078.5611972428087</c:v>
                </c:pt>
                <c:pt idx="19" formatCode="#,##0">
                  <c:v>6279.1477776912561</c:v>
                </c:pt>
                <c:pt idx="20" formatCode="#,##0">
                  <c:v>6479.7497968890902</c:v>
                </c:pt>
                <c:pt idx="21" formatCode="#,##0">
                  <c:v>6680.3671321495713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AD-4D3D-8EA6-C7A2B11B6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090079"/>
        <c:axId val="267090495"/>
      </c:lineChart>
      <c:catAx>
        <c:axId val="26709007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7090495"/>
        <c:crosses val="autoZero"/>
        <c:auto val="1"/>
        <c:lblAlgn val="ctr"/>
        <c:lblOffset val="100"/>
        <c:noMultiLvlLbl val="0"/>
      </c:catAx>
      <c:valAx>
        <c:axId val="26709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709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Prog_cen_mieszkań!$B$1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Prog_cen_mieszkań!$B$2:$B$23</c:f>
              <c:numCache>
                <c:formatCode>General</c:formatCode>
                <c:ptCount val="22"/>
                <c:pt idx="0">
                  <c:v>2439.25</c:v>
                </c:pt>
                <c:pt idx="1">
                  <c:v>2545.25</c:v>
                </c:pt>
                <c:pt idx="2">
                  <c:v>2816</c:v>
                </c:pt>
                <c:pt idx="3">
                  <c:v>3316.25</c:v>
                </c:pt>
                <c:pt idx="4">
                  <c:v>3891.5</c:v>
                </c:pt>
                <c:pt idx="5">
                  <c:v>4360.25</c:v>
                </c:pt>
                <c:pt idx="6">
                  <c:v>3858.25</c:v>
                </c:pt>
                <c:pt idx="7">
                  <c:v>3996.25</c:v>
                </c:pt>
                <c:pt idx="8">
                  <c:v>4025.25</c:v>
                </c:pt>
                <c:pt idx="9">
                  <c:v>4033.5</c:v>
                </c:pt>
                <c:pt idx="10">
                  <c:v>3969.5</c:v>
                </c:pt>
                <c:pt idx="11">
                  <c:v>4054</c:v>
                </c:pt>
                <c:pt idx="12">
                  <c:v>4170</c:v>
                </c:pt>
                <c:pt idx="13">
                  <c:v>4237.5</c:v>
                </c:pt>
                <c:pt idx="14">
                  <c:v>4461.25</c:v>
                </c:pt>
                <c:pt idx="15">
                  <c:v>4891.5</c:v>
                </c:pt>
                <c:pt idx="16">
                  <c:v>5134.25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F-4EEA-ACE4-EB6F7E64398A}"/>
            </c:ext>
          </c:extLst>
        </c:ser>
        <c:ser>
          <c:idx val="1"/>
          <c:order val="1"/>
          <c:tx>
            <c:strRef>
              <c:f>Prog_cen_mieszkań!$C$1</c:f>
              <c:strCache>
                <c:ptCount val="1"/>
                <c:pt idx="0">
                  <c:v>Prognoza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Prog_cen_mieszkań!$A$2:$A$23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Prog_cen_mieszkań!$C$2:$C$23</c:f>
              <c:numCache>
                <c:formatCode>General</c:formatCode>
                <c:ptCount val="22"/>
                <c:pt idx="16">
                  <c:v>5134.25</c:v>
                </c:pt>
                <c:pt idx="17">
                  <c:v>5250.2682116088872</c:v>
                </c:pt>
                <c:pt idx="18">
                  <c:v>5380.6304320975978</c:v>
                </c:pt>
                <c:pt idx="19">
                  <c:v>5510.9926525863084</c:v>
                </c:pt>
                <c:pt idx="20">
                  <c:v>5641.354873075019</c:v>
                </c:pt>
                <c:pt idx="21">
                  <c:v>5771.7170935637296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F-4EEA-ACE4-EB6F7E64398A}"/>
            </c:ext>
          </c:extLst>
        </c:ser>
        <c:ser>
          <c:idx val="2"/>
          <c:order val="2"/>
          <c:tx>
            <c:strRef>
              <c:f>Prog_cen_mieszkań!$D$1</c:f>
              <c:strCache>
                <c:ptCount val="1"/>
                <c:pt idx="0">
                  <c:v>Dolna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Prog_cen_mieszkań!$A$2:$A$23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Prog_cen_mieszkań!$D$2:$D$23</c:f>
              <c:numCache>
                <c:formatCode>General</c:formatCode>
                <c:ptCount val="22"/>
                <c:pt idx="16" formatCode="0.00">
                  <c:v>5134.25</c:v>
                </c:pt>
                <c:pt idx="17" formatCode="0.00">
                  <c:v>4749.1402497192621</c:v>
                </c:pt>
                <c:pt idx="18" formatCode="0.00">
                  <c:v>4706.0963724457388</c:v>
                </c:pt>
                <c:pt idx="19" formatCode="0.00">
                  <c:v>4699.0099267340729</c:v>
                </c:pt>
                <c:pt idx="20" formatCode="0.00">
                  <c:v>4711.7910050153014</c:v>
                </c:pt>
                <c:pt idx="21" formatCode="0.00">
                  <c:v>4737.6398174145834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4F-4EEA-ACE4-EB6F7E64398A}"/>
            </c:ext>
          </c:extLst>
        </c:ser>
        <c:ser>
          <c:idx val="3"/>
          <c:order val="3"/>
          <c:tx>
            <c:strRef>
              <c:f>Prog_cen_mieszkań!$E$1</c:f>
              <c:strCache>
                <c:ptCount val="1"/>
                <c:pt idx="0">
                  <c:v>Górna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Prog_cen_mieszkań!$A$2:$A$23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Prog_cen_mieszkań!$E$2:$E$23</c:f>
              <c:numCache>
                <c:formatCode>General</c:formatCode>
                <c:ptCount val="22"/>
                <c:pt idx="16" formatCode="0.00">
                  <c:v>5134.25</c:v>
                </c:pt>
                <c:pt idx="17" formatCode="0.00">
                  <c:v>5751.3961734985123</c:v>
                </c:pt>
                <c:pt idx="18" formatCode="0.00">
                  <c:v>6055.1644917494568</c:v>
                </c:pt>
                <c:pt idx="19" formatCode="0.00">
                  <c:v>6322.9753784385439</c:v>
                </c:pt>
                <c:pt idx="20" formatCode="0.00">
                  <c:v>6570.9187411347366</c:v>
                </c:pt>
                <c:pt idx="21" formatCode="0.00">
                  <c:v>6805.7943697128758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4F-4EEA-ACE4-EB6F7E643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752367"/>
        <c:axId val="2136749871"/>
      </c:lineChart>
      <c:catAx>
        <c:axId val="213675236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6749871"/>
        <c:crosses val="autoZero"/>
        <c:auto val="1"/>
        <c:lblAlgn val="ctr"/>
        <c:lblOffset val="100"/>
        <c:noMultiLvlLbl val="0"/>
      </c:catAx>
      <c:valAx>
        <c:axId val="21367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675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prog_cen_szkła!$B$1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prog_cen_szkła!$B$2:$B$23</c:f>
              <c:numCache>
                <c:formatCode>General</c:formatCode>
                <c:ptCount val="22"/>
                <c:pt idx="0">
                  <c:v>39.119999999999997</c:v>
                </c:pt>
                <c:pt idx="1">
                  <c:v>41.98</c:v>
                </c:pt>
                <c:pt idx="2">
                  <c:v>44.35</c:v>
                </c:pt>
                <c:pt idx="3">
                  <c:v>45.24</c:v>
                </c:pt>
                <c:pt idx="4">
                  <c:v>47.47</c:v>
                </c:pt>
                <c:pt idx="5">
                  <c:v>49.72</c:v>
                </c:pt>
                <c:pt idx="6">
                  <c:v>52.17</c:v>
                </c:pt>
                <c:pt idx="7">
                  <c:v>54.1</c:v>
                </c:pt>
                <c:pt idx="8">
                  <c:v>55.91</c:v>
                </c:pt>
                <c:pt idx="9">
                  <c:v>57.34</c:v>
                </c:pt>
                <c:pt idx="10">
                  <c:v>57.87</c:v>
                </c:pt>
                <c:pt idx="11">
                  <c:v>58.84</c:v>
                </c:pt>
                <c:pt idx="12">
                  <c:v>60.39</c:v>
                </c:pt>
                <c:pt idx="13">
                  <c:v>62.64</c:v>
                </c:pt>
                <c:pt idx="14">
                  <c:v>63.32</c:v>
                </c:pt>
                <c:pt idx="15">
                  <c:v>65.849999999999994</c:v>
                </c:pt>
                <c:pt idx="16">
                  <c:v>67.540000000000006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5-4B7F-815A-56D6404C2E85}"/>
            </c:ext>
          </c:extLst>
        </c:ser>
        <c:ser>
          <c:idx val="1"/>
          <c:order val="1"/>
          <c:tx>
            <c:strRef>
              <c:f>prog_cen_szkła!$C$1</c:f>
              <c:strCache>
                <c:ptCount val="1"/>
                <c:pt idx="0">
                  <c:v>Prognoza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prog_cen_szkła!$A$2:$A$23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prog_cen_szkła!$C$2:$C$23</c:f>
              <c:numCache>
                <c:formatCode>General</c:formatCode>
                <c:ptCount val="22"/>
                <c:pt idx="16">
                  <c:v>67.540000000000006</c:v>
                </c:pt>
                <c:pt idx="17">
                  <c:v>69.220881713537921</c:v>
                </c:pt>
                <c:pt idx="18">
                  <c:v>70.901793664718753</c:v>
                </c:pt>
                <c:pt idx="19">
                  <c:v>72.58270561589957</c:v>
                </c:pt>
                <c:pt idx="20">
                  <c:v>74.263617567080388</c:v>
                </c:pt>
                <c:pt idx="21">
                  <c:v>75.94452951826122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5-4B7F-815A-56D6404C2E85}"/>
            </c:ext>
          </c:extLst>
        </c:ser>
        <c:ser>
          <c:idx val="2"/>
          <c:order val="2"/>
          <c:tx>
            <c:strRef>
              <c:f>prog_cen_szkła!$D$1</c:f>
              <c:strCache>
                <c:ptCount val="1"/>
                <c:pt idx="0">
                  <c:v>Dolna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prog_cen_szkła!$A$2:$A$23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prog_cen_szkła!$D$2:$D$23</c:f>
              <c:numCache>
                <c:formatCode>General</c:formatCode>
                <c:ptCount val="22"/>
                <c:pt idx="16" formatCode="0.00">
                  <c:v>67.540000000000006</c:v>
                </c:pt>
                <c:pt idx="17" formatCode="0.00">
                  <c:v>67.806706618912116</c:v>
                </c:pt>
                <c:pt idx="18" formatCode="0.00">
                  <c:v>68.641320260633933</c:v>
                </c:pt>
                <c:pt idx="19" formatCode="0.00">
                  <c:v>69.486655146262549</c:v>
                </c:pt>
                <c:pt idx="20" formatCode="0.00">
                  <c:v>70.304419768722639</c:v>
                </c:pt>
                <c:pt idx="21" formatCode="0.00">
                  <c:v>71.083779925154687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5-4B7F-815A-56D6404C2E85}"/>
            </c:ext>
          </c:extLst>
        </c:ser>
        <c:ser>
          <c:idx val="3"/>
          <c:order val="3"/>
          <c:tx>
            <c:strRef>
              <c:f>prog_cen_szkła!$E$1</c:f>
              <c:strCache>
                <c:ptCount val="1"/>
                <c:pt idx="0">
                  <c:v>Górna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prog_cen_szkła!$A$2:$A$23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prog_cen_szkła!$E$2:$E$23</c:f>
              <c:numCache>
                <c:formatCode>General</c:formatCode>
                <c:ptCount val="22"/>
                <c:pt idx="16" formatCode="0.00">
                  <c:v>67.540000000000006</c:v>
                </c:pt>
                <c:pt idx="17" formatCode="0.00">
                  <c:v>70.635056808163725</c:v>
                </c:pt>
                <c:pt idx="18" formatCode="0.00">
                  <c:v>73.162267068803573</c:v>
                </c:pt>
                <c:pt idx="19" formatCode="0.00">
                  <c:v>75.678756085536591</c:v>
                </c:pt>
                <c:pt idx="20" formatCode="0.00">
                  <c:v>78.222815365438137</c:v>
                </c:pt>
                <c:pt idx="21" formatCode="0.00">
                  <c:v>80.805279111367753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15-4B7F-815A-56D6404C2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759439"/>
        <c:axId val="2136757775"/>
      </c:lineChart>
      <c:catAx>
        <c:axId val="213675943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6757775"/>
        <c:crosses val="autoZero"/>
        <c:auto val="1"/>
        <c:lblAlgn val="ctr"/>
        <c:lblOffset val="100"/>
        <c:noMultiLvlLbl val="0"/>
      </c:catAx>
      <c:valAx>
        <c:axId val="213675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675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prog_cen_cegły!$B$1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prog_cen_cegły!$B$2:$B$23</c:f>
              <c:numCache>
                <c:formatCode>#,##0.00</c:formatCode>
                <c:ptCount val="22"/>
                <c:pt idx="0">
                  <c:v>0.73</c:v>
                </c:pt>
                <c:pt idx="1">
                  <c:v>0.75</c:v>
                </c:pt>
                <c:pt idx="2">
                  <c:v>1.34</c:v>
                </c:pt>
                <c:pt idx="3">
                  <c:v>1.48</c:v>
                </c:pt>
                <c:pt idx="4">
                  <c:v>1.33</c:v>
                </c:pt>
                <c:pt idx="5">
                  <c:v>1.23</c:v>
                </c:pt>
                <c:pt idx="6">
                  <c:v>1.21</c:v>
                </c:pt>
                <c:pt idx="7">
                  <c:v>1.2</c:v>
                </c:pt>
                <c:pt idx="8">
                  <c:v>1.18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1.1399999999999999</c:v>
                </c:pt>
                <c:pt idx="12">
                  <c:v>1.1399999999999999</c:v>
                </c:pt>
                <c:pt idx="13">
                  <c:v>1.19</c:v>
                </c:pt>
                <c:pt idx="14">
                  <c:v>1.29</c:v>
                </c:pt>
                <c:pt idx="15">
                  <c:v>1.37</c:v>
                </c:pt>
                <c:pt idx="16">
                  <c:v>1.52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AB-4613-9F46-0E140F9DB14A}"/>
            </c:ext>
          </c:extLst>
        </c:ser>
        <c:ser>
          <c:idx val="1"/>
          <c:order val="1"/>
          <c:tx>
            <c:strRef>
              <c:f>prog_cen_cegły!$C$1</c:f>
              <c:strCache>
                <c:ptCount val="1"/>
                <c:pt idx="0">
                  <c:v>Prognoza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prog_cen_cegły!$A$2:$A$23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prog_cen_cegły!$C$2:$C$23</c:f>
              <c:numCache>
                <c:formatCode>General</c:formatCode>
                <c:ptCount val="22"/>
                <c:pt idx="16" formatCode="#,##0.00">
                  <c:v>1.52</c:v>
                </c:pt>
                <c:pt idx="17" formatCode="#,##0.00">
                  <c:v>1.5257074640258455</c:v>
                </c:pt>
                <c:pt idx="18" formatCode="#,##0.00">
                  <c:v>1.5451732063942778</c:v>
                </c:pt>
                <c:pt idx="19" formatCode="#,##0.00">
                  <c:v>1.5646389487627101</c:v>
                </c:pt>
                <c:pt idx="20" formatCode="#,##0.00">
                  <c:v>1.5841046911311425</c:v>
                </c:pt>
                <c:pt idx="21" formatCode="#,##0.00">
                  <c:v>1.6035704334995748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AB-4613-9F46-0E140F9DB14A}"/>
            </c:ext>
          </c:extLst>
        </c:ser>
        <c:ser>
          <c:idx val="2"/>
          <c:order val="2"/>
          <c:tx>
            <c:strRef>
              <c:f>prog_cen_cegły!$D$1</c:f>
              <c:strCache>
                <c:ptCount val="1"/>
                <c:pt idx="0">
                  <c:v>Dolna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prog_cen_cegły!$A$2:$A$23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prog_cen_cegły!$D$2:$D$23</c:f>
              <c:numCache>
                <c:formatCode>General</c:formatCode>
                <c:ptCount val="22"/>
                <c:pt idx="16" formatCode="#,##0.00">
                  <c:v>1.52</c:v>
                </c:pt>
                <c:pt idx="17" formatCode="#,##0.00">
                  <c:v>1.2100576497179865</c:v>
                </c:pt>
                <c:pt idx="18" formatCode="#,##0.00">
                  <c:v>1.1202985897981856</c:v>
                </c:pt>
                <c:pt idx="19" formatCode="#,##0.00">
                  <c:v>1.0531883490595979</c:v>
                </c:pt>
                <c:pt idx="20" formatCode="#,##0.00">
                  <c:v>0.99859223791670648</c:v>
                </c:pt>
                <c:pt idx="21" formatCode="#,##0.00">
                  <c:v>0.95222721376451946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AB-4613-9F46-0E140F9DB14A}"/>
            </c:ext>
          </c:extLst>
        </c:ser>
        <c:ser>
          <c:idx val="3"/>
          <c:order val="3"/>
          <c:tx>
            <c:strRef>
              <c:f>prog_cen_cegły!$E$1</c:f>
              <c:strCache>
                <c:ptCount val="1"/>
                <c:pt idx="0">
                  <c:v>Górna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prog_cen_cegły!$A$2:$A$23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prog_cen_cegły!$E$2:$E$23</c:f>
              <c:numCache>
                <c:formatCode>General</c:formatCode>
                <c:ptCount val="22"/>
                <c:pt idx="16" formatCode="#,##0.00">
                  <c:v>1.52</c:v>
                </c:pt>
                <c:pt idx="17" formatCode="#,##0.00">
                  <c:v>1.8413572783337044</c:v>
                </c:pt>
                <c:pt idx="18" formatCode="#,##0.00">
                  <c:v>1.97004782299037</c:v>
                </c:pt>
                <c:pt idx="19" formatCode="#,##0.00">
                  <c:v>2.0760895484658226</c:v>
                </c:pt>
                <c:pt idx="20" formatCode="#,##0.00">
                  <c:v>2.1696171443455787</c:v>
                </c:pt>
                <c:pt idx="21" formatCode="#,##0.00">
                  <c:v>2.2549136532346301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AB-4613-9F46-0E140F9DB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50255"/>
        <c:axId val="191052335"/>
      </c:lineChart>
      <c:catAx>
        <c:axId val="19105025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052335"/>
        <c:crosses val="autoZero"/>
        <c:auto val="1"/>
        <c:lblAlgn val="ctr"/>
        <c:lblOffset val="100"/>
        <c:noMultiLvlLbl val="0"/>
      </c:catAx>
      <c:valAx>
        <c:axId val="19105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05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prog_wynagrodzen!$B$1</c:f>
              <c:strCache>
                <c:ptCount val="1"/>
                <c:pt idx="0">
                  <c:v>Wartości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prog_wynagrodzen!$B$2:$B$23</c:f>
              <c:numCache>
                <c:formatCode>#,##0</c:formatCode>
                <c:ptCount val="22"/>
                <c:pt idx="0">
                  <c:v>2306</c:v>
                </c:pt>
                <c:pt idx="1">
                  <c:v>2413</c:v>
                </c:pt>
                <c:pt idx="2">
                  <c:v>2603</c:v>
                </c:pt>
                <c:pt idx="3">
                  <c:v>2849</c:v>
                </c:pt>
                <c:pt idx="4">
                  <c:v>3139</c:v>
                </c:pt>
                <c:pt idx="5">
                  <c:v>3300</c:v>
                </c:pt>
                <c:pt idx="6">
                  <c:v>3481</c:v>
                </c:pt>
                <c:pt idx="7">
                  <c:v>3628</c:v>
                </c:pt>
                <c:pt idx="8">
                  <c:v>3761</c:v>
                </c:pt>
                <c:pt idx="9">
                  <c:v>3899</c:v>
                </c:pt>
                <c:pt idx="10">
                  <c:v>4017</c:v>
                </c:pt>
                <c:pt idx="11">
                  <c:v>4182</c:v>
                </c:pt>
                <c:pt idx="12">
                  <c:v>4454</c:v>
                </c:pt>
                <c:pt idx="13">
                  <c:v>4816</c:v>
                </c:pt>
                <c:pt idx="14">
                  <c:v>5168</c:v>
                </c:pt>
                <c:pt idx="15">
                  <c:v>5394</c:v>
                </c:pt>
                <c:pt idx="16">
                  <c:v>5536.8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A-43AD-ACE4-0624799CE0D2}"/>
            </c:ext>
          </c:extLst>
        </c:ser>
        <c:ser>
          <c:idx val="1"/>
          <c:order val="1"/>
          <c:tx>
            <c:strRef>
              <c:f>prog_wynagrodzen!$C$1</c:f>
              <c:strCache>
                <c:ptCount val="1"/>
                <c:pt idx="0">
                  <c:v>Prognoza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prog_wynagrodzen!$A$2:$A$23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prog_wynagrodzen!$C$2:$C$23</c:f>
              <c:numCache>
                <c:formatCode>General</c:formatCode>
                <c:ptCount val="22"/>
                <c:pt idx="16" formatCode="#,##0">
                  <c:v>5536.8</c:v>
                </c:pt>
                <c:pt idx="17" formatCode="#,##0">
                  <c:v>5626.9218227087831</c:v>
                </c:pt>
                <c:pt idx="18" formatCode="#,##0">
                  <c:v>5825.4761988962227</c:v>
                </c:pt>
                <c:pt idx="19" formatCode="#,##0">
                  <c:v>6024.0305750836615</c:v>
                </c:pt>
                <c:pt idx="20" formatCode="#,##0">
                  <c:v>6222.5849512711002</c:v>
                </c:pt>
                <c:pt idx="21" formatCode="#,##0">
                  <c:v>6421.1393274585389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A-43AD-ACE4-0624799CE0D2}"/>
            </c:ext>
          </c:extLst>
        </c:ser>
        <c:ser>
          <c:idx val="2"/>
          <c:order val="2"/>
          <c:tx>
            <c:strRef>
              <c:f>prog_wynagrodzen!$D$1</c:f>
              <c:strCache>
                <c:ptCount val="1"/>
                <c:pt idx="0">
                  <c:v>Dolna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prog_wynagrodzen!$A$2:$A$23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prog_wynagrodzen!$D$2:$D$23</c:f>
              <c:numCache>
                <c:formatCode>General</c:formatCode>
                <c:ptCount val="22"/>
                <c:pt idx="16" formatCode="#,##0">
                  <c:v>5536.8</c:v>
                </c:pt>
                <c:pt idx="17" formatCode="#,##0">
                  <c:v>5375.8534660479218</c:v>
                </c:pt>
                <c:pt idx="18" formatCode="#,##0">
                  <c:v>5572.3912005496368</c:v>
                </c:pt>
                <c:pt idx="19" formatCode="#,##0">
                  <c:v>5768.9133724760668</c:v>
                </c:pt>
                <c:pt idx="20" formatCode="#,##0">
                  <c:v>5965.4201056531101</c:v>
                </c:pt>
                <c:pt idx="21" formatCode="#,##0">
                  <c:v>6161.9115227675065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A-43AD-ACE4-0624799CE0D2}"/>
            </c:ext>
          </c:extLst>
        </c:ser>
        <c:ser>
          <c:idx val="3"/>
          <c:order val="3"/>
          <c:tx>
            <c:strRef>
              <c:f>prog_wynagrodzen!$E$1</c:f>
              <c:strCache>
                <c:ptCount val="1"/>
                <c:pt idx="0">
                  <c:v>Górna granica ufności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prog_wynagrodzen!$A$2:$A$23</c:f>
              <c:numCache>
                <c:formatCode>General</c:formatCode>
                <c:ptCount val="2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</c:numCache>
            </c:numRef>
          </c:cat>
          <c:val>
            <c:numRef>
              <c:f>prog_wynagrodzen!$E$2:$E$23</c:f>
              <c:numCache>
                <c:formatCode>General</c:formatCode>
                <c:ptCount val="22"/>
                <c:pt idx="16" formatCode="#,##0">
                  <c:v>5536.8</c:v>
                </c:pt>
                <c:pt idx="17" formatCode="#,##0">
                  <c:v>5877.9901793696445</c:v>
                </c:pt>
                <c:pt idx="18" formatCode="#,##0">
                  <c:v>6078.5611972428087</c:v>
                </c:pt>
                <c:pt idx="19" formatCode="#,##0">
                  <c:v>6279.1477776912561</c:v>
                </c:pt>
                <c:pt idx="20" formatCode="#,##0">
                  <c:v>6479.7497968890902</c:v>
                </c:pt>
                <c:pt idx="21" formatCode="#,##0">
                  <c:v>6680.3671321495713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3A-43AD-ACE4-0624799CE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090079"/>
        <c:axId val="267090495"/>
      </c:lineChart>
      <c:catAx>
        <c:axId val="26709007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7090495"/>
        <c:crosses val="autoZero"/>
        <c:auto val="1"/>
        <c:lblAlgn val="ctr"/>
        <c:lblOffset val="100"/>
        <c:noMultiLvlLbl val="0"/>
      </c:catAx>
      <c:valAx>
        <c:axId val="26709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709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45</xdr:row>
      <xdr:rowOff>0</xdr:rowOff>
    </xdr:from>
    <xdr:to>
      <xdr:col>4</xdr:col>
      <xdr:colOff>676275</xdr:colOff>
      <xdr:row>45</xdr:row>
      <xdr:rowOff>180975</xdr:rowOff>
    </xdr:to>
    <xdr:pic>
      <xdr:nvPicPr>
        <xdr:cNvPr id="2" name="Obraz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8572500"/>
          <a:ext cx="2314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43</xdr:row>
      <xdr:rowOff>9525</xdr:rowOff>
    </xdr:from>
    <xdr:to>
      <xdr:col>1</xdr:col>
      <xdr:colOff>1038225</xdr:colOff>
      <xdr:row>44</xdr:row>
      <xdr:rowOff>85725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3344525"/>
          <a:ext cx="962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62</xdr:row>
      <xdr:rowOff>9525</xdr:rowOff>
    </xdr:from>
    <xdr:to>
      <xdr:col>11</xdr:col>
      <xdr:colOff>428625</xdr:colOff>
      <xdr:row>63</xdr:row>
      <xdr:rowOff>85725</xdr:rowOff>
    </xdr:to>
    <xdr:pic>
      <xdr:nvPicPr>
        <xdr:cNvPr id="2" name="Obraz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1820525"/>
          <a:ext cx="27717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20</xdr:row>
      <xdr:rowOff>180975</xdr:rowOff>
    </xdr:from>
    <xdr:to>
      <xdr:col>18</xdr:col>
      <xdr:colOff>304800</xdr:colOff>
      <xdr:row>35</xdr:row>
      <xdr:rowOff>66675</xdr:rowOff>
    </xdr:to>
    <xdr:graphicFrame macro="">
      <xdr:nvGraphicFramePr>
        <xdr:cNvPr id="13" name="Wykres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0</xdr:row>
      <xdr:rowOff>0</xdr:rowOff>
    </xdr:from>
    <xdr:to>
      <xdr:col>9</xdr:col>
      <xdr:colOff>733425</xdr:colOff>
      <xdr:row>1</xdr:row>
      <xdr:rowOff>76200</xdr:rowOff>
    </xdr:to>
    <xdr:pic>
      <xdr:nvPicPr>
        <xdr:cNvPr id="15" name="Obraz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0"/>
          <a:ext cx="685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28575</xdr:colOff>
      <xdr:row>0</xdr:row>
      <xdr:rowOff>0</xdr:rowOff>
    </xdr:from>
    <xdr:to>
      <xdr:col>10</xdr:col>
      <xdr:colOff>714375</xdr:colOff>
      <xdr:row>1</xdr:row>
      <xdr:rowOff>76200</xdr:rowOff>
    </xdr:to>
    <xdr:pic>
      <xdr:nvPicPr>
        <xdr:cNvPr id="17" name="Obraz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0"/>
          <a:ext cx="685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</xdr:row>
      <xdr:rowOff>38100</xdr:rowOff>
    </xdr:from>
    <xdr:to>
      <xdr:col>20</xdr:col>
      <xdr:colOff>561975</xdr:colOff>
      <xdr:row>16</xdr:row>
      <xdr:rowOff>114300</xdr:rowOff>
    </xdr:to>
    <xdr:graphicFrame macro="">
      <xdr:nvGraphicFramePr>
        <xdr:cNvPr id="11" name="Wykres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19</xdr:row>
      <xdr:rowOff>104775</xdr:rowOff>
    </xdr:from>
    <xdr:to>
      <xdr:col>20</xdr:col>
      <xdr:colOff>523875</xdr:colOff>
      <xdr:row>34</xdr:row>
      <xdr:rowOff>180975</xdr:rowOff>
    </xdr:to>
    <xdr:graphicFrame macro="">
      <xdr:nvGraphicFramePr>
        <xdr:cNvPr id="12" name="Wykres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504825</xdr:colOff>
      <xdr:row>37</xdr:row>
      <xdr:rowOff>95250</xdr:rowOff>
    </xdr:from>
    <xdr:to>
      <xdr:col>20</xdr:col>
      <xdr:colOff>542925</xdr:colOff>
      <xdr:row>52</xdr:row>
      <xdr:rowOff>171450</xdr:rowOff>
    </xdr:to>
    <xdr:graphicFrame macro="">
      <xdr:nvGraphicFramePr>
        <xdr:cNvPr id="13" name="Wykres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57</xdr:row>
      <xdr:rowOff>0</xdr:rowOff>
    </xdr:from>
    <xdr:to>
      <xdr:col>21</xdr:col>
      <xdr:colOff>38100</xdr:colOff>
      <xdr:row>72</xdr:row>
      <xdr:rowOff>76200</xdr:rowOff>
    </xdr:to>
    <xdr:graphicFrame macro="">
      <xdr:nvGraphicFramePr>
        <xdr:cNvPr id="14" name="Wykres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233362</xdr:colOff>
      <xdr:row>4</xdr:row>
      <xdr:rowOff>4762</xdr:rowOff>
    </xdr:from>
    <xdr:to>
      <xdr:col>15</xdr:col>
      <xdr:colOff>271462</xdr:colOff>
      <xdr:row>19</xdr:row>
      <xdr:rowOff>80962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271462</xdr:colOff>
      <xdr:row>3</xdr:row>
      <xdr:rowOff>90487</xdr:rowOff>
    </xdr:from>
    <xdr:to>
      <xdr:col>15</xdr:col>
      <xdr:colOff>309562</xdr:colOff>
      <xdr:row>18</xdr:row>
      <xdr:rowOff>166687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395287</xdr:colOff>
      <xdr:row>4</xdr:row>
      <xdr:rowOff>80962</xdr:rowOff>
    </xdr:from>
    <xdr:to>
      <xdr:col>15</xdr:col>
      <xdr:colOff>433387</xdr:colOff>
      <xdr:row>19</xdr:row>
      <xdr:rowOff>157162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500062</xdr:colOff>
      <xdr:row>3</xdr:row>
      <xdr:rowOff>138112</xdr:rowOff>
    </xdr:from>
    <xdr:to>
      <xdr:col>15</xdr:col>
      <xdr:colOff>538162</xdr:colOff>
      <xdr:row>19</xdr:row>
      <xdr:rowOff>23812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Tabela6" displayName="Tabela6" ref="A1:E23" totalsRowShown="0">
  <autoFilter ref="A1:E23"/>
  <tableColumns count="5">
    <tableColumn id="1" name="Oś czasu" dataDxfId="15"/>
    <tableColumn id="2" name="Wartości"/>
    <tableColumn id="3" name="Prognoza" dataDxfId="14">
      <calculatedColumnFormula>_xlfn.FORECAST.ETS(A2,$B$2:$B$18,$A$2:$A$18,1,1)</calculatedColumnFormula>
    </tableColumn>
    <tableColumn id="4" name="Dolna granica ufności" dataDxfId="13">
      <calculatedColumnFormula>C2-_xlfn.FORECAST.ETS.CONFINT(A2,$B$2:$B$18,$A$2:$A$18,0.95,1,1)</calculatedColumnFormula>
    </tableColumn>
    <tableColumn id="5" name="Górna granica ufności" dataDxfId="12">
      <calculatedColumnFormula>C2+_xlfn.FORECAST.ETS.CONFINT(A2,$B$2:$B$18,$A$2:$A$18,0.95,1,1)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ela7" displayName="Tabela7" ref="A1:E23" totalsRowShown="0">
  <autoFilter ref="A1:E23"/>
  <tableColumns count="5">
    <tableColumn id="1" name="Oś czasu" dataDxfId="11"/>
    <tableColumn id="2" name="Wartości"/>
    <tableColumn id="3" name="Prognoza" dataDxfId="10">
      <calculatedColumnFormula>_xlfn.FORECAST.ETS(A2,$B$2:$B$18,$A$2:$A$18,1,1)</calculatedColumnFormula>
    </tableColumn>
    <tableColumn id="4" name="Dolna granica ufności" dataDxfId="9">
      <calculatedColumnFormula>C2-_xlfn.FORECAST.ETS.CONFINT(A2,$B$2:$B$18,$A$2:$A$18,0.95,1,1)</calculatedColumnFormula>
    </tableColumn>
    <tableColumn id="5" name="Górna granica ufności" dataDxfId="8">
      <calculatedColumnFormula>C2+_xlfn.FORECAST.ETS.CONFINT(A2,$B$2:$B$18,$A$2:$A$18,0.95,1,1)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ela8" displayName="Tabela8" ref="A1:E23" totalsRowShown="0">
  <autoFilter ref="A1:E23"/>
  <tableColumns count="5">
    <tableColumn id="1" name="Oś czasu" dataDxfId="7"/>
    <tableColumn id="2" name="Wartości"/>
    <tableColumn id="3" name="Prognoza" dataDxfId="6">
      <calculatedColumnFormula>_xlfn.FORECAST.ETS(A2,$B$2:$B$18,$A$2:$A$18,1,1)</calculatedColumnFormula>
    </tableColumn>
    <tableColumn id="4" name="Dolna granica ufności" dataDxfId="5">
      <calculatedColumnFormula>C2-_xlfn.FORECAST.ETS.CONFINT(A2,$B$2:$B$18,$A$2:$A$18,0.95,1,1)</calculatedColumnFormula>
    </tableColumn>
    <tableColumn id="5" name="Górna granica ufności" dataDxfId="4">
      <calculatedColumnFormula>C2+_xlfn.FORECAST.ETS.CONFINT(A2,$B$2:$B$18,$A$2:$A$18,0.95,1,1)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ela9" displayName="Tabela9" ref="A1:E23" totalsRowShown="0">
  <autoFilter ref="A1:E23"/>
  <tableColumns count="5">
    <tableColumn id="1" name="Oś czasu" dataDxfId="3"/>
    <tableColumn id="2" name="Wartości"/>
    <tableColumn id="3" name="Prognoza" dataDxfId="2">
      <calculatedColumnFormula>_xlfn.FORECAST.ETS(A2,$B$2:$B$18,$A$2:$A$18,1,1)</calculatedColumnFormula>
    </tableColumn>
    <tableColumn id="4" name="Dolna granica ufności" dataDxfId="1">
      <calculatedColumnFormula>C2-_xlfn.FORECAST.ETS.CONFINT(A2,$B$2:$B$18,$A$2:$A$18,0.95,1,1)</calculatedColumnFormula>
    </tableColumn>
    <tableColumn id="5" name="Górna granica ufności" dataDxfId="0">
      <calculatedColumnFormula>C2+_xlfn.FORECAST.ETS.CONFINT(A2,$B$2:$B$18,$A$2:$A$18,0.95,1,1)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6" sqref="L6:P6"/>
    </sheetView>
  </sheetViews>
  <sheetFormatPr defaultRowHeight="15" x14ac:dyDescent="0.25"/>
  <cols>
    <col min="5" max="5" width="13" customWidth="1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7" t="s">
        <v>8</v>
      </c>
      <c r="J1" s="7" t="s">
        <v>9</v>
      </c>
      <c r="K1" s="8"/>
    </row>
    <row r="2" spans="1:16" x14ac:dyDescent="0.25">
      <c r="A2" s="34">
        <v>2005</v>
      </c>
      <c r="B2" s="9">
        <v>1</v>
      </c>
      <c r="C2" s="10">
        <v>2439.25</v>
      </c>
      <c r="D2" s="9">
        <v>37641</v>
      </c>
      <c r="E2" s="9">
        <v>38157055</v>
      </c>
      <c r="F2" s="9">
        <v>206916</v>
      </c>
      <c r="G2" s="10">
        <v>39.119999999999997</v>
      </c>
      <c r="H2" s="11">
        <v>0.73</v>
      </c>
      <c r="I2" s="9">
        <v>2773000</v>
      </c>
      <c r="J2" s="9">
        <v>2306</v>
      </c>
      <c r="K2" s="12"/>
      <c r="L2" s="79" t="s">
        <v>116</v>
      </c>
      <c r="M2" s="80"/>
      <c r="N2" s="80"/>
      <c r="O2" s="80"/>
      <c r="P2" s="81"/>
    </row>
    <row r="3" spans="1:16" x14ac:dyDescent="0.25">
      <c r="A3" s="34">
        <v>2006</v>
      </c>
      <c r="B3" s="9">
        <v>2</v>
      </c>
      <c r="C3" s="10">
        <v>2545.25</v>
      </c>
      <c r="D3" s="9">
        <v>42029</v>
      </c>
      <c r="E3" s="9">
        <v>38125479</v>
      </c>
      <c r="F3" s="9">
        <v>226181</v>
      </c>
      <c r="G3" s="10">
        <v>41.98</v>
      </c>
      <c r="H3" s="11">
        <v>0.75</v>
      </c>
      <c r="I3" s="9">
        <v>2309410</v>
      </c>
      <c r="J3" s="9">
        <v>2413</v>
      </c>
      <c r="K3" s="13"/>
      <c r="L3" s="82" t="s">
        <v>11</v>
      </c>
      <c r="M3" s="83"/>
      <c r="N3" s="83"/>
      <c r="O3" s="83"/>
      <c r="P3" s="84"/>
    </row>
    <row r="4" spans="1:16" x14ac:dyDescent="0.25">
      <c r="A4" s="34">
        <v>2007</v>
      </c>
      <c r="B4" s="9">
        <v>3</v>
      </c>
      <c r="C4" s="10">
        <v>2816</v>
      </c>
      <c r="D4" s="9">
        <v>51077</v>
      </c>
      <c r="E4" s="9">
        <v>38115641</v>
      </c>
      <c r="F4" s="9">
        <v>248702</v>
      </c>
      <c r="G4" s="10">
        <v>44.35</v>
      </c>
      <c r="H4" s="11">
        <v>1.34</v>
      </c>
      <c r="I4" s="9">
        <v>1746573</v>
      </c>
      <c r="J4" s="9">
        <v>2603</v>
      </c>
      <c r="K4" s="13"/>
      <c r="L4" s="82" t="s">
        <v>12</v>
      </c>
      <c r="M4" s="83"/>
      <c r="N4" s="83"/>
      <c r="O4" s="83"/>
      <c r="P4" s="84"/>
    </row>
    <row r="5" spans="1:16" x14ac:dyDescent="0.25">
      <c r="A5" s="34">
        <v>2008</v>
      </c>
      <c r="B5" s="9">
        <v>4</v>
      </c>
      <c r="C5" s="10">
        <v>3316.25</v>
      </c>
      <c r="D5" s="9">
        <v>74512</v>
      </c>
      <c r="E5" s="9">
        <v>38135876</v>
      </c>
      <c r="F5" s="9">
        <v>257744</v>
      </c>
      <c r="G5" s="10">
        <v>45.24</v>
      </c>
      <c r="H5" s="11">
        <v>1.48</v>
      </c>
      <c r="I5" s="9">
        <v>1473752</v>
      </c>
      <c r="J5" s="9">
        <v>2849</v>
      </c>
      <c r="K5" s="13"/>
      <c r="L5" s="82" t="s">
        <v>13</v>
      </c>
      <c r="M5" s="83"/>
      <c r="N5" s="83"/>
      <c r="O5" s="83"/>
      <c r="P5" s="84"/>
    </row>
    <row r="6" spans="1:16" x14ac:dyDescent="0.25">
      <c r="A6" s="34">
        <v>2009</v>
      </c>
      <c r="B6" s="9">
        <v>5</v>
      </c>
      <c r="C6" s="10">
        <v>3891.5</v>
      </c>
      <c r="D6" s="9">
        <v>79590</v>
      </c>
      <c r="E6" s="9">
        <v>38167329</v>
      </c>
      <c r="F6" s="9">
        <v>250794</v>
      </c>
      <c r="G6" s="11">
        <v>47.47</v>
      </c>
      <c r="H6" s="11">
        <v>1.33</v>
      </c>
      <c r="I6" s="9">
        <v>1892680</v>
      </c>
      <c r="J6" s="9">
        <v>3139</v>
      </c>
      <c r="K6" s="13"/>
      <c r="L6" s="85" t="s">
        <v>117</v>
      </c>
      <c r="M6" s="83"/>
      <c r="N6" s="83"/>
      <c r="O6" s="83"/>
      <c r="P6" s="84"/>
    </row>
    <row r="7" spans="1:16" x14ac:dyDescent="0.25">
      <c r="A7" s="34">
        <v>2010</v>
      </c>
      <c r="B7" s="9">
        <v>6</v>
      </c>
      <c r="C7" s="10">
        <v>4360.25</v>
      </c>
      <c r="D7" s="9">
        <v>59324</v>
      </c>
      <c r="E7" s="9">
        <v>38529866</v>
      </c>
      <c r="F7" s="9">
        <v>228337</v>
      </c>
      <c r="G7" s="11">
        <v>49.72</v>
      </c>
      <c r="H7" s="11">
        <v>1.23</v>
      </c>
      <c r="I7" s="9">
        <v>1954706</v>
      </c>
      <c r="J7" s="9">
        <v>3300</v>
      </c>
      <c r="K7" s="13"/>
      <c r="L7" s="82" t="s">
        <v>15</v>
      </c>
      <c r="M7" s="83"/>
      <c r="N7" s="83"/>
      <c r="O7" s="83"/>
      <c r="P7" s="84"/>
    </row>
    <row r="8" spans="1:16" x14ac:dyDescent="0.25">
      <c r="A8" s="34">
        <v>2011</v>
      </c>
      <c r="B8" s="9">
        <v>7</v>
      </c>
      <c r="C8" s="10">
        <v>3858.25</v>
      </c>
      <c r="D8" s="9">
        <v>56925</v>
      </c>
      <c r="E8" s="9">
        <v>38538447</v>
      </c>
      <c r="F8" s="9">
        <v>206471</v>
      </c>
      <c r="G8" s="11">
        <v>52.17</v>
      </c>
      <c r="H8" s="11">
        <v>1.21</v>
      </c>
      <c r="I8" s="9">
        <v>1982676</v>
      </c>
      <c r="J8" s="9">
        <v>3481</v>
      </c>
      <c r="K8" s="13"/>
      <c r="L8" s="82" t="s">
        <v>16</v>
      </c>
      <c r="M8" s="83"/>
      <c r="N8" s="83"/>
      <c r="O8" s="83"/>
      <c r="P8" s="84"/>
    </row>
    <row r="9" spans="1:16" x14ac:dyDescent="0.25">
      <c r="A9" s="34">
        <v>2012</v>
      </c>
      <c r="B9" s="9">
        <v>8</v>
      </c>
      <c r="C9" s="10">
        <v>3996.25</v>
      </c>
      <c r="D9" s="9">
        <v>74367</v>
      </c>
      <c r="E9" s="9">
        <v>38533299</v>
      </c>
      <c r="F9" s="9">
        <v>203850</v>
      </c>
      <c r="G9" s="11">
        <v>54.1</v>
      </c>
      <c r="H9" s="11">
        <v>1.2</v>
      </c>
      <c r="I9" s="9">
        <v>2136815</v>
      </c>
      <c r="J9" s="9">
        <v>3628</v>
      </c>
      <c r="K9" s="13"/>
      <c r="L9" s="76" t="s">
        <v>17</v>
      </c>
      <c r="M9" s="77"/>
      <c r="N9" s="77"/>
      <c r="O9" s="77"/>
      <c r="P9" s="78"/>
    </row>
    <row r="10" spans="1:16" x14ac:dyDescent="0.25">
      <c r="A10" s="34">
        <v>2013</v>
      </c>
      <c r="B10" s="9">
        <v>9</v>
      </c>
      <c r="C10" s="10">
        <v>4025.25</v>
      </c>
      <c r="D10" s="9">
        <v>65723</v>
      </c>
      <c r="E10" s="9">
        <v>38495659</v>
      </c>
      <c r="F10" s="9">
        <v>180396</v>
      </c>
      <c r="G10" s="11">
        <v>55.91</v>
      </c>
      <c r="H10" s="11">
        <v>1.18</v>
      </c>
      <c r="I10" s="9">
        <v>2157883</v>
      </c>
      <c r="J10" s="9">
        <v>3761</v>
      </c>
      <c r="K10" s="13"/>
      <c r="L10" s="13"/>
      <c r="M10" s="13"/>
    </row>
    <row r="11" spans="1:16" x14ac:dyDescent="0.25">
      <c r="A11" s="34">
        <v>2014</v>
      </c>
      <c r="B11" s="9">
        <v>10</v>
      </c>
      <c r="C11" s="10">
        <v>4033.5</v>
      </c>
      <c r="D11" s="9">
        <v>68928</v>
      </c>
      <c r="E11" s="9">
        <v>38478602</v>
      </c>
      <c r="F11" s="9">
        <v>188488</v>
      </c>
      <c r="G11" s="11">
        <v>57.34</v>
      </c>
      <c r="H11" s="11">
        <v>1.17</v>
      </c>
      <c r="I11" s="9">
        <v>1825180</v>
      </c>
      <c r="J11" s="9">
        <v>3899</v>
      </c>
      <c r="K11" s="8"/>
      <c r="L11" s="13"/>
      <c r="M11" s="13"/>
    </row>
    <row r="12" spans="1:16" x14ac:dyDescent="0.25">
      <c r="A12" s="34">
        <v>2015</v>
      </c>
      <c r="B12" s="9">
        <v>11</v>
      </c>
      <c r="C12" s="10">
        <v>3969.5</v>
      </c>
      <c r="D12" s="9">
        <v>74425</v>
      </c>
      <c r="E12" s="9">
        <v>38437239</v>
      </c>
      <c r="F12" s="9">
        <v>188832</v>
      </c>
      <c r="G12" s="11">
        <v>57.87</v>
      </c>
      <c r="H12" s="11">
        <v>1.1499999999999999</v>
      </c>
      <c r="I12" s="9">
        <v>1563339</v>
      </c>
      <c r="J12" s="9">
        <v>4017</v>
      </c>
      <c r="K12" s="13"/>
      <c r="L12" s="13"/>
      <c r="M12" s="13"/>
    </row>
    <row r="13" spans="1:16" x14ac:dyDescent="0.25">
      <c r="A13" s="34">
        <v>2016</v>
      </c>
      <c r="B13" s="9">
        <v>12</v>
      </c>
      <c r="C13" s="10">
        <v>4054</v>
      </c>
      <c r="D13" s="9">
        <v>91516</v>
      </c>
      <c r="E13" s="9">
        <v>38432992</v>
      </c>
      <c r="F13" s="9">
        <v>193455</v>
      </c>
      <c r="G13" s="11">
        <v>58.84</v>
      </c>
      <c r="H13" s="11">
        <v>1.1399999999999999</v>
      </c>
      <c r="I13" s="9">
        <v>1335155</v>
      </c>
      <c r="J13" s="9">
        <v>4182</v>
      </c>
      <c r="K13" s="13"/>
      <c r="L13" s="13"/>
      <c r="M13" s="13"/>
    </row>
    <row r="14" spans="1:16" x14ac:dyDescent="0.25">
      <c r="A14" s="34">
        <v>2017</v>
      </c>
      <c r="B14" s="9">
        <v>13</v>
      </c>
      <c r="C14" s="10">
        <v>4170</v>
      </c>
      <c r="D14" s="9">
        <v>105027</v>
      </c>
      <c r="E14" s="9">
        <v>38433558</v>
      </c>
      <c r="F14" s="9">
        <v>192576</v>
      </c>
      <c r="G14" s="11">
        <v>60.39</v>
      </c>
      <c r="H14" s="11">
        <v>1.1399999999999999</v>
      </c>
      <c r="I14" s="9">
        <v>1081746</v>
      </c>
      <c r="J14" s="9">
        <v>4454</v>
      </c>
      <c r="K14" s="13"/>
      <c r="L14" s="13"/>
      <c r="M14" s="13"/>
    </row>
    <row r="15" spans="1:16" x14ac:dyDescent="0.25">
      <c r="A15" s="34">
        <v>2018</v>
      </c>
      <c r="B15" s="9">
        <v>14</v>
      </c>
      <c r="C15" s="10">
        <v>4237.5</v>
      </c>
      <c r="D15" s="9">
        <v>112317</v>
      </c>
      <c r="E15" s="9">
        <v>38411148</v>
      </c>
      <c r="F15" s="9">
        <v>192443</v>
      </c>
      <c r="G15" s="10">
        <v>62.64</v>
      </c>
      <c r="H15" s="11">
        <v>1.19</v>
      </c>
      <c r="I15" s="9">
        <v>968888</v>
      </c>
      <c r="J15" s="9">
        <v>4816</v>
      </c>
      <c r="K15" s="13"/>
      <c r="L15" s="13"/>
      <c r="M15" s="13"/>
    </row>
    <row r="16" spans="1:16" x14ac:dyDescent="0.25">
      <c r="A16" s="34">
        <v>2019</v>
      </c>
      <c r="B16" s="9">
        <v>15</v>
      </c>
      <c r="C16" s="10">
        <v>4461.25</v>
      </c>
      <c r="D16" s="9">
        <v>131435</v>
      </c>
      <c r="E16" s="9">
        <v>38382576</v>
      </c>
      <c r="F16" s="9">
        <v>183371</v>
      </c>
      <c r="G16" s="10">
        <v>63.32</v>
      </c>
      <c r="H16" s="11">
        <v>1.29</v>
      </c>
      <c r="I16" s="9">
        <v>866374</v>
      </c>
      <c r="J16" s="9">
        <v>5168</v>
      </c>
      <c r="K16" s="13"/>
      <c r="L16" s="13"/>
      <c r="M16" s="13"/>
    </row>
    <row r="17" spans="1:13" x14ac:dyDescent="0.25">
      <c r="A17" s="34">
        <v>2020</v>
      </c>
      <c r="B17" s="9">
        <v>16</v>
      </c>
      <c r="C17" s="10">
        <v>4891.5</v>
      </c>
      <c r="D17" s="9">
        <v>142691</v>
      </c>
      <c r="E17" s="9">
        <v>38088564</v>
      </c>
      <c r="F17" s="9">
        <v>145045</v>
      </c>
      <c r="G17" s="10">
        <v>65.849999999999994</v>
      </c>
      <c r="H17" s="11">
        <v>1.37</v>
      </c>
      <c r="I17" s="9">
        <v>1046432</v>
      </c>
      <c r="J17" s="9">
        <v>5394</v>
      </c>
      <c r="K17" s="13"/>
      <c r="L17" s="13"/>
      <c r="M17" s="13"/>
    </row>
    <row r="18" spans="1:13" x14ac:dyDescent="0.25">
      <c r="A18" s="34">
        <v>2021</v>
      </c>
      <c r="B18" s="9">
        <v>17</v>
      </c>
      <c r="C18" s="10">
        <v>5134.25</v>
      </c>
      <c r="D18" s="9">
        <v>141941</v>
      </c>
      <c r="E18" s="9">
        <v>37907704</v>
      </c>
      <c r="F18" s="9">
        <v>168324</v>
      </c>
      <c r="G18" s="10">
        <v>67.540000000000006</v>
      </c>
      <c r="H18" s="11">
        <v>1.52</v>
      </c>
      <c r="I18" s="9">
        <v>895203</v>
      </c>
      <c r="J18" s="14">
        <v>5536.8</v>
      </c>
      <c r="K18" s="13"/>
      <c r="L18" s="13"/>
      <c r="M18" s="13"/>
    </row>
  </sheetData>
  <mergeCells count="8">
    <mergeCell ref="L9:P9"/>
    <mergeCell ref="L2:P2"/>
    <mergeCell ref="L3:P3"/>
    <mergeCell ref="L4:P4"/>
    <mergeCell ref="L5:P5"/>
    <mergeCell ref="L6:P6"/>
    <mergeCell ref="L7:P7"/>
    <mergeCell ref="L8:P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zoomScaleNormal="100" workbookViewId="0">
      <selection activeCell="O19" sqref="O19"/>
    </sheetView>
  </sheetViews>
  <sheetFormatPr defaultRowHeight="15" x14ac:dyDescent="0.25"/>
  <cols>
    <col min="1" max="1" width="20" customWidth="1"/>
    <col min="2" max="2" width="16.42578125" customWidth="1"/>
    <col min="3" max="3" width="14.7109375" customWidth="1"/>
    <col min="4" max="4" width="14.85546875" customWidth="1"/>
    <col min="5" max="5" width="15" customWidth="1"/>
    <col min="6" max="6" width="14.140625" customWidth="1"/>
    <col min="7" max="7" width="13.85546875" customWidth="1"/>
    <col min="8" max="8" width="11.7109375" customWidth="1"/>
    <col min="9" max="9" width="10.7109375" customWidth="1"/>
    <col min="10" max="10" width="11.7109375" customWidth="1"/>
    <col min="12" max="12" width="10.5703125" customWidth="1"/>
    <col min="15" max="15" width="12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8"/>
      <c r="L1" s="2" t="s">
        <v>10</v>
      </c>
      <c r="M1" s="61"/>
      <c r="N1" s="5"/>
      <c r="O1" s="5"/>
    </row>
    <row r="2" spans="1:15" x14ac:dyDescent="0.25">
      <c r="A2" s="1">
        <v>2005</v>
      </c>
      <c r="B2" s="9">
        <v>1</v>
      </c>
      <c r="C2" s="10">
        <v>2439.25</v>
      </c>
      <c r="D2" s="9">
        <v>37641</v>
      </c>
      <c r="E2" s="9">
        <v>38157055</v>
      </c>
      <c r="F2" s="9">
        <v>206916</v>
      </c>
      <c r="G2" s="10">
        <v>39.119999999999997</v>
      </c>
      <c r="H2" s="11">
        <v>0.73</v>
      </c>
      <c r="I2" s="9">
        <v>2773000</v>
      </c>
      <c r="J2" s="9">
        <v>2306</v>
      </c>
      <c r="K2" s="12"/>
      <c r="L2" s="3" t="s">
        <v>11</v>
      </c>
      <c r="M2" s="62"/>
      <c r="N2" s="5"/>
      <c r="O2" s="5"/>
    </row>
    <row r="3" spans="1:15" x14ac:dyDescent="0.25">
      <c r="A3" s="1">
        <v>2006</v>
      </c>
      <c r="B3" s="9">
        <v>2</v>
      </c>
      <c r="C3" s="10">
        <v>2545.25</v>
      </c>
      <c r="D3" s="9">
        <v>42029</v>
      </c>
      <c r="E3" s="9">
        <v>38125479</v>
      </c>
      <c r="F3" s="9">
        <v>226181</v>
      </c>
      <c r="G3" s="10">
        <v>41.98</v>
      </c>
      <c r="H3" s="11">
        <v>0.75</v>
      </c>
      <c r="I3" s="9">
        <v>2309410</v>
      </c>
      <c r="J3" s="9">
        <v>2413</v>
      </c>
      <c r="K3" s="13"/>
      <c r="L3" s="3" t="s">
        <v>12</v>
      </c>
      <c r="M3" s="62"/>
      <c r="N3" s="5"/>
      <c r="O3" s="5"/>
    </row>
    <row r="4" spans="1:15" x14ac:dyDescent="0.25">
      <c r="A4" s="1">
        <v>2007</v>
      </c>
      <c r="B4" s="9">
        <v>3</v>
      </c>
      <c r="C4" s="10">
        <v>2816</v>
      </c>
      <c r="D4" s="9">
        <v>51077</v>
      </c>
      <c r="E4" s="9">
        <v>38115641</v>
      </c>
      <c r="F4" s="9">
        <v>248702</v>
      </c>
      <c r="G4" s="10">
        <v>44.35</v>
      </c>
      <c r="H4" s="11">
        <v>1.34</v>
      </c>
      <c r="I4" s="9">
        <v>1746573</v>
      </c>
      <c r="J4" s="9">
        <v>2603</v>
      </c>
      <c r="K4" s="13"/>
      <c r="L4" s="3" t="s">
        <v>13</v>
      </c>
      <c r="M4" s="62"/>
      <c r="N4" s="5"/>
      <c r="O4" s="5"/>
    </row>
    <row r="5" spans="1:15" x14ac:dyDescent="0.25">
      <c r="A5" s="1">
        <v>2008</v>
      </c>
      <c r="B5" s="9">
        <v>4</v>
      </c>
      <c r="C5" s="10">
        <v>3316.25</v>
      </c>
      <c r="D5" s="9">
        <v>74512</v>
      </c>
      <c r="E5" s="9">
        <v>38135876</v>
      </c>
      <c r="F5" s="9">
        <v>257744</v>
      </c>
      <c r="G5" s="10">
        <v>45.24</v>
      </c>
      <c r="H5" s="11">
        <v>1.48</v>
      </c>
      <c r="I5" s="9">
        <v>1473752</v>
      </c>
      <c r="J5" s="9">
        <v>2849</v>
      </c>
      <c r="K5" s="13"/>
      <c r="L5" s="3" t="s">
        <v>14</v>
      </c>
      <c r="M5" s="62"/>
      <c r="N5" s="5"/>
      <c r="O5" s="5"/>
    </row>
    <row r="6" spans="1:15" x14ac:dyDescent="0.25">
      <c r="A6" s="1">
        <v>2009</v>
      </c>
      <c r="B6" s="9">
        <v>5</v>
      </c>
      <c r="C6" s="10">
        <v>3891.5</v>
      </c>
      <c r="D6" s="9">
        <v>79590</v>
      </c>
      <c r="E6" s="9">
        <v>38167329</v>
      </c>
      <c r="F6" s="9">
        <v>250794</v>
      </c>
      <c r="G6" s="11">
        <v>47.47</v>
      </c>
      <c r="H6" s="11">
        <v>1.33</v>
      </c>
      <c r="I6" s="9">
        <v>1892680</v>
      </c>
      <c r="J6" s="9">
        <v>3139</v>
      </c>
      <c r="K6" s="13"/>
      <c r="L6" s="3" t="s">
        <v>15</v>
      </c>
      <c r="M6" s="62"/>
      <c r="N6" s="5"/>
      <c r="O6" s="5"/>
    </row>
    <row r="7" spans="1:15" x14ac:dyDescent="0.25">
      <c r="A7" s="1">
        <v>2010</v>
      </c>
      <c r="B7" s="9">
        <v>6</v>
      </c>
      <c r="C7" s="10">
        <v>4360.25</v>
      </c>
      <c r="D7" s="9">
        <v>59324</v>
      </c>
      <c r="E7" s="9">
        <v>38529866</v>
      </c>
      <c r="F7" s="9">
        <v>228337</v>
      </c>
      <c r="G7" s="11">
        <v>49.72</v>
      </c>
      <c r="H7" s="11">
        <v>1.23</v>
      </c>
      <c r="I7" s="9">
        <v>1954706</v>
      </c>
      <c r="J7" s="9">
        <v>3300</v>
      </c>
      <c r="K7" s="13"/>
      <c r="L7" s="3" t="s">
        <v>16</v>
      </c>
      <c r="M7" s="62"/>
      <c r="N7" s="5"/>
      <c r="O7" s="5"/>
    </row>
    <row r="8" spans="1:15" x14ac:dyDescent="0.25">
      <c r="A8" s="1">
        <v>2011</v>
      </c>
      <c r="B8" s="9">
        <v>7</v>
      </c>
      <c r="C8" s="10">
        <v>3858.25</v>
      </c>
      <c r="D8" s="9">
        <v>56925</v>
      </c>
      <c r="E8" s="9">
        <v>38538447</v>
      </c>
      <c r="F8" s="9">
        <v>206471</v>
      </c>
      <c r="G8" s="11">
        <v>52.17</v>
      </c>
      <c r="H8" s="11">
        <v>1.21</v>
      </c>
      <c r="I8" s="9">
        <v>1982676</v>
      </c>
      <c r="J8" s="9">
        <v>3481</v>
      </c>
      <c r="K8" s="13"/>
      <c r="L8" s="4" t="s">
        <v>17</v>
      </c>
      <c r="M8" s="62"/>
      <c r="N8" s="5"/>
      <c r="O8" s="5"/>
    </row>
    <row r="9" spans="1:15" x14ac:dyDescent="0.25">
      <c r="A9" s="1">
        <v>2012</v>
      </c>
      <c r="B9" s="9">
        <v>8</v>
      </c>
      <c r="C9" s="10">
        <v>3996.25</v>
      </c>
      <c r="D9" s="9">
        <v>74367</v>
      </c>
      <c r="E9" s="9">
        <v>38533299</v>
      </c>
      <c r="F9" s="9">
        <v>203850</v>
      </c>
      <c r="G9" s="11">
        <v>54.1</v>
      </c>
      <c r="H9" s="11">
        <v>1.2</v>
      </c>
      <c r="I9" s="9">
        <v>2136815</v>
      </c>
      <c r="J9" s="9">
        <v>3628</v>
      </c>
      <c r="K9" s="13"/>
      <c r="L9" s="13"/>
      <c r="M9" s="13"/>
    </row>
    <row r="10" spans="1:15" x14ac:dyDescent="0.25">
      <c r="A10" s="1">
        <v>2013</v>
      </c>
      <c r="B10" s="9">
        <v>9</v>
      </c>
      <c r="C10" s="10">
        <v>4025.25</v>
      </c>
      <c r="D10" s="9">
        <v>65723</v>
      </c>
      <c r="E10" s="9">
        <v>38495659</v>
      </c>
      <c r="F10" s="9">
        <v>180396</v>
      </c>
      <c r="G10" s="11">
        <v>55.91</v>
      </c>
      <c r="H10" s="11">
        <v>1.18</v>
      </c>
      <c r="I10" s="9">
        <v>2157883</v>
      </c>
      <c r="J10" s="9">
        <v>3761</v>
      </c>
      <c r="K10" s="13"/>
      <c r="L10" s="13"/>
      <c r="M10" s="13"/>
    </row>
    <row r="11" spans="1:15" x14ac:dyDescent="0.25">
      <c r="A11" s="1">
        <v>2014</v>
      </c>
      <c r="B11" s="9">
        <v>10</v>
      </c>
      <c r="C11" s="10">
        <v>4033.5</v>
      </c>
      <c r="D11" s="9">
        <v>68928</v>
      </c>
      <c r="E11" s="9">
        <v>38478602</v>
      </c>
      <c r="F11" s="9">
        <v>188488</v>
      </c>
      <c r="G11" s="11">
        <v>57.34</v>
      </c>
      <c r="H11" s="11">
        <v>1.17</v>
      </c>
      <c r="I11" s="9">
        <v>1825180</v>
      </c>
      <c r="J11" s="9">
        <v>3899</v>
      </c>
      <c r="K11" s="8"/>
      <c r="L11" s="13"/>
      <c r="M11" s="13"/>
    </row>
    <row r="12" spans="1:15" x14ac:dyDescent="0.25">
      <c r="A12" s="1">
        <v>2015</v>
      </c>
      <c r="B12" s="9">
        <v>11</v>
      </c>
      <c r="C12" s="10">
        <v>3969.5</v>
      </c>
      <c r="D12" s="9">
        <v>74425</v>
      </c>
      <c r="E12" s="9">
        <v>38437239</v>
      </c>
      <c r="F12" s="9">
        <v>188832</v>
      </c>
      <c r="G12" s="11">
        <v>57.87</v>
      </c>
      <c r="H12" s="11">
        <v>1.1499999999999999</v>
      </c>
      <c r="I12" s="9">
        <v>1563339</v>
      </c>
      <c r="J12" s="9">
        <v>4017</v>
      </c>
      <c r="K12" s="13"/>
      <c r="L12" s="13"/>
      <c r="M12" s="13"/>
    </row>
    <row r="13" spans="1:15" x14ac:dyDescent="0.25">
      <c r="A13" s="1">
        <v>2016</v>
      </c>
      <c r="B13" s="9">
        <v>12</v>
      </c>
      <c r="C13" s="10">
        <v>4054</v>
      </c>
      <c r="D13" s="9">
        <v>91516</v>
      </c>
      <c r="E13" s="9">
        <v>38432992</v>
      </c>
      <c r="F13" s="9">
        <v>193455</v>
      </c>
      <c r="G13" s="11">
        <v>58.84</v>
      </c>
      <c r="H13" s="11">
        <v>1.1399999999999999</v>
      </c>
      <c r="I13" s="9">
        <v>1335155</v>
      </c>
      <c r="J13" s="9">
        <v>4182</v>
      </c>
      <c r="K13" s="13"/>
      <c r="L13" s="13"/>
      <c r="M13" s="13"/>
    </row>
    <row r="14" spans="1:15" x14ac:dyDescent="0.25">
      <c r="A14" s="1">
        <v>2017</v>
      </c>
      <c r="B14" s="9">
        <v>13</v>
      </c>
      <c r="C14" s="10">
        <v>4170</v>
      </c>
      <c r="D14" s="9">
        <v>105027</v>
      </c>
      <c r="E14" s="9">
        <v>38433558</v>
      </c>
      <c r="F14" s="9">
        <v>192576</v>
      </c>
      <c r="G14" s="11">
        <v>60.39</v>
      </c>
      <c r="H14" s="11">
        <v>1.1399999999999999</v>
      </c>
      <c r="I14" s="9">
        <v>1081746</v>
      </c>
      <c r="J14" s="9">
        <v>4454</v>
      </c>
      <c r="K14" s="13"/>
      <c r="L14" s="13"/>
      <c r="M14" s="13"/>
    </row>
    <row r="15" spans="1:15" x14ac:dyDescent="0.25">
      <c r="A15" s="1">
        <v>2018</v>
      </c>
      <c r="B15" s="9">
        <v>14</v>
      </c>
      <c r="C15" s="10">
        <v>4237.5</v>
      </c>
      <c r="D15" s="9">
        <v>112317</v>
      </c>
      <c r="E15" s="9">
        <v>38411148</v>
      </c>
      <c r="F15" s="9">
        <v>192443</v>
      </c>
      <c r="G15" s="10">
        <v>62.64</v>
      </c>
      <c r="H15" s="11">
        <v>1.19</v>
      </c>
      <c r="I15" s="9">
        <v>968888</v>
      </c>
      <c r="J15" s="9">
        <v>4816</v>
      </c>
      <c r="K15" s="13"/>
      <c r="L15" s="13"/>
      <c r="M15" s="13"/>
    </row>
    <row r="16" spans="1:15" x14ac:dyDescent="0.25">
      <c r="A16" s="1">
        <v>2019</v>
      </c>
      <c r="B16" s="9">
        <v>15</v>
      </c>
      <c r="C16" s="10">
        <v>4461.25</v>
      </c>
      <c r="D16" s="9">
        <v>131435</v>
      </c>
      <c r="E16" s="9">
        <v>38382576</v>
      </c>
      <c r="F16" s="9">
        <v>183371</v>
      </c>
      <c r="G16" s="10">
        <v>63.32</v>
      </c>
      <c r="H16" s="11">
        <v>1.29</v>
      </c>
      <c r="I16" s="9">
        <v>866374</v>
      </c>
      <c r="J16" s="9">
        <v>5168</v>
      </c>
      <c r="K16" s="13"/>
      <c r="L16" s="13"/>
      <c r="M16" s="13"/>
    </row>
    <row r="17" spans="1:13" x14ac:dyDescent="0.25">
      <c r="A17" s="1">
        <v>2020</v>
      </c>
      <c r="B17" s="9">
        <v>16</v>
      </c>
      <c r="C17" s="10">
        <v>4891.5</v>
      </c>
      <c r="D17" s="9">
        <v>142691</v>
      </c>
      <c r="E17" s="9">
        <v>38088564</v>
      </c>
      <c r="F17" s="9">
        <v>145045</v>
      </c>
      <c r="G17" s="10">
        <v>65.849999999999994</v>
      </c>
      <c r="H17" s="11">
        <v>1.37</v>
      </c>
      <c r="I17" s="9">
        <v>1046432</v>
      </c>
      <c r="J17" s="9">
        <v>5394</v>
      </c>
      <c r="K17" s="13"/>
      <c r="L17" s="13"/>
      <c r="M17" s="13"/>
    </row>
    <row r="18" spans="1:13" x14ac:dyDescent="0.25">
      <c r="A18" s="1">
        <v>2021</v>
      </c>
      <c r="B18" s="9">
        <v>17</v>
      </c>
      <c r="C18" s="10">
        <v>5134.25</v>
      </c>
      <c r="D18" s="9">
        <v>141941</v>
      </c>
      <c r="E18" s="9">
        <v>37907704</v>
      </c>
      <c r="F18" s="9">
        <v>168324</v>
      </c>
      <c r="G18" s="10">
        <v>67.540000000000006</v>
      </c>
      <c r="H18" s="11">
        <v>1.52</v>
      </c>
      <c r="I18" s="9">
        <v>895203</v>
      </c>
      <c r="J18" s="14">
        <v>5536.8</v>
      </c>
      <c r="K18" s="13"/>
      <c r="L18" s="13"/>
      <c r="M18" s="13"/>
    </row>
    <row r="19" spans="1:13" x14ac:dyDescent="0.25">
      <c r="A19" s="13"/>
      <c r="B19" s="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5">
      <c r="A20" s="13"/>
      <c r="B20" s="1" t="s">
        <v>18</v>
      </c>
      <c r="C20" s="10">
        <f>AVERAGE(C2:C18)</f>
        <v>3894.1029411764707</v>
      </c>
      <c r="D20" s="10">
        <f t="shared" ref="D20:G20" si="0">AVERAGE(D2:D18)</f>
        <v>82909.882352941175</v>
      </c>
      <c r="E20" s="10">
        <f t="shared" si="0"/>
        <v>38315943.176470585</v>
      </c>
      <c r="F20" s="10">
        <f t="shared" si="0"/>
        <v>203642.64705882352</v>
      </c>
      <c r="G20" s="10">
        <f t="shared" si="0"/>
        <v>54.34411764705883</v>
      </c>
      <c r="H20" s="10">
        <f>AVERAGE(H2:H18)</f>
        <v>1.2011764705882353</v>
      </c>
      <c r="I20" s="10">
        <f>AVERAGE(I2:I18)</f>
        <v>1647636</v>
      </c>
      <c r="J20" s="10">
        <f>AVERAGE(J2:J18)</f>
        <v>3820.4</v>
      </c>
      <c r="K20" s="13"/>
      <c r="L20" s="13"/>
      <c r="M20" s="13"/>
    </row>
    <row r="21" spans="1:13" x14ac:dyDescent="0.25">
      <c r="A21" s="13"/>
      <c r="B21" s="1" t="s">
        <v>19</v>
      </c>
      <c r="C21" s="10">
        <f>_xlfn.STDEV.P(C2:C18)</f>
        <v>718.56006471901605</v>
      </c>
      <c r="D21" s="10">
        <f t="shared" ref="D21:G21" si="1">_xlfn.STDEV.P(D2:D18)</f>
        <v>32106.361220320319</v>
      </c>
      <c r="E21" s="10">
        <f t="shared" si="1"/>
        <v>192740.9547529702</v>
      </c>
      <c r="F21" s="10">
        <f t="shared" si="1"/>
        <v>29456.093407249526</v>
      </c>
      <c r="G21" s="10">
        <f t="shared" si="1"/>
        <v>8.3220628514693189</v>
      </c>
      <c r="H21" s="10">
        <f>_xlfn.STDEV.P(H2:H18)</f>
        <v>0.20143258550986765</v>
      </c>
      <c r="I21" s="10">
        <f>_xlfn.STDEV.P(I2:I18)</f>
        <v>540469.62864781392</v>
      </c>
      <c r="J21" s="10">
        <f>_xlfn.STDEV.P(J2:J18)</f>
        <v>982.11199553040024</v>
      </c>
      <c r="K21" s="13"/>
      <c r="L21" s="13"/>
      <c r="M21" s="13"/>
    </row>
    <row r="22" spans="1:13" x14ac:dyDescent="0.25">
      <c r="A22" s="13"/>
      <c r="B22" s="1" t="s">
        <v>20</v>
      </c>
      <c r="C22" s="15"/>
      <c r="D22" s="15">
        <f>D21/D20</f>
        <v>0.38724408127424348</v>
      </c>
      <c r="E22" s="15">
        <f t="shared" ref="E22:G22" si="2">E21/E20</f>
        <v>5.030306936860956E-3</v>
      </c>
      <c r="F22" s="15">
        <f t="shared" si="2"/>
        <v>0.14464599548610729</v>
      </c>
      <c r="G22" s="15">
        <f t="shared" si="2"/>
        <v>0.15313640577472359</v>
      </c>
      <c r="H22" s="15">
        <f>H21/H20</f>
        <v>0.16769608000331782</v>
      </c>
      <c r="I22" s="15">
        <f>I21/I20</f>
        <v>0.32802732438949739</v>
      </c>
      <c r="J22" s="15">
        <f>J21/J20</f>
        <v>0.2570704626558476</v>
      </c>
      <c r="K22" s="13"/>
      <c r="L22" s="13"/>
      <c r="M22" s="13"/>
    </row>
    <row r="23" spans="1:13" x14ac:dyDescent="0.25">
      <c r="A23" s="13"/>
      <c r="B23" s="1" t="s">
        <v>21</v>
      </c>
      <c r="C23" s="16">
        <v>0.15</v>
      </c>
      <c r="D23" s="17" t="str">
        <f>IF(D22&gt;$C$23,"zostaje","odpada")</f>
        <v>zostaje</v>
      </c>
      <c r="E23" s="18" t="str">
        <f t="shared" ref="E23:J23" si="3">IF(E22&gt;$C$23,"zostaje","odpada")</f>
        <v>odpada</v>
      </c>
      <c r="F23" s="18" t="str">
        <f t="shared" si="3"/>
        <v>odpada</v>
      </c>
      <c r="G23" s="19" t="str">
        <f t="shared" si="3"/>
        <v>zostaje</v>
      </c>
      <c r="H23" s="19" t="str">
        <f t="shared" si="3"/>
        <v>zostaje</v>
      </c>
      <c r="I23" s="17" t="str">
        <f t="shared" si="3"/>
        <v>zostaje</v>
      </c>
      <c r="J23" s="17" t="str">
        <f t="shared" si="3"/>
        <v>zostaje</v>
      </c>
      <c r="K23" s="13"/>
      <c r="L23" s="13"/>
      <c r="M23" s="13"/>
    </row>
    <row r="24" spans="1:13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5">
      <c r="A25" s="13"/>
      <c r="B25" s="33" t="s">
        <v>55</v>
      </c>
      <c r="C25" s="20"/>
      <c r="D25" s="20"/>
      <c r="E25" s="20"/>
      <c r="F25" s="21"/>
      <c r="G25" s="13"/>
      <c r="H25" s="13"/>
      <c r="I25" s="13"/>
      <c r="J25" s="13"/>
      <c r="K25" s="13"/>
      <c r="L25" s="13"/>
      <c r="M25" s="13"/>
    </row>
    <row r="26" spans="1:13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6</v>
      </c>
      <c r="F27" s="1" t="s">
        <v>7</v>
      </c>
      <c r="G27" s="7" t="s">
        <v>8</v>
      </c>
      <c r="H27" s="7" t="s">
        <v>9</v>
      </c>
      <c r="I27" s="13"/>
      <c r="J27" s="13"/>
      <c r="K27" s="13"/>
      <c r="L27" s="13"/>
      <c r="M27" s="13"/>
    </row>
    <row r="28" spans="1:13" x14ac:dyDescent="0.25">
      <c r="A28" s="1">
        <v>2005</v>
      </c>
      <c r="B28" s="9">
        <v>1</v>
      </c>
      <c r="C28" s="10">
        <v>2439.25</v>
      </c>
      <c r="D28" s="9">
        <v>37641</v>
      </c>
      <c r="E28" s="10">
        <v>39.119999999999997</v>
      </c>
      <c r="F28" s="11">
        <v>0.73</v>
      </c>
      <c r="G28" s="9">
        <v>2773000</v>
      </c>
      <c r="H28" s="9">
        <v>2306</v>
      </c>
      <c r="I28" s="13"/>
      <c r="J28" s="13"/>
      <c r="K28" s="13"/>
      <c r="L28" s="13"/>
      <c r="M28" s="13"/>
    </row>
    <row r="29" spans="1:13" x14ac:dyDescent="0.25">
      <c r="A29" s="1">
        <v>2006</v>
      </c>
      <c r="B29" s="9">
        <v>2</v>
      </c>
      <c r="C29" s="10">
        <v>2545.25</v>
      </c>
      <c r="D29" s="9">
        <v>42029</v>
      </c>
      <c r="E29" s="10">
        <v>41.98</v>
      </c>
      <c r="F29" s="11">
        <v>0.75</v>
      </c>
      <c r="G29" s="9">
        <v>2309410</v>
      </c>
      <c r="H29" s="9">
        <v>2413</v>
      </c>
      <c r="I29" s="13"/>
      <c r="J29" s="13"/>
      <c r="K29" s="13"/>
      <c r="L29" s="13"/>
      <c r="M29" s="13"/>
    </row>
    <row r="30" spans="1:13" x14ac:dyDescent="0.25">
      <c r="A30" s="1">
        <v>2007</v>
      </c>
      <c r="B30" s="9">
        <v>3</v>
      </c>
      <c r="C30" s="10">
        <v>2816</v>
      </c>
      <c r="D30" s="9">
        <v>51077</v>
      </c>
      <c r="E30" s="10">
        <v>44.35</v>
      </c>
      <c r="F30" s="11">
        <v>1.34</v>
      </c>
      <c r="G30" s="9">
        <v>1746573</v>
      </c>
      <c r="H30" s="9">
        <v>2603</v>
      </c>
      <c r="I30" s="13"/>
      <c r="J30" s="13"/>
      <c r="K30" s="13"/>
      <c r="L30" s="13"/>
      <c r="M30" s="13"/>
    </row>
    <row r="31" spans="1:13" x14ac:dyDescent="0.25">
      <c r="A31" s="1">
        <v>2008</v>
      </c>
      <c r="B31" s="9">
        <v>4</v>
      </c>
      <c r="C31" s="10">
        <v>3316.25</v>
      </c>
      <c r="D31" s="9">
        <v>74512</v>
      </c>
      <c r="E31" s="10">
        <v>45.24</v>
      </c>
      <c r="F31" s="11">
        <v>1.48</v>
      </c>
      <c r="G31" s="9">
        <v>1473752</v>
      </c>
      <c r="H31" s="9">
        <v>2849</v>
      </c>
      <c r="I31" s="13"/>
      <c r="J31" s="13"/>
      <c r="K31" s="13"/>
      <c r="L31" s="13"/>
      <c r="M31" s="13"/>
    </row>
    <row r="32" spans="1:13" x14ac:dyDescent="0.25">
      <c r="A32" s="1">
        <v>2009</v>
      </c>
      <c r="B32" s="9">
        <v>5</v>
      </c>
      <c r="C32" s="10">
        <v>3891.5</v>
      </c>
      <c r="D32" s="9">
        <v>79590</v>
      </c>
      <c r="E32" s="11">
        <v>47.47</v>
      </c>
      <c r="F32" s="11">
        <v>1.33</v>
      </c>
      <c r="G32" s="9">
        <v>1892680</v>
      </c>
      <c r="H32" s="9">
        <v>3139</v>
      </c>
      <c r="I32" s="13"/>
      <c r="J32" s="13"/>
      <c r="K32" s="13"/>
      <c r="L32" s="13"/>
      <c r="M32" s="13"/>
    </row>
    <row r="33" spans="1:13" x14ac:dyDescent="0.25">
      <c r="A33" s="1">
        <v>2010</v>
      </c>
      <c r="B33" s="9">
        <v>6</v>
      </c>
      <c r="C33" s="10">
        <v>4360.25</v>
      </c>
      <c r="D33" s="9">
        <v>59324</v>
      </c>
      <c r="E33" s="11">
        <v>49.72</v>
      </c>
      <c r="F33" s="11">
        <v>1.23</v>
      </c>
      <c r="G33" s="9">
        <v>1954706</v>
      </c>
      <c r="H33" s="9">
        <v>3300</v>
      </c>
      <c r="I33" s="13"/>
      <c r="J33" s="13"/>
      <c r="K33" s="13"/>
      <c r="L33" s="13"/>
      <c r="M33" s="13"/>
    </row>
    <row r="34" spans="1:13" x14ac:dyDescent="0.25">
      <c r="A34" s="1">
        <v>2011</v>
      </c>
      <c r="B34" s="9">
        <v>7</v>
      </c>
      <c r="C34" s="10">
        <v>3858.25</v>
      </c>
      <c r="D34" s="9">
        <v>56925</v>
      </c>
      <c r="E34" s="11">
        <v>52.17</v>
      </c>
      <c r="F34" s="11">
        <v>1.21</v>
      </c>
      <c r="G34" s="9">
        <v>1982676</v>
      </c>
      <c r="H34" s="9">
        <v>3481</v>
      </c>
      <c r="I34" s="13"/>
      <c r="J34" s="13"/>
      <c r="K34" s="13"/>
      <c r="L34" s="13"/>
      <c r="M34" s="13"/>
    </row>
    <row r="35" spans="1:13" x14ac:dyDescent="0.25">
      <c r="A35" s="1">
        <v>2012</v>
      </c>
      <c r="B35" s="9">
        <v>8</v>
      </c>
      <c r="C35" s="10">
        <v>3996.25</v>
      </c>
      <c r="D35" s="9">
        <v>74367</v>
      </c>
      <c r="E35" s="11">
        <v>54.1</v>
      </c>
      <c r="F35" s="11">
        <v>1.2</v>
      </c>
      <c r="G35" s="9">
        <v>2136815</v>
      </c>
      <c r="H35" s="9">
        <v>3628</v>
      </c>
      <c r="I35" s="13"/>
      <c r="J35" s="13"/>
      <c r="K35" s="13"/>
      <c r="L35" s="13"/>
      <c r="M35" s="13"/>
    </row>
    <row r="36" spans="1:13" x14ac:dyDescent="0.25">
      <c r="A36" s="1">
        <v>2013</v>
      </c>
      <c r="B36" s="9">
        <v>9</v>
      </c>
      <c r="C36" s="10">
        <v>4025.25</v>
      </c>
      <c r="D36" s="9">
        <v>65723</v>
      </c>
      <c r="E36" s="11">
        <v>55.91</v>
      </c>
      <c r="F36" s="11">
        <v>1.18</v>
      </c>
      <c r="G36" s="9">
        <v>2157883</v>
      </c>
      <c r="H36" s="9">
        <v>3761</v>
      </c>
      <c r="I36" s="13"/>
      <c r="J36" s="13"/>
      <c r="K36" s="13"/>
      <c r="L36" s="13"/>
      <c r="M36" s="13"/>
    </row>
    <row r="37" spans="1:13" x14ac:dyDescent="0.25">
      <c r="A37" s="1">
        <v>2014</v>
      </c>
      <c r="B37" s="9">
        <v>10</v>
      </c>
      <c r="C37" s="10">
        <v>4033.5</v>
      </c>
      <c r="D37" s="9">
        <v>68928</v>
      </c>
      <c r="E37" s="11">
        <v>57.34</v>
      </c>
      <c r="F37" s="11">
        <v>1.17</v>
      </c>
      <c r="G37" s="9">
        <v>1825180</v>
      </c>
      <c r="H37" s="9">
        <v>3899</v>
      </c>
      <c r="I37" s="13"/>
      <c r="J37" s="13"/>
      <c r="K37" s="13"/>
      <c r="L37" s="13"/>
      <c r="M37" s="13"/>
    </row>
    <row r="38" spans="1:13" x14ac:dyDescent="0.25">
      <c r="A38" s="1">
        <v>2015</v>
      </c>
      <c r="B38" s="9">
        <v>11</v>
      </c>
      <c r="C38" s="10">
        <v>3969.5</v>
      </c>
      <c r="D38" s="9">
        <v>74425</v>
      </c>
      <c r="E38" s="11">
        <v>57.87</v>
      </c>
      <c r="F38" s="11">
        <v>1.1499999999999999</v>
      </c>
      <c r="G38" s="9">
        <v>1563339</v>
      </c>
      <c r="H38" s="9">
        <v>4017</v>
      </c>
      <c r="I38" s="13"/>
      <c r="J38" s="13"/>
      <c r="K38" s="13"/>
      <c r="L38" s="13"/>
      <c r="M38" s="13"/>
    </row>
    <row r="39" spans="1:13" x14ac:dyDescent="0.25">
      <c r="A39" s="1">
        <v>2016</v>
      </c>
      <c r="B39" s="9">
        <v>12</v>
      </c>
      <c r="C39" s="10">
        <v>4054</v>
      </c>
      <c r="D39" s="9">
        <v>91516</v>
      </c>
      <c r="E39" s="11">
        <v>58.84</v>
      </c>
      <c r="F39" s="11">
        <v>1.1399999999999999</v>
      </c>
      <c r="G39" s="9">
        <v>1335155</v>
      </c>
      <c r="H39" s="9">
        <v>4182</v>
      </c>
      <c r="I39" s="13"/>
      <c r="J39" s="13"/>
      <c r="K39" s="13"/>
      <c r="L39" s="13"/>
      <c r="M39" s="13"/>
    </row>
    <row r="40" spans="1:13" x14ac:dyDescent="0.25">
      <c r="A40" s="1">
        <v>2017</v>
      </c>
      <c r="B40" s="9">
        <v>13</v>
      </c>
      <c r="C40" s="10">
        <v>4170</v>
      </c>
      <c r="D40" s="9">
        <v>105027</v>
      </c>
      <c r="E40" s="11">
        <v>60.39</v>
      </c>
      <c r="F40" s="11">
        <v>1.1399999999999999</v>
      </c>
      <c r="G40" s="9">
        <v>1081746</v>
      </c>
      <c r="H40" s="9">
        <v>4454</v>
      </c>
      <c r="I40" s="13"/>
      <c r="J40" s="13"/>
      <c r="K40" s="13"/>
      <c r="L40" s="13"/>
      <c r="M40" s="13"/>
    </row>
    <row r="41" spans="1:13" x14ac:dyDescent="0.25">
      <c r="A41" s="1">
        <v>2018</v>
      </c>
      <c r="B41" s="9">
        <v>14</v>
      </c>
      <c r="C41" s="10">
        <v>4237.5</v>
      </c>
      <c r="D41" s="9">
        <v>112317</v>
      </c>
      <c r="E41" s="10">
        <v>62.64</v>
      </c>
      <c r="F41" s="11">
        <v>1.19</v>
      </c>
      <c r="G41" s="9">
        <v>968888</v>
      </c>
      <c r="H41" s="9">
        <v>4816</v>
      </c>
      <c r="I41" s="13"/>
      <c r="J41" s="13"/>
      <c r="K41" s="13"/>
      <c r="L41" s="13"/>
      <c r="M41" s="13"/>
    </row>
    <row r="42" spans="1:13" x14ac:dyDescent="0.25">
      <c r="A42" s="1">
        <v>2019</v>
      </c>
      <c r="B42" s="9">
        <v>15</v>
      </c>
      <c r="C42" s="10">
        <v>4461.25</v>
      </c>
      <c r="D42" s="9">
        <v>131435</v>
      </c>
      <c r="E42" s="10">
        <v>63.32</v>
      </c>
      <c r="F42" s="11">
        <v>1.29</v>
      </c>
      <c r="G42" s="9">
        <v>866374</v>
      </c>
      <c r="H42" s="9">
        <v>5168</v>
      </c>
      <c r="I42" s="13"/>
      <c r="J42" s="13"/>
      <c r="K42" s="13"/>
      <c r="L42" s="13"/>
      <c r="M42" s="13"/>
    </row>
    <row r="43" spans="1:13" x14ac:dyDescent="0.25">
      <c r="A43" s="1">
        <v>2020</v>
      </c>
      <c r="B43" s="9">
        <v>16</v>
      </c>
      <c r="C43" s="10">
        <v>4891.5</v>
      </c>
      <c r="D43" s="9">
        <v>142691</v>
      </c>
      <c r="E43" s="10">
        <v>65.849999999999994</v>
      </c>
      <c r="F43" s="11">
        <v>1.37</v>
      </c>
      <c r="G43" s="9">
        <v>1046432</v>
      </c>
      <c r="H43" s="9">
        <v>5394</v>
      </c>
      <c r="I43" s="13"/>
      <c r="J43" s="13"/>
      <c r="K43" s="13"/>
      <c r="L43" s="13"/>
      <c r="M43" s="13"/>
    </row>
    <row r="44" spans="1:13" x14ac:dyDescent="0.25">
      <c r="A44" s="1">
        <v>2021</v>
      </c>
      <c r="B44" s="9">
        <v>17</v>
      </c>
      <c r="C44" s="10">
        <v>5134.25</v>
      </c>
      <c r="D44" s="9">
        <v>141941</v>
      </c>
      <c r="E44" s="10">
        <v>67.540000000000006</v>
      </c>
      <c r="F44" s="11">
        <v>1.52</v>
      </c>
      <c r="G44" s="9">
        <v>895203</v>
      </c>
      <c r="H44" s="14">
        <v>5536.8</v>
      </c>
      <c r="I44" s="13"/>
      <c r="J44" s="13"/>
      <c r="K44" s="13"/>
      <c r="L44" s="13"/>
      <c r="M44" s="13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x14ac:dyDescent="0.25">
      <c r="A46" s="13"/>
      <c r="B46" s="22" t="s">
        <v>22</v>
      </c>
      <c r="C46" s="23"/>
      <c r="D46" s="20"/>
      <c r="E46" s="21"/>
      <c r="F46" s="24"/>
      <c r="G46" s="13"/>
      <c r="H46" s="13"/>
      <c r="I46" s="13"/>
      <c r="J46" s="13"/>
      <c r="K46" s="13"/>
      <c r="L46" s="13"/>
      <c r="M46" s="13"/>
    </row>
    <row r="47" spans="1:13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</row>
    <row r="49" spans="1:3" x14ac:dyDescent="0.25">
      <c r="A49" s="13"/>
      <c r="B49" s="13"/>
      <c r="C49" s="13"/>
    </row>
    <row r="50" spans="1:3" x14ac:dyDescent="0.25">
      <c r="A50" s="13"/>
      <c r="B50" s="13"/>
      <c r="C50" s="13"/>
    </row>
    <row r="51" spans="1:3" x14ac:dyDescent="0.25">
      <c r="A51" s="13"/>
      <c r="B51" s="13"/>
      <c r="C51" s="13"/>
    </row>
    <row r="52" spans="1:3" x14ac:dyDescent="0.25">
      <c r="A52" s="13"/>
      <c r="B52" s="13"/>
      <c r="C52" s="13"/>
    </row>
    <row r="53" spans="1:3" x14ac:dyDescent="0.25">
      <c r="A53" s="13"/>
      <c r="B53" s="13"/>
      <c r="C53" s="13"/>
    </row>
    <row r="54" spans="1:3" x14ac:dyDescent="0.25">
      <c r="A54" s="13"/>
      <c r="B54" s="13"/>
      <c r="C54" s="13"/>
    </row>
    <row r="55" spans="1:3" x14ac:dyDescent="0.25">
      <c r="A55" s="13"/>
      <c r="B55" s="13"/>
      <c r="C55" s="13"/>
    </row>
    <row r="56" spans="1:3" x14ac:dyDescent="0.25">
      <c r="A56" s="13"/>
      <c r="B56" s="13"/>
      <c r="C56" s="13"/>
    </row>
    <row r="57" spans="1:3" x14ac:dyDescent="0.25">
      <c r="A57" s="13"/>
      <c r="B57" s="13"/>
      <c r="C57" s="13"/>
    </row>
    <row r="58" spans="1:3" x14ac:dyDescent="0.25">
      <c r="A58" s="13"/>
      <c r="B58" s="13"/>
      <c r="C58" s="13"/>
    </row>
    <row r="59" spans="1:3" x14ac:dyDescent="0.25">
      <c r="A59" s="13"/>
      <c r="B59" s="13"/>
      <c r="C59" s="13"/>
    </row>
    <row r="60" spans="1:3" x14ac:dyDescent="0.25">
      <c r="A60" s="13"/>
      <c r="B60" s="13"/>
      <c r="C60" s="13"/>
    </row>
    <row r="61" spans="1:3" x14ac:dyDescent="0.25">
      <c r="A61" s="13"/>
      <c r="B61" s="13"/>
      <c r="C61" s="13"/>
    </row>
    <row r="62" spans="1:3" x14ac:dyDescent="0.25">
      <c r="A62" s="13"/>
      <c r="B62" s="13"/>
      <c r="C62" s="13"/>
    </row>
    <row r="63" spans="1:3" x14ac:dyDescent="0.25">
      <c r="A63" s="13"/>
      <c r="B63" s="13"/>
      <c r="C63" s="13"/>
    </row>
    <row r="64" spans="1:3" x14ac:dyDescent="0.25">
      <c r="A64" s="13"/>
      <c r="B64" s="13"/>
      <c r="C64" s="13"/>
    </row>
    <row r="65" spans="1:3" x14ac:dyDescent="0.25">
      <c r="A65" s="13"/>
      <c r="B65" s="13"/>
      <c r="C65" s="13"/>
    </row>
    <row r="66" spans="1:3" x14ac:dyDescent="0.25">
      <c r="A66" s="13"/>
      <c r="B66" s="13"/>
      <c r="C66" s="13"/>
    </row>
    <row r="67" spans="1:3" x14ac:dyDescent="0.25">
      <c r="A67" s="13"/>
      <c r="B67" s="13"/>
      <c r="C67" s="13"/>
    </row>
    <row r="68" spans="1:3" x14ac:dyDescent="0.25">
      <c r="A68" s="13"/>
      <c r="B68" s="13"/>
      <c r="C68" s="13"/>
    </row>
    <row r="69" spans="1:3" x14ac:dyDescent="0.25">
      <c r="A69" s="13"/>
      <c r="B69" s="13"/>
      <c r="C69" s="13"/>
    </row>
    <row r="70" spans="1:3" x14ac:dyDescent="0.25">
      <c r="A70" s="13"/>
      <c r="B70" s="13"/>
      <c r="C70" s="13"/>
    </row>
    <row r="71" spans="1:3" x14ac:dyDescent="0.25">
      <c r="A71" s="13"/>
      <c r="B71" s="13"/>
      <c r="C71" s="13"/>
    </row>
    <row r="72" spans="1:3" x14ac:dyDescent="0.25">
      <c r="A72" s="13"/>
      <c r="B72" s="13"/>
      <c r="C72" s="13"/>
    </row>
    <row r="73" spans="1:3" x14ac:dyDescent="0.25">
      <c r="A73" s="13"/>
      <c r="B73" s="13"/>
      <c r="C73" s="13"/>
    </row>
    <row r="74" spans="1:3" x14ac:dyDescent="0.25">
      <c r="A74" s="13"/>
      <c r="B74" s="13"/>
      <c r="C74" s="13"/>
    </row>
    <row r="75" spans="1:3" x14ac:dyDescent="0.25">
      <c r="A75" s="13"/>
      <c r="B75" s="13"/>
      <c r="C75" s="13"/>
    </row>
    <row r="76" spans="1:3" x14ac:dyDescent="0.25">
      <c r="A76" s="13"/>
      <c r="B76" s="13"/>
      <c r="C76" s="13"/>
    </row>
    <row r="77" spans="1:3" x14ac:dyDescent="0.25">
      <c r="A77" s="13"/>
      <c r="B77" s="13"/>
      <c r="C77" s="13"/>
    </row>
    <row r="78" spans="1:3" x14ac:dyDescent="0.25">
      <c r="A78" s="13"/>
      <c r="B78" s="13"/>
      <c r="C78" s="13"/>
    </row>
    <row r="79" spans="1:3" x14ac:dyDescent="0.25">
      <c r="A79" s="13"/>
      <c r="B79" s="13"/>
      <c r="C79" s="13"/>
    </row>
    <row r="80" spans="1:3" x14ac:dyDescent="0.25">
      <c r="A80" s="13"/>
      <c r="B80" s="13"/>
      <c r="C80" s="13"/>
    </row>
    <row r="81" spans="1:3" x14ac:dyDescent="0.25">
      <c r="A81" s="13"/>
      <c r="B81" s="13"/>
      <c r="C81" s="13"/>
    </row>
    <row r="82" spans="1:3" x14ac:dyDescent="0.25">
      <c r="A82" s="13"/>
      <c r="B82" s="13"/>
      <c r="C82" s="13"/>
    </row>
    <row r="83" spans="1:3" x14ac:dyDescent="0.25">
      <c r="A83" s="13"/>
      <c r="B83" s="13"/>
      <c r="C83" s="13"/>
    </row>
    <row r="84" spans="1:3" x14ac:dyDescent="0.25">
      <c r="A84" s="13"/>
      <c r="B84" s="13"/>
      <c r="C84" s="13"/>
    </row>
    <row r="85" spans="1:3" x14ac:dyDescent="0.25">
      <c r="A85" s="13"/>
      <c r="B85" s="13"/>
      <c r="C85" s="13"/>
    </row>
    <row r="86" spans="1:3" x14ac:dyDescent="0.25">
      <c r="A86" s="13"/>
      <c r="B86" s="13"/>
      <c r="C86" s="13"/>
    </row>
    <row r="87" spans="1:3" x14ac:dyDescent="0.25">
      <c r="A87" s="13"/>
      <c r="B87" s="13"/>
      <c r="C87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9" workbookViewId="0">
      <selection activeCell="N37" sqref="N37"/>
    </sheetView>
  </sheetViews>
  <sheetFormatPr defaultRowHeight="15" x14ac:dyDescent="0.25"/>
  <cols>
    <col min="1" max="1" width="19.42578125" customWidth="1"/>
    <col min="2" max="2" width="19" customWidth="1"/>
    <col min="3" max="3" width="9.140625" customWidth="1"/>
  </cols>
  <sheetData>
    <row r="1" spans="1:8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6</v>
      </c>
      <c r="F1" s="34" t="s">
        <v>7</v>
      </c>
      <c r="G1" s="7" t="s">
        <v>8</v>
      </c>
      <c r="H1" s="7" t="s">
        <v>9</v>
      </c>
    </row>
    <row r="2" spans="1:8" x14ac:dyDescent="0.25">
      <c r="A2" s="34">
        <v>2005</v>
      </c>
      <c r="B2" s="9">
        <v>1</v>
      </c>
      <c r="C2" s="10">
        <v>2439.25</v>
      </c>
      <c r="D2" s="9">
        <v>37641</v>
      </c>
      <c r="E2" s="10">
        <v>39.119999999999997</v>
      </c>
      <c r="F2" s="11">
        <v>0.73</v>
      </c>
      <c r="G2" s="9">
        <v>2773000</v>
      </c>
      <c r="H2" s="9">
        <v>2306</v>
      </c>
    </row>
    <row r="3" spans="1:8" x14ac:dyDescent="0.25">
      <c r="A3" s="34">
        <v>2006</v>
      </c>
      <c r="B3" s="9">
        <v>2</v>
      </c>
      <c r="C3" s="10">
        <v>2545.25</v>
      </c>
      <c r="D3" s="9">
        <v>42029</v>
      </c>
      <c r="E3" s="10">
        <v>41.98</v>
      </c>
      <c r="F3" s="11">
        <v>0.75</v>
      </c>
      <c r="G3" s="9">
        <v>2309410</v>
      </c>
      <c r="H3" s="9">
        <v>2413</v>
      </c>
    </row>
    <row r="4" spans="1:8" x14ac:dyDescent="0.25">
      <c r="A4" s="34">
        <v>2007</v>
      </c>
      <c r="B4" s="9">
        <v>3</v>
      </c>
      <c r="C4" s="10">
        <v>2816</v>
      </c>
      <c r="D4" s="9">
        <v>51077</v>
      </c>
      <c r="E4" s="10">
        <v>44.35</v>
      </c>
      <c r="F4" s="11">
        <v>1.34</v>
      </c>
      <c r="G4" s="9">
        <v>1746573</v>
      </c>
      <c r="H4" s="9">
        <v>2603</v>
      </c>
    </row>
    <row r="5" spans="1:8" x14ac:dyDescent="0.25">
      <c r="A5" s="34">
        <v>2008</v>
      </c>
      <c r="B5" s="9">
        <v>4</v>
      </c>
      <c r="C5" s="10">
        <v>3316.25</v>
      </c>
      <c r="D5" s="9">
        <v>74512</v>
      </c>
      <c r="E5" s="10">
        <v>45.24</v>
      </c>
      <c r="F5" s="11">
        <v>1.48</v>
      </c>
      <c r="G5" s="9">
        <v>1473752</v>
      </c>
      <c r="H5" s="9">
        <v>2849</v>
      </c>
    </row>
    <row r="6" spans="1:8" x14ac:dyDescent="0.25">
      <c r="A6" s="34">
        <v>2009</v>
      </c>
      <c r="B6" s="9">
        <v>5</v>
      </c>
      <c r="C6" s="10">
        <v>3891.5</v>
      </c>
      <c r="D6" s="9">
        <v>79590</v>
      </c>
      <c r="E6" s="11">
        <v>47.47</v>
      </c>
      <c r="F6" s="11">
        <v>1.33</v>
      </c>
      <c r="G6" s="9">
        <v>1892680</v>
      </c>
      <c r="H6" s="9">
        <v>3139</v>
      </c>
    </row>
    <row r="7" spans="1:8" x14ac:dyDescent="0.25">
      <c r="A7" s="34">
        <v>2010</v>
      </c>
      <c r="B7" s="9">
        <v>6</v>
      </c>
      <c r="C7" s="10">
        <v>4360.25</v>
      </c>
      <c r="D7" s="9">
        <v>59324</v>
      </c>
      <c r="E7" s="11">
        <v>49.72</v>
      </c>
      <c r="F7" s="11">
        <v>1.23</v>
      </c>
      <c r="G7" s="9">
        <v>1954706</v>
      </c>
      <c r="H7" s="9">
        <v>3300</v>
      </c>
    </row>
    <row r="8" spans="1:8" x14ac:dyDescent="0.25">
      <c r="A8" s="34">
        <v>2011</v>
      </c>
      <c r="B8" s="9">
        <v>7</v>
      </c>
      <c r="C8" s="10">
        <v>3858.25</v>
      </c>
      <c r="D8" s="9">
        <v>56925</v>
      </c>
      <c r="E8" s="11">
        <v>52.17</v>
      </c>
      <c r="F8" s="11">
        <v>1.21</v>
      </c>
      <c r="G8" s="9">
        <v>1982676</v>
      </c>
      <c r="H8" s="9">
        <v>3481</v>
      </c>
    </row>
    <row r="9" spans="1:8" x14ac:dyDescent="0.25">
      <c r="A9" s="34">
        <v>2012</v>
      </c>
      <c r="B9" s="9">
        <v>8</v>
      </c>
      <c r="C9" s="10">
        <v>3996.25</v>
      </c>
      <c r="D9" s="9">
        <v>74367</v>
      </c>
      <c r="E9" s="11">
        <v>54.1</v>
      </c>
      <c r="F9" s="11">
        <v>1.2</v>
      </c>
      <c r="G9" s="9">
        <v>2136815</v>
      </c>
      <c r="H9" s="9">
        <v>3628</v>
      </c>
    </row>
    <row r="10" spans="1:8" x14ac:dyDescent="0.25">
      <c r="A10" s="34">
        <v>2013</v>
      </c>
      <c r="B10" s="9">
        <v>9</v>
      </c>
      <c r="C10" s="10">
        <v>4025.25</v>
      </c>
      <c r="D10" s="9">
        <v>65723</v>
      </c>
      <c r="E10" s="11">
        <v>55.91</v>
      </c>
      <c r="F10" s="11">
        <v>1.18</v>
      </c>
      <c r="G10" s="9">
        <v>2157883</v>
      </c>
      <c r="H10" s="9">
        <v>3761</v>
      </c>
    </row>
    <row r="11" spans="1:8" x14ac:dyDescent="0.25">
      <c r="A11" s="34">
        <v>2014</v>
      </c>
      <c r="B11" s="9">
        <v>10</v>
      </c>
      <c r="C11" s="10">
        <v>4033.5</v>
      </c>
      <c r="D11" s="9">
        <v>68928</v>
      </c>
      <c r="E11" s="11">
        <v>57.34</v>
      </c>
      <c r="F11" s="11">
        <v>1.17</v>
      </c>
      <c r="G11" s="9">
        <v>1825180</v>
      </c>
      <c r="H11" s="9">
        <v>3899</v>
      </c>
    </row>
    <row r="12" spans="1:8" x14ac:dyDescent="0.25">
      <c r="A12" s="34">
        <v>2015</v>
      </c>
      <c r="B12" s="9">
        <v>11</v>
      </c>
      <c r="C12" s="10">
        <v>3969.5</v>
      </c>
      <c r="D12" s="9">
        <v>74425</v>
      </c>
      <c r="E12" s="11">
        <v>57.87</v>
      </c>
      <c r="F12" s="11">
        <v>1.1499999999999999</v>
      </c>
      <c r="G12" s="9">
        <v>1563339</v>
      </c>
      <c r="H12" s="9">
        <v>4017</v>
      </c>
    </row>
    <row r="13" spans="1:8" x14ac:dyDescent="0.25">
      <c r="A13" s="34">
        <v>2016</v>
      </c>
      <c r="B13" s="9">
        <v>12</v>
      </c>
      <c r="C13" s="10">
        <v>4054</v>
      </c>
      <c r="D13" s="9">
        <v>91516</v>
      </c>
      <c r="E13" s="11">
        <v>58.84</v>
      </c>
      <c r="F13" s="11">
        <v>1.1399999999999999</v>
      </c>
      <c r="G13" s="9">
        <v>1335155</v>
      </c>
      <c r="H13" s="9">
        <v>4182</v>
      </c>
    </row>
    <row r="14" spans="1:8" x14ac:dyDescent="0.25">
      <c r="A14" s="34">
        <v>2017</v>
      </c>
      <c r="B14" s="9">
        <v>13</v>
      </c>
      <c r="C14" s="10">
        <v>4170</v>
      </c>
      <c r="D14" s="9">
        <v>105027</v>
      </c>
      <c r="E14" s="11">
        <v>60.39</v>
      </c>
      <c r="F14" s="11">
        <v>1.1399999999999999</v>
      </c>
      <c r="G14" s="9">
        <v>1081746</v>
      </c>
      <c r="H14" s="9">
        <v>4454</v>
      </c>
    </row>
    <row r="15" spans="1:8" x14ac:dyDescent="0.25">
      <c r="A15" s="34">
        <v>2018</v>
      </c>
      <c r="B15" s="9">
        <v>14</v>
      </c>
      <c r="C15" s="10">
        <v>4237.5</v>
      </c>
      <c r="D15" s="9">
        <v>112317</v>
      </c>
      <c r="E15" s="10">
        <v>62.64</v>
      </c>
      <c r="F15" s="11">
        <v>1.19</v>
      </c>
      <c r="G15" s="9">
        <v>968888</v>
      </c>
      <c r="H15" s="9">
        <v>4816</v>
      </c>
    </row>
    <row r="16" spans="1:8" x14ac:dyDescent="0.25">
      <c r="A16" s="34">
        <v>2019</v>
      </c>
      <c r="B16" s="9">
        <v>15</v>
      </c>
      <c r="C16" s="10">
        <v>4461.25</v>
      </c>
      <c r="D16" s="9">
        <v>131435</v>
      </c>
      <c r="E16" s="10">
        <v>63.32</v>
      </c>
      <c r="F16" s="11">
        <v>1.29</v>
      </c>
      <c r="G16" s="9">
        <v>866374</v>
      </c>
      <c r="H16" s="9">
        <v>5168</v>
      </c>
    </row>
    <row r="17" spans="1:8" x14ac:dyDescent="0.25">
      <c r="A17" s="34">
        <v>2020</v>
      </c>
      <c r="B17" s="9">
        <v>16</v>
      </c>
      <c r="C17" s="10">
        <v>4891.5</v>
      </c>
      <c r="D17" s="9">
        <v>142691</v>
      </c>
      <c r="E17" s="10">
        <v>65.849999999999994</v>
      </c>
      <c r="F17" s="11">
        <v>1.37</v>
      </c>
      <c r="G17" s="9">
        <v>1046432</v>
      </c>
      <c r="H17" s="9">
        <v>5394</v>
      </c>
    </row>
    <row r="18" spans="1:8" x14ac:dyDescent="0.25">
      <c r="A18" s="34">
        <v>2021</v>
      </c>
      <c r="B18" s="9">
        <v>17</v>
      </c>
      <c r="C18" s="10">
        <v>5134.25</v>
      </c>
      <c r="D18" s="9">
        <v>141941</v>
      </c>
      <c r="E18" s="10">
        <v>67.540000000000006</v>
      </c>
      <c r="F18" s="11">
        <v>1.52</v>
      </c>
      <c r="G18" s="9">
        <v>895203</v>
      </c>
      <c r="H18" s="14">
        <v>5536.8</v>
      </c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34" t="s">
        <v>80</v>
      </c>
      <c r="B21" s="34" t="s">
        <v>2</v>
      </c>
      <c r="C21" s="34" t="s">
        <v>3</v>
      </c>
      <c r="D21" s="34" t="s">
        <v>6</v>
      </c>
      <c r="E21" s="34" t="s">
        <v>7</v>
      </c>
      <c r="F21" s="34" t="s">
        <v>8</v>
      </c>
      <c r="G21" s="34" t="s">
        <v>9</v>
      </c>
      <c r="H21" s="13"/>
    </row>
    <row r="22" spans="1:8" x14ac:dyDescent="0.25">
      <c r="A22" s="34" t="s">
        <v>2</v>
      </c>
      <c r="B22" s="35">
        <v>1</v>
      </c>
      <c r="C22" s="35">
        <v>0.82187038514410882</v>
      </c>
      <c r="D22" s="35">
        <v>0.90335021100538471</v>
      </c>
      <c r="E22" s="35">
        <v>0.63748999923967875</v>
      </c>
      <c r="F22" s="35">
        <v>-0.70966928345247815</v>
      </c>
      <c r="G22" s="35">
        <v>0.8987241551006937</v>
      </c>
      <c r="H22" s="25"/>
    </row>
    <row r="23" spans="1:8" x14ac:dyDescent="0.25">
      <c r="A23" s="34" t="s">
        <v>3</v>
      </c>
      <c r="B23" s="10">
        <v>0.82187038514410882</v>
      </c>
      <c r="C23" s="10">
        <v>1</v>
      </c>
      <c r="D23" s="10">
        <v>0.88055587749611042</v>
      </c>
      <c r="E23" s="10">
        <v>0.58153238885473491</v>
      </c>
      <c r="F23" s="10">
        <v>-0.89696566775970821</v>
      </c>
      <c r="G23" s="10">
        <v>0.93918117215048413</v>
      </c>
    </row>
    <row r="24" spans="1:8" x14ac:dyDescent="0.25">
      <c r="A24" s="34" t="s">
        <v>6</v>
      </c>
      <c r="B24" s="10">
        <v>0.90335021100538471</v>
      </c>
      <c r="C24" s="10">
        <v>0.88055587749611042</v>
      </c>
      <c r="D24" s="10">
        <v>1</v>
      </c>
      <c r="E24" s="10">
        <v>0.48040098022121863</v>
      </c>
      <c r="F24" s="10">
        <v>-0.81026298812976516</v>
      </c>
      <c r="G24" s="10">
        <v>0.9841702118100587</v>
      </c>
    </row>
    <row r="25" spans="1:8" x14ac:dyDescent="0.25">
      <c r="A25" s="34" t="s">
        <v>7</v>
      </c>
      <c r="B25" s="10">
        <v>0.63748999923967875</v>
      </c>
      <c r="C25" s="10">
        <v>0.58153238885473491</v>
      </c>
      <c r="D25" s="10">
        <v>0.48040098022121863</v>
      </c>
      <c r="E25" s="10">
        <v>1</v>
      </c>
      <c r="F25" s="10">
        <v>-0.63879780790795826</v>
      </c>
      <c r="G25" s="10">
        <v>0.49134977989076428</v>
      </c>
    </row>
    <row r="26" spans="1:8" x14ac:dyDescent="0.25">
      <c r="A26" s="34" t="s">
        <v>8</v>
      </c>
      <c r="B26" s="10">
        <v>-0.70966928345247815</v>
      </c>
      <c r="C26" s="10">
        <v>-0.89696566775970821</v>
      </c>
      <c r="D26" s="10">
        <v>-0.81026298812976516</v>
      </c>
      <c r="E26" s="10">
        <v>-0.63879780790795826</v>
      </c>
      <c r="F26" s="10">
        <v>1</v>
      </c>
      <c r="G26" s="10">
        <v>-0.84138633344258562</v>
      </c>
    </row>
    <row r="27" spans="1:8" x14ac:dyDescent="0.25">
      <c r="A27" s="34" t="s">
        <v>9</v>
      </c>
      <c r="B27" s="10">
        <v>0.8987241551006937</v>
      </c>
      <c r="C27" s="10">
        <v>0.93918117215048413</v>
      </c>
      <c r="D27" s="10">
        <v>0.9841702118100587</v>
      </c>
      <c r="E27" s="10">
        <v>0.49134977989076428</v>
      </c>
      <c r="F27" s="10">
        <v>-0.84138633344258562</v>
      </c>
      <c r="G27" s="10">
        <v>1</v>
      </c>
    </row>
    <row r="29" spans="1:8" x14ac:dyDescent="0.25">
      <c r="B29" s="86" t="s">
        <v>83</v>
      </c>
      <c r="C29" s="86"/>
    </row>
    <row r="30" spans="1:8" x14ac:dyDescent="0.25">
      <c r="B30" s="34" t="s">
        <v>81</v>
      </c>
      <c r="C30" s="10">
        <v>0.05</v>
      </c>
    </row>
    <row r="31" spans="1:8" x14ac:dyDescent="0.25">
      <c r="B31" s="34" t="s">
        <v>82</v>
      </c>
      <c r="C31" s="10">
        <f>_xlfn.T.INV(1-C30/2,COUNTA(E2:E18)-2)</f>
        <v>2.1314495455597742</v>
      </c>
    </row>
    <row r="32" spans="1:8" x14ac:dyDescent="0.25">
      <c r="B32" s="34"/>
      <c r="C32" s="10">
        <f>C31^2/((C31)^2+COUNTA(E2:E18)-2)</f>
        <v>0.23246478161285541</v>
      </c>
    </row>
    <row r="33" spans="1:7" x14ac:dyDescent="0.25">
      <c r="B33" s="26" t="s">
        <v>118</v>
      </c>
      <c r="C33" s="27">
        <f>SQRT(C32)</f>
        <v>0.48214601690033221</v>
      </c>
    </row>
    <row r="34" spans="1:7" x14ac:dyDescent="0.25">
      <c r="A34" s="13"/>
      <c r="B34" s="25"/>
      <c r="C34" s="25"/>
    </row>
    <row r="35" spans="1:7" x14ac:dyDescent="0.25">
      <c r="A35" s="34" t="s">
        <v>84</v>
      </c>
      <c r="B35" s="34" t="s">
        <v>2</v>
      </c>
      <c r="C35" s="34" t="s">
        <v>3</v>
      </c>
      <c r="D35" s="34" t="s">
        <v>6</v>
      </c>
      <c r="E35" s="34" t="s">
        <v>7</v>
      </c>
      <c r="F35" s="34" t="s">
        <v>8</v>
      </c>
      <c r="G35" s="34" t="s">
        <v>9</v>
      </c>
    </row>
    <row r="36" spans="1:7" x14ac:dyDescent="0.25">
      <c r="A36" s="34" t="s">
        <v>2</v>
      </c>
      <c r="B36" s="10">
        <v>1</v>
      </c>
      <c r="C36" s="63">
        <v>0.82187038514410882</v>
      </c>
      <c r="D36" s="65">
        <v>0.90335021100538471</v>
      </c>
      <c r="E36" s="63">
        <v>0.63748999923967875</v>
      </c>
      <c r="F36" s="63">
        <v>0.70966928345247804</v>
      </c>
      <c r="G36" s="63">
        <v>0.8987241551006937</v>
      </c>
    </row>
    <row r="37" spans="1:7" x14ac:dyDescent="0.25">
      <c r="A37" s="34" t="s">
        <v>3</v>
      </c>
      <c r="B37" s="10">
        <v>0.82187038514410882</v>
      </c>
      <c r="C37" s="10">
        <v>1</v>
      </c>
      <c r="D37" s="65">
        <v>0.88055587749611042</v>
      </c>
      <c r="E37" s="10">
        <v>0.58153238885473491</v>
      </c>
      <c r="F37" s="10">
        <v>0.89696566775970799</v>
      </c>
      <c r="G37" s="10">
        <v>0.93918117215048413</v>
      </c>
    </row>
    <row r="38" spans="1:7" x14ac:dyDescent="0.25">
      <c r="A38" s="34" t="s">
        <v>6</v>
      </c>
      <c r="B38" s="10">
        <v>0.90335021100538471</v>
      </c>
      <c r="C38" s="10">
        <v>0.88055587749611042</v>
      </c>
      <c r="D38" s="10">
        <v>1</v>
      </c>
      <c r="E38" s="10">
        <v>0.48040098022121863</v>
      </c>
      <c r="F38" s="10">
        <v>0.81026298812976505</v>
      </c>
      <c r="G38" s="10">
        <v>0.9841702118100587</v>
      </c>
    </row>
    <row r="39" spans="1:7" x14ac:dyDescent="0.25">
      <c r="A39" s="34" t="s">
        <v>7</v>
      </c>
      <c r="B39" s="10">
        <v>0.63748999923967875</v>
      </c>
      <c r="C39" s="10">
        <v>0.58153238885473491</v>
      </c>
      <c r="D39" s="65">
        <v>0.48040098022121863</v>
      </c>
      <c r="E39" s="10">
        <v>1</v>
      </c>
      <c r="F39" s="10">
        <v>0.63879780790795804</v>
      </c>
      <c r="G39" s="10">
        <v>0.49134977989076428</v>
      </c>
    </row>
    <row r="40" spans="1:7" x14ac:dyDescent="0.25">
      <c r="A40" s="34" t="s">
        <v>8</v>
      </c>
      <c r="B40" s="10">
        <v>0.70966928345247804</v>
      </c>
      <c r="C40" s="10">
        <v>0.89696566775970799</v>
      </c>
      <c r="D40" s="65">
        <v>0.81026298812976505</v>
      </c>
      <c r="E40" s="10">
        <v>0.63879780790795804</v>
      </c>
      <c r="F40" s="10">
        <v>1</v>
      </c>
      <c r="G40" s="10">
        <v>0.84138633344258595</v>
      </c>
    </row>
    <row r="41" spans="1:7" x14ac:dyDescent="0.25">
      <c r="A41" s="34" t="s">
        <v>9</v>
      </c>
      <c r="B41" s="10">
        <v>0.8987241551006937</v>
      </c>
      <c r="C41" s="10">
        <v>0.93918117215048413</v>
      </c>
      <c r="D41" s="65">
        <v>0.9841702118100587</v>
      </c>
      <c r="E41" s="10">
        <v>0.49134977989076428</v>
      </c>
      <c r="F41" s="10">
        <v>0.84138633344258595</v>
      </c>
      <c r="G41" s="10">
        <v>1</v>
      </c>
    </row>
    <row r="42" spans="1:7" x14ac:dyDescent="0.25">
      <c r="A42" s="13"/>
      <c r="B42" s="13"/>
      <c r="C42" s="13"/>
    </row>
    <row r="43" spans="1:7" x14ac:dyDescent="0.25">
      <c r="A43" s="13"/>
      <c r="B43" s="13"/>
      <c r="C43" s="13"/>
    </row>
    <row r="44" spans="1:7" x14ac:dyDescent="0.25">
      <c r="A44" s="36" t="s">
        <v>22</v>
      </c>
      <c r="B44" s="5"/>
      <c r="C44" s="13"/>
    </row>
  </sheetData>
  <mergeCells count="1">
    <mergeCell ref="B29:C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46" workbookViewId="0">
      <selection activeCell="K85" sqref="K85"/>
    </sheetView>
  </sheetViews>
  <sheetFormatPr defaultRowHeight="15" x14ac:dyDescent="0.25"/>
  <cols>
    <col min="1" max="1" width="19.5703125" customWidth="1"/>
    <col min="2" max="2" width="12.140625" bestFit="1" customWidth="1"/>
    <col min="3" max="5" width="9.28515625" bestFit="1" customWidth="1"/>
    <col min="6" max="6" width="12" bestFit="1" customWidth="1"/>
    <col min="7" max="7" width="14.42578125" customWidth="1"/>
  </cols>
  <sheetData>
    <row r="1" spans="1:10" x14ac:dyDescent="0.25">
      <c r="A1" s="1" t="s">
        <v>84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3"/>
    </row>
    <row r="2" spans="1:10" x14ac:dyDescent="0.25">
      <c r="A2" s="1" t="s">
        <v>2</v>
      </c>
      <c r="B2" s="35">
        <v>1</v>
      </c>
      <c r="C2" s="35">
        <v>0.82187038514410882</v>
      </c>
      <c r="D2" s="35">
        <v>0.90335021100538471</v>
      </c>
      <c r="E2" s="35">
        <v>0.63748999923967875</v>
      </c>
      <c r="F2" s="35">
        <v>0.70966928345247804</v>
      </c>
      <c r="G2" s="35">
        <v>0.8987241551006937</v>
      </c>
      <c r="H2" s="13"/>
    </row>
    <row r="3" spans="1:10" x14ac:dyDescent="0.25">
      <c r="A3" s="1" t="s">
        <v>3</v>
      </c>
      <c r="B3" s="10">
        <v>0.82187038514410882</v>
      </c>
      <c r="C3" s="10">
        <v>1</v>
      </c>
      <c r="D3" s="10">
        <v>0.88055587749611042</v>
      </c>
      <c r="E3" s="10">
        <v>0.58153238885473491</v>
      </c>
      <c r="F3" s="10">
        <v>0.89696566775970799</v>
      </c>
      <c r="G3" s="10">
        <v>0.93918117215048413</v>
      </c>
      <c r="H3" s="13"/>
    </row>
    <row r="4" spans="1:10" x14ac:dyDescent="0.25">
      <c r="A4" s="1" t="s">
        <v>6</v>
      </c>
      <c r="B4" s="10">
        <v>0.90335021100538471</v>
      </c>
      <c r="C4" s="10">
        <v>0.88055587749611042</v>
      </c>
      <c r="D4" s="10">
        <v>1</v>
      </c>
      <c r="E4" s="10">
        <v>0.48040098022121863</v>
      </c>
      <c r="F4" s="10">
        <v>0.81026298812976505</v>
      </c>
      <c r="G4" s="10">
        <v>0.9841702118100587</v>
      </c>
      <c r="H4" s="13"/>
    </row>
    <row r="5" spans="1:10" x14ac:dyDescent="0.25">
      <c r="A5" s="1" t="s">
        <v>7</v>
      </c>
      <c r="B5" s="10">
        <v>0.63748999923967875</v>
      </c>
      <c r="C5" s="10">
        <v>0.58153238885473491</v>
      </c>
      <c r="D5" s="10">
        <v>0.48040098022121863</v>
      </c>
      <c r="E5" s="10">
        <v>1</v>
      </c>
      <c r="F5" s="10">
        <v>0.63879780790795804</v>
      </c>
      <c r="G5" s="10">
        <v>0.49134977989076428</v>
      </c>
      <c r="H5" s="13"/>
    </row>
    <row r="6" spans="1:10" x14ac:dyDescent="0.25">
      <c r="A6" s="1" t="s">
        <v>8</v>
      </c>
      <c r="B6" s="10">
        <v>0.70966928345247804</v>
      </c>
      <c r="C6" s="10">
        <v>0.89696566775970799</v>
      </c>
      <c r="D6" s="10">
        <v>0.81026298812976505</v>
      </c>
      <c r="E6" s="10">
        <v>0.63879780790795804</v>
      </c>
      <c r="F6" s="10">
        <v>1</v>
      </c>
      <c r="G6" s="10">
        <v>0.84138633344258595</v>
      </c>
      <c r="H6" s="13"/>
      <c r="I6" s="13"/>
      <c r="J6" s="13"/>
    </row>
    <row r="7" spans="1:10" x14ac:dyDescent="0.25">
      <c r="A7" s="1" t="s">
        <v>9</v>
      </c>
      <c r="B7" s="10">
        <v>0.8987241551006937</v>
      </c>
      <c r="C7" s="10">
        <v>0.93918117215048413</v>
      </c>
      <c r="D7" s="10">
        <v>0.9841702118100587</v>
      </c>
      <c r="E7" s="10">
        <v>0.49134977989076428</v>
      </c>
      <c r="F7" s="10">
        <v>0.84138633344258595</v>
      </c>
      <c r="G7" s="10">
        <v>1</v>
      </c>
      <c r="H7" s="13"/>
      <c r="I7" s="13"/>
      <c r="J7" s="13"/>
    </row>
    <row r="8" spans="1:10" x14ac:dyDescent="0.25">
      <c r="H8" s="13"/>
      <c r="I8" s="13"/>
      <c r="J8" s="13"/>
    </row>
    <row r="9" spans="1:1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" t="s">
        <v>85</v>
      </c>
      <c r="B10" s="26" t="s">
        <v>23</v>
      </c>
      <c r="C10" s="26" t="s">
        <v>56</v>
      </c>
      <c r="D10" s="26" t="s">
        <v>57</v>
      </c>
      <c r="E10" s="26" t="s">
        <v>24</v>
      </c>
      <c r="F10" s="26" t="s">
        <v>25</v>
      </c>
      <c r="G10" s="1" t="s">
        <v>26</v>
      </c>
      <c r="H10" s="13"/>
      <c r="I10" s="13"/>
      <c r="J10" s="13"/>
    </row>
    <row r="11" spans="1:10" x14ac:dyDescent="0.25">
      <c r="A11" s="37" t="s">
        <v>23</v>
      </c>
      <c r="B11" s="41">
        <f>C2^2/SUM(C3)</f>
        <v>0.67547092997692582</v>
      </c>
      <c r="C11" s="27"/>
      <c r="D11" s="29"/>
      <c r="E11" s="29"/>
      <c r="F11" s="29"/>
      <c r="G11" s="40">
        <f>SUM(B11:F11)</f>
        <v>0.67547092997692582</v>
      </c>
      <c r="H11" s="13"/>
      <c r="I11" s="13"/>
      <c r="J11" s="13"/>
    </row>
    <row r="12" spans="1:10" x14ac:dyDescent="0.25">
      <c r="A12" s="38" t="s">
        <v>56</v>
      </c>
      <c r="B12" s="41"/>
      <c r="C12" s="29">
        <f>D2^2/SUM(D4)</f>
        <v>0.81604160372347312</v>
      </c>
      <c r="D12" s="29"/>
      <c r="E12" s="29"/>
      <c r="F12" s="29"/>
      <c r="G12" s="40">
        <f t="shared" ref="G12:G41" si="0">SUM(B12:F12)</f>
        <v>0.81604160372347312</v>
      </c>
      <c r="H12" s="13"/>
      <c r="I12" s="13"/>
      <c r="J12" s="13"/>
    </row>
    <row r="13" spans="1:10" x14ac:dyDescent="0.25">
      <c r="A13" s="38" t="s">
        <v>57</v>
      </c>
      <c r="B13" s="41"/>
      <c r="C13" s="29"/>
      <c r="D13" s="29">
        <f>E2^2/SUM(E5)</f>
        <v>0.40639349913060563</v>
      </c>
      <c r="E13" s="29"/>
      <c r="F13" s="29"/>
      <c r="G13" s="40">
        <f t="shared" si="0"/>
        <v>0.40639349913060563</v>
      </c>
      <c r="H13" s="13"/>
      <c r="I13" s="13"/>
      <c r="J13" s="13"/>
    </row>
    <row r="14" spans="1:10" x14ac:dyDescent="0.25">
      <c r="A14" s="38" t="s">
        <v>24</v>
      </c>
      <c r="B14" s="41"/>
      <c r="C14" s="29"/>
      <c r="D14" s="29"/>
      <c r="E14" s="29">
        <f>F2^2/SUM(F6)</f>
        <v>0.50363049187595366</v>
      </c>
      <c r="F14" s="29"/>
      <c r="G14" s="40">
        <f t="shared" si="0"/>
        <v>0.50363049187595366</v>
      </c>
      <c r="H14" s="13"/>
      <c r="I14" s="13"/>
      <c r="J14" s="13"/>
    </row>
    <row r="15" spans="1:10" x14ac:dyDescent="0.25">
      <c r="A15" s="39" t="s">
        <v>25</v>
      </c>
      <c r="B15" s="41"/>
      <c r="C15" s="32"/>
      <c r="D15" s="29"/>
      <c r="E15" s="32"/>
      <c r="F15" s="32">
        <f>G2^2/SUM(G7)</f>
        <v>0.8077051069614557</v>
      </c>
      <c r="G15" s="40">
        <f t="shared" si="0"/>
        <v>0.8077051069614557</v>
      </c>
      <c r="H15" s="13"/>
      <c r="I15" s="13"/>
      <c r="J15" s="13"/>
    </row>
    <row r="16" spans="1:10" x14ac:dyDescent="0.25">
      <c r="A16" s="37" t="s">
        <v>58</v>
      </c>
      <c r="B16" s="40">
        <f>C2^2/SUM(C3:C4)</f>
        <v>0.35918684366682579</v>
      </c>
      <c r="C16" s="42">
        <f>D2^2/SUM(D3,D4)</f>
        <v>0.43393637673239571</v>
      </c>
      <c r="D16" s="27"/>
      <c r="E16" s="40"/>
      <c r="F16" s="40"/>
      <c r="G16" s="27">
        <f t="shared" si="0"/>
        <v>0.79312322039922156</v>
      </c>
      <c r="H16" s="13"/>
      <c r="I16" s="13"/>
      <c r="J16" s="13"/>
    </row>
    <row r="17" spans="1:10" x14ac:dyDescent="0.25">
      <c r="A17" s="38" t="s">
        <v>59</v>
      </c>
      <c r="B17" s="41">
        <f>C2^2/SUM(C5,C3)</f>
        <v>0.42709901784943366</v>
      </c>
      <c r="C17" s="29"/>
      <c r="D17" s="29">
        <f>E2^2/SUM(E3,E5)</f>
        <v>0.25696185673749944</v>
      </c>
      <c r="E17" s="29"/>
      <c r="F17" s="30"/>
      <c r="G17" s="27">
        <f t="shared" si="0"/>
        <v>0.6840608745869331</v>
      </c>
      <c r="H17" s="13"/>
      <c r="I17" s="13"/>
      <c r="J17" s="13"/>
    </row>
    <row r="18" spans="1:10" x14ac:dyDescent="0.25">
      <c r="A18" s="38" t="s">
        <v>27</v>
      </c>
      <c r="B18" s="41">
        <f>C2^2/SUM(C3,C6)</f>
        <v>0.35607968107016313</v>
      </c>
      <c r="C18" s="29"/>
      <c r="D18" s="29"/>
      <c r="E18" s="29">
        <f>F2^2/SUM(F3,F6)</f>
        <v>0.26549267624370598</v>
      </c>
      <c r="F18" s="30"/>
      <c r="G18" s="27">
        <f t="shared" si="0"/>
        <v>0.62157235731386917</v>
      </c>
      <c r="H18" s="13"/>
      <c r="I18" s="13"/>
      <c r="J18" s="13"/>
    </row>
    <row r="19" spans="1:10" x14ac:dyDescent="0.25">
      <c r="A19" s="38" t="s">
        <v>28</v>
      </c>
      <c r="B19" s="41">
        <f>C2^2/SUM(C3,C7)</f>
        <v>0.34832791266627872</v>
      </c>
      <c r="C19" s="29"/>
      <c r="D19" s="29"/>
      <c r="E19" s="29"/>
      <c r="F19" s="30">
        <f>G2^2/SUM(G3,G7)</f>
        <v>0.41651864124987298</v>
      </c>
      <c r="G19" s="27">
        <f t="shared" si="0"/>
        <v>0.76484655391615175</v>
      </c>
      <c r="H19" s="13"/>
      <c r="I19" s="13"/>
      <c r="J19" s="13"/>
    </row>
    <row r="20" spans="1:10" x14ac:dyDescent="0.25">
      <c r="A20" s="28" t="s">
        <v>60</v>
      </c>
      <c r="B20" s="29"/>
      <c r="C20" s="29">
        <f>D2^2/SUM(D4,D5)</f>
        <v>0.55123011577682879</v>
      </c>
      <c r="D20" s="29">
        <f>E2^2/SUM(E4,E5)</f>
        <v>0.27451582683353642</v>
      </c>
      <c r="E20" s="29"/>
      <c r="F20" s="30"/>
      <c r="G20" s="27">
        <f t="shared" si="0"/>
        <v>0.82574594261036527</v>
      </c>
      <c r="H20" s="13"/>
      <c r="I20" s="13"/>
      <c r="J20" s="13"/>
    </row>
    <row r="21" spans="1:10" x14ac:dyDescent="0.25">
      <c r="A21" s="28" t="s">
        <v>61</v>
      </c>
      <c r="B21" s="29"/>
      <c r="C21" s="29">
        <f>D2^2/SUM(D4,D6)</f>
        <v>0.45078621674000491</v>
      </c>
      <c r="D21" s="29"/>
      <c r="E21" s="29">
        <f>F2^2/SUM(F4,F6)</f>
        <v>0.278208467597445</v>
      </c>
      <c r="F21" s="30"/>
      <c r="G21" s="27">
        <f t="shared" si="0"/>
        <v>0.72899468433744996</v>
      </c>
      <c r="H21" s="13"/>
      <c r="I21" s="13"/>
      <c r="J21" s="13"/>
    </row>
    <row r="22" spans="1:10" x14ac:dyDescent="0.25">
      <c r="A22" s="28" t="s">
        <v>62</v>
      </c>
      <c r="B22" s="29"/>
      <c r="C22" s="29">
        <f>D2^2/SUM(D4,D7)</f>
        <v>0.41127600790813174</v>
      </c>
      <c r="D22" s="29"/>
      <c r="E22" s="29"/>
      <c r="F22" s="29">
        <f>G2^2/SUM(G4,G7)</f>
        <v>0.4070745050771763</v>
      </c>
      <c r="G22" s="27">
        <f t="shared" si="0"/>
        <v>0.81835051298530803</v>
      </c>
      <c r="H22" s="13"/>
      <c r="I22" s="13"/>
      <c r="J22" s="13"/>
    </row>
    <row r="23" spans="1:10" x14ac:dyDescent="0.25">
      <c r="A23" s="28" t="s">
        <v>63</v>
      </c>
      <c r="B23" s="29"/>
      <c r="C23" s="29"/>
      <c r="D23" s="29">
        <f>E2^2/SUM(E5,E6)</f>
        <v>0.24798269632139416</v>
      </c>
      <c r="E23" s="29">
        <f>F2^2/SUM(F5,F6)</f>
        <v>0.30731704023870632</v>
      </c>
      <c r="F23" s="30"/>
      <c r="G23" s="27">
        <f t="shared" si="0"/>
        <v>0.55529973656010045</v>
      </c>
      <c r="H23" s="13"/>
      <c r="I23" s="13"/>
      <c r="J23" s="13"/>
    </row>
    <row r="24" spans="1:10" x14ac:dyDescent="0.25">
      <c r="A24" s="28" t="s">
        <v>64</v>
      </c>
      <c r="B24" s="29"/>
      <c r="C24" s="29"/>
      <c r="D24" s="29">
        <f>E2^2/SUM(E5,E7)</f>
        <v>0.27250045871892803</v>
      </c>
      <c r="E24" s="29"/>
      <c r="F24" s="29">
        <f t="shared" ref="F24" si="1">G2^2/SUM(G5,G7)</f>
        <v>0.5415933390358747</v>
      </c>
      <c r="G24" s="27">
        <f t="shared" si="0"/>
        <v>0.81409379775480273</v>
      </c>
      <c r="H24" s="13"/>
      <c r="I24" s="13"/>
      <c r="J24" s="13"/>
    </row>
    <row r="25" spans="1:10" x14ac:dyDescent="0.25">
      <c r="A25" s="31" t="s">
        <v>29</v>
      </c>
      <c r="B25" s="29"/>
      <c r="C25" s="29"/>
      <c r="D25" s="29"/>
      <c r="E25" s="29">
        <f>F2^2/SUM(F6,F7)</f>
        <v>0.27350615279868251</v>
      </c>
      <c r="F25" s="29">
        <f>G2^2/SUM(G6,G7)</f>
        <v>0.4386396772324257</v>
      </c>
      <c r="G25" s="27">
        <f t="shared" si="0"/>
        <v>0.71214583003110821</v>
      </c>
      <c r="H25" s="13"/>
      <c r="I25" s="13"/>
      <c r="J25" s="13"/>
    </row>
    <row r="26" spans="1:10" x14ac:dyDescent="0.25">
      <c r="A26" s="37" t="s">
        <v>65</v>
      </c>
      <c r="B26" s="40">
        <f>C2^2/SUM(C3,C4,C5)</f>
        <v>0.27434878725045342</v>
      </c>
      <c r="C26" s="27">
        <f t="shared" ref="C26:D26" si="2">D2^2/SUM(D3,D4,D5)</f>
        <v>0.34564020136837909</v>
      </c>
      <c r="D26" s="27">
        <f t="shared" si="2"/>
        <v>0.19709341980954947</v>
      </c>
      <c r="E26" s="27"/>
      <c r="F26" s="27"/>
      <c r="G26" s="40">
        <f t="shared" si="0"/>
        <v>0.81708240842838209</v>
      </c>
      <c r="H26" s="13"/>
      <c r="I26" s="13"/>
      <c r="J26" s="13"/>
    </row>
    <row r="27" spans="1:10" x14ac:dyDescent="0.25">
      <c r="A27" s="38" t="s">
        <v>66</v>
      </c>
      <c r="B27" s="41">
        <f>C2^2/SUM(C3,C4,C6)</f>
        <v>0.24319196772052865</v>
      </c>
      <c r="C27" s="29">
        <f>D2^2/SUM(D3,D4,D6)</f>
        <v>0.3032688725904501</v>
      </c>
      <c r="D27" s="29"/>
      <c r="E27" s="29">
        <f t="shared" ref="E27" si="3">F2^2/SUM(F3,F4,F6)</f>
        <v>0.18603175272259498</v>
      </c>
      <c r="F27" s="29"/>
      <c r="G27" s="40">
        <f t="shared" si="0"/>
        <v>0.73249259303357372</v>
      </c>
      <c r="H27" s="13"/>
      <c r="I27" s="13"/>
      <c r="J27" s="13"/>
    </row>
    <row r="28" spans="1:10" x14ac:dyDescent="0.25">
      <c r="A28" s="38" t="s">
        <v>67</v>
      </c>
      <c r="B28" s="41">
        <f>C2^2/SUM(C3,C4,C7)</f>
        <v>0.23955103546324807</v>
      </c>
      <c r="C28" s="29">
        <f>D2^2/SUM(D3,D4,D7)</f>
        <v>0.28485850942947105</v>
      </c>
      <c r="D28" s="29"/>
      <c r="E28" s="29"/>
      <c r="F28" s="29">
        <f t="shared" ref="F28" si="4">G2^2/SUM(G3,G4,G7)</f>
        <v>0.27629422565931183</v>
      </c>
      <c r="G28" s="40">
        <f t="shared" si="0"/>
        <v>0.8007037705520309</v>
      </c>
      <c r="H28" s="13"/>
      <c r="I28" s="13"/>
      <c r="J28" s="13"/>
    </row>
    <row r="29" spans="1:10" x14ac:dyDescent="0.25">
      <c r="A29" s="38" t="s">
        <v>69</v>
      </c>
      <c r="B29" s="41">
        <f>C2^2/SUM(C3,C5,C6)</f>
        <v>0.27253236215952481</v>
      </c>
      <c r="C29" s="29"/>
      <c r="D29" s="29">
        <f t="shared" ref="D29:E29" si="5">E2^2/SUM(E3,E5,E6)</f>
        <v>0.1830329109261043</v>
      </c>
      <c r="E29" s="29">
        <f t="shared" si="5"/>
        <v>0.19861098904082441</v>
      </c>
      <c r="F29" s="29"/>
      <c r="G29" s="40">
        <f t="shared" si="0"/>
        <v>0.65417626212645352</v>
      </c>
      <c r="H29" s="13"/>
      <c r="I29" s="13"/>
      <c r="J29" s="13"/>
    </row>
    <row r="30" spans="1:10" x14ac:dyDescent="0.25">
      <c r="A30" s="38" t="s">
        <v>70</v>
      </c>
      <c r="B30" s="41">
        <f>C2^2/SUM(C3,C5,C7)</f>
        <v>0.26796814220635173</v>
      </c>
      <c r="C30" s="29"/>
      <c r="D30" s="29">
        <f t="shared" ref="D30:F30" si="6">E2^2/SUM(E3,E5,E7)</f>
        <v>0.19605238795437827</v>
      </c>
      <c r="E30" s="29"/>
      <c r="F30" s="29">
        <f t="shared" si="6"/>
        <v>0.33231632219417551</v>
      </c>
      <c r="G30" s="40">
        <f t="shared" si="0"/>
        <v>0.79633685235490548</v>
      </c>
      <c r="H30" s="13"/>
      <c r="I30" s="13"/>
      <c r="J30" s="13"/>
    </row>
    <row r="31" spans="1:10" x14ac:dyDescent="0.25">
      <c r="A31" s="38" t="s">
        <v>30</v>
      </c>
      <c r="B31" s="41">
        <f>C2^2/SUM(C3,C6,C7)</f>
        <v>0.23816500629364976</v>
      </c>
      <c r="C31" s="29"/>
      <c r="D31" s="29"/>
      <c r="E31" s="29">
        <f t="shared" ref="E31:F31" si="7">F2^2/SUM(F3,F6,F7)</f>
        <v>0.1839173676922583</v>
      </c>
      <c r="F31" s="29">
        <f t="shared" si="7"/>
        <v>0.29048210674143637</v>
      </c>
      <c r="G31" s="40">
        <f t="shared" si="0"/>
        <v>0.71256448072734446</v>
      </c>
      <c r="H31" s="13"/>
      <c r="I31" s="13"/>
      <c r="J31" s="13"/>
    </row>
    <row r="32" spans="1:10" x14ac:dyDescent="0.25">
      <c r="A32" s="28" t="s">
        <v>68</v>
      </c>
      <c r="B32" s="29"/>
      <c r="C32" s="29">
        <f>D2^2/SUM(D4,D5,D6)</f>
        <v>0.35624675421551671</v>
      </c>
      <c r="D32" s="29">
        <f t="shared" ref="D32:E32" si="8">E2^2/SUM(E4,E5,E6)</f>
        <v>0.19176752148361165</v>
      </c>
      <c r="E32" s="29">
        <f t="shared" si="8"/>
        <v>0.20564229875010265</v>
      </c>
      <c r="F32" s="29"/>
      <c r="G32" s="40">
        <f t="shared" si="0"/>
        <v>0.75365657444923106</v>
      </c>
      <c r="H32" s="13"/>
      <c r="I32" s="13"/>
      <c r="J32" s="13"/>
    </row>
    <row r="33" spans="1:10" x14ac:dyDescent="0.25">
      <c r="A33" s="43" t="s">
        <v>71</v>
      </c>
      <c r="B33" s="43"/>
      <c r="C33" s="43">
        <f>D2^2/SUM(D4,D5,D7)</f>
        <v>0.33110895979064781</v>
      </c>
      <c r="D33" s="43">
        <f t="shared" ref="D33:F33" si="9">E2^2/SUM(E4,E5,E7)</f>
        <v>0.20610794596956317</v>
      </c>
      <c r="E33" s="43"/>
      <c r="F33" s="43">
        <f t="shared" si="9"/>
        <v>0.32627694773998428</v>
      </c>
      <c r="G33" s="44">
        <f t="shared" si="0"/>
        <v>0.86349385350019525</v>
      </c>
      <c r="H33" s="13"/>
      <c r="I33" s="13"/>
      <c r="J33" s="13"/>
    </row>
    <row r="34" spans="1:10" x14ac:dyDescent="0.25">
      <c r="A34" s="28" t="s">
        <v>72</v>
      </c>
      <c r="B34" s="29"/>
      <c r="C34" s="29">
        <f>D2^2/SUM(D4,D6,D7)</f>
        <v>0.29202401536778411</v>
      </c>
      <c r="D34" s="29"/>
      <c r="E34" s="41">
        <f>F2^2/SUM(F4,F6,F7)</f>
        <v>0.18993103189727797</v>
      </c>
      <c r="F34" s="29">
        <f t="shared" ref="F34" si="10">G2^2/SUM(G4,G6,G7)</f>
        <v>0.28585699632113909</v>
      </c>
      <c r="G34" s="40">
        <f t="shared" si="0"/>
        <v>0.76781204358620125</v>
      </c>
      <c r="H34" s="13"/>
      <c r="I34" s="13"/>
      <c r="J34" s="13"/>
    </row>
    <row r="35" spans="1:10" x14ac:dyDescent="0.25">
      <c r="A35" s="31" t="s">
        <v>73</v>
      </c>
      <c r="B35" s="32"/>
      <c r="C35" s="32"/>
      <c r="D35" s="32">
        <f>E2^2/SUM(E5,E6,E7)</f>
        <v>0.19078185073108919</v>
      </c>
      <c r="E35" s="32">
        <f t="shared" ref="E35:F35" si="11">F2^2/SUM(F5,F6,F7)</f>
        <v>0.20306173379598735</v>
      </c>
      <c r="F35" s="32">
        <f t="shared" si="11"/>
        <v>0.34624795421342791</v>
      </c>
      <c r="G35" s="40">
        <f t="shared" si="0"/>
        <v>0.74009153874050448</v>
      </c>
      <c r="H35" s="13"/>
      <c r="I35" s="13"/>
      <c r="J35" s="13"/>
    </row>
    <row r="36" spans="1:10" x14ac:dyDescent="0.25">
      <c r="A36" s="28" t="s">
        <v>75</v>
      </c>
      <c r="B36" s="27">
        <f>C2^2/SUM(C4,C5,C6,C3)</f>
        <v>0.20108963512542832</v>
      </c>
      <c r="C36" s="27">
        <f>D2^2/SUM(D4,D5,D6,D3)</f>
        <v>0.25732735142665347</v>
      </c>
      <c r="D36" s="27">
        <f t="shared" ref="D36:E36" si="12">E2^2/SUM(E4,E5,E6,E3)</f>
        <v>0.15047536111478249</v>
      </c>
      <c r="E36" s="27">
        <f t="shared" si="12"/>
        <v>0.15051599182643033</v>
      </c>
      <c r="F36" s="27"/>
      <c r="G36" s="27">
        <f t="shared" si="0"/>
        <v>0.75940833949329467</v>
      </c>
      <c r="H36" s="13"/>
      <c r="I36" s="13"/>
      <c r="J36" s="13"/>
    </row>
    <row r="37" spans="1:10" x14ac:dyDescent="0.25">
      <c r="A37" s="28" t="s">
        <v>76</v>
      </c>
      <c r="B37" s="29">
        <f>C2^2/SUM(C3,C4,C5,C7)</f>
        <v>0.19859377276342813</v>
      </c>
      <c r="C37" s="29">
        <f t="shared" ref="C37:F37" si="13">D2^2/SUM(D3,D4,D5,D7)</f>
        <v>0.24394935880231497</v>
      </c>
      <c r="D37" s="29">
        <f t="shared" si="13"/>
        <v>0.15916507313145745</v>
      </c>
      <c r="E37" s="29"/>
      <c r="F37" s="29">
        <f t="shared" si="13"/>
        <v>0.23653756747793322</v>
      </c>
      <c r="G37" s="27">
        <f t="shared" si="0"/>
        <v>0.83824577217513374</v>
      </c>
      <c r="H37" s="13"/>
      <c r="I37" s="13"/>
      <c r="J37" s="13"/>
    </row>
    <row r="38" spans="1:10" x14ac:dyDescent="0.25">
      <c r="A38" s="28" t="s">
        <v>79</v>
      </c>
      <c r="B38" s="29">
        <f>C2^2/SUM(C3,C4,C6,C7)</f>
        <v>0.18173929456706792</v>
      </c>
      <c r="C38" s="29">
        <f t="shared" ref="C38:F38" si="14">D2^2/SUM(D3,D4,D6,D7)</f>
        <v>0.22205279703656455</v>
      </c>
      <c r="D38" s="29"/>
      <c r="E38" s="29">
        <f t="shared" si="14"/>
        <v>0.14192311462076926</v>
      </c>
      <c r="F38" s="29">
        <f t="shared" si="14"/>
        <v>0.21454485480560942</v>
      </c>
      <c r="G38" s="27">
        <f t="shared" si="0"/>
        <v>0.7602600610300112</v>
      </c>
      <c r="H38" s="13"/>
      <c r="I38" s="13"/>
      <c r="J38" s="13"/>
    </row>
    <row r="39" spans="1:10" x14ac:dyDescent="0.25">
      <c r="A39" s="28" t="s">
        <v>77</v>
      </c>
      <c r="B39" s="29">
        <f>C2^2/SUM(C3,C5,C6,C7)</f>
        <v>0.1976402361847826</v>
      </c>
      <c r="C39" s="29"/>
      <c r="D39" s="29">
        <f t="shared" ref="D39:F39" si="15">E2^2/SUM(E3,E5,E6,E7)</f>
        <v>0.14986779510469542</v>
      </c>
      <c r="E39" s="29">
        <f t="shared" si="15"/>
        <v>0.14912885727406947</v>
      </c>
      <c r="F39" s="29">
        <f t="shared" si="15"/>
        <v>0.24685987954063346</v>
      </c>
      <c r="G39" s="27">
        <f t="shared" si="0"/>
        <v>0.74349676810418097</v>
      </c>
      <c r="H39" s="13"/>
      <c r="I39" s="13"/>
      <c r="J39" s="13"/>
    </row>
    <row r="40" spans="1:10" x14ac:dyDescent="0.25">
      <c r="A40" s="28" t="s">
        <v>78</v>
      </c>
      <c r="B40" s="32"/>
      <c r="C40" s="32">
        <f>D2^2/SUM(D4,D5,D6,D7)</f>
        <v>0.24918562554008267</v>
      </c>
      <c r="D40" s="32">
        <f t="shared" ref="D40:F40" si="16">E2^2/SUM(E4,E5,E6,E7)</f>
        <v>0.15567360213445428</v>
      </c>
      <c r="E40" s="32">
        <f t="shared" si="16"/>
        <v>0.1530583753690328</v>
      </c>
      <c r="F40" s="32">
        <f t="shared" si="16"/>
        <v>0.2435115821145579</v>
      </c>
      <c r="G40" s="27">
        <f t="shared" si="0"/>
        <v>0.80142918515812767</v>
      </c>
      <c r="H40" s="13"/>
      <c r="I40" s="13"/>
      <c r="J40" s="13"/>
    </row>
    <row r="41" spans="1:10" x14ac:dyDescent="0.25">
      <c r="A41" s="31" t="s">
        <v>74</v>
      </c>
      <c r="B41" s="10">
        <f>C2^2/SUM(C3,C4,C5,C6,C7)</f>
        <v>0.15715076380838242</v>
      </c>
      <c r="C41" s="10">
        <f>D2^2/SUM(D3,D4,D5,D6,D7)</f>
        <v>0.19638146898382025</v>
      </c>
      <c r="D41" s="10">
        <f>E2^2/SUM(E3,E4,E5,E6,E7)</f>
        <v>0.12731303015838924</v>
      </c>
      <c r="E41" s="10">
        <f>F2^2/SUM(F3,F4,F5,F6,F7)</f>
        <v>0.12027247282806787</v>
      </c>
      <c r="F41" s="10">
        <f>G2^2/SUM(G3,G4,G5,G6,G7)</f>
        <v>0.18977643374930872</v>
      </c>
      <c r="G41" s="27">
        <f t="shared" si="0"/>
        <v>0.79089416952796854</v>
      </c>
      <c r="H41" s="13"/>
      <c r="I41" s="13"/>
      <c r="J41" s="13"/>
    </row>
    <row r="42" spans="1:1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5">
      <c r="A44" s="1" t="s">
        <v>0</v>
      </c>
      <c r="B44" s="1" t="s">
        <v>1</v>
      </c>
      <c r="C44" s="1" t="s">
        <v>2</v>
      </c>
      <c r="D44" s="1" t="s">
        <v>6</v>
      </c>
      <c r="E44" s="1" t="s">
        <v>7</v>
      </c>
      <c r="F44" s="7" t="s">
        <v>9</v>
      </c>
    </row>
    <row r="45" spans="1:10" x14ac:dyDescent="0.25">
      <c r="A45" s="1">
        <v>2005</v>
      </c>
      <c r="B45" s="9">
        <v>1</v>
      </c>
      <c r="C45" s="10">
        <v>2439.25</v>
      </c>
      <c r="D45" s="10">
        <v>39.119999999999997</v>
      </c>
      <c r="E45" s="11">
        <v>0.73</v>
      </c>
      <c r="F45" s="9">
        <v>2306</v>
      </c>
    </row>
    <row r="46" spans="1:10" x14ac:dyDescent="0.25">
      <c r="A46" s="1">
        <v>2006</v>
      </c>
      <c r="B46" s="9">
        <v>2</v>
      </c>
      <c r="C46" s="10">
        <v>2545.25</v>
      </c>
      <c r="D46" s="10">
        <v>41.98</v>
      </c>
      <c r="E46" s="11">
        <v>0.75</v>
      </c>
      <c r="F46" s="9">
        <v>2413</v>
      </c>
    </row>
    <row r="47" spans="1:10" x14ac:dyDescent="0.25">
      <c r="A47" s="1">
        <v>2007</v>
      </c>
      <c r="B47" s="9">
        <v>3</v>
      </c>
      <c r="C47" s="10">
        <v>2816</v>
      </c>
      <c r="D47" s="10">
        <v>44.35</v>
      </c>
      <c r="E47" s="11">
        <v>1.34</v>
      </c>
      <c r="F47" s="9">
        <v>2603</v>
      </c>
    </row>
    <row r="48" spans="1:10" x14ac:dyDescent="0.25">
      <c r="A48" s="1">
        <v>2008</v>
      </c>
      <c r="B48" s="9">
        <v>4</v>
      </c>
      <c r="C48" s="10">
        <v>3316.25</v>
      </c>
      <c r="D48" s="10">
        <v>45.24</v>
      </c>
      <c r="E48" s="11">
        <v>1.48</v>
      </c>
      <c r="F48" s="9">
        <v>2849</v>
      </c>
    </row>
    <row r="49" spans="1:12" x14ac:dyDescent="0.25">
      <c r="A49" s="1">
        <v>2009</v>
      </c>
      <c r="B49" s="9">
        <v>5</v>
      </c>
      <c r="C49" s="10">
        <v>3891.5</v>
      </c>
      <c r="D49" s="11">
        <v>47.47</v>
      </c>
      <c r="E49" s="11">
        <v>1.33</v>
      </c>
      <c r="F49" s="9">
        <v>3139</v>
      </c>
    </row>
    <row r="50" spans="1:12" x14ac:dyDescent="0.25">
      <c r="A50" s="1">
        <v>2010</v>
      </c>
      <c r="B50" s="9">
        <v>6</v>
      </c>
      <c r="C50" s="10">
        <v>4360.25</v>
      </c>
      <c r="D50" s="11">
        <v>49.72</v>
      </c>
      <c r="E50" s="11">
        <v>1.23</v>
      </c>
      <c r="F50" s="9">
        <v>3300</v>
      </c>
    </row>
    <row r="51" spans="1:12" x14ac:dyDescent="0.25">
      <c r="A51" s="1">
        <v>2011</v>
      </c>
      <c r="B51" s="9">
        <v>7</v>
      </c>
      <c r="C51" s="10">
        <v>3858.25</v>
      </c>
      <c r="D51" s="11">
        <v>52.17</v>
      </c>
      <c r="E51" s="11">
        <v>1.21</v>
      </c>
      <c r="F51" s="9">
        <v>3481</v>
      </c>
    </row>
    <row r="52" spans="1:12" x14ac:dyDescent="0.25">
      <c r="A52" s="1">
        <v>2012</v>
      </c>
      <c r="B52" s="9">
        <v>8</v>
      </c>
      <c r="C52" s="10">
        <v>3996.25</v>
      </c>
      <c r="D52" s="11">
        <v>54.1</v>
      </c>
      <c r="E52" s="11">
        <v>1.2</v>
      </c>
      <c r="F52" s="9">
        <v>3628</v>
      </c>
    </row>
    <row r="53" spans="1:12" x14ac:dyDescent="0.25">
      <c r="A53" s="1">
        <v>2013</v>
      </c>
      <c r="B53" s="9">
        <v>9</v>
      </c>
      <c r="C53" s="10">
        <v>4025.25</v>
      </c>
      <c r="D53" s="11">
        <v>55.91</v>
      </c>
      <c r="E53" s="11">
        <v>1.18</v>
      </c>
      <c r="F53" s="9">
        <v>3761</v>
      </c>
    </row>
    <row r="54" spans="1:12" x14ac:dyDescent="0.25">
      <c r="A54" s="1">
        <v>2014</v>
      </c>
      <c r="B54" s="9">
        <v>10</v>
      </c>
      <c r="C54" s="10">
        <v>4033.5</v>
      </c>
      <c r="D54" s="11">
        <v>57.34</v>
      </c>
      <c r="E54" s="11">
        <v>1.17</v>
      </c>
      <c r="F54" s="9">
        <v>3899</v>
      </c>
    </row>
    <row r="55" spans="1:12" x14ac:dyDescent="0.25">
      <c r="A55" s="1">
        <v>2015</v>
      </c>
      <c r="B55" s="9">
        <v>11</v>
      </c>
      <c r="C55" s="10">
        <v>3969.5</v>
      </c>
      <c r="D55" s="11">
        <v>57.87</v>
      </c>
      <c r="E55" s="11">
        <v>1.1499999999999999</v>
      </c>
      <c r="F55" s="9">
        <v>4017</v>
      </c>
    </row>
    <row r="56" spans="1:12" x14ac:dyDescent="0.25">
      <c r="A56" s="1">
        <v>2016</v>
      </c>
      <c r="B56" s="9">
        <v>12</v>
      </c>
      <c r="C56" s="10">
        <v>4054</v>
      </c>
      <c r="D56" s="11">
        <v>58.84</v>
      </c>
      <c r="E56" s="11">
        <v>1.1399999999999999</v>
      </c>
      <c r="F56" s="9">
        <v>4182</v>
      </c>
    </row>
    <row r="57" spans="1:12" x14ac:dyDescent="0.25">
      <c r="A57" s="1">
        <v>2017</v>
      </c>
      <c r="B57" s="9">
        <v>13</v>
      </c>
      <c r="C57" s="10">
        <v>4170</v>
      </c>
      <c r="D57" s="11">
        <v>60.39</v>
      </c>
      <c r="E57" s="11">
        <v>1.1399999999999999</v>
      </c>
      <c r="F57" s="9">
        <v>4454</v>
      </c>
    </row>
    <row r="58" spans="1:12" x14ac:dyDescent="0.25">
      <c r="A58" s="1">
        <v>2018</v>
      </c>
      <c r="B58" s="9">
        <v>14</v>
      </c>
      <c r="C58" s="10">
        <v>4237.5</v>
      </c>
      <c r="D58" s="10">
        <v>62.64</v>
      </c>
      <c r="E58" s="11">
        <v>1.19</v>
      </c>
      <c r="F58" s="9">
        <v>4816</v>
      </c>
    </row>
    <row r="59" spans="1:12" x14ac:dyDescent="0.25">
      <c r="A59" s="1">
        <v>2019</v>
      </c>
      <c r="B59" s="9">
        <v>15</v>
      </c>
      <c r="C59" s="10">
        <v>4461.25</v>
      </c>
      <c r="D59" s="10">
        <v>63.32</v>
      </c>
      <c r="E59" s="11">
        <v>1.29</v>
      </c>
      <c r="F59" s="9">
        <v>5168</v>
      </c>
    </row>
    <row r="60" spans="1:12" x14ac:dyDescent="0.25">
      <c r="A60" s="1">
        <v>2020</v>
      </c>
      <c r="B60" s="9">
        <v>16</v>
      </c>
      <c r="C60" s="10">
        <v>4891.5</v>
      </c>
      <c r="D60" s="10">
        <v>65.849999999999994</v>
      </c>
      <c r="E60" s="11">
        <v>1.37</v>
      </c>
      <c r="F60" s="9">
        <v>5394</v>
      </c>
    </row>
    <row r="61" spans="1:12" x14ac:dyDescent="0.25">
      <c r="A61" s="1">
        <v>2021</v>
      </c>
      <c r="B61" s="9">
        <v>17</v>
      </c>
      <c r="C61" s="10">
        <v>5134.25</v>
      </c>
      <c r="D61" s="10">
        <v>67.540000000000006</v>
      </c>
      <c r="E61" s="11">
        <v>1.52</v>
      </c>
      <c r="F61" s="14">
        <v>5536.8</v>
      </c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</row>
    <row r="63" spans="1:12" x14ac:dyDescent="0.25">
      <c r="A63" t="s">
        <v>31</v>
      </c>
      <c r="G63" s="6" t="s">
        <v>22</v>
      </c>
      <c r="H63" s="5"/>
      <c r="I63" s="5"/>
      <c r="J63" s="5"/>
      <c r="K63" s="5"/>
      <c r="L63" s="5"/>
    </row>
    <row r="65" spans="1:9" x14ac:dyDescent="0.25">
      <c r="A65" s="51" t="s">
        <v>32</v>
      </c>
      <c r="B65" s="51"/>
    </row>
    <row r="66" spans="1:9" x14ac:dyDescent="0.25">
      <c r="A66" s="48" t="s">
        <v>33</v>
      </c>
      <c r="B66" s="52">
        <v>0.93307146288329401</v>
      </c>
    </row>
    <row r="67" spans="1:9" x14ac:dyDescent="0.25">
      <c r="A67" s="66" t="s">
        <v>34</v>
      </c>
      <c r="B67" s="66">
        <v>0.87062235484717032</v>
      </c>
    </row>
    <row r="68" spans="1:9" x14ac:dyDescent="0.25">
      <c r="A68" s="48" t="s">
        <v>35</v>
      </c>
      <c r="B68" s="52">
        <v>0.8407659751965173</v>
      </c>
    </row>
    <row r="69" spans="1:9" x14ac:dyDescent="0.25">
      <c r="A69" s="48" t="s">
        <v>36</v>
      </c>
      <c r="B69" s="52">
        <v>295.55988059706078</v>
      </c>
    </row>
    <row r="70" spans="1:9" x14ac:dyDescent="0.25">
      <c r="A70" s="48" t="s">
        <v>37</v>
      </c>
      <c r="B70" s="52">
        <v>17</v>
      </c>
    </row>
    <row r="72" spans="1:9" x14ac:dyDescent="0.25">
      <c r="A72" t="s">
        <v>38</v>
      </c>
    </row>
    <row r="73" spans="1:9" x14ac:dyDescent="0.25">
      <c r="A73" s="34"/>
      <c r="B73" s="34" t="s">
        <v>39</v>
      </c>
      <c r="C73" s="34" t="s">
        <v>40</v>
      </c>
      <c r="D73" s="34" t="s">
        <v>41</v>
      </c>
      <c r="E73" s="34" t="s">
        <v>42</v>
      </c>
      <c r="F73" s="34" t="s">
        <v>43</v>
      </c>
    </row>
    <row r="74" spans="1:9" x14ac:dyDescent="0.25">
      <c r="A74" s="48" t="s">
        <v>44</v>
      </c>
      <c r="B74" s="52">
        <v>3</v>
      </c>
      <c r="C74" s="52">
        <v>7641962.2731118063</v>
      </c>
      <c r="D74" s="52">
        <v>2547320.7577039353</v>
      </c>
      <c r="E74" s="52">
        <v>29.16034579658518</v>
      </c>
      <c r="F74" s="52">
        <v>4.8305625383966302E-6</v>
      </c>
    </row>
    <row r="75" spans="1:9" x14ac:dyDescent="0.25">
      <c r="A75" s="48" t="s">
        <v>45</v>
      </c>
      <c r="B75" s="52">
        <v>13</v>
      </c>
      <c r="C75" s="52">
        <v>1135623.3592411345</v>
      </c>
      <c r="D75" s="52">
        <v>87355.643018548813</v>
      </c>
      <c r="E75" s="52"/>
      <c r="F75" s="52"/>
    </row>
    <row r="76" spans="1:9" x14ac:dyDescent="0.25">
      <c r="A76" s="48" t="s">
        <v>46</v>
      </c>
      <c r="B76" s="52">
        <v>16</v>
      </c>
      <c r="C76" s="52">
        <v>8777585.6323529407</v>
      </c>
      <c r="D76" s="52"/>
      <c r="E76" s="52"/>
      <c r="F76" s="52"/>
    </row>
    <row r="78" spans="1:9" x14ac:dyDescent="0.25">
      <c r="A78" s="34"/>
      <c r="B78" s="34" t="s">
        <v>47</v>
      </c>
      <c r="C78" s="34" t="s">
        <v>36</v>
      </c>
      <c r="D78" s="34" t="s">
        <v>48</v>
      </c>
      <c r="E78" s="34" t="s">
        <v>49</v>
      </c>
      <c r="F78" s="34" t="s">
        <v>50</v>
      </c>
      <c r="G78" s="34" t="s">
        <v>51</v>
      </c>
      <c r="H78" s="34" t="s">
        <v>52</v>
      </c>
      <c r="I78" s="34" t="s">
        <v>53</v>
      </c>
    </row>
    <row r="79" spans="1:9" x14ac:dyDescent="0.25">
      <c r="A79" s="48" t="s">
        <v>54</v>
      </c>
      <c r="B79" s="52">
        <v>-593.89887568337417</v>
      </c>
      <c r="C79" s="52">
        <v>1184.8255108002268</v>
      </c>
      <c r="D79" s="52">
        <v>-0.50125429463639504</v>
      </c>
      <c r="E79" s="52">
        <v>0.62457243771003546</v>
      </c>
      <c r="F79" s="52">
        <v>-3153.5587725937021</v>
      </c>
      <c r="G79" s="52">
        <v>1965.7610212269537</v>
      </c>
      <c r="H79" s="52">
        <v>-3153.5587725937021</v>
      </c>
      <c r="I79" s="52">
        <v>1965.7610212269537</v>
      </c>
    </row>
    <row r="80" spans="1:9" x14ac:dyDescent="0.25">
      <c r="A80" s="48" t="s">
        <v>6</v>
      </c>
      <c r="B80" s="52">
        <v>54.100298823879633</v>
      </c>
      <c r="C80" s="52">
        <v>48.613251239409955</v>
      </c>
      <c r="D80" s="52">
        <v>1.1128714382308464</v>
      </c>
      <c r="E80" s="52">
        <v>0.28591911443776463</v>
      </c>
      <c r="F80" s="52">
        <v>-50.922245442492645</v>
      </c>
      <c r="G80" s="52">
        <v>159.12284309025191</v>
      </c>
      <c r="H80" s="52">
        <v>-50.922245442492645</v>
      </c>
      <c r="I80" s="52">
        <v>159.12284309025191</v>
      </c>
    </row>
    <row r="81" spans="1:9" x14ac:dyDescent="0.25">
      <c r="A81" s="48" t="s">
        <v>7</v>
      </c>
      <c r="B81" s="52">
        <v>930.58461677655407</v>
      </c>
      <c r="C81" s="52">
        <v>408.68017504311678</v>
      </c>
      <c r="D81" s="52">
        <v>2.2770485910611522</v>
      </c>
      <c r="E81" s="52">
        <v>4.0338818863212458E-2</v>
      </c>
      <c r="F81" s="52">
        <v>47.684776095676966</v>
      </c>
      <c r="G81" s="52">
        <v>1813.4844574574313</v>
      </c>
      <c r="H81" s="52">
        <v>47.684776095676966</v>
      </c>
      <c r="I81" s="52">
        <v>1813.4844574574313</v>
      </c>
    </row>
    <row r="82" spans="1:9" x14ac:dyDescent="0.25">
      <c r="A82" s="48" t="s">
        <v>9</v>
      </c>
      <c r="B82" s="52">
        <v>0.1125988030757316</v>
      </c>
      <c r="C82" s="52">
        <v>0.41480989854223144</v>
      </c>
      <c r="D82" s="52">
        <v>0.27144676024231379</v>
      </c>
      <c r="E82" s="52">
        <v>0.79031017872498888</v>
      </c>
      <c r="F82" s="52">
        <v>-0.78354350012541629</v>
      </c>
      <c r="G82" s="52">
        <v>1.0087411062768794</v>
      </c>
      <c r="H82" s="52">
        <v>-0.78354350012541629</v>
      </c>
      <c r="I82" s="52">
        <v>1.0087411062768794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A34" zoomScale="85" zoomScaleNormal="85" workbookViewId="0">
      <selection activeCell="L64" sqref="L64"/>
    </sheetView>
  </sheetViews>
  <sheetFormatPr defaultRowHeight="15" x14ac:dyDescent="0.25"/>
  <cols>
    <col min="1" max="1" width="9.85546875" customWidth="1"/>
    <col min="2" max="5" width="12.85546875" bestFit="1" customWidth="1"/>
    <col min="6" max="6" width="12.28515625" bestFit="1" customWidth="1"/>
    <col min="7" max="10" width="12.85546875" bestFit="1" customWidth="1"/>
    <col min="11" max="11" width="12.28515625" bestFit="1" customWidth="1"/>
    <col min="12" max="17" width="12.85546875" bestFit="1" customWidth="1"/>
  </cols>
  <sheetData>
    <row r="1" spans="1:6" x14ac:dyDescent="0.25">
      <c r="A1" s="1" t="s">
        <v>2</v>
      </c>
      <c r="C1" s="86" t="s">
        <v>86</v>
      </c>
      <c r="D1" s="86"/>
      <c r="E1" s="86"/>
      <c r="F1" s="86"/>
    </row>
    <row r="2" spans="1:6" x14ac:dyDescent="0.25">
      <c r="A2" s="10">
        <v>2439.25</v>
      </c>
      <c r="C2" s="10">
        <v>39.119999999999997</v>
      </c>
      <c r="D2" s="11">
        <v>0.73</v>
      </c>
      <c r="E2" s="9">
        <v>2306</v>
      </c>
      <c r="F2" s="10">
        <v>1</v>
      </c>
    </row>
    <row r="3" spans="1:6" x14ac:dyDescent="0.25">
      <c r="A3" s="10">
        <v>2545.25</v>
      </c>
      <c r="C3" s="10">
        <v>41.98</v>
      </c>
      <c r="D3" s="11">
        <v>0.75</v>
      </c>
      <c r="E3" s="9">
        <v>2413</v>
      </c>
      <c r="F3" s="10">
        <v>1</v>
      </c>
    </row>
    <row r="4" spans="1:6" x14ac:dyDescent="0.25">
      <c r="A4" s="10">
        <v>2816</v>
      </c>
      <c r="C4" s="10">
        <v>44.35</v>
      </c>
      <c r="D4" s="11">
        <v>1.34</v>
      </c>
      <c r="E4" s="9">
        <v>2603</v>
      </c>
      <c r="F4" s="10">
        <v>1</v>
      </c>
    </row>
    <row r="5" spans="1:6" x14ac:dyDescent="0.25">
      <c r="A5" s="10">
        <v>3316.25</v>
      </c>
      <c r="C5" s="10">
        <v>45.24</v>
      </c>
      <c r="D5" s="11">
        <v>1.48</v>
      </c>
      <c r="E5" s="9">
        <v>2849</v>
      </c>
      <c r="F5" s="10">
        <v>1</v>
      </c>
    </row>
    <row r="6" spans="1:6" x14ac:dyDescent="0.25">
      <c r="A6" s="10">
        <v>3891.5</v>
      </c>
      <c r="C6" s="11">
        <v>47.47</v>
      </c>
      <c r="D6" s="11">
        <v>1.33</v>
      </c>
      <c r="E6" s="9">
        <v>3139</v>
      </c>
      <c r="F6" s="10">
        <v>1</v>
      </c>
    </row>
    <row r="7" spans="1:6" x14ac:dyDescent="0.25">
      <c r="A7" s="10">
        <v>4360.25</v>
      </c>
      <c r="C7" s="11">
        <v>49.72</v>
      </c>
      <c r="D7" s="11">
        <v>1.23</v>
      </c>
      <c r="E7" s="9">
        <v>3300</v>
      </c>
      <c r="F7" s="10">
        <v>1</v>
      </c>
    </row>
    <row r="8" spans="1:6" x14ac:dyDescent="0.25">
      <c r="A8" s="10">
        <v>3858.25</v>
      </c>
      <c r="C8" s="11">
        <v>52.17</v>
      </c>
      <c r="D8" s="11">
        <v>1.21</v>
      </c>
      <c r="E8" s="9">
        <v>3481</v>
      </c>
      <c r="F8" s="10">
        <v>1</v>
      </c>
    </row>
    <row r="9" spans="1:6" x14ac:dyDescent="0.25">
      <c r="A9" s="10">
        <v>3996.25</v>
      </c>
      <c r="C9" s="11">
        <v>54.1</v>
      </c>
      <c r="D9" s="11">
        <v>1.2</v>
      </c>
      <c r="E9" s="9">
        <v>3628</v>
      </c>
      <c r="F9" s="10">
        <v>1</v>
      </c>
    </row>
    <row r="10" spans="1:6" x14ac:dyDescent="0.25">
      <c r="A10" s="10">
        <v>4025.25</v>
      </c>
      <c r="C10" s="11">
        <v>55.91</v>
      </c>
      <c r="D10" s="11">
        <v>1.18</v>
      </c>
      <c r="E10" s="9">
        <v>3761</v>
      </c>
      <c r="F10" s="10">
        <v>1</v>
      </c>
    </row>
    <row r="11" spans="1:6" x14ac:dyDescent="0.25">
      <c r="A11" s="10">
        <v>4033.5</v>
      </c>
      <c r="C11" s="11">
        <v>57.34</v>
      </c>
      <c r="D11" s="11">
        <v>1.17</v>
      </c>
      <c r="E11" s="9">
        <v>3899</v>
      </c>
      <c r="F11" s="10">
        <v>1</v>
      </c>
    </row>
    <row r="12" spans="1:6" x14ac:dyDescent="0.25">
      <c r="A12" s="10">
        <v>3969.5</v>
      </c>
      <c r="C12" s="11">
        <v>57.87</v>
      </c>
      <c r="D12" s="11">
        <v>1.1499999999999999</v>
      </c>
      <c r="E12" s="9">
        <v>4017</v>
      </c>
      <c r="F12" s="10">
        <v>1</v>
      </c>
    </row>
    <row r="13" spans="1:6" x14ac:dyDescent="0.25">
      <c r="A13" s="10">
        <v>4054</v>
      </c>
      <c r="C13" s="11">
        <v>58.84</v>
      </c>
      <c r="D13" s="11">
        <v>1.1399999999999999</v>
      </c>
      <c r="E13" s="9">
        <v>4182</v>
      </c>
      <c r="F13" s="10">
        <v>1</v>
      </c>
    </row>
    <row r="14" spans="1:6" x14ac:dyDescent="0.25">
      <c r="A14" s="10">
        <v>4170</v>
      </c>
      <c r="C14" s="11">
        <v>60.39</v>
      </c>
      <c r="D14" s="11">
        <v>1.1399999999999999</v>
      </c>
      <c r="E14" s="9">
        <v>4454</v>
      </c>
      <c r="F14" s="10">
        <v>1</v>
      </c>
    </row>
    <row r="15" spans="1:6" x14ac:dyDescent="0.25">
      <c r="A15" s="10">
        <v>4237.5</v>
      </c>
      <c r="C15" s="10">
        <v>62.64</v>
      </c>
      <c r="D15" s="11">
        <v>1.19</v>
      </c>
      <c r="E15" s="9">
        <v>4816</v>
      </c>
      <c r="F15" s="10">
        <v>1</v>
      </c>
    </row>
    <row r="16" spans="1:6" x14ac:dyDescent="0.25">
      <c r="A16" s="10">
        <v>4461.25</v>
      </c>
      <c r="C16" s="10">
        <v>63.32</v>
      </c>
      <c r="D16" s="11">
        <v>1.29</v>
      </c>
      <c r="E16" s="9">
        <v>5168</v>
      </c>
      <c r="F16" s="10">
        <v>1</v>
      </c>
    </row>
    <row r="17" spans="1:17" x14ac:dyDescent="0.25">
      <c r="A17" s="10">
        <v>4891.5</v>
      </c>
      <c r="C17" s="10">
        <v>65.849999999999994</v>
      </c>
      <c r="D17" s="11">
        <v>1.37</v>
      </c>
      <c r="E17" s="9">
        <v>5394</v>
      </c>
      <c r="F17" s="10">
        <v>1</v>
      </c>
    </row>
    <row r="18" spans="1:17" x14ac:dyDescent="0.25">
      <c r="A18" s="10">
        <v>5134.25</v>
      </c>
      <c r="C18" s="10">
        <v>67.540000000000006</v>
      </c>
      <c r="D18" s="11">
        <v>1.52</v>
      </c>
      <c r="E18" s="14">
        <v>5536.8</v>
      </c>
      <c r="F18" s="10">
        <v>1</v>
      </c>
    </row>
    <row r="21" spans="1:17" x14ac:dyDescent="0.25">
      <c r="A21" s="87" t="s">
        <v>87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</row>
    <row r="22" spans="1:17" x14ac:dyDescent="0.25">
      <c r="A22" s="10">
        <v>39.119999999999997</v>
      </c>
      <c r="B22" s="10">
        <v>41.98</v>
      </c>
      <c r="C22" s="10">
        <v>44.35</v>
      </c>
      <c r="D22" s="10">
        <v>45.24</v>
      </c>
      <c r="E22" s="11">
        <v>47.47</v>
      </c>
      <c r="F22" s="11">
        <v>49.72</v>
      </c>
      <c r="G22" s="11">
        <v>52.17</v>
      </c>
      <c r="H22" s="11">
        <v>54.1</v>
      </c>
      <c r="I22" s="11">
        <v>55.91</v>
      </c>
      <c r="J22" s="11">
        <v>57.34</v>
      </c>
      <c r="K22" s="11">
        <v>57.87</v>
      </c>
      <c r="L22" s="11">
        <v>58.84</v>
      </c>
      <c r="M22" s="11">
        <v>60.39</v>
      </c>
      <c r="N22" s="10">
        <v>62.64</v>
      </c>
      <c r="O22" s="10">
        <v>63.32</v>
      </c>
      <c r="P22" s="10">
        <v>65.849999999999994</v>
      </c>
      <c r="Q22" s="10">
        <v>67.540000000000006</v>
      </c>
    </row>
    <row r="23" spans="1:17" x14ac:dyDescent="0.25">
      <c r="A23" s="11">
        <v>0.73</v>
      </c>
      <c r="B23" s="11">
        <v>0.75</v>
      </c>
      <c r="C23" s="11">
        <v>1.34</v>
      </c>
      <c r="D23" s="11">
        <v>1.48</v>
      </c>
      <c r="E23" s="11">
        <v>1.33</v>
      </c>
      <c r="F23" s="11">
        <v>1.23</v>
      </c>
      <c r="G23" s="11">
        <v>1.21</v>
      </c>
      <c r="H23" s="11">
        <v>1.2</v>
      </c>
      <c r="I23" s="11">
        <v>1.18</v>
      </c>
      <c r="J23" s="11">
        <v>1.17</v>
      </c>
      <c r="K23" s="11">
        <v>1.1499999999999999</v>
      </c>
      <c r="L23" s="11">
        <v>1.1399999999999999</v>
      </c>
      <c r="M23" s="11">
        <v>1.1399999999999999</v>
      </c>
      <c r="N23" s="11">
        <v>1.19</v>
      </c>
      <c r="O23" s="11">
        <v>1.29</v>
      </c>
      <c r="P23" s="11">
        <v>1.37</v>
      </c>
      <c r="Q23" s="11">
        <v>1.52</v>
      </c>
    </row>
    <row r="24" spans="1:17" x14ac:dyDescent="0.25">
      <c r="A24" s="9">
        <v>2306</v>
      </c>
      <c r="B24" s="9">
        <v>2413</v>
      </c>
      <c r="C24" s="9">
        <v>2603</v>
      </c>
      <c r="D24" s="9">
        <v>2849</v>
      </c>
      <c r="E24" s="9">
        <v>3139</v>
      </c>
      <c r="F24" s="9">
        <v>3300</v>
      </c>
      <c r="G24" s="9">
        <v>3481</v>
      </c>
      <c r="H24" s="9">
        <v>3628</v>
      </c>
      <c r="I24" s="9">
        <v>3761</v>
      </c>
      <c r="J24" s="9">
        <v>3899</v>
      </c>
      <c r="K24" s="9">
        <v>4017</v>
      </c>
      <c r="L24" s="9">
        <v>4182</v>
      </c>
      <c r="M24" s="9">
        <v>4454</v>
      </c>
      <c r="N24" s="9">
        <v>4816</v>
      </c>
      <c r="O24" s="9">
        <v>5168</v>
      </c>
      <c r="P24" s="9">
        <v>5394</v>
      </c>
      <c r="Q24" s="14">
        <v>5536.8</v>
      </c>
    </row>
    <row r="25" spans="1:17" x14ac:dyDescent="0.25">
      <c r="A25" s="10">
        <v>1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</row>
    <row r="28" spans="1:17" x14ac:dyDescent="0.25">
      <c r="A28" s="87" t="s">
        <v>92</v>
      </c>
      <c r="B28" s="87"/>
      <c r="C28" s="87"/>
      <c r="D28" s="87"/>
      <c r="F28" s="86" t="s">
        <v>88</v>
      </c>
      <c r="G28" s="86"/>
      <c r="H28" s="86"/>
      <c r="I28" s="86"/>
    </row>
    <row r="29" spans="1:17" x14ac:dyDescent="0.25">
      <c r="A29" s="45">
        <f t="array" ref="A29:D32">MMULT(A22:Q25,C2:F18)</f>
        <v>51383.177500000005</v>
      </c>
      <c r="B29" s="45">
        <v>1123.3972000000001</v>
      </c>
      <c r="C29" s="45">
        <v>3666221.4419999993</v>
      </c>
      <c r="D29" s="45">
        <v>923.85000000000014</v>
      </c>
      <c r="F29" s="45">
        <f t="array" ref="F29:I32">MINVERSE(A29:D32)</f>
        <v>2.7053182993150571E-2</v>
      </c>
      <c r="G29" s="45">
        <v>4.6719131747199475E-3</v>
      </c>
      <c r="H29" s="45">
        <v>-2.2608093175184818E-4</v>
      </c>
      <c r="I29" s="45">
        <v>-0.61207355982053024</v>
      </c>
    </row>
    <row r="30" spans="1:17" x14ac:dyDescent="0.25">
      <c r="A30" s="45">
        <v>1123.3972000000001</v>
      </c>
      <c r="B30" s="45">
        <v>25.2178</v>
      </c>
      <c r="C30" s="45">
        <v>79665.025999999998</v>
      </c>
      <c r="D30" s="45">
        <v>20.420000000000002</v>
      </c>
      <c r="F30" s="45">
        <v>4.6719131747169698E-3</v>
      </c>
      <c r="G30" s="45">
        <v>1.9119484409016121</v>
      </c>
      <c r="H30" s="45">
        <v>-2.3164099958555257E-4</v>
      </c>
      <c r="I30" s="45">
        <v>-1.6655172045758826</v>
      </c>
    </row>
    <row r="31" spans="1:17" x14ac:dyDescent="0.25">
      <c r="A31" s="45">
        <v>3666221.4419999993</v>
      </c>
      <c r="B31" s="45">
        <v>79665.025999999998</v>
      </c>
      <c r="C31" s="45">
        <v>264520002.24000001</v>
      </c>
      <c r="D31" s="45">
        <v>64946.8</v>
      </c>
      <c r="F31" s="45">
        <v>-2.2608093175184813E-4</v>
      </c>
      <c r="G31" s="45">
        <v>-2.3164099958558E-4</v>
      </c>
      <c r="H31" s="45">
        <v>1.9697325322419772E-6</v>
      </c>
      <c r="I31" s="45">
        <v>5.0392443050276021E-3</v>
      </c>
    </row>
    <row r="32" spans="1:17" x14ac:dyDescent="0.25">
      <c r="A32" s="45">
        <v>923.85000000000014</v>
      </c>
      <c r="B32" s="45">
        <v>20.420000000000002</v>
      </c>
      <c r="C32" s="45">
        <v>64946.8</v>
      </c>
      <c r="D32" s="45">
        <v>17</v>
      </c>
      <c r="F32" s="45">
        <v>-0.61207355982052636</v>
      </c>
      <c r="G32" s="45">
        <v>-1.6655172045759528</v>
      </c>
      <c r="H32" s="45">
        <v>5.0392443050275692E-3</v>
      </c>
      <c r="I32" s="45">
        <v>16.070072207521751</v>
      </c>
    </row>
    <row r="33" spans="1:9" x14ac:dyDescent="0.25">
      <c r="A33" s="47"/>
      <c r="B33" s="47"/>
      <c r="C33" s="47"/>
      <c r="D33" s="47"/>
    </row>
    <row r="34" spans="1:9" x14ac:dyDescent="0.25">
      <c r="A34" s="34" t="s">
        <v>89</v>
      </c>
      <c r="C34" s="34"/>
      <c r="D34" s="34" t="s">
        <v>90</v>
      </c>
    </row>
    <row r="35" spans="1:9" x14ac:dyDescent="0.25">
      <c r="A35" s="45">
        <f t="array" ref="A35:A38">MMULT(A22:Q25,A2:A18)</f>
        <v>3689400.08</v>
      </c>
      <c r="C35" s="34" t="s">
        <v>6</v>
      </c>
      <c r="D35" s="10">
        <f t="array" ref="D35:D38">MMULT(F29:I32,A35:A38)</f>
        <v>54.100298823832418</v>
      </c>
    </row>
    <row r="36" spans="1:9" x14ac:dyDescent="0.25">
      <c r="A36" s="45">
        <v>81086.19249999999</v>
      </c>
      <c r="C36" s="34" t="s">
        <v>7</v>
      </c>
      <c r="D36" s="10">
        <v>930.58461677741434</v>
      </c>
    </row>
    <row r="37" spans="1:9" x14ac:dyDescent="0.25">
      <c r="A37" s="45">
        <v>263691527.40000001</v>
      </c>
      <c r="C37" s="34" t="s">
        <v>9</v>
      </c>
      <c r="D37" s="10">
        <v>0.1125988030758549</v>
      </c>
    </row>
    <row r="38" spans="1:9" x14ac:dyDescent="0.25">
      <c r="A38" s="45">
        <v>66199.75</v>
      </c>
      <c r="C38" s="34" t="s">
        <v>91</v>
      </c>
      <c r="D38" s="10">
        <v>-593.89887568331324</v>
      </c>
    </row>
    <row r="39" spans="1:9" x14ac:dyDescent="0.25">
      <c r="A39" s="47"/>
      <c r="B39" s="47"/>
      <c r="C39" s="47"/>
      <c r="D39" s="47"/>
    </row>
    <row r="40" spans="1:9" x14ac:dyDescent="0.25">
      <c r="A40" s="34" t="s">
        <v>0</v>
      </c>
      <c r="B40" s="34" t="s">
        <v>1</v>
      </c>
      <c r="C40" s="34" t="s">
        <v>2</v>
      </c>
      <c r="D40" s="34" t="s">
        <v>6</v>
      </c>
      <c r="E40" s="34" t="s">
        <v>7</v>
      </c>
      <c r="F40" s="7" t="s">
        <v>9</v>
      </c>
      <c r="H40" t="s">
        <v>31</v>
      </c>
    </row>
    <row r="41" spans="1:9" x14ac:dyDescent="0.25">
      <c r="A41" s="34">
        <v>2005</v>
      </c>
      <c r="B41" s="9">
        <v>1</v>
      </c>
      <c r="C41" s="10">
        <v>2439.25</v>
      </c>
      <c r="D41" s="10">
        <v>39.119999999999997</v>
      </c>
      <c r="E41" s="11">
        <v>0.73</v>
      </c>
      <c r="F41" s="9">
        <v>2306</v>
      </c>
    </row>
    <row r="42" spans="1:9" x14ac:dyDescent="0.25">
      <c r="A42" s="34">
        <v>2006</v>
      </c>
      <c r="B42" s="9">
        <v>2</v>
      </c>
      <c r="C42" s="10">
        <v>2545.25</v>
      </c>
      <c r="D42" s="10">
        <v>41.98</v>
      </c>
      <c r="E42" s="11">
        <v>0.75</v>
      </c>
      <c r="F42" s="9">
        <v>2413</v>
      </c>
      <c r="H42" s="51" t="s">
        <v>32</v>
      </c>
      <c r="I42" s="51"/>
    </row>
    <row r="43" spans="1:9" x14ac:dyDescent="0.25">
      <c r="A43" s="34">
        <v>2007</v>
      </c>
      <c r="B43" s="9">
        <v>3</v>
      </c>
      <c r="C43" s="10">
        <v>2816</v>
      </c>
      <c r="D43" s="10">
        <v>44.35</v>
      </c>
      <c r="E43" s="11">
        <v>1.34</v>
      </c>
      <c r="F43" s="9">
        <v>2603</v>
      </c>
      <c r="H43" s="48" t="s">
        <v>33</v>
      </c>
      <c r="I43" s="52">
        <v>0.93307146288329401</v>
      </c>
    </row>
    <row r="44" spans="1:9" x14ac:dyDescent="0.25">
      <c r="A44" s="34">
        <v>2008</v>
      </c>
      <c r="B44" s="9">
        <v>4</v>
      </c>
      <c r="C44" s="10">
        <v>3316.25</v>
      </c>
      <c r="D44" s="10">
        <v>45.24</v>
      </c>
      <c r="E44" s="11">
        <v>1.48</v>
      </c>
      <c r="F44" s="9">
        <v>2849</v>
      </c>
      <c r="H44" s="66" t="s">
        <v>34</v>
      </c>
      <c r="I44" s="66">
        <v>0.87062235484717032</v>
      </c>
    </row>
    <row r="45" spans="1:9" x14ac:dyDescent="0.25">
      <c r="A45" s="34">
        <v>2009</v>
      </c>
      <c r="B45" s="9">
        <v>5</v>
      </c>
      <c r="C45" s="10">
        <v>3891.5</v>
      </c>
      <c r="D45" s="11">
        <v>47.47</v>
      </c>
      <c r="E45" s="11">
        <v>1.33</v>
      </c>
      <c r="F45" s="9">
        <v>3139</v>
      </c>
      <c r="H45" s="48" t="s">
        <v>35</v>
      </c>
      <c r="I45" s="52">
        <v>0.8407659751965173</v>
      </c>
    </row>
    <row r="46" spans="1:9" x14ac:dyDescent="0.25">
      <c r="A46" s="34">
        <v>2010</v>
      </c>
      <c r="B46" s="9">
        <v>6</v>
      </c>
      <c r="C46" s="10">
        <v>4360.25</v>
      </c>
      <c r="D46" s="11">
        <v>49.72</v>
      </c>
      <c r="E46" s="11">
        <v>1.23</v>
      </c>
      <c r="F46" s="9">
        <v>3300</v>
      </c>
      <c r="H46" s="48" t="s">
        <v>36</v>
      </c>
      <c r="I46" s="52">
        <v>295.55988059706078</v>
      </c>
    </row>
    <row r="47" spans="1:9" x14ac:dyDescent="0.25">
      <c r="A47" s="34">
        <v>2011</v>
      </c>
      <c r="B47" s="9">
        <v>7</v>
      </c>
      <c r="C47" s="10">
        <v>3858.25</v>
      </c>
      <c r="D47" s="11">
        <v>52.17</v>
      </c>
      <c r="E47" s="11">
        <v>1.21</v>
      </c>
      <c r="F47" s="9">
        <v>3481</v>
      </c>
      <c r="H47" s="48" t="s">
        <v>37</v>
      </c>
      <c r="I47" s="52">
        <v>17</v>
      </c>
    </row>
    <row r="48" spans="1:9" x14ac:dyDescent="0.25">
      <c r="A48" s="34">
        <v>2012</v>
      </c>
      <c r="B48" s="9">
        <v>8</v>
      </c>
      <c r="C48" s="10">
        <v>3996.25</v>
      </c>
      <c r="D48" s="11">
        <v>54.1</v>
      </c>
      <c r="E48" s="11">
        <v>1.2</v>
      </c>
      <c r="F48" s="9">
        <v>3628</v>
      </c>
    </row>
    <row r="49" spans="1:16" x14ac:dyDescent="0.25">
      <c r="A49" s="34">
        <v>2013</v>
      </c>
      <c r="B49" s="9">
        <v>9</v>
      </c>
      <c r="C49" s="10">
        <v>4025.25</v>
      </c>
      <c r="D49" s="11">
        <v>55.91</v>
      </c>
      <c r="E49" s="11">
        <v>1.18</v>
      </c>
      <c r="F49" s="9">
        <v>3761</v>
      </c>
      <c r="H49" t="s">
        <v>38</v>
      </c>
    </row>
    <row r="50" spans="1:16" x14ac:dyDescent="0.25">
      <c r="A50" s="34">
        <v>2014</v>
      </c>
      <c r="B50" s="9">
        <v>10</v>
      </c>
      <c r="C50" s="10">
        <v>4033.5</v>
      </c>
      <c r="D50" s="11">
        <v>57.34</v>
      </c>
      <c r="E50" s="11">
        <v>1.17</v>
      </c>
      <c r="F50" s="9">
        <v>3899</v>
      </c>
      <c r="H50" s="34"/>
      <c r="I50" s="34" t="s">
        <v>39</v>
      </c>
      <c r="J50" s="34" t="s">
        <v>40</v>
      </c>
      <c r="K50" s="34" t="s">
        <v>41</v>
      </c>
      <c r="L50" s="34" t="s">
        <v>42</v>
      </c>
      <c r="M50" s="34" t="s">
        <v>43</v>
      </c>
    </row>
    <row r="51" spans="1:16" x14ac:dyDescent="0.25">
      <c r="A51" s="34">
        <v>2015</v>
      </c>
      <c r="B51" s="9">
        <v>11</v>
      </c>
      <c r="C51" s="10">
        <v>3969.5</v>
      </c>
      <c r="D51" s="11">
        <v>57.87</v>
      </c>
      <c r="E51" s="11">
        <v>1.1499999999999999</v>
      </c>
      <c r="F51" s="9">
        <v>4017</v>
      </c>
      <c r="H51" s="48" t="s">
        <v>44</v>
      </c>
      <c r="I51" s="52">
        <v>3</v>
      </c>
      <c r="J51" s="52">
        <v>7641962.2731118063</v>
      </c>
      <c r="K51" s="52">
        <v>2547320.7577039353</v>
      </c>
      <c r="L51" s="52">
        <v>29.16034579658518</v>
      </c>
      <c r="M51" s="52">
        <v>4.8305625383966302E-6</v>
      </c>
    </row>
    <row r="52" spans="1:16" x14ac:dyDescent="0.25">
      <c r="A52" s="34">
        <v>2016</v>
      </c>
      <c r="B52" s="9">
        <v>12</v>
      </c>
      <c r="C52" s="10">
        <v>4054</v>
      </c>
      <c r="D52" s="11">
        <v>58.84</v>
      </c>
      <c r="E52" s="11">
        <v>1.1399999999999999</v>
      </c>
      <c r="F52" s="9">
        <v>4182</v>
      </c>
      <c r="H52" s="48" t="s">
        <v>45</v>
      </c>
      <c r="I52" s="52">
        <v>13</v>
      </c>
      <c r="J52" s="52">
        <v>1135623.3592411345</v>
      </c>
      <c r="K52" s="52">
        <v>87355.643018548813</v>
      </c>
      <c r="L52" s="52"/>
      <c r="M52" s="52"/>
    </row>
    <row r="53" spans="1:16" x14ac:dyDescent="0.25">
      <c r="A53" s="34">
        <v>2017</v>
      </c>
      <c r="B53" s="9">
        <v>13</v>
      </c>
      <c r="C53" s="10">
        <v>4170</v>
      </c>
      <c r="D53" s="11">
        <v>60.39</v>
      </c>
      <c r="E53" s="11">
        <v>1.1399999999999999</v>
      </c>
      <c r="F53" s="9">
        <v>4454</v>
      </c>
      <c r="H53" s="48" t="s">
        <v>46</v>
      </c>
      <c r="I53" s="52">
        <v>16</v>
      </c>
      <c r="J53" s="52">
        <v>8777585.6323529407</v>
      </c>
      <c r="K53" s="52"/>
      <c r="L53" s="52"/>
      <c r="M53" s="52"/>
    </row>
    <row r="54" spans="1:16" x14ac:dyDescent="0.25">
      <c r="A54" s="34">
        <v>2018</v>
      </c>
      <c r="B54" s="9">
        <v>14</v>
      </c>
      <c r="C54" s="10">
        <v>4237.5</v>
      </c>
      <c r="D54" s="10">
        <v>62.64</v>
      </c>
      <c r="E54" s="11">
        <v>1.19</v>
      </c>
      <c r="F54" s="9">
        <v>4816</v>
      </c>
    </row>
    <row r="55" spans="1:16" x14ac:dyDescent="0.25">
      <c r="A55" s="34">
        <v>2019</v>
      </c>
      <c r="B55" s="9">
        <v>15</v>
      </c>
      <c r="C55" s="10">
        <v>4461.25</v>
      </c>
      <c r="D55" s="10">
        <v>63.32</v>
      </c>
      <c r="E55" s="11">
        <v>1.29</v>
      </c>
      <c r="F55" s="9">
        <v>5168</v>
      </c>
      <c r="H55" s="34"/>
      <c r="I55" s="34" t="s">
        <v>47</v>
      </c>
      <c r="J55" s="34" t="s">
        <v>36</v>
      </c>
      <c r="K55" s="34" t="s">
        <v>48</v>
      </c>
      <c r="L55" s="34" t="s">
        <v>49</v>
      </c>
      <c r="M55" s="34" t="s">
        <v>50</v>
      </c>
      <c r="N55" s="34" t="s">
        <v>51</v>
      </c>
      <c r="O55" s="34" t="s">
        <v>52</v>
      </c>
      <c r="P55" s="34" t="s">
        <v>53</v>
      </c>
    </row>
    <row r="56" spans="1:16" x14ac:dyDescent="0.25">
      <c r="A56" s="34">
        <v>2020</v>
      </c>
      <c r="B56" s="9">
        <v>16</v>
      </c>
      <c r="C56" s="10">
        <v>4891.5</v>
      </c>
      <c r="D56" s="10">
        <v>65.849999999999994</v>
      </c>
      <c r="E56" s="11">
        <v>1.37</v>
      </c>
      <c r="F56" s="9">
        <v>5394</v>
      </c>
      <c r="H56" s="48" t="s">
        <v>54</v>
      </c>
      <c r="I56" s="67">
        <v>-593.89887568337417</v>
      </c>
      <c r="J56" s="52">
        <v>1184.8255108002268</v>
      </c>
      <c r="K56" s="52">
        <v>-0.50125429463639504</v>
      </c>
      <c r="L56" s="52">
        <v>0.62457243771003546</v>
      </c>
      <c r="M56" s="52">
        <v>-3153.5587725937021</v>
      </c>
      <c r="N56" s="52">
        <v>1965.7610212269537</v>
      </c>
      <c r="O56" s="52">
        <v>-3153.5587725937021</v>
      </c>
      <c r="P56" s="52">
        <v>1965.7610212269537</v>
      </c>
    </row>
    <row r="57" spans="1:16" x14ac:dyDescent="0.25">
      <c r="A57" s="34">
        <v>2021</v>
      </c>
      <c r="B57" s="9">
        <v>17</v>
      </c>
      <c r="C57" s="10">
        <v>5134.25</v>
      </c>
      <c r="D57" s="10">
        <v>67.540000000000006</v>
      </c>
      <c r="E57" s="11">
        <v>1.52</v>
      </c>
      <c r="F57" s="14">
        <v>5536.8</v>
      </c>
      <c r="H57" s="48" t="s">
        <v>6</v>
      </c>
      <c r="I57" s="67">
        <v>54.100298823879633</v>
      </c>
      <c r="J57" s="52">
        <v>48.613251239409955</v>
      </c>
      <c r="K57" s="52">
        <v>1.1128714382308464</v>
      </c>
      <c r="L57" s="52">
        <v>0.28591911443776463</v>
      </c>
      <c r="M57" s="52">
        <v>-50.922245442492645</v>
      </c>
      <c r="N57" s="52">
        <v>159.12284309025191</v>
      </c>
      <c r="O57" s="52">
        <v>-50.922245442492645</v>
      </c>
      <c r="P57" s="52">
        <v>159.12284309025191</v>
      </c>
    </row>
    <row r="58" spans="1:16" x14ac:dyDescent="0.25">
      <c r="H58" s="48" t="s">
        <v>7</v>
      </c>
      <c r="I58" s="67">
        <v>930.58461677655407</v>
      </c>
      <c r="J58" s="52">
        <v>408.68017504311678</v>
      </c>
      <c r="K58" s="52">
        <v>2.2770485910611522</v>
      </c>
      <c r="L58" s="52">
        <v>4.0338818863212458E-2</v>
      </c>
      <c r="M58" s="52">
        <v>47.684776095676966</v>
      </c>
      <c r="N58" s="52">
        <v>1813.4844574574313</v>
      </c>
      <c r="O58" s="52">
        <v>47.684776095676966</v>
      </c>
      <c r="P58" s="52">
        <v>1813.4844574574313</v>
      </c>
    </row>
    <row r="59" spans="1:16" x14ac:dyDescent="0.25">
      <c r="H59" s="48" t="s">
        <v>9</v>
      </c>
      <c r="I59" s="67">
        <v>0.1125988030757316</v>
      </c>
      <c r="J59" s="52">
        <v>0.41480989854223144</v>
      </c>
      <c r="K59" s="52">
        <v>0.27144676024231379</v>
      </c>
      <c r="L59" s="52">
        <v>0.79031017872498888</v>
      </c>
      <c r="M59" s="52">
        <v>-0.78354350012541629</v>
      </c>
      <c r="N59" s="52">
        <v>1.0087411062768794</v>
      </c>
      <c r="O59" s="52">
        <v>-0.78354350012541629</v>
      </c>
      <c r="P59" s="52">
        <v>1.0087411062768794</v>
      </c>
    </row>
  </sheetData>
  <mergeCells count="4">
    <mergeCell ref="A28:D28"/>
    <mergeCell ref="F28:I28"/>
    <mergeCell ref="C1:F1"/>
    <mergeCell ref="A21:Q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I1" workbookViewId="0">
      <selection activeCell="P6" sqref="P6"/>
    </sheetView>
  </sheetViews>
  <sheetFormatPr defaultRowHeight="15" x14ac:dyDescent="0.25"/>
  <cols>
    <col min="1" max="1" width="17.7109375" customWidth="1"/>
    <col min="2" max="2" width="16.7109375" customWidth="1"/>
    <col min="3" max="3" width="17.7109375" customWidth="1"/>
    <col min="4" max="4" width="9.28515625" bestFit="1" customWidth="1"/>
    <col min="5" max="5" width="12.7109375" customWidth="1"/>
    <col min="6" max="6" width="12" bestFit="1" customWidth="1"/>
    <col min="7" max="7" width="11.140625" customWidth="1"/>
    <col min="8" max="8" width="12.7109375" customWidth="1"/>
    <col min="9" max="9" width="13.140625" customWidth="1"/>
    <col min="10" max="10" width="11.85546875" customWidth="1"/>
    <col min="11" max="11" width="11.140625" customWidth="1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6</v>
      </c>
      <c r="E1" s="34" t="s">
        <v>7</v>
      </c>
      <c r="F1" s="7" t="s">
        <v>9</v>
      </c>
      <c r="G1" s="28" t="s">
        <v>98</v>
      </c>
      <c r="H1" s="28" t="s">
        <v>93</v>
      </c>
      <c r="I1" s="28" t="s">
        <v>94</v>
      </c>
    </row>
    <row r="2" spans="1:16" x14ac:dyDescent="0.25">
      <c r="A2" s="34">
        <v>2005</v>
      </c>
      <c r="B2" s="9">
        <v>1</v>
      </c>
      <c r="C2" s="10">
        <v>2439.25</v>
      </c>
      <c r="D2" s="10">
        <v>39.119999999999997</v>
      </c>
      <c r="E2" s="11">
        <v>0.73</v>
      </c>
      <c r="F2" s="9">
        <v>2306</v>
      </c>
      <c r="G2" s="45">
        <f t="shared" ref="G2:G18" si="0">$P$6+$P$3*D2+$P$4*E2+$P$5*F2</f>
        <v>2461.4844241204</v>
      </c>
      <c r="H2" s="45">
        <f t="shared" ref="H2:H18" si="1">C2-G2</f>
        <v>-22.234424120400035</v>
      </c>
      <c r="I2" s="45">
        <f t="shared" ref="I2:I18" si="2">H2^2</f>
        <v>494.36961596582688</v>
      </c>
      <c r="J2" s="45">
        <f t="shared" ref="J2:J18" si="3">(C2-AVERAGE($C$2:$C$18))^2</f>
        <v>2116597.0804498275</v>
      </c>
      <c r="K2" s="45">
        <f t="shared" ref="K2:K18" si="4">(G2-AVERAGE($G$2:$G$18))^2</f>
        <v>2052395.8140119135</v>
      </c>
      <c r="O2" s="34"/>
      <c r="P2" s="34" t="s">
        <v>90</v>
      </c>
    </row>
    <row r="3" spans="1:16" x14ac:dyDescent="0.25">
      <c r="A3" s="34">
        <v>2006</v>
      </c>
      <c r="B3" s="9">
        <v>2</v>
      </c>
      <c r="C3" s="10">
        <v>2545.25</v>
      </c>
      <c r="D3" s="10">
        <v>41.98</v>
      </c>
      <c r="E3" s="11">
        <v>0.75</v>
      </c>
      <c r="F3" s="9">
        <v>2413</v>
      </c>
      <c r="G3" s="45">
        <f t="shared" si="0"/>
        <v>2646.8710430025994</v>
      </c>
      <c r="H3" s="45">
        <f t="shared" si="1"/>
        <v>-101.62104300259944</v>
      </c>
      <c r="I3" s="45">
        <f t="shared" si="2"/>
        <v>10326.836380936164</v>
      </c>
      <c r="J3" s="45">
        <f t="shared" si="3"/>
        <v>1819404.2569204157</v>
      </c>
      <c r="K3" s="45">
        <f t="shared" si="4"/>
        <v>1555587.406603545</v>
      </c>
      <c r="O3" s="34" t="s">
        <v>6</v>
      </c>
      <c r="P3" s="10">
        <v>54.100298819999999</v>
      </c>
    </row>
    <row r="4" spans="1:16" x14ac:dyDescent="0.25">
      <c r="A4" s="34">
        <v>2007</v>
      </c>
      <c r="B4" s="9">
        <v>3</v>
      </c>
      <c r="C4" s="10">
        <v>2816</v>
      </c>
      <c r="D4" s="10">
        <v>44.35</v>
      </c>
      <c r="E4" s="11">
        <v>1.34</v>
      </c>
      <c r="F4" s="9">
        <v>2603</v>
      </c>
      <c r="G4" s="45">
        <f t="shared" si="0"/>
        <v>3345.5274476880004</v>
      </c>
      <c r="H4" s="45">
        <f t="shared" si="1"/>
        <v>-529.52744768800039</v>
      </c>
      <c r="I4" s="45">
        <f t="shared" si="2"/>
        <v>280399.31785496802</v>
      </c>
      <c r="J4" s="45">
        <f t="shared" si="3"/>
        <v>1162305.9517733566</v>
      </c>
      <c r="K4" s="45">
        <f t="shared" si="4"/>
        <v>300935.0715200252</v>
      </c>
      <c r="O4" s="34" t="s">
        <v>7</v>
      </c>
      <c r="P4" s="10">
        <v>930.58461680000005</v>
      </c>
    </row>
    <row r="5" spans="1:16" x14ac:dyDescent="0.25">
      <c r="A5" s="34">
        <v>2008</v>
      </c>
      <c r="B5" s="9">
        <v>4</v>
      </c>
      <c r="C5" s="10">
        <v>3316.25</v>
      </c>
      <c r="D5" s="10">
        <v>45.24</v>
      </c>
      <c r="E5" s="11">
        <v>1.48</v>
      </c>
      <c r="F5" s="9">
        <v>2849</v>
      </c>
      <c r="G5" s="45">
        <f t="shared" si="0"/>
        <v>3551.6578655278004</v>
      </c>
      <c r="H5" s="45">
        <f t="shared" si="1"/>
        <v>-235.40786552780037</v>
      </c>
      <c r="I5" s="45">
        <f t="shared" si="2"/>
        <v>55416.863152354941</v>
      </c>
      <c r="J5" s="45">
        <f t="shared" si="3"/>
        <v>333914.02162629773</v>
      </c>
      <c r="K5" s="45">
        <f t="shared" si="4"/>
        <v>117268.62950137028</v>
      </c>
      <c r="O5" s="34" t="s">
        <v>9</v>
      </c>
      <c r="P5" s="10">
        <v>0.112598803</v>
      </c>
    </row>
    <row r="6" spans="1:16" x14ac:dyDescent="0.25">
      <c r="A6" s="34">
        <v>2009</v>
      </c>
      <c r="B6" s="9">
        <v>5</v>
      </c>
      <c r="C6" s="10">
        <v>3891.5</v>
      </c>
      <c r="D6" s="11">
        <v>47.47</v>
      </c>
      <c r="E6" s="11">
        <v>1.33</v>
      </c>
      <c r="F6" s="9">
        <v>3139</v>
      </c>
      <c r="G6" s="45">
        <f t="shared" si="0"/>
        <v>3565.3674922464002</v>
      </c>
      <c r="H6" s="45">
        <f t="shared" si="1"/>
        <v>326.13250775359984</v>
      </c>
      <c r="I6" s="45">
        <f t="shared" si="2"/>
        <v>106362.41261365186</v>
      </c>
      <c r="J6" s="45">
        <f t="shared" si="3"/>
        <v>6.7753027681667861</v>
      </c>
      <c r="K6" s="45">
        <f t="shared" si="4"/>
        <v>108066.99506199943</v>
      </c>
      <c r="O6" s="34" t="s">
        <v>91</v>
      </c>
      <c r="P6" s="10">
        <v>-593.89887569999996</v>
      </c>
    </row>
    <row r="7" spans="1:16" x14ac:dyDescent="0.25">
      <c r="A7" s="34">
        <v>2010</v>
      </c>
      <c r="B7" s="9">
        <v>6</v>
      </c>
      <c r="C7" s="10">
        <v>4360.25</v>
      </c>
      <c r="D7" s="11">
        <v>49.72</v>
      </c>
      <c r="E7" s="11">
        <v>1.23</v>
      </c>
      <c r="F7" s="9">
        <v>3300</v>
      </c>
      <c r="G7" s="45">
        <f t="shared" si="0"/>
        <v>3612.1631101943995</v>
      </c>
      <c r="H7" s="45">
        <f t="shared" si="1"/>
        <v>748.08688980560055</v>
      </c>
      <c r="I7" s="45">
        <f t="shared" si="2"/>
        <v>559633.9946990168</v>
      </c>
      <c r="J7" s="45">
        <f t="shared" si="3"/>
        <v>217293.08044982687</v>
      </c>
      <c r="K7" s="45">
        <f t="shared" si="4"/>
        <v>79490.068018674181</v>
      </c>
    </row>
    <row r="8" spans="1:16" x14ac:dyDescent="0.25">
      <c r="A8" s="34">
        <v>2011</v>
      </c>
      <c r="B8" s="9">
        <v>7</v>
      </c>
      <c r="C8" s="10">
        <v>3858.25</v>
      </c>
      <c r="D8" s="11">
        <v>52.17</v>
      </c>
      <c r="E8" s="11">
        <v>1.21</v>
      </c>
      <c r="F8" s="9">
        <v>3481</v>
      </c>
      <c r="G8" s="45">
        <f t="shared" si="0"/>
        <v>3746.4775333104003</v>
      </c>
      <c r="H8" s="45">
        <f t="shared" si="1"/>
        <v>111.7724666895997</v>
      </c>
      <c r="I8" s="45">
        <f t="shared" si="2"/>
        <v>12493.084309877673</v>
      </c>
      <c r="J8" s="45">
        <f t="shared" si="3"/>
        <v>1285.4333910034698</v>
      </c>
      <c r="K8" s="45">
        <f t="shared" si="4"/>
        <v>21793.260903357219</v>
      </c>
    </row>
    <row r="9" spans="1:16" x14ac:dyDescent="0.25">
      <c r="A9" s="34">
        <v>2012</v>
      </c>
      <c r="B9" s="9">
        <v>8</v>
      </c>
      <c r="C9" s="10">
        <v>3996.25</v>
      </c>
      <c r="D9" s="11">
        <v>54.1</v>
      </c>
      <c r="E9" s="11">
        <v>1.2</v>
      </c>
      <c r="F9" s="9">
        <v>3628</v>
      </c>
      <c r="G9" s="45">
        <f t="shared" si="0"/>
        <v>3858.1372879060004</v>
      </c>
      <c r="H9" s="45">
        <f t="shared" si="1"/>
        <v>138.11271209399956</v>
      </c>
      <c r="I9" s="45">
        <f t="shared" si="2"/>
        <v>19075.121241960012</v>
      </c>
      <c r="J9" s="45">
        <f t="shared" si="3"/>
        <v>10434.02162629755</v>
      </c>
      <c r="K9" s="45">
        <f t="shared" si="4"/>
        <v>1293.5281800243777</v>
      </c>
    </row>
    <row r="10" spans="1:16" x14ac:dyDescent="0.25">
      <c r="A10" s="34">
        <v>2013</v>
      </c>
      <c r="B10" s="9">
        <v>9</v>
      </c>
      <c r="C10" s="10">
        <v>4025.25</v>
      </c>
      <c r="D10" s="11">
        <v>55.91</v>
      </c>
      <c r="E10" s="11">
        <v>1.18</v>
      </c>
      <c r="F10" s="9">
        <v>3761</v>
      </c>
      <c r="G10" s="45">
        <f t="shared" si="0"/>
        <v>3952.4227772331992</v>
      </c>
      <c r="H10" s="45">
        <f t="shared" si="1"/>
        <v>72.827222766800787</v>
      </c>
      <c r="I10" s="45">
        <f t="shared" si="2"/>
        <v>5303.8043759252269</v>
      </c>
      <c r="J10" s="45">
        <f t="shared" si="3"/>
        <v>17199.551038062247</v>
      </c>
      <c r="K10" s="45">
        <f t="shared" si="4"/>
        <v>3401.2033346765502</v>
      </c>
    </row>
    <row r="11" spans="1:16" x14ac:dyDescent="0.25">
      <c r="A11" s="34">
        <v>2014</v>
      </c>
      <c r="B11" s="9">
        <v>10</v>
      </c>
      <c r="C11" s="10">
        <v>4033.5</v>
      </c>
      <c r="D11" s="11">
        <v>57.34</v>
      </c>
      <c r="E11" s="11">
        <v>1.17</v>
      </c>
      <c r="F11" s="9">
        <v>3899</v>
      </c>
      <c r="G11" s="45">
        <f t="shared" si="0"/>
        <v>4036.0189931918007</v>
      </c>
      <c r="H11" s="45">
        <f t="shared" si="1"/>
        <v>-2.518993191800746</v>
      </c>
      <c r="I11" s="45">
        <f t="shared" si="2"/>
        <v>6.3453267003385099</v>
      </c>
      <c r="J11" s="45">
        <f t="shared" si="3"/>
        <v>19431.540008650481</v>
      </c>
      <c r="K11" s="45">
        <f t="shared" si="4"/>
        <v>20140.165958304835</v>
      </c>
    </row>
    <row r="12" spans="1:16" x14ac:dyDescent="0.25">
      <c r="A12" s="34">
        <v>2015</v>
      </c>
      <c r="B12" s="9">
        <v>11</v>
      </c>
      <c r="C12" s="10">
        <v>3969.5</v>
      </c>
      <c r="D12" s="11">
        <v>57.87</v>
      </c>
      <c r="E12" s="11">
        <v>1.1499999999999999</v>
      </c>
      <c r="F12" s="9">
        <v>4017</v>
      </c>
      <c r="G12" s="45">
        <f t="shared" si="0"/>
        <v>4059.3671179844</v>
      </c>
      <c r="H12" s="45">
        <f t="shared" si="1"/>
        <v>-89.867117984400011</v>
      </c>
      <c r="I12" s="45">
        <f t="shared" si="2"/>
        <v>8076.098894822072</v>
      </c>
      <c r="J12" s="45">
        <f t="shared" si="3"/>
        <v>5684.7164792387339</v>
      </c>
      <c r="K12" s="45">
        <f t="shared" si="4"/>
        <v>27312.248297506369</v>
      </c>
    </row>
    <row r="13" spans="1:16" x14ac:dyDescent="0.25">
      <c r="A13" s="34">
        <v>2016</v>
      </c>
      <c r="B13" s="9">
        <v>12</v>
      </c>
      <c r="C13" s="10">
        <v>4054</v>
      </c>
      <c r="D13" s="11">
        <v>58.84</v>
      </c>
      <c r="E13" s="11">
        <v>1.1399999999999999</v>
      </c>
      <c r="F13" s="9">
        <v>4182</v>
      </c>
      <c r="G13" s="45">
        <f t="shared" si="0"/>
        <v>4121.1173641668001</v>
      </c>
      <c r="H13" s="45">
        <f t="shared" si="1"/>
        <v>-67.117364166800144</v>
      </c>
      <c r="I13" s="45">
        <f t="shared" si="2"/>
        <v>4504.7405726988682</v>
      </c>
      <c r="J13" s="45">
        <f t="shared" si="3"/>
        <v>25567.069420415181</v>
      </c>
      <c r="K13" s="45">
        <f t="shared" si="4"/>
        <v>51535.548467481283</v>
      </c>
    </row>
    <row r="14" spans="1:16" x14ac:dyDescent="0.25">
      <c r="A14" s="34">
        <v>2017</v>
      </c>
      <c r="B14" s="9">
        <v>13</v>
      </c>
      <c r="C14" s="10">
        <v>4170</v>
      </c>
      <c r="D14" s="11">
        <v>60.39</v>
      </c>
      <c r="E14" s="11">
        <v>1.1399999999999999</v>
      </c>
      <c r="F14" s="9">
        <v>4454</v>
      </c>
      <c r="G14" s="45">
        <f t="shared" si="0"/>
        <v>4235.5997017537993</v>
      </c>
      <c r="H14" s="45">
        <f t="shared" si="1"/>
        <v>-65.599701753799309</v>
      </c>
      <c r="I14" s="45">
        <f t="shared" si="2"/>
        <v>4303.32087018742</v>
      </c>
      <c r="J14" s="45">
        <f t="shared" si="3"/>
        <v>76119.187067473977</v>
      </c>
      <c r="K14" s="45">
        <f t="shared" si="4"/>
        <v>116620.03781853583</v>
      </c>
    </row>
    <row r="15" spans="1:16" x14ac:dyDescent="0.25">
      <c r="A15" s="34">
        <v>2018</v>
      </c>
      <c r="B15" s="9">
        <v>14</v>
      </c>
      <c r="C15" s="10">
        <v>4237.5</v>
      </c>
      <c r="D15" s="10">
        <v>62.64</v>
      </c>
      <c r="E15" s="11">
        <v>1.19</v>
      </c>
      <c r="F15" s="9">
        <v>4816</v>
      </c>
      <c r="G15" s="45">
        <f t="shared" si="0"/>
        <v>4444.6153716247991</v>
      </c>
      <c r="H15" s="45">
        <f t="shared" si="1"/>
        <v>-207.11537162479908</v>
      </c>
      <c r="I15" s="45">
        <f t="shared" si="2"/>
        <v>42896.777163278632</v>
      </c>
      <c r="J15" s="45">
        <f t="shared" si="3"/>
        <v>117921.54000865042</v>
      </c>
      <c r="K15" s="45">
        <f t="shared" si="4"/>
        <v>303063.93661611195</v>
      </c>
    </row>
    <row r="16" spans="1:16" x14ac:dyDescent="0.25">
      <c r="A16" s="34">
        <v>2019</v>
      </c>
      <c r="B16" s="9">
        <v>15</v>
      </c>
      <c r="C16" s="10">
        <v>4461.25</v>
      </c>
      <c r="D16" s="10">
        <v>63.32</v>
      </c>
      <c r="E16" s="11">
        <v>1.29</v>
      </c>
      <c r="F16" s="9">
        <v>5168</v>
      </c>
      <c r="G16" s="45">
        <f t="shared" si="0"/>
        <v>4614.0968151584002</v>
      </c>
      <c r="H16" s="45">
        <f t="shared" si="1"/>
        <v>-152.8468151584002</v>
      </c>
      <c r="I16" s="45">
        <f t="shared" si="2"/>
        <v>23362.148904066158</v>
      </c>
      <c r="J16" s="45">
        <f t="shared" si="3"/>
        <v>321655.78633217979</v>
      </c>
      <c r="K16" s="45">
        <f t="shared" si="4"/>
        <v>518391.17927511811</v>
      </c>
    </row>
    <row r="17" spans="1:11" x14ac:dyDescent="0.25">
      <c r="A17" s="34">
        <v>2020</v>
      </c>
      <c r="B17" s="9">
        <v>16</v>
      </c>
      <c r="C17" s="10">
        <v>4891.5</v>
      </c>
      <c r="D17" s="10">
        <v>65.849999999999994</v>
      </c>
      <c r="E17" s="11">
        <v>1.37</v>
      </c>
      <c r="F17" s="9">
        <v>5394</v>
      </c>
      <c r="G17" s="45">
        <f t="shared" si="0"/>
        <v>4850.8646699949986</v>
      </c>
      <c r="H17" s="45">
        <f t="shared" si="1"/>
        <v>40.635330005001379</v>
      </c>
      <c r="I17" s="45">
        <f t="shared" si="2"/>
        <v>1651.2300446153654</v>
      </c>
      <c r="J17" s="45">
        <f t="shared" si="3"/>
        <v>994800.89294982667</v>
      </c>
      <c r="K17" s="45">
        <f t="shared" si="4"/>
        <v>915393.00666681048</v>
      </c>
    </row>
    <row r="18" spans="1:11" x14ac:dyDescent="0.25">
      <c r="A18" s="34">
        <v>2021</v>
      </c>
      <c r="B18" s="9">
        <v>17</v>
      </c>
      <c r="C18" s="10">
        <v>5134.25</v>
      </c>
      <c r="D18" s="10">
        <v>67.540000000000006</v>
      </c>
      <c r="E18" s="11">
        <v>1.52</v>
      </c>
      <c r="F18" s="14">
        <v>5536.8</v>
      </c>
      <c r="G18" s="45">
        <f t="shared" si="0"/>
        <v>5097.9609765892001</v>
      </c>
      <c r="H18" s="45">
        <f t="shared" si="1"/>
        <v>36.289023410799928</v>
      </c>
      <c r="I18" s="45">
        <f t="shared" si="2"/>
        <v>1316.8932201095852</v>
      </c>
      <c r="J18" s="45">
        <f t="shared" si="3"/>
        <v>1537964.7275086502</v>
      </c>
      <c r="K18" s="45">
        <f t="shared" si="4"/>
        <v>1449274.1706042625</v>
      </c>
    </row>
    <row r="19" spans="1:11" x14ac:dyDescent="0.25">
      <c r="I19" s="55">
        <f>SUM(I2:I18)</f>
        <v>1135623.359241135</v>
      </c>
      <c r="J19" s="55">
        <f t="shared" ref="J19:K19" si="5">SUM(J2:J18)</f>
        <v>8777585.6323529407</v>
      </c>
      <c r="K19" s="55">
        <f t="shared" si="5"/>
        <v>7641962.2708397172</v>
      </c>
    </row>
    <row r="20" spans="1:11" x14ac:dyDescent="0.25">
      <c r="I20" s="46" t="s">
        <v>95</v>
      </c>
      <c r="J20" s="46" t="s">
        <v>96</v>
      </c>
      <c r="K20" s="46" t="s">
        <v>97</v>
      </c>
    </row>
    <row r="24" spans="1:11" x14ac:dyDescent="0.25">
      <c r="A24" t="s">
        <v>31</v>
      </c>
    </row>
    <row r="26" spans="1:11" x14ac:dyDescent="0.25">
      <c r="A26" s="51" t="s">
        <v>32</v>
      </c>
      <c r="B26" s="51"/>
    </row>
    <row r="27" spans="1:11" x14ac:dyDescent="0.25">
      <c r="A27" s="48" t="s">
        <v>33</v>
      </c>
      <c r="B27" s="52">
        <v>0.93307146288329401</v>
      </c>
      <c r="E27" s="86" t="s">
        <v>99</v>
      </c>
      <c r="F27" s="86"/>
      <c r="G27" s="46" t="s">
        <v>100</v>
      </c>
    </row>
    <row r="28" spans="1:11" x14ac:dyDescent="0.25">
      <c r="A28" s="53" t="s">
        <v>34</v>
      </c>
      <c r="B28" s="53">
        <v>0.87062235484717032</v>
      </c>
      <c r="E28" s="88">
        <f>1-B28</f>
        <v>0.12937764515282968</v>
      </c>
      <c r="F28" s="88"/>
      <c r="G28" s="50">
        <f>B30/AVERAGE(C2:C18)*100%</f>
        <v>7.5899349622166754E-2</v>
      </c>
    </row>
    <row r="29" spans="1:11" x14ac:dyDescent="0.25">
      <c r="A29" s="48" t="s">
        <v>35</v>
      </c>
      <c r="B29" s="52">
        <v>0.8407659751965173</v>
      </c>
    </row>
    <row r="30" spans="1:11" x14ac:dyDescent="0.25">
      <c r="A30" s="48" t="s">
        <v>36</v>
      </c>
      <c r="B30" s="52">
        <v>295.55988059706078</v>
      </c>
    </row>
    <row r="31" spans="1:11" x14ac:dyDescent="0.25">
      <c r="A31" s="48" t="s">
        <v>37</v>
      </c>
      <c r="B31" s="52">
        <v>17</v>
      </c>
    </row>
    <row r="33" spans="1:9" x14ac:dyDescent="0.25">
      <c r="A33" t="s">
        <v>38</v>
      </c>
    </row>
    <row r="34" spans="1:9" x14ac:dyDescent="0.25">
      <c r="A34" s="34"/>
      <c r="B34" s="34" t="s">
        <v>39</v>
      </c>
      <c r="C34" s="34" t="s">
        <v>40</v>
      </c>
      <c r="D34" s="34" t="s">
        <v>41</v>
      </c>
      <c r="E34" s="34" t="s">
        <v>42</v>
      </c>
      <c r="F34" s="34" t="s">
        <v>43</v>
      </c>
    </row>
    <row r="35" spans="1:9" x14ac:dyDescent="0.25">
      <c r="A35" s="48" t="s">
        <v>44</v>
      </c>
      <c r="B35" s="52">
        <v>3</v>
      </c>
      <c r="C35" s="52">
        <v>7641962.2731118063</v>
      </c>
      <c r="D35" s="52">
        <v>2547320.7577039353</v>
      </c>
      <c r="E35" s="52">
        <v>29.16034579658518</v>
      </c>
      <c r="F35" s="52">
        <v>4.8305625383966302E-6</v>
      </c>
    </row>
    <row r="36" spans="1:9" x14ac:dyDescent="0.25">
      <c r="A36" s="48" t="s">
        <v>45</v>
      </c>
      <c r="B36" s="52">
        <v>13</v>
      </c>
      <c r="C36" s="52">
        <v>1135623.3592411345</v>
      </c>
      <c r="D36" s="52">
        <v>87355.643018548813</v>
      </c>
      <c r="E36" s="52"/>
      <c r="F36" s="52"/>
    </row>
    <row r="37" spans="1:9" x14ac:dyDescent="0.25">
      <c r="A37" s="48" t="s">
        <v>46</v>
      </c>
      <c r="B37" s="52">
        <v>16</v>
      </c>
      <c r="C37" s="52">
        <v>8777585.6323529407</v>
      </c>
      <c r="D37" s="52"/>
      <c r="E37" s="52"/>
      <c r="F37" s="52"/>
    </row>
    <row r="39" spans="1:9" x14ac:dyDescent="0.25">
      <c r="A39" s="34"/>
      <c r="B39" s="34" t="s">
        <v>47</v>
      </c>
      <c r="C39" s="34" t="s">
        <v>36</v>
      </c>
      <c r="D39" s="34" t="s">
        <v>48</v>
      </c>
      <c r="E39" s="34" t="s">
        <v>49</v>
      </c>
      <c r="F39" s="34" t="s">
        <v>50</v>
      </c>
      <c r="G39" s="34" t="s">
        <v>51</v>
      </c>
      <c r="H39" s="34" t="s">
        <v>52</v>
      </c>
      <c r="I39" s="34" t="s">
        <v>53</v>
      </c>
    </row>
    <row r="40" spans="1:9" x14ac:dyDescent="0.25">
      <c r="A40" s="48" t="s">
        <v>54</v>
      </c>
      <c r="B40" s="52">
        <v>-593.89887568337417</v>
      </c>
      <c r="C40" s="52">
        <v>1184.8255108002268</v>
      </c>
      <c r="D40" s="52">
        <v>-0.50125429463639504</v>
      </c>
      <c r="E40" s="52">
        <v>0.62457243771003546</v>
      </c>
      <c r="F40" s="52">
        <v>-3153.5587725937021</v>
      </c>
      <c r="G40" s="52">
        <v>1965.7610212269537</v>
      </c>
      <c r="H40" s="52">
        <v>-3153.5587725937021</v>
      </c>
      <c r="I40" s="52">
        <v>1965.7610212269537</v>
      </c>
    </row>
    <row r="41" spans="1:9" x14ac:dyDescent="0.25">
      <c r="A41" s="48" t="s">
        <v>6</v>
      </c>
      <c r="B41" s="52">
        <v>54.100298823879633</v>
      </c>
      <c r="C41" s="52">
        <v>48.613251239409955</v>
      </c>
      <c r="D41" s="52">
        <v>1.1128714382308464</v>
      </c>
      <c r="E41" s="52">
        <v>0.28591911443776463</v>
      </c>
      <c r="F41" s="52">
        <v>-50.922245442492645</v>
      </c>
      <c r="G41" s="52">
        <v>159.12284309025191</v>
      </c>
      <c r="H41" s="52">
        <v>-50.922245442492645</v>
      </c>
      <c r="I41" s="52">
        <v>159.12284309025191</v>
      </c>
    </row>
    <row r="42" spans="1:9" x14ac:dyDescent="0.25">
      <c r="A42" s="48" t="s">
        <v>7</v>
      </c>
      <c r="B42" s="52">
        <v>930.58461677655407</v>
      </c>
      <c r="C42" s="52">
        <v>408.68017504311678</v>
      </c>
      <c r="D42" s="52">
        <v>2.2770485910611522</v>
      </c>
      <c r="E42" s="52">
        <v>4.0338818863212458E-2</v>
      </c>
      <c r="F42" s="52">
        <v>47.684776095676966</v>
      </c>
      <c r="G42" s="52">
        <v>1813.4844574574313</v>
      </c>
      <c r="H42" s="52">
        <v>47.684776095676966</v>
      </c>
      <c r="I42" s="52">
        <v>1813.4844574574313</v>
      </c>
    </row>
    <row r="43" spans="1:9" x14ac:dyDescent="0.25">
      <c r="A43" s="48" t="s">
        <v>9</v>
      </c>
      <c r="B43" s="52">
        <v>0.1125988030757316</v>
      </c>
      <c r="C43" s="52">
        <v>0.41480989854223144</v>
      </c>
      <c r="D43" s="52">
        <v>0.27144676024231379</v>
      </c>
      <c r="E43" s="52">
        <v>0.79031017872498888</v>
      </c>
      <c r="F43" s="52">
        <v>-0.78354350012541629</v>
      </c>
      <c r="G43" s="52">
        <v>1.0087411062768794</v>
      </c>
      <c r="H43" s="52">
        <v>-0.78354350012541629</v>
      </c>
      <c r="I43" s="52">
        <v>1.0087411062768794</v>
      </c>
    </row>
    <row r="46" spans="1:9" x14ac:dyDescent="0.25">
      <c r="A46" s="34" t="s">
        <v>80</v>
      </c>
      <c r="B46" s="34" t="s">
        <v>2</v>
      </c>
      <c r="C46" s="34" t="s">
        <v>6</v>
      </c>
      <c r="D46" s="34" t="s">
        <v>7</v>
      </c>
      <c r="E46" s="34" t="s">
        <v>9</v>
      </c>
    </row>
    <row r="47" spans="1:9" x14ac:dyDescent="0.25">
      <c r="A47" s="48" t="s">
        <v>2</v>
      </c>
      <c r="B47" s="49">
        <v>1</v>
      </c>
      <c r="C47" s="49">
        <v>0.90335021100538471</v>
      </c>
      <c r="D47" s="49">
        <v>0.63748999923967875</v>
      </c>
      <c r="E47" s="49">
        <v>0.8987241551006937</v>
      </c>
    </row>
    <row r="48" spans="1:9" x14ac:dyDescent="0.25">
      <c r="A48" s="48" t="s">
        <v>6</v>
      </c>
      <c r="B48" s="52">
        <v>0.90335021100538471</v>
      </c>
      <c r="C48" s="49">
        <v>1</v>
      </c>
      <c r="D48" s="49">
        <v>0.48040098022121863</v>
      </c>
      <c r="E48" s="49">
        <v>0.9841702118100587</v>
      </c>
    </row>
    <row r="49" spans="1:5" x14ac:dyDescent="0.25">
      <c r="A49" s="48" t="s">
        <v>7</v>
      </c>
      <c r="B49" s="52">
        <v>0.63748999923967875</v>
      </c>
      <c r="C49" s="49">
        <v>0.48040098022121863</v>
      </c>
      <c r="D49" s="49">
        <v>1</v>
      </c>
      <c r="E49" s="49">
        <v>0.49134977989076428</v>
      </c>
    </row>
    <row r="50" spans="1:5" x14ac:dyDescent="0.25">
      <c r="A50" s="48" t="s">
        <v>9</v>
      </c>
      <c r="B50" s="52">
        <v>0.8987241551006937</v>
      </c>
      <c r="C50" s="49">
        <v>0.9841702118100587</v>
      </c>
      <c r="D50" s="49">
        <v>0.49134977989076428</v>
      </c>
      <c r="E50" s="49">
        <v>1</v>
      </c>
    </row>
  </sheetData>
  <mergeCells count="2">
    <mergeCell ref="E27:F27"/>
    <mergeCell ref="E28:F2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E1" workbookViewId="0">
      <selection activeCell="F31" sqref="F31"/>
    </sheetView>
  </sheetViews>
  <sheetFormatPr defaultRowHeight="15" x14ac:dyDescent="0.25"/>
  <cols>
    <col min="9" max="9" width="9.85546875" bestFit="1" customWidth="1"/>
    <col min="12" max="12" width="12.28515625" customWidth="1"/>
    <col min="14" max="14" width="11.42578125" customWidth="1"/>
    <col min="15" max="15" width="12" customWidth="1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6</v>
      </c>
      <c r="E1" s="34" t="s">
        <v>7</v>
      </c>
      <c r="F1" s="7" t="s">
        <v>9</v>
      </c>
      <c r="G1" s="28" t="s">
        <v>98</v>
      </c>
      <c r="H1" s="28" t="s">
        <v>93</v>
      </c>
      <c r="I1" s="28" t="s">
        <v>101</v>
      </c>
    </row>
    <row r="2" spans="1:16" x14ac:dyDescent="0.25">
      <c r="A2" s="34">
        <v>2005</v>
      </c>
      <c r="B2" s="9">
        <v>1</v>
      </c>
      <c r="C2" s="10">
        <v>2439.25</v>
      </c>
      <c r="D2" s="10">
        <v>39.119999999999997</v>
      </c>
      <c r="E2" s="11">
        <v>0.73</v>
      </c>
      <c r="F2" s="9">
        <v>2306</v>
      </c>
      <c r="G2" s="45">
        <f t="shared" ref="G2:G18" si="0">$P$6+$P$3*D2+$P$4*E2+$P$5*F2</f>
        <v>2461.4844241204</v>
      </c>
      <c r="H2" s="54">
        <f t="shared" ref="H2:H18" si="1">C2-G2</f>
        <v>-22.234424120400035</v>
      </c>
      <c r="I2" s="54" t="str">
        <f>IF(H2&gt;1,"dodatnie","ujemne")</f>
        <v>ujemne</v>
      </c>
      <c r="O2" s="34"/>
      <c r="P2" s="34" t="s">
        <v>90</v>
      </c>
    </row>
    <row r="3" spans="1:16" x14ac:dyDescent="0.25">
      <c r="A3" s="34">
        <v>2006</v>
      </c>
      <c r="B3" s="9">
        <v>2</v>
      </c>
      <c r="C3" s="10">
        <v>2545.25</v>
      </c>
      <c r="D3" s="10">
        <v>41.98</v>
      </c>
      <c r="E3" s="11">
        <v>0.75</v>
      </c>
      <c r="F3" s="9">
        <v>2413</v>
      </c>
      <c r="G3" s="45">
        <f t="shared" si="0"/>
        <v>2646.8710430025994</v>
      </c>
      <c r="H3" s="54">
        <f t="shared" si="1"/>
        <v>-101.62104300259944</v>
      </c>
      <c r="I3" s="54" t="str">
        <f t="shared" ref="I3:I18" si="2">IF(H3&gt;1,"dodatnie","ujemne")</f>
        <v>ujemne</v>
      </c>
      <c r="O3" s="34" t="s">
        <v>6</v>
      </c>
      <c r="P3" s="10">
        <v>54.100298819999999</v>
      </c>
    </row>
    <row r="4" spans="1:16" x14ac:dyDescent="0.25">
      <c r="A4" s="34">
        <v>2007</v>
      </c>
      <c r="B4" s="9">
        <v>3</v>
      </c>
      <c r="C4" s="10">
        <v>2816</v>
      </c>
      <c r="D4" s="10">
        <v>44.35</v>
      </c>
      <c r="E4" s="11">
        <v>1.34</v>
      </c>
      <c r="F4" s="9">
        <v>2603</v>
      </c>
      <c r="G4" s="45">
        <f t="shared" si="0"/>
        <v>3345.5274476880004</v>
      </c>
      <c r="H4" s="54">
        <f t="shared" si="1"/>
        <v>-529.52744768800039</v>
      </c>
      <c r="I4" s="54" t="str">
        <f t="shared" si="2"/>
        <v>ujemne</v>
      </c>
      <c r="O4" s="34" t="s">
        <v>7</v>
      </c>
      <c r="P4" s="10">
        <v>930.58461680000005</v>
      </c>
    </row>
    <row r="5" spans="1:16" x14ac:dyDescent="0.25">
      <c r="A5" s="34">
        <v>2008</v>
      </c>
      <c r="B5" s="9">
        <v>4</v>
      </c>
      <c r="C5" s="10">
        <v>3316.25</v>
      </c>
      <c r="D5" s="10">
        <v>45.24</v>
      </c>
      <c r="E5" s="11">
        <v>1.48</v>
      </c>
      <c r="F5" s="9">
        <v>2849</v>
      </c>
      <c r="G5" s="45">
        <f t="shared" si="0"/>
        <v>3551.6578655278004</v>
      </c>
      <c r="H5" s="54">
        <f t="shared" si="1"/>
        <v>-235.40786552780037</v>
      </c>
      <c r="I5" s="54" t="str">
        <f t="shared" si="2"/>
        <v>ujemne</v>
      </c>
      <c r="O5" s="34" t="s">
        <v>9</v>
      </c>
      <c r="P5" s="10">
        <v>0.112598803</v>
      </c>
    </row>
    <row r="6" spans="1:16" x14ac:dyDescent="0.25">
      <c r="A6" s="34">
        <v>2009</v>
      </c>
      <c r="B6" s="9">
        <v>5</v>
      </c>
      <c r="C6" s="10">
        <v>3891.5</v>
      </c>
      <c r="D6" s="11">
        <v>47.47</v>
      </c>
      <c r="E6" s="11">
        <v>1.33</v>
      </c>
      <c r="F6" s="9">
        <v>3139</v>
      </c>
      <c r="G6" s="45">
        <f t="shared" si="0"/>
        <v>3565.3674922464002</v>
      </c>
      <c r="H6" s="45">
        <f t="shared" si="1"/>
        <v>326.13250775359984</v>
      </c>
      <c r="I6" s="45" t="str">
        <f t="shared" si="2"/>
        <v>dodatnie</v>
      </c>
      <c r="O6" s="34" t="s">
        <v>91</v>
      </c>
      <c r="P6" s="10">
        <v>-593.89887569999996</v>
      </c>
    </row>
    <row r="7" spans="1:16" x14ac:dyDescent="0.25">
      <c r="A7" s="34">
        <v>2010</v>
      </c>
      <c r="B7" s="9">
        <v>6</v>
      </c>
      <c r="C7" s="10">
        <v>4360.25</v>
      </c>
      <c r="D7" s="11">
        <v>49.72</v>
      </c>
      <c r="E7" s="11">
        <v>1.23</v>
      </c>
      <c r="F7" s="9">
        <v>3300</v>
      </c>
      <c r="G7" s="45">
        <f t="shared" si="0"/>
        <v>3612.1631101943995</v>
      </c>
      <c r="H7" s="45">
        <f t="shared" si="1"/>
        <v>748.08688980560055</v>
      </c>
      <c r="I7" s="45" t="str">
        <f t="shared" si="2"/>
        <v>dodatnie</v>
      </c>
    </row>
    <row r="8" spans="1:16" x14ac:dyDescent="0.25">
      <c r="A8" s="34">
        <v>2011</v>
      </c>
      <c r="B8" s="9">
        <v>7</v>
      </c>
      <c r="C8" s="10">
        <v>3858.25</v>
      </c>
      <c r="D8" s="11">
        <v>52.17</v>
      </c>
      <c r="E8" s="11">
        <v>1.21</v>
      </c>
      <c r="F8" s="9">
        <v>3481</v>
      </c>
      <c r="G8" s="45">
        <f t="shared" si="0"/>
        <v>3746.4775333104003</v>
      </c>
      <c r="H8" s="45">
        <f t="shared" si="1"/>
        <v>111.7724666895997</v>
      </c>
      <c r="I8" s="45" t="str">
        <f t="shared" si="2"/>
        <v>dodatnie</v>
      </c>
    </row>
    <row r="9" spans="1:16" x14ac:dyDescent="0.25">
      <c r="A9" s="34">
        <v>2012</v>
      </c>
      <c r="B9" s="9">
        <v>8</v>
      </c>
      <c r="C9" s="10">
        <v>3996.25</v>
      </c>
      <c r="D9" s="11">
        <v>54.1</v>
      </c>
      <c r="E9" s="11">
        <v>1.2</v>
      </c>
      <c r="F9" s="9">
        <v>3628</v>
      </c>
      <c r="G9" s="45">
        <f t="shared" si="0"/>
        <v>3858.1372879060004</v>
      </c>
      <c r="H9" s="45">
        <f t="shared" si="1"/>
        <v>138.11271209399956</v>
      </c>
      <c r="I9" s="45" t="str">
        <f t="shared" si="2"/>
        <v>dodatnie</v>
      </c>
    </row>
    <row r="10" spans="1:16" x14ac:dyDescent="0.25">
      <c r="A10" s="34">
        <v>2013</v>
      </c>
      <c r="B10" s="9">
        <v>9</v>
      </c>
      <c r="C10" s="10">
        <v>4025.25</v>
      </c>
      <c r="D10" s="11">
        <v>55.91</v>
      </c>
      <c r="E10" s="11">
        <v>1.18</v>
      </c>
      <c r="F10" s="9">
        <v>3761</v>
      </c>
      <c r="G10" s="45">
        <f t="shared" si="0"/>
        <v>3952.4227772331992</v>
      </c>
      <c r="H10" s="45">
        <f t="shared" si="1"/>
        <v>72.827222766800787</v>
      </c>
      <c r="I10" s="45" t="str">
        <f t="shared" si="2"/>
        <v>dodatnie</v>
      </c>
      <c r="L10" s="46" t="s">
        <v>104</v>
      </c>
      <c r="M10" s="46" t="s">
        <v>102</v>
      </c>
      <c r="N10" s="46" t="s">
        <v>103</v>
      </c>
    </row>
    <row r="11" spans="1:16" x14ac:dyDescent="0.25">
      <c r="A11" s="34">
        <v>2014</v>
      </c>
      <c r="B11" s="9">
        <v>10</v>
      </c>
      <c r="C11" s="10">
        <v>4033.5</v>
      </c>
      <c r="D11" s="11">
        <v>57.34</v>
      </c>
      <c r="E11" s="11">
        <v>1.17</v>
      </c>
      <c r="F11" s="9">
        <v>3899</v>
      </c>
      <c r="G11" s="45">
        <f t="shared" si="0"/>
        <v>4036.0189931918007</v>
      </c>
      <c r="H11" s="54">
        <f t="shared" si="1"/>
        <v>-2.518993191800746</v>
      </c>
      <c r="I11" s="54" t="str">
        <f t="shared" si="2"/>
        <v>ujemne</v>
      </c>
      <c r="L11" s="45">
        <f>ABS(M11/N11-1/2)/(SQRT((M11/N11*(1-M11/N11))/(N11)))</f>
        <v>0.73920807045687198</v>
      </c>
      <c r="M11" s="45">
        <v>7</v>
      </c>
      <c r="N11" s="45">
        <v>17</v>
      </c>
    </row>
    <row r="12" spans="1:16" x14ac:dyDescent="0.25">
      <c r="A12" s="34">
        <v>2015</v>
      </c>
      <c r="B12" s="9">
        <v>11</v>
      </c>
      <c r="C12" s="10">
        <v>3969.5</v>
      </c>
      <c r="D12" s="11">
        <v>57.87</v>
      </c>
      <c r="E12" s="11">
        <v>1.1499999999999999</v>
      </c>
      <c r="F12" s="9">
        <v>4017</v>
      </c>
      <c r="G12" s="45">
        <f t="shared" si="0"/>
        <v>4059.3671179844</v>
      </c>
      <c r="H12" s="54">
        <f t="shared" si="1"/>
        <v>-89.867117984400011</v>
      </c>
      <c r="I12" s="54" t="str">
        <f t="shared" si="2"/>
        <v>ujemne</v>
      </c>
    </row>
    <row r="13" spans="1:16" x14ac:dyDescent="0.25">
      <c r="A13" s="34">
        <v>2016</v>
      </c>
      <c r="B13" s="9">
        <v>12</v>
      </c>
      <c r="C13" s="10">
        <v>4054</v>
      </c>
      <c r="D13" s="11">
        <v>58.84</v>
      </c>
      <c r="E13" s="11">
        <v>1.1399999999999999</v>
      </c>
      <c r="F13" s="9">
        <v>4182</v>
      </c>
      <c r="G13" s="45">
        <f t="shared" si="0"/>
        <v>4121.1173641668001</v>
      </c>
      <c r="H13" s="54">
        <f t="shared" si="1"/>
        <v>-67.117364166800144</v>
      </c>
      <c r="I13" s="54" t="str">
        <f t="shared" si="2"/>
        <v>ujemne</v>
      </c>
    </row>
    <row r="14" spans="1:16" x14ac:dyDescent="0.25">
      <c r="A14" s="34">
        <v>2017</v>
      </c>
      <c r="B14" s="9">
        <v>13</v>
      </c>
      <c r="C14" s="10">
        <v>4170</v>
      </c>
      <c r="D14" s="11">
        <v>60.39</v>
      </c>
      <c r="E14" s="11">
        <v>1.1399999999999999</v>
      </c>
      <c r="F14" s="9">
        <v>4454</v>
      </c>
      <c r="G14" s="45">
        <f t="shared" si="0"/>
        <v>4235.5997017537993</v>
      </c>
      <c r="H14" s="54">
        <f t="shared" si="1"/>
        <v>-65.599701753799309</v>
      </c>
      <c r="I14" s="54" t="str">
        <f t="shared" si="2"/>
        <v>ujemne</v>
      </c>
    </row>
    <row r="15" spans="1:16" x14ac:dyDescent="0.25">
      <c r="A15" s="34">
        <v>2018</v>
      </c>
      <c r="B15" s="9">
        <v>14</v>
      </c>
      <c r="C15" s="10">
        <v>4237.5</v>
      </c>
      <c r="D15" s="10">
        <v>62.64</v>
      </c>
      <c r="E15" s="11">
        <v>1.19</v>
      </c>
      <c r="F15" s="9">
        <v>4816</v>
      </c>
      <c r="G15" s="45">
        <f t="shared" si="0"/>
        <v>4444.6153716247991</v>
      </c>
      <c r="H15" s="54">
        <f t="shared" si="1"/>
        <v>-207.11537162479908</v>
      </c>
      <c r="I15" s="54" t="str">
        <f t="shared" si="2"/>
        <v>ujemne</v>
      </c>
    </row>
    <row r="16" spans="1:16" x14ac:dyDescent="0.25">
      <c r="A16" s="34">
        <v>2019</v>
      </c>
      <c r="B16" s="9">
        <v>15</v>
      </c>
      <c r="C16" s="10">
        <v>4461.25</v>
      </c>
      <c r="D16" s="10">
        <v>63.32</v>
      </c>
      <c r="E16" s="11">
        <v>1.29</v>
      </c>
      <c r="F16" s="9">
        <v>5168</v>
      </c>
      <c r="G16" s="45">
        <f t="shared" si="0"/>
        <v>4614.0968151584002</v>
      </c>
      <c r="H16" s="54">
        <f t="shared" si="1"/>
        <v>-152.8468151584002</v>
      </c>
      <c r="I16" s="54" t="str">
        <f t="shared" si="2"/>
        <v>ujemne</v>
      </c>
    </row>
    <row r="17" spans="1:9" x14ac:dyDescent="0.25">
      <c r="A17" s="34">
        <v>2020</v>
      </c>
      <c r="B17" s="9">
        <v>16</v>
      </c>
      <c r="C17" s="10">
        <v>4891.5</v>
      </c>
      <c r="D17" s="10">
        <v>65.849999999999994</v>
      </c>
      <c r="E17" s="11">
        <v>1.37</v>
      </c>
      <c r="F17" s="9">
        <v>5394</v>
      </c>
      <c r="G17" s="45">
        <f t="shared" si="0"/>
        <v>4850.8646699949986</v>
      </c>
      <c r="H17" s="45">
        <f t="shared" si="1"/>
        <v>40.635330005001379</v>
      </c>
      <c r="I17" s="45" t="str">
        <f t="shared" si="2"/>
        <v>dodatnie</v>
      </c>
    </row>
    <row r="18" spans="1:9" x14ac:dyDescent="0.25">
      <c r="A18" s="34">
        <v>2021</v>
      </c>
      <c r="B18" s="9">
        <v>17</v>
      </c>
      <c r="C18" s="10">
        <v>5134.25</v>
      </c>
      <c r="D18" s="10">
        <v>67.540000000000006</v>
      </c>
      <c r="E18" s="11">
        <v>1.52</v>
      </c>
      <c r="F18" s="14">
        <v>5536.8</v>
      </c>
      <c r="G18" s="45">
        <f t="shared" si="0"/>
        <v>5097.9609765892001</v>
      </c>
      <c r="H18" s="45">
        <f t="shared" si="1"/>
        <v>36.289023410799928</v>
      </c>
      <c r="I18" s="45" t="str">
        <f t="shared" si="2"/>
        <v>dodatnie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19" workbookViewId="0">
      <selection activeCell="C51" sqref="C51"/>
    </sheetView>
  </sheetViews>
  <sheetFormatPr defaultRowHeight="15" x14ac:dyDescent="0.25"/>
  <cols>
    <col min="2" max="2" width="11.5703125" customWidth="1"/>
    <col min="3" max="3" width="12.5703125" customWidth="1"/>
    <col min="4" max="4" width="11.28515625" customWidth="1"/>
    <col min="5" max="5" width="12.28515625" bestFit="1" customWidth="1"/>
    <col min="6" max="6" width="11.5703125" customWidth="1"/>
    <col min="7" max="7" width="11.42578125" customWidth="1"/>
    <col min="8" max="8" width="12" bestFit="1" customWidth="1"/>
    <col min="9" max="9" width="13" customWidth="1"/>
    <col min="10" max="10" width="15.140625" customWidth="1"/>
    <col min="11" max="11" width="13.7109375" customWidth="1"/>
    <col min="12" max="12" width="13.5703125" customWidth="1"/>
    <col min="13" max="13" width="11.42578125" customWidth="1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6</v>
      </c>
      <c r="E1" s="34" t="s">
        <v>7</v>
      </c>
      <c r="F1" s="7" t="s">
        <v>9</v>
      </c>
      <c r="G1" s="28" t="s">
        <v>98</v>
      </c>
      <c r="H1" s="28" t="s">
        <v>93</v>
      </c>
      <c r="I1" s="28" t="s">
        <v>101</v>
      </c>
    </row>
    <row r="2" spans="1:16" x14ac:dyDescent="0.25">
      <c r="A2" s="34">
        <v>2005</v>
      </c>
      <c r="B2" s="9">
        <v>1</v>
      </c>
      <c r="C2" s="10">
        <v>2439.25</v>
      </c>
      <c r="D2" s="10">
        <v>39.119999999999997</v>
      </c>
      <c r="E2" s="11">
        <v>0.73</v>
      </c>
      <c r="F2" s="9">
        <v>2306</v>
      </c>
      <c r="G2" s="45">
        <f t="shared" ref="G2:G18" si="0">$P$6+$P$3*D2+$P$4*E2+$P$5*F2</f>
        <v>2461.4844241204</v>
      </c>
      <c r="H2" s="54">
        <f t="shared" ref="H2:H18" si="1">C2-G2</f>
        <v>-22.234424120400035</v>
      </c>
      <c r="I2" s="54" t="str">
        <f>IF(H2&gt;1,"dodatnie","ujemne")</f>
        <v>ujemne</v>
      </c>
      <c r="O2" s="34"/>
      <c r="P2" s="34" t="s">
        <v>90</v>
      </c>
    </row>
    <row r="3" spans="1:16" x14ac:dyDescent="0.25">
      <c r="A3" s="34">
        <v>2006</v>
      </c>
      <c r="B3" s="9">
        <v>2</v>
      </c>
      <c r="C3" s="10">
        <v>2545.25</v>
      </c>
      <c r="D3" s="10">
        <v>41.98</v>
      </c>
      <c r="E3" s="11">
        <v>0.75</v>
      </c>
      <c r="F3" s="9">
        <v>2413</v>
      </c>
      <c r="G3" s="45">
        <f t="shared" si="0"/>
        <v>2646.8710430025994</v>
      </c>
      <c r="H3" s="54">
        <f t="shared" si="1"/>
        <v>-101.62104300259944</v>
      </c>
      <c r="I3" s="54" t="str">
        <f t="shared" ref="I3:I18" si="2">IF(H3&gt;1,"dodatnie","ujemne")</f>
        <v>ujemne</v>
      </c>
      <c r="O3" s="34" t="s">
        <v>6</v>
      </c>
      <c r="P3" s="10">
        <v>54.100298819999999</v>
      </c>
    </row>
    <row r="4" spans="1:16" x14ac:dyDescent="0.25">
      <c r="A4" s="34">
        <v>2007</v>
      </c>
      <c r="B4" s="9">
        <v>3</v>
      </c>
      <c r="C4" s="10">
        <v>2816</v>
      </c>
      <c r="D4" s="10">
        <v>44.35</v>
      </c>
      <c r="E4" s="11">
        <v>1.34</v>
      </c>
      <c r="F4" s="9">
        <v>2603</v>
      </c>
      <c r="G4" s="45">
        <f t="shared" si="0"/>
        <v>3345.5274476880004</v>
      </c>
      <c r="H4" s="54">
        <f t="shared" si="1"/>
        <v>-529.52744768800039</v>
      </c>
      <c r="I4" s="54" t="str">
        <f t="shared" si="2"/>
        <v>ujemne</v>
      </c>
      <c r="O4" s="34" t="s">
        <v>7</v>
      </c>
      <c r="P4" s="10">
        <v>930.58461680000005</v>
      </c>
    </row>
    <row r="5" spans="1:16" x14ac:dyDescent="0.25">
      <c r="A5" s="34">
        <v>2008</v>
      </c>
      <c r="B5" s="9">
        <v>4</v>
      </c>
      <c r="C5" s="10">
        <v>3316.25</v>
      </c>
      <c r="D5" s="10">
        <v>45.24</v>
      </c>
      <c r="E5" s="11">
        <v>1.48</v>
      </c>
      <c r="F5" s="9">
        <v>2849</v>
      </c>
      <c r="G5" s="45">
        <f t="shared" si="0"/>
        <v>3551.6578655278004</v>
      </c>
      <c r="H5" s="54">
        <f t="shared" si="1"/>
        <v>-235.40786552780037</v>
      </c>
      <c r="I5" s="54" t="str">
        <f t="shared" si="2"/>
        <v>ujemne</v>
      </c>
      <c r="O5" s="34" t="s">
        <v>9</v>
      </c>
      <c r="P5" s="10">
        <v>0.112598803</v>
      </c>
    </row>
    <row r="6" spans="1:16" x14ac:dyDescent="0.25">
      <c r="A6" s="34">
        <v>2009</v>
      </c>
      <c r="B6" s="9">
        <v>5</v>
      </c>
      <c r="C6" s="10">
        <v>3891.5</v>
      </c>
      <c r="D6" s="11">
        <v>47.47</v>
      </c>
      <c r="E6" s="11">
        <v>1.33</v>
      </c>
      <c r="F6" s="9">
        <v>3139</v>
      </c>
      <c r="G6" s="45">
        <f t="shared" si="0"/>
        <v>3565.3674922464002</v>
      </c>
      <c r="H6" s="45">
        <f t="shared" si="1"/>
        <v>326.13250775359984</v>
      </c>
      <c r="I6" s="45" t="str">
        <f t="shared" si="2"/>
        <v>dodatnie</v>
      </c>
      <c r="O6" s="34" t="s">
        <v>91</v>
      </c>
      <c r="P6" s="10">
        <v>-593.89887569999996</v>
      </c>
    </row>
    <row r="7" spans="1:16" x14ac:dyDescent="0.25">
      <c r="A7" s="34">
        <v>2010</v>
      </c>
      <c r="B7" s="9">
        <v>6</v>
      </c>
      <c r="C7" s="10">
        <v>4360.25</v>
      </c>
      <c r="D7" s="11">
        <v>49.72</v>
      </c>
      <c r="E7" s="11">
        <v>1.23</v>
      </c>
      <c r="F7" s="9">
        <v>3300</v>
      </c>
      <c r="G7" s="45">
        <f t="shared" si="0"/>
        <v>3612.1631101943995</v>
      </c>
      <c r="H7" s="45">
        <f t="shared" si="1"/>
        <v>748.08688980560055</v>
      </c>
      <c r="I7" s="45" t="str">
        <f t="shared" si="2"/>
        <v>dodatnie</v>
      </c>
    </row>
    <row r="8" spans="1:16" x14ac:dyDescent="0.25">
      <c r="A8" s="34">
        <v>2011</v>
      </c>
      <c r="B8" s="9">
        <v>7</v>
      </c>
      <c r="C8" s="10">
        <v>3858.25</v>
      </c>
      <c r="D8" s="11">
        <v>52.17</v>
      </c>
      <c r="E8" s="11">
        <v>1.21</v>
      </c>
      <c r="F8" s="9">
        <v>3481</v>
      </c>
      <c r="G8" s="45">
        <f t="shared" si="0"/>
        <v>3746.4775333104003</v>
      </c>
      <c r="H8" s="45">
        <f t="shared" si="1"/>
        <v>111.7724666895997</v>
      </c>
      <c r="I8" s="45" t="str">
        <f t="shared" si="2"/>
        <v>dodatnie</v>
      </c>
    </row>
    <row r="9" spans="1:16" x14ac:dyDescent="0.25">
      <c r="A9" s="34">
        <v>2012</v>
      </c>
      <c r="B9" s="9">
        <v>8</v>
      </c>
      <c r="C9" s="10">
        <v>3996.25</v>
      </c>
      <c r="D9" s="11">
        <v>54.1</v>
      </c>
      <c r="E9" s="11">
        <v>1.2</v>
      </c>
      <c r="F9" s="9">
        <v>3628</v>
      </c>
      <c r="G9" s="45">
        <f t="shared" si="0"/>
        <v>3858.1372879060004</v>
      </c>
      <c r="H9" s="45">
        <f t="shared" si="1"/>
        <v>138.11271209399956</v>
      </c>
      <c r="I9" s="45" t="str">
        <f t="shared" si="2"/>
        <v>dodatnie</v>
      </c>
    </row>
    <row r="10" spans="1:16" x14ac:dyDescent="0.25">
      <c r="A10" s="34">
        <v>2013</v>
      </c>
      <c r="B10" s="9">
        <v>9</v>
      </c>
      <c r="C10" s="10">
        <v>4025.25</v>
      </c>
      <c r="D10" s="11">
        <v>55.91</v>
      </c>
      <c r="E10" s="11">
        <v>1.18</v>
      </c>
      <c r="F10" s="9">
        <v>3761</v>
      </c>
      <c r="G10" s="45">
        <f t="shared" si="0"/>
        <v>3952.4227772331992</v>
      </c>
      <c r="H10" s="45">
        <f t="shared" si="1"/>
        <v>72.827222766800787</v>
      </c>
      <c r="I10" s="45" t="str">
        <f t="shared" si="2"/>
        <v>dodatnie</v>
      </c>
    </row>
    <row r="11" spans="1:16" x14ac:dyDescent="0.25">
      <c r="A11" s="34">
        <v>2014</v>
      </c>
      <c r="B11" s="9">
        <v>10</v>
      </c>
      <c r="C11" s="10">
        <v>4033.5</v>
      </c>
      <c r="D11" s="11">
        <v>57.34</v>
      </c>
      <c r="E11" s="11">
        <v>1.17</v>
      </c>
      <c r="F11" s="9">
        <v>3899</v>
      </c>
      <c r="G11" s="45">
        <f t="shared" si="0"/>
        <v>4036.0189931918007</v>
      </c>
      <c r="H11" s="54">
        <f t="shared" si="1"/>
        <v>-2.518993191800746</v>
      </c>
      <c r="I11" s="54" t="str">
        <f t="shared" si="2"/>
        <v>ujemne</v>
      </c>
    </row>
    <row r="12" spans="1:16" x14ac:dyDescent="0.25">
      <c r="A12" s="34">
        <v>2015</v>
      </c>
      <c r="B12" s="9">
        <v>11</v>
      </c>
      <c r="C12" s="10">
        <v>3969.5</v>
      </c>
      <c r="D12" s="11">
        <v>57.87</v>
      </c>
      <c r="E12" s="11">
        <v>1.1499999999999999</v>
      </c>
      <c r="F12" s="9">
        <v>4017</v>
      </c>
      <c r="G12" s="45">
        <f t="shared" si="0"/>
        <v>4059.3671179844</v>
      </c>
      <c r="H12" s="54">
        <f t="shared" si="1"/>
        <v>-89.867117984400011</v>
      </c>
      <c r="I12" s="54" t="str">
        <f t="shared" si="2"/>
        <v>ujemne</v>
      </c>
    </row>
    <row r="13" spans="1:16" x14ac:dyDescent="0.25">
      <c r="A13" s="34">
        <v>2016</v>
      </c>
      <c r="B13" s="9">
        <v>12</v>
      </c>
      <c r="C13" s="10">
        <v>4054</v>
      </c>
      <c r="D13" s="11">
        <v>58.84</v>
      </c>
      <c r="E13" s="11">
        <v>1.1399999999999999</v>
      </c>
      <c r="F13" s="9">
        <v>4182</v>
      </c>
      <c r="G13" s="45">
        <f t="shared" si="0"/>
        <v>4121.1173641668001</v>
      </c>
      <c r="H13" s="54">
        <f t="shared" si="1"/>
        <v>-67.117364166800144</v>
      </c>
      <c r="I13" s="54" t="str">
        <f t="shared" si="2"/>
        <v>ujemne</v>
      </c>
    </row>
    <row r="14" spans="1:16" x14ac:dyDescent="0.25">
      <c r="A14" s="34">
        <v>2017</v>
      </c>
      <c r="B14" s="9">
        <v>13</v>
      </c>
      <c r="C14" s="10">
        <v>4170</v>
      </c>
      <c r="D14" s="11">
        <v>60.39</v>
      </c>
      <c r="E14" s="11">
        <v>1.1399999999999999</v>
      </c>
      <c r="F14" s="9">
        <v>4454</v>
      </c>
      <c r="G14" s="45">
        <f t="shared" si="0"/>
        <v>4235.5997017537993</v>
      </c>
      <c r="H14" s="54">
        <f t="shared" si="1"/>
        <v>-65.599701753799309</v>
      </c>
      <c r="I14" s="54" t="str">
        <f t="shared" si="2"/>
        <v>ujemne</v>
      </c>
    </row>
    <row r="15" spans="1:16" x14ac:dyDescent="0.25">
      <c r="A15" s="34">
        <v>2018</v>
      </c>
      <c r="B15" s="9">
        <v>14</v>
      </c>
      <c r="C15" s="10">
        <v>4237.5</v>
      </c>
      <c r="D15" s="10">
        <v>62.64</v>
      </c>
      <c r="E15" s="11">
        <v>1.19</v>
      </c>
      <c r="F15" s="9">
        <v>4816</v>
      </c>
      <c r="G15" s="45">
        <f t="shared" si="0"/>
        <v>4444.6153716247991</v>
      </c>
      <c r="H15" s="54">
        <f t="shared" si="1"/>
        <v>-207.11537162479908</v>
      </c>
      <c r="I15" s="54" t="str">
        <f t="shared" si="2"/>
        <v>ujemne</v>
      </c>
    </row>
    <row r="16" spans="1:16" x14ac:dyDescent="0.25">
      <c r="A16" s="34">
        <v>2019</v>
      </c>
      <c r="B16" s="9">
        <v>15</v>
      </c>
      <c r="C16" s="10">
        <v>4461.25</v>
      </c>
      <c r="D16" s="10">
        <v>63.32</v>
      </c>
      <c r="E16" s="11">
        <v>1.29</v>
      </c>
      <c r="F16" s="9">
        <v>5168</v>
      </c>
      <c r="G16" s="45">
        <f t="shared" si="0"/>
        <v>4614.0968151584002</v>
      </c>
      <c r="H16" s="54">
        <f t="shared" si="1"/>
        <v>-152.8468151584002</v>
      </c>
      <c r="I16" s="54" t="str">
        <f t="shared" si="2"/>
        <v>ujemne</v>
      </c>
    </row>
    <row r="17" spans="1:10" x14ac:dyDescent="0.25">
      <c r="A17" s="34">
        <v>2020</v>
      </c>
      <c r="B17" s="9">
        <v>16</v>
      </c>
      <c r="C17" s="10">
        <v>4891.5</v>
      </c>
      <c r="D17" s="10">
        <v>65.849999999999994</v>
      </c>
      <c r="E17" s="11">
        <v>1.37</v>
      </c>
      <c r="F17" s="9">
        <v>5394</v>
      </c>
      <c r="G17" s="45">
        <f t="shared" si="0"/>
        <v>4850.8646699949986</v>
      </c>
      <c r="H17" s="45">
        <f t="shared" si="1"/>
        <v>40.635330005001379</v>
      </c>
      <c r="I17" s="45" t="str">
        <f t="shared" si="2"/>
        <v>dodatnie</v>
      </c>
    </row>
    <row r="18" spans="1:10" x14ac:dyDescent="0.25">
      <c r="A18" s="34">
        <v>2021</v>
      </c>
      <c r="B18" s="9">
        <v>17</v>
      </c>
      <c r="C18" s="10">
        <v>5134.25</v>
      </c>
      <c r="D18" s="10">
        <v>67.540000000000006</v>
      </c>
      <c r="E18" s="11">
        <v>1.52</v>
      </c>
      <c r="F18" s="14">
        <v>5536.8</v>
      </c>
      <c r="G18" s="45">
        <f t="shared" si="0"/>
        <v>5097.9609765892001</v>
      </c>
      <c r="H18" s="45">
        <f t="shared" si="1"/>
        <v>36.289023410799928</v>
      </c>
      <c r="I18" s="45" t="str">
        <f t="shared" si="2"/>
        <v>dodatnie</v>
      </c>
    </row>
    <row r="23" spans="1:10" x14ac:dyDescent="0.25">
      <c r="A23" s="34" t="s">
        <v>0</v>
      </c>
      <c r="B23" s="59" t="s">
        <v>1</v>
      </c>
      <c r="C23" s="58" t="s">
        <v>93</v>
      </c>
      <c r="F23" s="34" t="s">
        <v>106</v>
      </c>
      <c r="G23" s="34" t="s">
        <v>107</v>
      </c>
      <c r="H23" s="34" t="s">
        <v>108</v>
      </c>
      <c r="I23" s="34" t="s">
        <v>109</v>
      </c>
      <c r="J23" s="34" t="s">
        <v>110</v>
      </c>
    </row>
    <row r="24" spans="1:10" x14ac:dyDescent="0.25">
      <c r="A24" s="34">
        <v>2007</v>
      </c>
      <c r="B24" s="9">
        <v>3</v>
      </c>
      <c r="C24" s="57">
        <v>-529.52744800000005</v>
      </c>
      <c r="F24" s="60">
        <f t="shared" ref="F24:F40" si="3">(C24-$C$41)/$C$42</f>
        <v>-2.0487821370960577</v>
      </c>
      <c r="G24" s="60">
        <v>2.8944053099999998</v>
      </c>
      <c r="H24" s="10">
        <v>0.49680000000000002</v>
      </c>
      <c r="I24" s="10">
        <f>(G24-F24)*H24</f>
        <v>2.4557755237173216</v>
      </c>
      <c r="J24" s="10">
        <f t="shared" ref="J24:J40" si="4">(F24-$C$41)^2</f>
        <v>4.1975100048263236</v>
      </c>
    </row>
    <row r="25" spans="1:10" x14ac:dyDescent="0.25">
      <c r="A25" s="34">
        <v>2008</v>
      </c>
      <c r="B25" s="9">
        <v>4</v>
      </c>
      <c r="C25" s="57">
        <v>-235.40786600000001</v>
      </c>
      <c r="F25" s="60">
        <f t="shared" si="3"/>
        <v>-0.91081101291912725</v>
      </c>
      <c r="G25" s="60">
        <v>1.26183158</v>
      </c>
      <c r="H25" s="10">
        <v>0.32729999999999998</v>
      </c>
      <c r="I25" s="10">
        <f t="shared" ref="I25:I40" si="5">(G25-F25)*H25</f>
        <v>0.71110592066243028</v>
      </c>
      <c r="J25" s="10">
        <f t="shared" si="4"/>
        <v>0.82957748348085458</v>
      </c>
    </row>
    <row r="26" spans="1:10" x14ac:dyDescent="0.25">
      <c r="A26" s="34">
        <v>2018</v>
      </c>
      <c r="B26" s="9">
        <v>14</v>
      </c>
      <c r="C26" s="57">
        <v>-207.11537200000001</v>
      </c>
      <c r="F26" s="60">
        <f t="shared" si="3"/>
        <v>-0.80134519298283668</v>
      </c>
      <c r="G26" s="60">
        <v>0.53436863000000001</v>
      </c>
      <c r="H26" s="10">
        <v>0.254</v>
      </c>
      <c r="I26" s="10">
        <f t="shared" si="5"/>
        <v>0.33927131103764052</v>
      </c>
      <c r="J26" s="10">
        <f t="shared" si="4"/>
        <v>0.64215480653096901</v>
      </c>
    </row>
    <row r="27" spans="1:10" x14ac:dyDescent="0.25">
      <c r="A27" s="34">
        <v>2019</v>
      </c>
      <c r="B27" s="9">
        <v>15</v>
      </c>
      <c r="C27" s="57">
        <v>-152.84681499999999</v>
      </c>
      <c r="F27" s="60">
        <f t="shared" si="3"/>
        <v>-0.59137600155120384</v>
      </c>
      <c r="G27" s="60">
        <v>0.43245621000000001</v>
      </c>
      <c r="H27" s="10">
        <v>0.1988</v>
      </c>
      <c r="I27" s="10">
        <f t="shared" si="5"/>
        <v>0.20353784365637931</v>
      </c>
      <c r="J27" s="10">
        <f t="shared" si="4"/>
        <v>0.34972608309848241</v>
      </c>
    </row>
    <row r="28" spans="1:10" x14ac:dyDescent="0.25">
      <c r="A28" s="34">
        <v>2006</v>
      </c>
      <c r="B28" s="9">
        <v>2</v>
      </c>
      <c r="C28" s="57">
        <v>-101.621043</v>
      </c>
      <c r="F28" s="60">
        <f t="shared" si="3"/>
        <v>-0.3931795776569556</v>
      </c>
      <c r="G28" s="60">
        <v>0.28177407999999998</v>
      </c>
      <c r="H28" s="10">
        <v>0.15240000000000001</v>
      </c>
      <c r="I28" s="10">
        <f t="shared" si="5"/>
        <v>0.10286293742692004</v>
      </c>
      <c r="J28" s="10">
        <f t="shared" si="4"/>
        <v>0.15459051795854811</v>
      </c>
    </row>
    <row r="29" spans="1:10" x14ac:dyDescent="0.25">
      <c r="A29" s="34">
        <v>2015</v>
      </c>
      <c r="B29" s="9">
        <v>11</v>
      </c>
      <c r="C29" s="57">
        <v>-89.867118000000005</v>
      </c>
      <c r="F29" s="60">
        <f t="shared" si="3"/>
        <v>-0.34770274420442704</v>
      </c>
      <c r="G29" s="60">
        <v>0.15722119000000001</v>
      </c>
      <c r="H29" s="10">
        <v>0.1109</v>
      </c>
      <c r="I29" s="10">
        <f t="shared" si="5"/>
        <v>5.5996064303270962E-2</v>
      </c>
      <c r="J29" s="10">
        <f t="shared" si="4"/>
        <v>0.120897496942762</v>
      </c>
    </row>
    <row r="30" spans="1:10" x14ac:dyDescent="0.25">
      <c r="A30" s="34">
        <v>2016</v>
      </c>
      <c r="B30" s="9">
        <v>12</v>
      </c>
      <c r="C30" s="57">
        <v>-67.117364199999997</v>
      </c>
      <c r="F30" s="60">
        <f t="shared" si="3"/>
        <v>-0.25968220939170455</v>
      </c>
      <c r="G30" s="60">
        <v>0.140405</v>
      </c>
      <c r="H30" s="10">
        <v>7.2499999999999995E-2</v>
      </c>
      <c r="I30" s="10">
        <f t="shared" si="5"/>
        <v>2.9006322680898578E-2</v>
      </c>
      <c r="J30" s="10">
        <f t="shared" si="4"/>
        <v>6.7435072895925929E-2</v>
      </c>
    </row>
    <row r="31" spans="1:10" x14ac:dyDescent="0.25">
      <c r="A31" s="34">
        <v>2017</v>
      </c>
      <c r="B31" s="9">
        <v>13</v>
      </c>
      <c r="C31" s="57">
        <v>-65.599701800000005</v>
      </c>
      <c r="F31" s="60">
        <f t="shared" si="3"/>
        <v>-0.25381025766477378</v>
      </c>
      <c r="G31" s="60">
        <v>-9.7461800000000001E-3</v>
      </c>
      <c r="H31" s="10">
        <v>3.5900000000000001E-2</v>
      </c>
      <c r="I31" s="10">
        <f t="shared" si="5"/>
        <v>8.7619003881653796E-3</v>
      </c>
      <c r="J31" s="10">
        <f t="shared" si="4"/>
        <v>6.4419864874257549E-2</v>
      </c>
    </row>
    <row r="32" spans="1:10" x14ac:dyDescent="0.25">
      <c r="A32" s="34">
        <v>2005</v>
      </c>
      <c r="B32" s="9">
        <v>1</v>
      </c>
      <c r="C32" s="57">
        <v>-22.234424099999998</v>
      </c>
      <c r="F32" s="60">
        <f t="shared" si="3"/>
        <v>-8.6026686509984907E-2</v>
      </c>
      <c r="G32" s="60">
        <v>-8.6026690000000003E-2</v>
      </c>
      <c r="H32" s="10">
        <v>0</v>
      </c>
      <c r="I32" s="10">
        <f t="shared" si="5"/>
        <v>0</v>
      </c>
      <c r="J32" s="10">
        <f t="shared" si="4"/>
        <v>7.4006646738117741E-3</v>
      </c>
    </row>
    <row r="33" spans="1:10" x14ac:dyDescent="0.25">
      <c r="A33" s="34">
        <v>2014</v>
      </c>
      <c r="B33" s="9">
        <v>10</v>
      </c>
      <c r="C33" s="57">
        <v>-2.5189931900000002</v>
      </c>
      <c r="F33" s="60">
        <f t="shared" si="3"/>
        <v>-9.7461786848197837E-3</v>
      </c>
      <c r="G33" s="60">
        <v>-0.25381026000000001</v>
      </c>
      <c r="H33" s="10">
        <v>0</v>
      </c>
      <c r="I33" s="10">
        <f t="shared" si="5"/>
        <v>0</v>
      </c>
      <c r="J33" s="10">
        <f t="shared" si="4"/>
        <v>9.4996369388137519E-5</v>
      </c>
    </row>
    <row r="34" spans="1:10" x14ac:dyDescent="0.25">
      <c r="A34" s="34">
        <v>2021</v>
      </c>
      <c r="B34" s="9">
        <v>17</v>
      </c>
      <c r="C34" s="57">
        <v>36.289023409999999</v>
      </c>
      <c r="F34" s="60">
        <f t="shared" si="3"/>
        <v>0.14040500124368618</v>
      </c>
      <c r="G34" s="60">
        <v>-0.25968221000000002</v>
      </c>
      <c r="H34" s="10">
        <v>0</v>
      </c>
      <c r="I34" s="10">
        <f t="shared" si="5"/>
        <v>0</v>
      </c>
      <c r="J34" s="10">
        <f t="shared" si="4"/>
        <v>1.9713443791309074E-2</v>
      </c>
    </row>
    <row r="35" spans="1:10" x14ac:dyDescent="0.25">
      <c r="A35" s="34">
        <v>2020</v>
      </c>
      <c r="B35" s="9">
        <v>16</v>
      </c>
      <c r="C35" s="57">
        <v>40.635330009999997</v>
      </c>
      <c r="F35" s="60">
        <f t="shared" si="3"/>
        <v>0.15722119339922788</v>
      </c>
      <c r="G35" s="60">
        <v>-0.34770274000000001</v>
      </c>
      <c r="H35" s="10">
        <v>0</v>
      </c>
      <c r="I35" s="10">
        <f t="shared" si="5"/>
        <v>0</v>
      </c>
      <c r="J35" s="10">
        <f t="shared" si="4"/>
        <v>2.4718368628805935E-2</v>
      </c>
    </row>
    <row r="36" spans="1:10" x14ac:dyDescent="0.25">
      <c r="A36" s="34">
        <v>2013</v>
      </c>
      <c r="B36" s="9">
        <v>9</v>
      </c>
      <c r="C36" s="57">
        <v>72.827222770000006</v>
      </c>
      <c r="F36" s="60">
        <f t="shared" si="3"/>
        <v>0.28177408492849837</v>
      </c>
      <c r="G36" s="60">
        <v>-0.39317957999999997</v>
      </c>
      <c r="H36" s="10">
        <v>0</v>
      </c>
      <c r="I36" s="10">
        <f t="shared" si="5"/>
        <v>0</v>
      </c>
      <c r="J36" s="10">
        <f t="shared" si="4"/>
        <v>7.9396392943270652E-2</v>
      </c>
    </row>
    <row r="37" spans="1:10" x14ac:dyDescent="0.25">
      <c r="A37" s="34">
        <v>2011</v>
      </c>
      <c r="B37" s="9">
        <v>7</v>
      </c>
      <c r="C37" s="57">
        <v>111.7724667</v>
      </c>
      <c r="F37" s="60">
        <f t="shared" si="3"/>
        <v>0.43245620787659522</v>
      </c>
      <c r="G37" s="60">
        <v>-0.59137600000000001</v>
      </c>
      <c r="H37" s="10">
        <v>0</v>
      </c>
      <c r="I37" s="10">
        <f t="shared" si="5"/>
        <v>0</v>
      </c>
      <c r="J37" s="10">
        <f t="shared" si="4"/>
        <v>0.18701800032763449</v>
      </c>
    </row>
    <row r="38" spans="1:10" x14ac:dyDescent="0.25">
      <c r="A38" s="34">
        <v>2012</v>
      </c>
      <c r="B38" s="9">
        <v>8</v>
      </c>
      <c r="C38" s="57">
        <v>138.11271210000001</v>
      </c>
      <c r="F38" s="60">
        <f t="shared" si="3"/>
        <v>0.53436862888953618</v>
      </c>
      <c r="G38" s="60">
        <v>-0.80134519000000004</v>
      </c>
      <c r="H38" s="10">
        <v>0</v>
      </c>
      <c r="I38" s="10">
        <f t="shared" si="5"/>
        <v>0</v>
      </c>
      <c r="J38" s="10">
        <f t="shared" si="4"/>
        <v>0.28554937261313007</v>
      </c>
    </row>
    <row r="39" spans="1:10" x14ac:dyDescent="0.25">
      <c r="A39" s="34">
        <v>2009</v>
      </c>
      <c r="B39" s="9">
        <v>5</v>
      </c>
      <c r="C39" s="57">
        <v>326.13250779999998</v>
      </c>
      <c r="F39" s="60">
        <f t="shared" si="3"/>
        <v>1.2618315772091273</v>
      </c>
      <c r="G39" s="60">
        <v>-0.91081100999999998</v>
      </c>
      <c r="H39" s="10">
        <v>0</v>
      </c>
      <c r="I39" s="10">
        <f t="shared" si="5"/>
        <v>0</v>
      </c>
      <c r="J39" s="10">
        <f t="shared" si="4"/>
        <v>1.5922178455516445</v>
      </c>
    </row>
    <row r="40" spans="1:10" x14ac:dyDescent="0.25">
      <c r="A40" s="34">
        <v>2010</v>
      </c>
      <c r="B40" s="9">
        <v>6</v>
      </c>
      <c r="C40" s="57">
        <v>748.08688979999999</v>
      </c>
      <c r="F40" s="60">
        <f t="shared" si="3"/>
        <v>2.8944053051152201</v>
      </c>
      <c r="G40" s="60">
        <v>-2.0487821400000001</v>
      </c>
      <c r="H40" s="10">
        <v>0</v>
      </c>
      <c r="I40" s="10">
        <f t="shared" si="5"/>
        <v>0</v>
      </c>
      <c r="J40" s="10">
        <f t="shared" si="4"/>
        <v>8.3775795844960133</v>
      </c>
    </row>
    <row r="41" spans="1:10" x14ac:dyDescent="0.25">
      <c r="A41" s="56"/>
      <c r="B41" s="34" t="s">
        <v>18</v>
      </c>
      <c r="C41" s="10">
        <f>AVERAGE(C24:C40)</f>
        <v>4.2941175091554587E-7</v>
      </c>
    </row>
    <row r="42" spans="1:10" x14ac:dyDescent="0.25">
      <c r="A42" s="56"/>
      <c r="B42" s="34" t="s">
        <v>105</v>
      </c>
      <c r="C42" s="10">
        <f>_xlfn.STDEV.P(C24:C40)</f>
        <v>258.45961795623799</v>
      </c>
      <c r="H42" s="34" t="s">
        <v>111</v>
      </c>
      <c r="I42" s="10">
        <f>SUM(I24:I40)</f>
        <v>3.9063178238730272</v>
      </c>
      <c r="J42" s="10">
        <f>SUM(J24:J40)</f>
        <v>17.000000000003133</v>
      </c>
    </row>
    <row r="43" spans="1:10" x14ac:dyDescent="0.25">
      <c r="H43" s="13"/>
      <c r="I43" s="13"/>
      <c r="J43" s="13"/>
    </row>
    <row r="44" spans="1:10" x14ac:dyDescent="0.25">
      <c r="H44" s="34" t="s">
        <v>112</v>
      </c>
      <c r="I44" s="10">
        <f>I42^2/J42</f>
        <v>0.89760699653560527</v>
      </c>
      <c r="J44" s="13"/>
    </row>
    <row r="45" spans="1:10" x14ac:dyDescent="0.25">
      <c r="H45" s="13"/>
      <c r="I45" s="13"/>
      <c r="J45" s="13"/>
    </row>
    <row r="47" spans="1:10" x14ac:dyDescent="0.25">
      <c r="B47" s="34" t="s">
        <v>113</v>
      </c>
      <c r="C47" s="10">
        <v>7</v>
      </c>
    </row>
    <row r="48" spans="1:10" x14ac:dyDescent="0.25">
      <c r="B48" s="34" t="s">
        <v>81</v>
      </c>
      <c r="C48" s="10">
        <v>0.05</v>
      </c>
    </row>
    <row r="49" spans="2:3" x14ac:dyDescent="0.25">
      <c r="B49" s="34" t="s">
        <v>115</v>
      </c>
      <c r="C49" s="10" t="s">
        <v>114</v>
      </c>
    </row>
    <row r="50" spans="2:3" x14ac:dyDescent="0.25">
      <c r="B50" s="34" t="s">
        <v>112</v>
      </c>
      <c r="C50" s="10">
        <v>0.89760699700000002</v>
      </c>
    </row>
  </sheetData>
  <sortState ref="G24:G40">
    <sortCondition descending="1" ref="G2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D18"/>
    </sheetView>
  </sheetViews>
  <sheetFormatPr defaultRowHeight="15" x14ac:dyDescent="0.25"/>
  <cols>
    <col min="6" max="6" width="24.85546875" customWidth="1"/>
  </cols>
  <sheetData>
    <row r="1" spans="1:5" x14ac:dyDescent="0.25">
      <c r="A1" s="34" t="s">
        <v>0</v>
      </c>
      <c r="B1" s="34" t="s">
        <v>1</v>
      </c>
      <c r="C1" s="34" t="s">
        <v>2</v>
      </c>
      <c r="D1" s="28" t="s">
        <v>93</v>
      </c>
      <c r="E1" s="28" t="s">
        <v>119</v>
      </c>
    </row>
    <row r="2" spans="1:5" x14ac:dyDescent="0.25">
      <c r="A2" s="34">
        <v>2005</v>
      </c>
      <c r="B2" s="9">
        <v>1</v>
      </c>
      <c r="C2" s="10">
        <v>2439.25</v>
      </c>
      <c r="D2" s="54">
        <v>-22.234400000000001</v>
      </c>
      <c r="E2" s="45">
        <v>1</v>
      </c>
    </row>
    <row r="3" spans="1:5" x14ac:dyDescent="0.25">
      <c r="A3" s="34">
        <v>2006</v>
      </c>
      <c r="B3" s="9">
        <v>2</v>
      </c>
      <c r="C3" s="10">
        <v>2545.25</v>
      </c>
      <c r="D3" s="54">
        <v>-101.621</v>
      </c>
      <c r="E3" s="45">
        <v>1</v>
      </c>
    </row>
    <row r="4" spans="1:5" x14ac:dyDescent="0.25">
      <c r="A4" s="34">
        <v>2007</v>
      </c>
      <c r="B4" s="9">
        <v>3</v>
      </c>
      <c r="C4" s="10">
        <v>2816</v>
      </c>
      <c r="D4" s="54">
        <v>-529.52700000000004</v>
      </c>
      <c r="E4" s="45">
        <v>1</v>
      </c>
    </row>
    <row r="5" spans="1:5" x14ac:dyDescent="0.25">
      <c r="A5" s="34">
        <v>2008</v>
      </c>
      <c r="B5" s="9">
        <v>4</v>
      </c>
      <c r="C5" s="10">
        <v>3316.25</v>
      </c>
      <c r="D5" s="54">
        <v>-235.40799999999999</v>
      </c>
      <c r="E5" s="45">
        <v>1</v>
      </c>
    </row>
    <row r="6" spans="1:5" x14ac:dyDescent="0.25">
      <c r="A6" s="34">
        <v>2009</v>
      </c>
      <c r="B6" s="9">
        <v>5</v>
      </c>
      <c r="C6" s="10">
        <v>3891.5</v>
      </c>
      <c r="D6" s="45">
        <v>326.13249999999999</v>
      </c>
      <c r="E6" s="45">
        <v>2</v>
      </c>
    </row>
    <row r="7" spans="1:5" x14ac:dyDescent="0.25">
      <c r="A7" s="34">
        <v>2010</v>
      </c>
      <c r="B7" s="9">
        <v>6</v>
      </c>
      <c r="C7" s="10">
        <v>4360.25</v>
      </c>
      <c r="D7" s="45">
        <v>748.08690000000001</v>
      </c>
      <c r="E7" s="45">
        <v>2</v>
      </c>
    </row>
    <row r="8" spans="1:5" x14ac:dyDescent="0.25">
      <c r="A8" s="34">
        <v>2011</v>
      </c>
      <c r="B8" s="9">
        <v>7</v>
      </c>
      <c r="C8" s="10">
        <v>3858.25</v>
      </c>
      <c r="D8" s="45">
        <v>111.77249999999999</v>
      </c>
      <c r="E8" s="45">
        <v>2</v>
      </c>
    </row>
    <row r="9" spans="1:5" x14ac:dyDescent="0.25">
      <c r="A9" s="34">
        <v>2012</v>
      </c>
      <c r="B9" s="9">
        <v>8</v>
      </c>
      <c r="C9" s="10">
        <v>3996.25</v>
      </c>
      <c r="D9" s="45">
        <v>138.11269999999999</v>
      </c>
      <c r="E9" s="45">
        <v>2</v>
      </c>
    </row>
    <row r="10" spans="1:5" x14ac:dyDescent="0.25">
      <c r="A10" s="34">
        <v>2013</v>
      </c>
      <c r="B10" s="9">
        <v>9</v>
      </c>
      <c r="C10" s="10">
        <v>4025.25</v>
      </c>
      <c r="D10" s="45">
        <v>72.827219999999997</v>
      </c>
      <c r="E10" s="45">
        <v>2</v>
      </c>
    </row>
    <row r="11" spans="1:5" x14ac:dyDescent="0.25">
      <c r="A11" s="34">
        <v>2014</v>
      </c>
      <c r="B11" s="9">
        <v>10</v>
      </c>
      <c r="C11" s="10">
        <v>4033.5</v>
      </c>
      <c r="D11" s="54">
        <v>-2.5189900000000001</v>
      </c>
      <c r="E11" s="45">
        <v>3</v>
      </c>
    </row>
    <row r="12" spans="1:5" x14ac:dyDescent="0.25">
      <c r="A12" s="34">
        <v>2015</v>
      </c>
      <c r="B12" s="9">
        <v>11</v>
      </c>
      <c r="C12" s="10">
        <v>3969.5</v>
      </c>
      <c r="D12" s="54">
        <v>-89.867099999999994</v>
      </c>
      <c r="E12" s="45">
        <v>3</v>
      </c>
    </row>
    <row r="13" spans="1:5" x14ac:dyDescent="0.25">
      <c r="A13" s="34">
        <v>2016</v>
      </c>
      <c r="B13" s="9">
        <v>12</v>
      </c>
      <c r="C13" s="10">
        <v>4054</v>
      </c>
      <c r="D13" s="54">
        <v>-67.117400000000004</v>
      </c>
      <c r="E13" s="45">
        <v>3</v>
      </c>
    </row>
    <row r="14" spans="1:5" x14ac:dyDescent="0.25">
      <c r="A14" s="34">
        <v>2017</v>
      </c>
      <c r="B14" s="9">
        <v>13</v>
      </c>
      <c r="C14" s="10">
        <v>4170</v>
      </c>
      <c r="D14" s="54">
        <v>-65.599699999999999</v>
      </c>
      <c r="E14" s="45">
        <v>3</v>
      </c>
    </row>
    <row r="15" spans="1:5" x14ac:dyDescent="0.25">
      <c r="A15" s="34">
        <v>2018</v>
      </c>
      <c r="B15" s="9">
        <v>14</v>
      </c>
      <c r="C15" s="10">
        <v>4237.5</v>
      </c>
      <c r="D15" s="54">
        <v>-207.11500000000001</v>
      </c>
      <c r="E15" s="45">
        <v>3</v>
      </c>
    </row>
    <row r="16" spans="1:5" x14ac:dyDescent="0.25">
      <c r="A16" s="34">
        <v>2019</v>
      </c>
      <c r="B16" s="9">
        <v>15</v>
      </c>
      <c r="C16" s="10">
        <v>4461.25</v>
      </c>
      <c r="D16" s="54">
        <v>-152.84700000000001</v>
      </c>
      <c r="E16" s="45">
        <v>3</v>
      </c>
    </row>
    <row r="17" spans="1:6" x14ac:dyDescent="0.25">
      <c r="A17" s="34">
        <v>2020</v>
      </c>
      <c r="B17" s="9">
        <v>16</v>
      </c>
      <c r="C17" s="10">
        <v>4891.5</v>
      </c>
      <c r="D17" s="45">
        <v>40.635330000000003</v>
      </c>
      <c r="E17" s="45">
        <v>4</v>
      </c>
    </row>
    <row r="18" spans="1:6" x14ac:dyDescent="0.25">
      <c r="A18" s="34">
        <v>2021</v>
      </c>
      <c r="B18" s="9">
        <v>17</v>
      </c>
      <c r="C18" s="10">
        <v>5134.25</v>
      </c>
      <c r="D18" s="45">
        <v>36.289020000000001</v>
      </c>
      <c r="E18" s="45">
        <v>4</v>
      </c>
    </row>
    <row r="20" spans="1:6" x14ac:dyDescent="0.25">
      <c r="A20" s="34" t="s">
        <v>0</v>
      </c>
      <c r="B20" s="34" t="s">
        <v>1</v>
      </c>
      <c r="C20" s="34" t="s">
        <v>2</v>
      </c>
      <c r="D20" s="28" t="s">
        <v>93</v>
      </c>
      <c r="E20" s="28" t="s">
        <v>119</v>
      </c>
      <c r="F20" s="28" t="s">
        <v>120</v>
      </c>
    </row>
    <row r="21" spans="1:6" x14ac:dyDescent="0.25">
      <c r="A21" s="34">
        <v>2005</v>
      </c>
      <c r="B21" s="9">
        <v>1</v>
      </c>
      <c r="C21" s="10">
        <v>2439.25</v>
      </c>
      <c r="D21" s="54">
        <v>-22.234400000000001</v>
      </c>
      <c r="E21" s="45">
        <v>1</v>
      </c>
      <c r="F21" s="45">
        <v>1</v>
      </c>
    </row>
    <row r="22" spans="1:6" x14ac:dyDescent="0.25">
      <c r="A22" s="34">
        <v>2006</v>
      </c>
      <c r="B22" s="9">
        <v>2</v>
      </c>
      <c r="C22" s="10">
        <v>2545.25</v>
      </c>
      <c r="D22" s="54">
        <v>-101.621</v>
      </c>
      <c r="E22" s="45">
        <v>1</v>
      </c>
      <c r="F22" s="45">
        <v>1</v>
      </c>
    </row>
    <row r="23" spans="1:6" x14ac:dyDescent="0.25">
      <c r="A23" s="34">
        <v>2007</v>
      </c>
      <c r="B23" s="9">
        <v>3</v>
      </c>
      <c r="C23" s="10">
        <v>2816</v>
      </c>
      <c r="D23" s="54">
        <v>-529.52700000000004</v>
      </c>
      <c r="E23" s="45">
        <v>1</v>
      </c>
      <c r="F23" s="45">
        <v>1</v>
      </c>
    </row>
    <row r="24" spans="1:6" x14ac:dyDescent="0.25">
      <c r="A24" s="34">
        <v>2008</v>
      </c>
      <c r="B24" s="9">
        <v>4</v>
      </c>
      <c r="C24" s="10">
        <v>3316.25</v>
      </c>
      <c r="D24" s="54">
        <v>-235.40799999999999</v>
      </c>
      <c r="E24" s="45">
        <v>1</v>
      </c>
      <c r="F24" s="45">
        <v>1</v>
      </c>
    </row>
    <row r="25" spans="1:6" x14ac:dyDescent="0.25">
      <c r="A25" s="34">
        <v>2011</v>
      </c>
      <c r="B25" s="9">
        <v>7</v>
      </c>
      <c r="C25" s="10">
        <v>3858.25</v>
      </c>
      <c r="D25" s="45">
        <v>111.77249999999999</v>
      </c>
      <c r="E25" s="45">
        <v>2</v>
      </c>
      <c r="F25" s="45">
        <v>2</v>
      </c>
    </row>
    <row r="26" spans="1:6" x14ac:dyDescent="0.25">
      <c r="A26" s="34">
        <v>2009</v>
      </c>
      <c r="B26" s="9">
        <v>5</v>
      </c>
      <c r="C26" s="10">
        <v>3891.5</v>
      </c>
      <c r="D26" s="45">
        <v>326.13249999999999</v>
      </c>
      <c r="E26" s="45">
        <v>2</v>
      </c>
      <c r="F26" s="45">
        <v>2</v>
      </c>
    </row>
    <row r="27" spans="1:6" x14ac:dyDescent="0.25">
      <c r="A27" s="34">
        <v>2015</v>
      </c>
      <c r="B27" s="9">
        <v>11</v>
      </c>
      <c r="C27" s="10">
        <v>3969.5</v>
      </c>
      <c r="D27" s="54">
        <v>-89.867099999999994</v>
      </c>
      <c r="E27" s="45">
        <v>3</v>
      </c>
      <c r="F27" s="45">
        <v>3</v>
      </c>
    </row>
    <row r="28" spans="1:6" x14ac:dyDescent="0.25">
      <c r="A28" s="34">
        <v>2012</v>
      </c>
      <c r="B28" s="9">
        <v>8</v>
      </c>
      <c r="C28" s="10">
        <v>3996.25</v>
      </c>
      <c r="D28" s="45">
        <v>138.11269999999999</v>
      </c>
      <c r="E28" s="45">
        <v>2</v>
      </c>
      <c r="F28" s="45">
        <v>4</v>
      </c>
    </row>
    <row r="29" spans="1:6" x14ac:dyDescent="0.25">
      <c r="A29" s="34">
        <v>2013</v>
      </c>
      <c r="B29" s="9">
        <v>9</v>
      </c>
      <c r="C29" s="10">
        <v>4025.25</v>
      </c>
      <c r="D29" s="45">
        <v>72.827219999999997</v>
      </c>
      <c r="E29" s="45">
        <v>2</v>
      </c>
      <c r="F29" s="45">
        <v>4</v>
      </c>
    </row>
    <row r="30" spans="1:6" x14ac:dyDescent="0.25">
      <c r="A30" s="34">
        <v>2014</v>
      </c>
      <c r="B30" s="9">
        <v>10</v>
      </c>
      <c r="C30" s="10">
        <v>4033.5</v>
      </c>
      <c r="D30" s="54">
        <v>-2.5189900000000001</v>
      </c>
      <c r="E30" s="45">
        <v>3</v>
      </c>
      <c r="F30" s="45">
        <v>5</v>
      </c>
    </row>
    <row r="31" spans="1:6" x14ac:dyDescent="0.25">
      <c r="A31" s="34">
        <v>2016</v>
      </c>
      <c r="B31" s="9">
        <v>12</v>
      </c>
      <c r="C31" s="10">
        <v>4054</v>
      </c>
      <c r="D31" s="54">
        <v>-67.117400000000004</v>
      </c>
      <c r="E31" s="45">
        <v>3</v>
      </c>
      <c r="F31" s="45">
        <v>5</v>
      </c>
    </row>
    <row r="32" spans="1:6" x14ac:dyDescent="0.25">
      <c r="A32" s="34">
        <v>2017</v>
      </c>
      <c r="B32" s="9">
        <v>13</v>
      </c>
      <c r="C32" s="10">
        <v>4170</v>
      </c>
      <c r="D32" s="54">
        <v>-65.599699999999999</v>
      </c>
      <c r="E32" s="45">
        <v>3</v>
      </c>
      <c r="F32" s="45">
        <v>5</v>
      </c>
    </row>
    <row r="33" spans="1:6" x14ac:dyDescent="0.25">
      <c r="A33" s="34">
        <v>2018</v>
      </c>
      <c r="B33" s="9">
        <v>14</v>
      </c>
      <c r="C33" s="10">
        <v>4237.5</v>
      </c>
      <c r="D33" s="54">
        <v>-207.11500000000001</v>
      </c>
      <c r="E33" s="45">
        <v>3</v>
      </c>
      <c r="F33" s="45">
        <v>5</v>
      </c>
    </row>
    <row r="34" spans="1:6" x14ac:dyDescent="0.25">
      <c r="A34" s="34">
        <v>2010</v>
      </c>
      <c r="B34" s="9">
        <v>6</v>
      </c>
      <c r="C34" s="10">
        <v>4360.25</v>
      </c>
      <c r="D34" s="45">
        <v>748.08690000000001</v>
      </c>
      <c r="E34" s="45">
        <v>2</v>
      </c>
      <c r="F34" s="45">
        <v>6</v>
      </c>
    </row>
    <row r="35" spans="1:6" x14ac:dyDescent="0.25">
      <c r="A35" s="34">
        <v>2019</v>
      </c>
      <c r="B35" s="9">
        <v>15</v>
      </c>
      <c r="C35" s="10">
        <v>4461.25</v>
      </c>
      <c r="D35" s="54">
        <v>-152.84700000000001</v>
      </c>
      <c r="E35" s="45">
        <v>3</v>
      </c>
      <c r="F35" s="45">
        <v>7</v>
      </c>
    </row>
    <row r="36" spans="1:6" x14ac:dyDescent="0.25">
      <c r="A36" s="34">
        <v>2020</v>
      </c>
      <c r="B36" s="9">
        <v>16</v>
      </c>
      <c r="C36" s="10">
        <v>4891.5</v>
      </c>
      <c r="D36" s="45">
        <v>40.635330000000003</v>
      </c>
      <c r="E36" s="45">
        <v>4</v>
      </c>
      <c r="F36" s="45">
        <v>8</v>
      </c>
    </row>
    <row r="37" spans="1:6" x14ac:dyDescent="0.25">
      <c r="A37" s="34">
        <v>2021</v>
      </c>
      <c r="B37" s="9">
        <v>17</v>
      </c>
      <c r="C37" s="10">
        <v>5134.25</v>
      </c>
      <c r="D37" s="45">
        <v>36.289020000000001</v>
      </c>
      <c r="E37" s="45">
        <v>4</v>
      </c>
      <c r="F37" s="45">
        <v>8</v>
      </c>
    </row>
  </sheetData>
  <sortState ref="A21:F37">
    <sortCondition ref="C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G18"/>
    </sheetView>
  </sheetViews>
  <sheetFormatPr defaultRowHeight="15" x14ac:dyDescent="0.25"/>
  <cols>
    <col min="5" max="5" width="11.7109375" customWidth="1"/>
    <col min="6" max="6" width="12.5703125" customWidth="1"/>
  </cols>
  <sheetData>
    <row r="1" spans="1:8" x14ac:dyDescent="0.25">
      <c r="A1" s="34" t="s">
        <v>0</v>
      </c>
      <c r="B1" s="26" t="s">
        <v>1</v>
      </c>
      <c r="C1" s="28" t="s">
        <v>93</v>
      </c>
      <c r="D1" s="28" t="s">
        <v>121</v>
      </c>
      <c r="E1" s="28" t="s">
        <v>122</v>
      </c>
      <c r="F1" s="28" t="s">
        <v>123</v>
      </c>
      <c r="G1" s="28" t="s">
        <v>94</v>
      </c>
      <c r="H1" s="13"/>
    </row>
    <row r="2" spans="1:8" x14ac:dyDescent="0.25">
      <c r="A2" s="34">
        <v>2005</v>
      </c>
      <c r="B2" s="9">
        <v>1</v>
      </c>
      <c r="C2" s="10">
        <v>-22.234400000000001</v>
      </c>
      <c r="D2" s="10"/>
      <c r="E2" s="10"/>
      <c r="F2" s="10"/>
      <c r="G2" s="10">
        <f>C2^2</f>
        <v>494.36854336000005</v>
      </c>
      <c r="H2" s="13"/>
    </row>
    <row r="3" spans="1:8" x14ac:dyDescent="0.25">
      <c r="A3" s="34">
        <v>2006</v>
      </c>
      <c r="B3" s="9">
        <v>2</v>
      </c>
      <c r="C3" s="10">
        <v>-101.621</v>
      </c>
      <c r="D3" s="10">
        <v>-22.234400000000001</v>
      </c>
      <c r="E3" s="10">
        <f>C3-D3</f>
        <v>-79.386599999999987</v>
      </c>
      <c r="F3" s="10">
        <f>E3^2</f>
        <v>6302.2322595599981</v>
      </c>
      <c r="G3" s="10">
        <f t="shared" ref="G3:G18" si="0">C3^2</f>
        <v>10326.827641</v>
      </c>
      <c r="H3" s="13"/>
    </row>
    <row r="4" spans="1:8" x14ac:dyDescent="0.25">
      <c r="A4" s="34">
        <v>2007</v>
      </c>
      <c r="B4" s="9">
        <v>3</v>
      </c>
      <c r="C4" s="10">
        <v>-529.52700000000004</v>
      </c>
      <c r="D4" s="10">
        <v>-101.621</v>
      </c>
      <c r="E4" s="10">
        <f t="shared" ref="E4:E18" si="1">C4-D4</f>
        <v>-427.90600000000006</v>
      </c>
      <c r="F4" s="10">
        <f t="shared" ref="F4:F18" si="2">E4^2</f>
        <v>183103.54483600004</v>
      </c>
      <c r="G4" s="10">
        <f t="shared" si="0"/>
        <v>280398.84372900007</v>
      </c>
      <c r="H4" s="13"/>
    </row>
    <row r="5" spans="1:8" x14ac:dyDescent="0.25">
      <c r="A5" s="34">
        <v>2008</v>
      </c>
      <c r="B5" s="9">
        <v>4</v>
      </c>
      <c r="C5" s="10">
        <v>-235.40799999999999</v>
      </c>
      <c r="D5" s="10">
        <v>-529.52700000000004</v>
      </c>
      <c r="E5" s="10">
        <f t="shared" si="1"/>
        <v>294.11900000000003</v>
      </c>
      <c r="F5" s="10">
        <f t="shared" si="2"/>
        <v>86505.986161000023</v>
      </c>
      <c r="G5" s="10">
        <f t="shared" si="0"/>
        <v>55416.926463999996</v>
      </c>
      <c r="H5" s="13"/>
    </row>
    <row r="6" spans="1:8" x14ac:dyDescent="0.25">
      <c r="A6" s="34">
        <v>2009</v>
      </c>
      <c r="B6" s="9">
        <v>5</v>
      </c>
      <c r="C6" s="10">
        <v>326.13249999999999</v>
      </c>
      <c r="D6" s="10">
        <v>-235.40799999999999</v>
      </c>
      <c r="E6" s="10">
        <f t="shared" si="1"/>
        <v>561.54049999999995</v>
      </c>
      <c r="F6" s="10">
        <f t="shared" si="2"/>
        <v>315327.73314024997</v>
      </c>
      <c r="G6" s="10">
        <f t="shared" si="0"/>
        <v>106362.40755624999</v>
      </c>
      <c r="H6" s="13"/>
    </row>
    <row r="7" spans="1:8" x14ac:dyDescent="0.25">
      <c r="A7" s="34">
        <v>2010</v>
      </c>
      <c r="B7" s="9">
        <v>6</v>
      </c>
      <c r="C7" s="10">
        <v>748.08690000000001</v>
      </c>
      <c r="D7" s="10">
        <v>326.13249999999999</v>
      </c>
      <c r="E7" s="10">
        <f t="shared" si="1"/>
        <v>421.95440000000002</v>
      </c>
      <c r="F7" s="10">
        <f t="shared" si="2"/>
        <v>178045.51567936002</v>
      </c>
      <c r="G7" s="10">
        <f t="shared" si="0"/>
        <v>559634.00995161</v>
      </c>
      <c r="H7" s="13"/>
    </row>
    <row r="8" spans="1:8" x14ac:dyDescent="0.25">
      <c r="A8" s="34">
        <v>2011</v>
      </c>
      <c r="B8" s="9">
        <v>7</v>
      </c>
      <c r="C8" s="10">
        <v>111.77249999999999</v>
      </c>
      <c r="D8" s="10">
        <v>748.08690000000001</v>
      </c>
      <c r="E8" s="10">
        <f t="shared" si="1"/>
        <v>-636.31439999999998</v>
      </c>
      <c r="F8" s="10">
        <f t="shared" si="2"/>
        <v>404896.01564735995</v>
      </c>
      <c r="G8" s="10">
        <f t="shared" si="0"/>
        <v>12493.091756249998</v>
      </c>
      <c r="H8" s="13"/>
    </row>
    <row r="9" spans="1:8" x14ac:dyDescent="0.25">
      <c r="A9" s="34">
        <v>2012</v>
      </c>
      <c r="B9" s="9">
        <v>8</v>
      </c>
      <c r="C9" s="10">
        <v>138.11269999999999</v>
      </c>
      <c r="D9" s="10">
        <v>111.77249999999999</v>
      </c>
      <c r="E9" s="10">
        <f t="shared" si="1"/>
        <v>26.340199999999996</v>
      </c>
      <c r="F9" s="10">
        <f t="shared" si="2"/>
        <v>693.80613603999973</v>
      </c>
      <c r="G9" s="10">
        <f t="shared" si="0"/>
        <v>19075.117901289996</v>
      </c>
      <c r="H9" s="13"/>
    </row>
    <row r="10" spans="1:8" x14ac:dyDescent="0.25">
      <c r="A10" s="34">
        <v>2013</v>
      </c>
      <c r="B10" s="9">
        <v>9</v>
      </c>
      <c r="C10" s="10">
        <v>72.827219999999997</v>
      </c>
      <c r="D10" s="10">
        <v>138.11269999999999</v>
      </c>
      <c r="E10" s="10">
        <f t="shared" si="1"/>
        <v>-65.285479999999993</v>
      </c>
      <c r="F10" s="10">
        <f t="shared" si="2"/>
        <v>4262.1938988303991</v>
      </c>
      <c r="G10" s="10">
        <f t="shared" si="0"/>
        <v>5303.8039729283992</v>
      </c>
      <c r="H10" s="13"/>
    </row>
    <row r="11" spans="1:8" x14ac:dyDescent="0.25">
      <c r="A11" s="34">
        <v>2014</v>
      </c>
      <c r="B11" s="9">
        <v>10</v>
      </c>
      <c r="C11" s="10">
        <v>-2.5189900000000001</v>
      </c>
      <c r="D11" s="10">
        <v>72.827219999999997</v>
      </c>
      <c r="E11" s="10">
        <f t="shared" si="1"/>
        <v>-75.346209999999999</v>
      </c>
      <c r="F11" s="10">
        <f t="shared" si="2"/>
        <v>5677.0513613640996</v>
      </c>
      <c r="G11" s="10">
        <f t="shared" si="0"/>
        <v>6.3453106201000002</v>
      </c>
      <c r="H11" s="13"/>
    </row>
    <row r="12" spans="1:8" x14ac:dyDescent="0.25">
      <c r="A12" s="34">
        <v>2015</v>
      </c>
      <c r="B12" s="9">
        <v>11</v>
      </c>
      <c r="C12" s="10">
        <v>-89.867099999999994</v>
      </c>
      <c r="D12" s="10">
        <v>-2.5189900000000001</v>
      </c>
      <c r="E12" s="10">
        <f t="shared" si="1"/>
        <v>-87.348109999999991</v>
      </c>
      <c r="F12" s="10">
        <f t="shared" si="2"/>
        <v>7629.6923205720987</v>
      </c>
      <c r="G12" s="10">
        <f t="shared" si="0"/>
        <v>8076.095662409999</v>
      </c>
      <c r="H12" s="13"/>
    </row>
    <row r="13" spans="1:8" x14ac:dyDescent="0.25">
      <c r="A13" s="34">
        <v>2016</v>
      </c>
      <c r="B13" s="9">
        <v>12</v>
      </c>
      <c r="C13" s="10">
        <v>-67.117400000000004</v>
      </c>
      <c r="D13" s="10">
        <v>-89.867099999999994</v>
      </c>
      <c r="E13" s="10">
        <f t="shared" si="1"/>
        <v>22.74969999999999</v>
      </c>
      <c r="F13" s="10">
        <f t="shared" si="2"/>
        <v>517.54885008999952</v>
      </c>
      <c r="G13" s="10">
        <f t="shared" si="0"/>
        <v>4504.7453827600002</v>
      </c>
      <c r="H13" s="13"/>
    </row>
    <row r="14" spans="1:8" x14ac:dyDescent="0.25">
      <c r="A14" s="34">
        <v>2017</v>
      </c>
      <c r="B14" s="9">
        <v>13</v>
      </c>
      <c r="C14" s="10">
        <v>-65.599699999999999</v>
      </c>
      <c r="D14" s="10">
        <v>-67.117400000000004</v>
      </c>
      <c r="E14" s="10">
        <f t="shared" si="1"/>
        <v>1.5177000000000049</v>
      </c>
      <c r="F14" s="10">
        <f t="shared" si="2"/>
        <v>2.303413290000015</v>
      </c>
      <c r="G14" s="10">
        <f t="shared" si="0"/>
        <v>4303.3206400899999</v>
      </c>
      <c r="H14" s="13"/>
    </row>
    <row r="15" spans="1:8" x14ac:dyDescent="0.25">
      <c r="A15" s="34">
        <v>2018</v>
      </c>
      <c r="B15" s="9">
        <v>14</v>
      </c>
      <c r="C15" s="10">
        <v>-207.11500000000001</v>
      </c>
      <c r="D15" s="10">
        <v>-65.599699999999999</v>
      </c>
      <c r="E15" s="10">
        <f t="shared" si="1"/>
        <v>-141.51530000000002</v>
      </c>
      <c r="F15" s="10">
        <f t="shared" si="2"/>
        <v>20026.580134090007</v>
      </c>
      <c r="G15" s="10">
        <f t="shared" si="0"/>
        <v>42896.623225000003</v>
      </c>
      <c r="H15" s="13"/>
    </row>
    <row r="16" spans="1:8" x14ac:dyDescent="0.25">
      <c r="A16" s="34">
        <v>2019</v>
      </c>
      <c r="B16" s="9">
        <v>15</v>
      </c>
      <c r="C16" s="10">
        <v>-152.84700000000001</v>
      </c>
      <c r="D16" s="10">
        <v>-207.11500000000001</v>
      </c>
      <c r="E16" s="10">
        <f t="shared" si="1"/>
        <v>54.268000000000001</v>
      </c>
      <c r="F16" s="10">
        <f t="shared" si="2"/>
        <v>2945.0158240000001</v>
      </c>
      <c r="G16" s="10">
        <f t="shared" si="0"/>
        <v>23362.205409000002</v>
      </c>
      <c r="H16" s="13"/>
    </row>
    <row r="17" spans="1:8" x14ac:dyDescent="0.25">
      <c r="A17" s="34">
        <v>2020</v>
      </c>
      <c r="B17" s="9">
        <v>16</v>
      </c>
      <c r="C17" s="10">
        <v>40.635330000000003</v>
      </c>
      <c r="D17" s="10">
        <v>-152.84700000000001</v>
      </c>
      <c r="E17" s="10">
        <f t="shared" si="1"/>
        <v>193.48233000000002</v>
      </c>
      <c r="F17" s="10">
        <f t="shared" si="2"/>
        <v>37435.412022228906</v>
      </c>
      <c r="G17" s="10">
        <f t="shared" si="0"/>
        <v>1651.2300442089002</v>
      </c>
      <c r="H17" s="13"/>
    </row>
    <row r="18" spans="1:8" x14ac:dyDescent="0.25">
      <c r="A18" s="34">
        <v>2021</v>
      </c>
      <c r="B18" s="9">
        <v>17</v>
      </c>
      <c r="C18" s="10">
        <v>36.289020000000001</v>
      </c>
      <c r="D18" s="10">
        <v>40.635330000000003</v>
      </c>
      <c r="E18" s="10">
        <f t="shared" si="1"/>
        <v>-4.3463100000000026</v>
      </c>
      <c r="F18" s="10">
        <f t="shared" si="2"/>
        <v>18.890410616100024</v>
      </c>
      <c r="G18" s="10">
        <f t="shared" si="0"/>
        <v>1316.8929725604</v>
      </c>
      <c r="H18" s="13"/>
    </row>
    <row r="19" spans="1:8" x14ac:dyDescent="0.25">
      <c r="A19" s="13"/>
      <c r="B19" s="13"/>
      <c r="C19" s="13"/>
      <c r="D19" s="13"/>
      <c r="E19" s="34" t="s">
        <v>111</v>
      </c>
      <c r="F19" s="64">
        <f>SUM(F2:F18)</f>
        <v>1253389.5220946516</v>
      </c>
      <c r="G19" s="64">
        <f>SUM(G2:G18)</f>
        <v>1135622.8561623376</v>
      </c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34" t="s">
        <v>124</v>
      </c>
      <c r="F21" s="10">
        <f>F19/G19</f>
        <v>1.1037022681370541</v>
      </c>
      <c r="G21" s="13"/>
      <c r="H21" s="13"/>
    </row>
    <row r="23" spans="1:8" x14ac:dyDescent="0.25">
      <c r="E23" s="46" t="s">
        <v>125</v>
      </c>
      <c r="F23" s="45">
        <v>0.9</v>
      </c>
    </row>
    <row r="24" spans="1:8" x14ac:dyDescent="0.25">
      <c r="E24" s="46" t="s">
        <v>126</v>
      </c>
      <c r="F24" s="45">
        <v>1.71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0" sqref="E20"/>
    </sheetView>
  </sheetViews>
  <sheetFormatPr defaultRowHeight="15" x14ac:dyDescent="0.25"/>
  <cols>
    <col min="2" max="2" width="11.140625" customWidth="1"/>
    <col min="4" max="4" width="13.85546875" customWidth="1"/>
    <col min="6" max="6" width="14.5703125" customWidth="1"/>
  </cols>
  <sheetData>
    <row r="1" spans="1:8" x14ac:dyDescent="0.25">
      <c r="A1" s="34" t="s">
        <v>0</v>
      </c>
      <c r="B1" s="26" t="s">
        <v>1</v>
      </c>
      <c r="C1" s="28" t="s">
        <v>93</v>
      </c>
      <c r="D1" s="28" t="s">
        <v>94</v>
      </c>
      <c r="E1" s="34" t="s">
        <v>0</v>
      </c>
      <c r="F1" s="26" t="s">
        <v>1</v>
      </c>
      <c r="G1" s="28" t="s">
        <v>93</v>
      </c>
      <c r="H1" s="28" t="s">
        <v>94</v>
      </c>
    </row>
    <row r="2" spans="1:8" x14ac:dyDescent="0.25">
      <c r="A2" s="34">
        <v>2005</v>
      </c>
      <c r="B2" s="9">
        <v>1</v>
      </c>
      <c r="C2" s="10">
        <v>-22.234400000000001</v>
      </c>
      <c r="D2" s="10">
        <f>C2^2</f>
        <v>494.36854336000005</v>
      </c>
      <c r="E2" s="34">
        <v>2013</v>
      </c>
      <c r="F2" s="9">
        <v>9</v>
      </c>
      <c r="G2" s="10">
        <v>72.827219999999997</v>
      </c>
      <c r="H2" s="10">
        <f t="shared" ref="H2:H10" si="0">G2^2</f>
        <v>5303.8039729283992</v>
      </c>
    </row>
    <row r="3" spans="1:8" x14ac:dyDescent="0.25">
      <c r="A3" s="34">
        <v>2006</v>
      </c>
      <c r="B3" s="9">
        <v>2</v>
      </c>
      <c r="C3" s="10">
        <v>-101.621</v>
      </c>
      <c r="D3" s="10">
        <f t="shared" ref="D3:D9" si="1">C3^2</f>
        <v>10326.827641</v>
      </c>
      <c r="E3" s="34">
        <v>2014</v>
      </c>
      <c r="F3" s="9">
        <v>10</v>
      </c>
      <c r="G3" s="10">
        <v>-2.5189900000000001</v>
      </c>
      <c r="H3" s="10">
        <f t="shared" si="0"/>
        <v>6.3453106201000002</v>
      </c>
    </row>
    <row r="4" spans="1:8" x14ac:dyDescent="0.25">
      <c r="A4" s="34">
        <v>2007</v>
      </c>
      <c r="B4" s="9">
        <v>3</v>
      </c>
      <c r="C4" s="10">
        <v>-529.52700000000004</v>
      </c>
      <c r="D4" s="10">
        <f t="shared" si="1"/>
        <v>280398.84372900007</v>
      </c>
      <c r="E4" s="34">
        <v>2015</v>
      </c>
      <c r="F4" s="9">
        <v>11</v>
      </c>
      <c r="G4" s="10">
        <v>-89.867099999999994</v>
      </c>
      <c r="H4" s="10">
        <f t="shared" si="0"/>
        <v>8076.095662409999</v>
      </c>
    </row>
    <row r="5" spans="1:8" x14ac:dyDescent="0.25">
      <c r="A5" s="34">
        <v>2008</v>
      </c>
      <c r="B5" s="9">
        <v>4</v>
      </c>
      <c r="C5" s="10">
        <v>-235.40799999999999</v>
      </c>
      <c r="D5" s="10">
        <f t="shared" si="1"/>
        <v>55416.926463999996</v>
      </c>
      <c r="E5" s="34">
        <v>2016</v>
      </c>
      <c r="F5" s="9">
        <v>12</v>
      </c>
      <c r="G5" s="10">
        <v>-67.117400000000004</v>
      </c>
      <c r="H5" s="10">
        <f t="shared" si="0"/>
        <v>4504.7453827600002</v>
      </c>
    </row>
    <row r="6" spans="1:8" x14ac:dyDescent="0.25">
      <c r="A6" s="34">
        <v>2009</v>
      </c>
      <c r="B6" s="9">
        <v>5</v>
      </c>
      <c r="C6" s="10">
        <v>326.13249999999999</v>
      </c>
      <c r="D6" s="10">
        <f t="shared" si="1"/>
        <v>106362.40755624999</v>
      </c>
      <c r="E6" s="34">
        <v>2017</v>
      </c>
      <c r="F6" s="9">
        <v>13</v>
      </c>
      <c r="G6" s="10">
        <v>-65.599699999999999</v>
      </c>
      <c r="H6" s="10">
        <f t="shared" si="0"/>
        <v>4303.3206400899999</v>
      </c>
    </row>
    <row r="7" spans="1:8" x14ac:dyDescent="0.25">
      <c r="A7" s="34">
        <v>2010</v>
      </c>
      <c r="B7" s="9">
        <v>6</v>
      </c>
      <c r="C7" s="10">
        <v>748.08690000000001</v>
      </c>
      <c r="D7" s="10">
        <f t="shared" si="1"/>
        <v>559634.00995161</v>
      </c>
      <c r="E7" s="34">
        <v>2018</v>
      </c>
      <c r="F7" s="9">
        <v>14</v>
      </c>
      <c r="G7" s="10">
        <v>-207.11500000000001</v>
      </c>
      <c r="H7" s="10">
        <f t="shared" si="0"/>
        <v>42896.623225000003</v>
      </c>
    </row>
    <row r="8" spans="1:8" x14ac:dyDescent="0.25">
      <c r="A8" s="34">
        <v>2011</v>
      </c>
      <c r="B8" s="9">
        <v>7</v>
      </c>
      <c r="C8" s="10">
        <v>111.77249999999999</v>
      </c>
      <c r="D8" s="10">
        <f t="shared" si="1"/>
        <v>12493.091756249998</v>
      </c>
      <c r="E8" s="34">
        <v>2019</v>
      </c>
      <c r="F8" s="9">
        <v>15</v>
      </c>
      <c r="G8" s="10">
        <v>-152.84700000000001</v>
      </c>
      <c r="H8" s="10">
        <f t="shared" si="0"/>
        <v>23362.205409000002</v>
      </c>
    </row>
    <row r="9" spans="1:8" x14ac:dyDescent="0.25">
      <c r="A9" s="34">
        <v>2012</v>
      </c>
      <c r="B9" s="9">
        <v>8</v>
      </c>
      <c r="C9" s="10">
        <v>138.11269999999999</v>
      </c>
      <c r="D9" s="10">
        <f t="shared" si="1"/>
        <v>19075.117901289996</v>
      </c>
      <c r="E9" s="34">
        <v>2020</v>
      </c>
      <c r="F9" s="9">
        <v>16</v>
      </c>
      <c r="G9" s="10">
        <v>40.635330000000003</v>
      </c>
      <c r="H9" s="10">
        <f t="shared" si="0"/>
        <v>1651.2300442089002</v>
      </c>
    </row>
    <row r="10" spans="1:8" x14ac:dyDescent="0.25">
      <c r="E10" s="34">
        <v>2021</v>
      </c>
      <c r="F10" s="9">
        <v>17</v>
      </c>
      <c r="G10" s="10">
        <v>36.289020000000001</v>
      </c>
      <c r="H10" s="10">
        <f t="shared" si="0"/>
        <v>1316.8929725604</v>
      </c>
    </row>
    <row r="11" spans="1:8" x14ac:dyDescent="0.25">
      <c r="B11" s="46" t="s">
        <v>127</v>
      </c>
      <c r="C11" s="10">
        <v>8</v>
      </c>
    </row>
    <row r="12" spans="1:8" x14ac:dyDescent="0.25">
      <c r="B12" s="46" t="s">
        <v>128</v>
      </c>
      <c r="C12" s="45">
        <f>SUM(D2:D9)</f>
        <v>1044201.5935427601</v>
      </c>
      <c r="F12" s="46" t="s">
        <v>127</v>
      </c>
      <c r="G12" s="10">
        <v>9</v>
      </c>
    </row>
    <row r="13" spans="1:8" x14ac:dyDescent="0.25">
      <c r="B13" s="46" t="s">
        <v>129</v>
      </c>
      <c r="C13" s="45">
        <f>C12/C11-4</f>
        <v>130521.19919284502</v>
      </c>
      <c r="F13" s="46" t="s">
        <v>128</v>
      </c>
      <c r="G13" s="45">
        <f>SUM(H2:H10)</f>
        <v>91421.262619577799</v>
      </c>
    </row>
    <row r="14" spans="1:8" x14ac:dyDescent="0.25">
      <c r="F14" s="46" t="s">
        <v>129</v>
      </c>
      <c r="G14" s="45">
        <f>G13/G12-4</f>
        <v>10153.918068841978</v>
      </c>
    </row>
    <row r="17" spans="4:5" x14ac:dyDescent="0.25">
      <c r="D17" s="46" t="s">
        <v>81</v>
      </c>
      <c r="E17" s="45">
        <v>0.05</v>
      </c>
    </row>
    <row r="18" spans="4:5" x14ac:dyDescent="0.25">
      <c r="D18" s="46" t="s">
        <v>130</v>
      </c>
      <c r="E18" s="45">
        <f>C13/G14</f>
        <v>12.854269485722819</v>
      </c>
    </row>
    <row r="19" spans="4:5" x14ac:dyDescent="0.25">
      <c r="D19" s="46" t="s">
        <v>131</v>
      </c>
      <c r="E19" s="45">
        <f>_xlfn.F.INV(E17,4,5)</f>
        <v>0.15984510364549825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Normal="100" workbookViewId="0">
      <selection activeCell="J70" sqref="J70"/>
    </sheetView>
  </sheetViews>
  <sheetFormatPr defaultRowHeight="15" x14ac:dyDescent="0.25"/>
  <cols>
    <col min="8" max="8" width="11.85546875" customWidth="1"/>
  </cols>
  <sheetData>
    <row r="1" spans="1:17" x14ac:dyDescent="0.25">
      <c r="A1" s="34" t="s">
        <v>0</v>
      </c>
      <c r="B1" s="34" t="s">
        <v>1</v>
      </c>
      <c r="C1" s="34" t="s">
        <v>2</v>
      </c>
      <c r="D1" s="34" t="s">
        <v>6</v>
      </c>
      <c r="E1" s="34" t="s">
        <v>7</v>
      </c>
      <c r="F1" s="7" t="s">
        <v>9</v>
      </c>
      <c r="O1" s="89" t="s">
        <v>138</v>
      </c>
      <c r="P1" s="89"/>
      <c r="Q1" s="89"/>
    </row>
    <row r="2" spans="1:17" x14ac:dyDescent="0.25">
      <c r="A2" s="34">
        <v>2005</v>
      </c>
      <c r="B2" s="9">
        <v>1</v>
      </c>
      <c r="C2" s="10">
        <v>2439.25</v>
      </c>
      <c r="D2" s="10">
        <v>39.119999999999997</v>
      </c>
      <c r="E2" s="11">
        <v>0.73</v>
      </c>
      <c r="F2" s="9">
        <v>2306</v>
      </c>
      <c r="H2" s="34"/>
      <c r="I2" s="34" t="s">
        <v>90</v>
      </c>
    </row>
    <row r="3" spans="1:17" x14ac:dyDescent="0.25">
      <c r="A3" s="34">
        <v>2006</v>
      </c>
      <c r="B3" s="9">
        <v>2</v>
      </c>
      <c r="C3" s="10">
        <v>2545.25</v>
      </c>
      <c r="D3" s="10">
        <v>41.98</v>
      </c>
      <c r="E3" s="11">
        <v>0.75</v>
      </c>
      <c r="F3" s="9">
        <v>2413</v>
      </c>
      <c r="H3" s="34" t="s">
        <v>6</v>
      </c>
      <c r="I3" s="10">
        <v>54.100298819999999</v>
      </c>
    </row>
    <row r="4" spans="1:17" x14ac:dyDescent="0.25">
      <c r="A4" s="34">
        <v>2007</v>
      </c>
      <c r="B4" s="9">
        <v>3</v>
      </c>
      <c r="C4" s="10">
        <v>2816</v>
      </c>
      <c r="D4" s="10">
        <v>44.35</v>
      </c>
      <c r="E4" s="11">
        <v>1.34</v>
      </c>
      <c r="F4" s="9">
        <v>2603</v>
      </c>
      <c r="H4" s="34" t="s">
        <v>7</v>
      </c>
      <c r="I4" s="10">
        <v>930.58461680000005</v>
      </c>
    </row>
    <row r="5" spans="1:17" x14ac:dyDescent="0.25">
      <c r="A5" s="34">
        <v>2008</v>
      </c>
      <c r="B5" s="9">
        <v>4</v>
      </c>
      <c r="C5" s="10">
        <v>3316.25</v>
      </c>
      <c r="D5" s="10">
        <v>45.24</v>
      </c>
      <c r="E5" s="11">
        <v>1.48</v>
      </c>
      <c r="F5" s="9">
        <v>2849</v>
      </c>
      <c r="H5" s="34" t="s">
        <v>9</v>
      </c>
      <c r="I5" s="10">
        <v>0.112598803</v>
      </c>
    </row>
    <row r="6" spans="1:17" x14ac:dyDescent="0.25">
      <c r="A6" s="34">
        <v>2009</v>
      </c>
      <c r="B6" s="9">
        <v>5</v>
      </c>
      <c r="C6" s="10">
        <v>3891.5</v>
      </c>
      <c r="D6" s="11">
        <v>47.47</v>
      </c>
      <c r="E6" s="11">
        <v>1.33</v>
      </c>
      <c r="F6" s="9">
        <v>3139</v>
      </c>
      <c r="H6" s="34" t="s">
        <v>91</v>
      </c>
      <c r="I6" s="10">
        <v>-593.89887569999996</v>
      </c>
    </row>
    <row r="7" spans="1:17" x14ac:dyDescent="0.25">
      <c r="A7" s="34">
        <v>2010</v>
      </c>
      <c r="B7" s="9">
        <v>6</v>
      </c>
      <c r="C7" s="10">
        <v>4360.25</v>
      </c>
      <c r="D7" s="11">
        <v>49.72</v>
      </c>
      <c r="E7" s="11">
        <v>1.23</v>
      </c>
      <c r="F7" s="9">
        <v>3300</v>
      </c>
    </row>
    <row r="8" spans="1:17" x14ac:dyDescent="0.25">
      <c r="A8" s="34">
        <v>2011</v>
      </c>
      <c r="B8" s="9">
        <v>7</v>
      </c>
      <c r="C8" s="10">
        <v>3858.25</v>
      </c>
      <c r="D8" s="11">
        <v>52.17</v>
      </c>
      <c r="E8" s="11">
        <v>1.21</v>
      </c>
      <c r="F8" s="9">
        <v>3481</v>
      </c>
    </row>
    <row r="9" spans="1:17" x14ac:dyDescent="0.25">
      <c r="A9" s="34">
        <v>2012</v>
      </c>
      <c r="B9" s="9">
        <v>8</v>
      </c>
      <c r="C9" s="10">
        <v>3996.25</v>
      </c>
      <c r="D9" s="11">
        <v>54.1</v>
      </c>
      <c r="E9" s="11">
        <v>1.2</v>
      </c>
      <c r="F9" s="9">
        <v>3628</v>
      </c>
    </row>
    <row r="10" spans="1:17" x14ac:dyDescent="0.25">
      <c r="A10" s="34">
        <v>2013</v>
      </c>
      <c r="B10" s="9">
        <v>9</v>
      </c>
      <c r="C10" s="10">
        <v>4025.25</v>
      </c>
      <c r="D10" s="11">
        <v>55.91</v>
      </c>
      <c r="E10" s="11">
        <v>1.18</v>
      </c>
      <c r="F10" s="9">
        <v>3761</v>
      </c>
    </row>
    <row r="11" spans="1:17" x14ac:dyDescent="0.25">
      <c r="A11" s="34">
        <v>2014</v>
      </c>
      <c r="B11" s="9">
        <v>10</v>
      </c>
      <c r="C11" s="10">
        <v>4033.5</v>
      </c>
      <c r="D11" s="11">
        <v>57.34</v>
      </c>
      <c r="E11" s="11">
        <v>1.17</v>
      </c>
      <c r="F11" s="9">
        <v>3899</v>
      </c>
    </row>
    <row r="12" spans="1:17" x14ac:dyDescent="0.25">
      <c r="A12" s="34">
        <v>2015</v>
      </c>
      <c r="B12" s="9">
        <v>11</v>
      </c>
      <c r="C12" s="10">
        <v>3969.5</v>
      </c>
      <c r="D12" s="11">
        <v>57.87</v>
      </c>
      <c r="E12" s="11">
        <v>1.1499999999999999</v>
      </c>
      <c r="F12" s="9">
        <v>4017</v>
      </c>
    </row>
    <row r="13" spans="1:17" x14ac:dyDescent="0.25">
      <c r="A13" s="34">
        <v>2016</v>
      </c>
      <c r="B13" s="9">
        <v>12</v>
      </c>
      <c r="C13" s="10">
        <v>4054</v>
      </c>
      <c r="D13" s="11">
        <v>58.84</v>
      </c>
      <c r="E13" s="11">
        <v>1.1399999999999999</v>
      </c>
      <c r="F13" s="9">
        <v>4182</v>
      </c>
    </row>
    <row r="14" spans="1:17" x14ac:dyDescent="0.25">
      <c r="A14" s="34">
        <v>2017</v>
      </c>
      <c r="B14" s="9">
        <v>13</v>
      </c>
      <c r="C14" s="10">
        <v>4170</v>
      </c>
      <c r="D14" s="11">
        <v>60.39</v>
      </c>
      <c r="E14" s="11">
        <v>1.1399999999999999</v>
      </c>
      <c r="F14" s="9">
        <v>4454</v>
      </c>
    </row>
    <row r="15" spans="1:17" x14ac:dyDescent="0.25">
      <c r="A15" s="34">
        <v>2018</v>
      </c>
      <c r="B15" s="9">
        <v>14</v>
      </c>
      <c r="C15" s="10">
        <v>4237.5</v>
      </c>
      <c r="D15" s="10">
        <v>62.64</v>
      </c>
      <c r="E15" s="11">
        <v>1.19</v>
      </c>
      <c r="F15" s="9">
        <v>4816</v>
      </c>
    </row>
    <row r="16" spans="1:17" x14ac:dyDescent="0.25">
      <c r="A16" s="34">
        <v>2019</v>
      </c>
      <c r="B16" s="9">
        <v>15</v>
      </c>
      <c r="C16" s="10">
        <v>4461.25</v>
      </c>
      <c r="D16" s="10">
        <v>63.32</v>
      </c>
      <c r="E16" s="11">
        <v>1.29</v>
      </c>
      <c r="F16" s="9">
        <v>5168</v>
      </c>
    </row>
    <row r="17" spans="1:16" x14ac:dyDescent="0.25">
      <c r="A17" s="34">
        <v>2020</v>
      </c>
      <c r="B17" s="9">
        <v>16</v>
      </c>
      <c r="C17" s="10">
        <v>4891.5</v>
      </c>
      <c r="D17" s="10">
        <v>65.849999999999994</v>
      </c>
      <c r="E17" s="11">
        <v>1.37</v>
      </c>
      <c r="F17" s="9">
        <v>5394</v>
      </c>
    </row>
    <row r="18" spans="1:16" x14ac:dyDescent="0.25">
      <c r="A18" s="34">
        <v>2021</v>
      </c>
      <c r="B18" s="9">
        <v>17</v>
      </c>
      <c r="C18" s="10">
        <v>5134.25</v>
      </c>
      <c r="D18" s="10">
        <v>67.540000000000006</v>
      </c>
      <c r="E18" s="11">
        <v>1.52</v>
      </c>
      <c r="F18" s="14">
        <v>5536.8</v>
      </c>
    </row>
    <row r="19" spans="1:16" ht="21" x14ac:dyDescent="0.25">
      <c r="A19" s="74">
        <v>2022</v>
      </c>
      <c r="B19" s="73">
        <v>18</v>
      </c>
      <c r="C19" s="75">
        <f>_xlfn.FORECAST.ETS(A19,$C$2:$C$18,$A$2:$A$18,1,1)</f>
        <v>5250.2682116088872</v>
      </c>
      <c r="D19" s="75">
        <f>_xlfn.FORECAST.ETS(A19,$D$2:$D$18,$A$2:$A$18,1,1)</f>
        <v>69.220881713537921</v>
      </c>
      <c r="E19" s="75">
        <f>_xlfn.FORECAST.ETS(A19,$E$2:$E$18,$A$2:$A$18,1,1)</f>
        <v>1.5257074640258455</v>
      </c>
      <c r="F19" s="75">
        <f>_xlfn.FORECAST.ETS(A19,$F$2:$F$18,$A$2:$A$18,1,1)</f>
        <v>5626.9218227087831</v>
      </c>
      <c r="P19" s="70" t="s">
        <v>137</v>
      </c>
    </row>
    <row r="20" spans="1:16" x14ac:dyDescent="0.25">
      <c r="A20" s="65">
        <v>2023</v>
      </c>
      <c r="B20" s="73">
        <v>19</v>
      </c>
      <c r="C20" s="75">
        <f t="shared" ref="C20:C23" si="0">_xlfn.FORECAST.ETS(A20,$C$2:$C$18,$A$2:$A$18,1,1)</f>
        <v>5380.6304320975978</v>
      </c>
      <c r="D20" s="75">
        <f t="shared" ref="D20:D23" si="1">_xlfn.FORECAST.ETS(A20,$D$2:$D$18,$A$2:$A$18,1,1)</f>
        <v>70.901793664718753</v>
      </c>
      <c r="E20" s="75">
        <f t="shared" ref="E20:E23" si="2">_xlfn.FORECAST.ETS(A20,$E$2:$E$18,$A$2:$A$18,1,1)</f>
        <v>1.5451732063942778</v>
      </c>
      <c r="F20" s="75">
        <f t="shared" ref="F20:F23" si="3">_xlfn.FORECAST.ETS(A20,$F$2:$F$18,$A$2:$A$18,1,1)</f>
        <v>5825.4761988962227</v>
      </c>
    </row>
    <row r="21" spans="1:16" x14ac:dyDescent="0.25">
      <c r="A21" s="74">
        <v>2024</v>
      </c>
      <c r="B21" s="73">
        <v>20</v>
      </c>
      <c r="C21" s="75">
        <f t="shared" si="0"/>
        <v>5510.9926525863084</v>
      </c>
      <c r="D21" s="75">
        <f t="shared" si="1"/>
        <v>72.58270561589957</v>
      </c>
      <c r="E21" s="75">
        <f t="shared" si="2"/>
        <v>1.5646389487627101</v>
      </c>
      <c r="F21" s="75">
        <f t="shared" si="3"/>
        <v>6024.0305750836615</v>
      </c>
    </row>
    <row r="22" spans="1:16" x14ac:dyDescent="0.25">
      <c r="A22" s="65">
        <v>2025</v>
      </c>
      <c r="B22" s="73">
        <v>21</v>
      </c>
      <c r="C22" s="75">
        <f t="shared" si="0"/>
        <v>5641.354873075019</v>
      </c>
      <c r="D22" s="75">
        <f t="shared" si="1"/>
        <v>74.263617567080388</v>
      </c>
      <c r="E22" s="75">
        <f t="shared" si="2"/>
        <v>1.5841046911311425</v>
      </c>
      <c r="F22" s="75">
        <f t="shared" si="3"/>
        <v>6222.5849512711002</v>
      </c>
    </row>
    <row r="23" spans="1:16" x14ac:dyDescent="0.25">
      <c r="A23" s="65">
        <v>2026</v>
      </c>
      <c r="B23" s="73">
        <v>22</v>
      </c>
      <c r="C23" s="75">
        <f t="shared" si="0"/>
        <v>5771.7170935637296</v>
      </c>
      <c r="D23" s="75">
        <f t="shared" si="1"/>
        <v>75.94452951826122</v>
      </c>
      <c r="E23" s="75">
        <f t="shared" si="2"/>
        <v>1.6035704334995748</v>
      </c>
      <c r="F23" s="75">
        <f t="shared" si="3"/>
        <v>6421.1393274585389</v>
      </c>
    </row>
    <row r="37" spans="15:18" x14ac:dyDescent="0.25">
      <c r="O37" s="89" t="s">
        <v>139</v>
      </c>
      <c r="P37" s="89"/>
      <c r="Q37" s="89"/>
      <c r="R37" s="89"/>
    </row>
    <row r="56" spans="17:17" ht="18.75" x14ac:dyDescent="0.25">
      <c r="Q56" s="70" t="s">
        <v>140</v>
      </c>
    </row>
  </sheetData>
  <mergeCells count="2">
    <mergeCell ref="O1:Q1"/>
    <mergeCell ref="O37:R3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10.5703125" customWidth="1"/>
    <col min="2" max="2" width="11" customWidth="1"/>
    <col min="3" max="3" width="11.28515625" customWidth="1"/>
    <col min="4" max="4" width="21.85546875" customWidth="1"/>
    <col min="5" max="5" width="22.140625" customWidth="1"/>
  </cols>
  <sheetData>
    <row r="1" spans="1:5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5">
      <c r="A2" s="68">
        <v>2005</v>
      </c>
      <c r="B2" s="68">
        <v>2439.25</v>
      </c>
    </row>
    <row r="3" spans="1:5" x14ac:dyDescent="0.25">
      <c r="A3" s="68">
        <v>2006</v>
      </c>
      <c r="B3" s="68">
        <v>2545.25</v>
      </c>
    </row>
    <row r="4" spans="1:5" x14ac:dyDescent="0.25">
      <c r="A4" s="68">
        <v>2007</v>
      </c>
      <c r="B4" s="68">
        <v>2816</v>
      </c>
    </row>
    <row r="5" spans="1:5" x14ac:dyDescent="0.25">
      <c r="A5" s="68">
        <v>2008</v>
      </c>
      <c r="B5" s="68">
        <v>3316.25</v>
      </c>
    </row>
    <row r="6" spans="1:5" x14ac:dyDescent="0.25">
      <c r="A6" s="68">
        <v>2009</v>
      </c>
      <c r="B6" s="68">
        <v>3891.5</v>
      </c>
    </row>
    <row r="7" spans="1:5" x14ac:dyDescent="0.25">
      <c r="A7" s="68">
        <v>2010</v>
      </c>
      <c r="B7" s="68">
        <v>4360.25</v>
      </c>
    </row>
    <row r="8" spans="1:5" x14ac:dyDescent="0.25">
      <c r="A8" s="68">
        <v>2011</v>
      </c>
      <c r="B8" s="68">
        <v>3858.25</v>
      </c>
    </row>
    <row r="9" spans="1:5" x14ac:dyDescent="0.25">
      <c r="A9" s="68">
        <v>2012</v>
      </c>
      <c r="B9" s="68">
        <v>3996.25</v>
      </c>
    </row>
    <row r="10" spans="1:5" x14ac:dyDescent="0.25">
      <c r="A10" s="68">
        <v>2013</v>
      </c>
      <c r="B10" s="68">
        <v>4025.25</v>
      </c>
    </row>
    <row r="11" spans="1:5" x14ac:dyDescent="0.25">
      <c r="A11" s="68">
        <v>2014</v>
      </c>
      <c r="B11" s="68">
        <v>4033.5</v>
      </c>
    </row>
    <row r="12" spans="1:5" x14ac:dyDescent="0.25">
      <c r="A12" s="68">
        <v>2015</v>
      </c>
      <c r="B12" s="68">
        <v>3969.5</v>
      </c>
    </row>
    <row r="13" spans="1:5" x14ac:dyDescent="0.25">
      <c r="A13" s="68">
        <v>2016</v>
      </c>
      <c r="B13" s="68">
        <v>4054</v>
      </c>
    </row>
    <row r="14" spans="1:5" x14ac:dyDescent="0.25">
      <c r="A14" s="68">
        <v>2017</v>
      </c>
      <c r="B14" s="68">
        <v>4170</v>
      </c>
    </row>
    <row r="15" spans="1:5" x14ac:dyDescent="0.25">
      <c r="A15" s="68">
        <v>2018</v>
      </c>
      <c r="B15" s="68">
        <v>4237.5</v>
      </c>
    </row>
    <row r="16" spans="1:5" x14ac:dyDescent="0.25">
      <c r="A16" s="68">
        <v>2019</v>
      </c>
      <c r="B16" s="68">
        <v>4461.25</v>
      </c>
    </row>
    <row r="17" spans="1:5" x14ac:dyDescent="0.25">
      <c r="A17" s="68">
        <v>2020</v>
      </c>
      <c r="B17" s="68">
        <v>4891.5</v>
      </c>
    </row>
    <row r="18" spans="1:5" x14ac:dyDescent="0.25">
      <c r="A18" s="68">
        <v>2021</v>
      </c>
      <c r="B18" s="68">
        <v>5134.25</v>
      </c>
      <c r="C18" s="68">
        <v>5134.25</v>
      </c>
      <c r="D18" s="69">
        <v>5134.25</v>
      </c>
      <c r="E18" s="69">
        <v>5134.25</v>
      </c>
    </row>
    <row r="19" spans="1:5" x14ac:dyDescent="0.25">
      <c r="A19" s="68">
        <v>2022</v>
      </c>
      <c r="C19" s="68">
        <f>_xlfn.FORECAST.ETS(A19,$B$2:$B$18,$A$2:$A$18,1,1)</f>
        <v>5250.2682116088872</v>
      </c>
      <c r="D19" s="69">
        <f>C19-_xlfn.FORECAST.ETS.CONFINT(A19,$B$2:$B$18,$A$2:$A$18,0.95,1,1)</f>
        <v>4749.1402497192621</v>
      </c>
      <c r="E19" s="69">
        <f>C19+_xlfn.FORECAST.ETS.CONFINT(A19,$B$2:$B$18,$A$2:$A$18,0.95,1,1)</f>
        <v>5751.3961734985123</v>
      </c>
    </row>
    <row r="20" spans="1:5" x14ac:dyDescent="0.25">
      <c r="A20" s="68">
        <v>2023</v>
      </c>
      <c r="C20" s="68">
        <f>_xlfn.FORECAST.ETS(A20,$B$2:$B$18,$A$2:$A$18,1,1)</f>
        <v>5380.6304320975978</v>
      </c>
      <c r="D20" s="69">
        <f>C20-_xlfn.FORECAST.ETS.CONFINT(A20,$B$2:$B$18,$A$2:$A$18,0.95,1,1)</f>
        <v>4706.0963724457388</v>
      </c>
      <c r="E20" s="69">
        <f>C20+_xlfn.FORECAST.ETS.CONFINT(A20,$B$2:$B$18,$A$2:$A$18,0.95,1,1)</f>
        <v>6055.1644917494568</v>
      </c>
    </row>
    <row r="21" spans="1:5" x14ac:dyDescent="0.25">
      <c r="A21" s="68">
        <v>2024</v>
      </c>
      <c r="C21" s="68">
        <f>_xlfn.FORECAST.ETS(A21,$B$2:$B$18,$A$2:$A$18,1,1)</f>
        <v>5510.9926525863084</v>
      </c>
      <c r="D21" s="69">
        <f>C21-_xlfn.FORECAST.ETS.CONFINT(A21,$B$2:$B$18,$A$2:$A$18,0.95,1,1)</f>
        <v>4699.0099267340729</v>
      </c>
      <c r="E21" s="69">
        <f>C21+_xlfn.FORECAST.ETS.CONFINT(A21,$B$2:$B$18,$A$2:$A$18,0.95,1,1)</f>
        <v>6322.9753784385439</v>
      </c>
    </row>
    <row r="22" spans="1:5" x14ac:dyDescent="0.25">
      <c r="A22" s="68">
        <v>2025</v>
      </c>
      <c r="C22" s="68">
        <f>_xlfn.FORECAST.ETS(A22,$B$2:$B$18,$A$2:$A$18,1,1)</f>
        <v>5641.354873075019</v>
      </c>
      <c r="D22" s="69">
        <f>C22-_xlfn.FORECAST.ETS.CONFINT(A22,$B$2:$B$18,$A$2:$A$18,0.95,1,1)</f>
        <v>4711.7910050153014</v>
      </c>
      <c r="E22" s="69">
        <f>C22+_xlfn.FORECAST.ETS.CONFINT(A22,$B$2:$B$18,$A$2:$A$18,0.95,1,1)</f>
        <v>6570.9187411347366</v>
      </c>
    </row>
    <row r="23" spans="1:5" x14ac:dyDescent="0.25">
      <c r="A23" s="68">
        <v>2026</v>
      </c>
      <c r="C23" s="68">
        <f>_xlfn.FORECAST.ETS(A23,$B$2:$B$18,$A$2:$A$18,1,1)</f>
        <v>5771.7170935637296</v>
      </c>
      <c r="D23" s="69">
        <f>C23-_xlfn.FORECAST.ETS.CONFINT(A23,$B$2:$B$18,$A$2:$A$18,0.95,1,1)</f>
        <v>4737.6398174145834</v>
      </c>
      <c r="E23" s="69">
        <f>C23+_xlfn.FORECAST.ETS.CONFINT(A23,$B$2:$B$18,$A$2:$A$18,0.95,1,1)</f>
        <v>6805.7943697128758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10.5703125" customWidth="1"/>
    <col min="2" max="2" width="11" customWidth="1"/>
    <col min="3" max="3" width="11.28515625" customWidth="1"/>
    <col min="4" max="4" width="21.85546875" customWidth="1"/>
    <col min="5" max="5" width="22.140625" customWidth="1"/>
  </cols>
  <sheetData>
    <row r="1" spans="1:5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5">
      <c r="A2" s="68">
        <v>2005</v>
      </c>
      <c r="B2" s="68">
        <v>39.119999999999997</v>
      </c>
    </row>
    <row r="3" spans="1:5" x14ac:dyDescent="0.25">
      <c r="A3" s="68">
        <v>2006</v>
      </c>
      <c r="B3" s="68">
        <v>41.98</v>
      </c>
    </row>
    <row r="4" spans="1:5" x14ac:dyDescent="0.25">
      <c r="A4" s="68">
        <v>2007</v>
      </c>
      <c r="B4" s="68">
        <v>44.35</v>
      </c>
    </row>
    <row r="5" spans="1:5" x14ac:dyDescent="0.25">
      <c r="A5" s="68">
        <v>2008</v>
      </c>
      <c r="B5" s="68">
        <v>45.24</v>
      </c>
    </row>
    <row r="6" spans="1:5" x14ac:dyDescent="0.25">
      <c r="A6" s="68">
        <v>2009</v>
      </c>
      <c r="B6" s="68">
        <v>47.47</v>
      </c>
    </row>
    <row r="7" spans="1:5" x14ac:dyDescent="0.25">
      <c r="A7" s="68">
        <v>2010</v>
      </c>
      <c r="B7" s="68">
        <v>49.72</v>
      </c>
    </row>
    <row r="8" spans="1:5" x14ac:dyDescent="0.25">
      <c r="A8" s="68">
        <v>2011</v>
      </c>
      <c r="B8" s="68">
        <v>52.17</v>
      </c>
    </row>
    <row r="9" spans="1:5" x14ac:dyDescent="0.25">
      <c r="A9" s="68">
        <v>2012</v>
      </c>
      <c r="B9" s="68">
        <v>54.1</v>
      </c>
    </row>
    <row r="10" spans="1:5" x14ac:dyDescent="0.25">
      <c r="A10" s="68">
        <v>2013</v>
      </c>
      <c r="B10" s="68">
        <v>55.91</v>
      </c>
    </row>
    <row r="11" spans="1:5" x14ac:dyDescent="0.25">
      <c r="A11" s="68">
        <v>2014</v>
      </c>
      <c r="B11" s="68">
        <v>57.34</v>
      </c>
    </row>
    <row r="12" spans="1:5" x14ac:dyDescent="0.25">
      <c r="A12" s="68">
        <v>2015</v>
      </c>
      <c r="B12" s="68">
        <v>57.87</v>
      </c>
    </row>
    <row r="13" spans="1:5" x14ac:dyDescent="0.25">
      <c r="A13" s="68">
        <v>2016</v>
      </c>
      <c r="B13" s="68">
        <v>58.84</v>
      </c>
    </row>
    <row r="14" spans="1:5" x14ac:dyDescent="0.25">
      <c r="A14" s="68">
        <v>2017</v>
      </c>
      <c r="B14" s="68">
        <v>60.39</v>
      </c>
    </row>
    <row r="15" spans="1:5" x14ac:dyDescent="0.25">
      <c r="A15" s="68">
        <v>2018</v>
      </c>
      <c r="B15" s="68">
        <v>62.64</v>
      </c>
    </row>
    <row r="16" spans="1:5" x14ac:dyDescent="0.25">
      <c r="A16" s="68">
        <v>2019</v>
      </c>
      <c r="B16" s="68">
        <v>63.32</v>
      </c>
    </row>
    <row r="17" spans="1:5" x14ac:dyDescent="0.25">
      <c r="A17" s="68">
        <v>2020</v>
      </c>
      <c r="B17" s="68">
        <v>65.849999999999994</v>
      </c>
    </row>
    <row r="18" spans="1:5" x14ac:dyDescent="0.25">
      <c r="A18" s="68">
        <v>2021</v>
      </c>
      <c r="B18" s="68">
        <v>67.540000000000006</v>
      </c>
      <c r="C18" s="68">
        <v>67.540000000000006</v>
      </c>
      <c r="D18" s="69">
        <v>67.540000000000006</v>
      </c>
      <c r="E18" s="69">
        <v>67.540000000000006</v>
      </c>
    </row>
    <row r="19" spans="1:5" x14ac:dyDescent="0.25">
      <c r="A19" s="68">
        <v>2022</v>
      </c>
      <c r="C19" s="68">
        <f>_xlfn.FORECAST.ETS(A19,$B$2:$B$18,$A$2:$A$18,1,1)</f>
        <v>69.220881713537921</v>
      </c>
      <c r="D19" s="69">
        <f>C19-_xlfn.FORECAST.ETS.CONFINT(A19,$B$2:$B$18,$A$2:$A$18,0.95,1,1)</f>
        <v>67.806706618912116</v>
      </c>
      <c r="E19" s="69">
        <f>C19+_xlfn.FORECAST.ETS.CONFINT(A19,$B$2:$B$18,$A$2:$A$18,0.95,1,1)</f>
        <v>70.635056808163725</v>
      </c>
    </row>
    <row r="20" spans="1:5" x14ac:dyDescent="0.25">
      <c r="A20" s="68">
        <v>2023</v>
      </c>
      <c r="C20" s="68">
        <f>_xlfn.FORECAST.ETS(A20,$B$2:$B$18,$A$2:$A$18,1,1)</f>
        <v>70.901793664718753</v>
      </c>
      <c r="D20" s="69">
        <f>C20-_xlfn.FORECAST.ETS.CONFINT(A20,$B$2:$B$18,$A$2:$A$18,0.95,1,1)</f>
        <v>68.641320260633933</v>
      </c>
      <c r="E20" s="69">
        <f>C20+_xlfn.FORECAST.ETS.CONFINT(A20,$B$2:$B$18,$A$2:$A$18,0.95,1,1)</f>
        <v>73.162267068803573</v>
      </c>
    </row>
    <row r="21" spans="1:5" x14ac:dyDescent="0.25">
      <c r="A21" s="68">
        <v>2024</v>
      </c>
      <c r="C21" s="68">
        <f>_xlfn.FORECAST.ETS(A21,$B$2:$B$18,$A$2:$A$18,1,1)</f>
        <v>72.58270561589957</v>
      </c>
      <c r="D21" s="69">
        <f>C21-_xlfn.FORECAST.ETS.CONFINT(A21,$B$2:$B$18,$A$2:$A$18,0.95,1,1)</f>
        <v>69.486655146262549</v>
      </c>
      <c r="E21" s="69">
        <f>C21+_xlfn.FORECAST.ETS.CONFINT(A21,$B$2:$B$18,$A$2:$A$18,0.95,1,1)</f>
        <v>75.678756085536591</v>
      </c>
    </row>
    <row r="22" spans="1:5" x14ac:dyDescent="0.25">
      <c r="A22" s="68">
        <v>2025</v>
      </c>
      <c r="C22" s="68">
        <f>_xlfn.FORECAST.ETS(A22,$B$2:$B$18,$A$2:$A$18,1,1)</f>
        <v>74.263617567080388</v>
      </c>
      <c r="D22" s="69">
        <f>C22-_xlfn.FORECAST.ETS.CONFINT(A22,$B$2:$B$18,$A$2:$A$18,0.95,1,1)</f>
        <v>70.304419768722639</v>
      </c>
      <c r="E22" s="69">
        <f>C22+_xlfn.FORECAST.ETS.CONFINT(A22,$B$2:$B$18,$A$2:$A$18,0.95,1,1)</f>
        <v>78.222815365438137</v>
      </c>
    </row>
    <row r="23" spans="1:5" x14ac:dyDescent="0.25">
      <c r="A23" s="68">
        <v>2026</v>
      </c>
      <c r="C23" s="68">
        <f>_xlfn.FORECAST.ETS(A23,$B$2:$B$18,$A$2:$A$18,1,1)</f>
        <v>75.94452951826122</v>
      </c>
      <c r="D23" s="69">
        <f>C23-_xlfn.FORECAST.ETS.CONFINT(A23,$B$2:$B$18,$A$2:$A$18,0.95,1,1)</f>
        <v>71.083779925154687</v>
      </c>
      <c r="E23" s="69">
        <f>C23+_xlfn.FORECAST.ETS.CONFINT(A23,$B$2:$B$18,$A$2:$A$18,0.95,1,1)</f>
        <v>80.805279111367753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10.5703125" customWidth="1"/>
    <col min="2" max="2" width="11" customWidth="1"/>
    <col min="3" max="3" width="11.28515625" customWidth="1"/>
    <col min="4" max="4" width="21.85546875" customWidth="1"/>
    <col min="5" max="5" width="22.140625" customWidth="1"/>
  </cols>
  <sheetData>
    <row r="1" spans="1:5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5">
      <c r="A2" s="68">
        <v>2005</v>
      </c>
      <c r="B2" s="71">
        <v>0.73</v>
      </c>
    </row>
    <row r="3" spans="1:5" x14ac:dyDescent="0.25">
      <c r="A3" s="68">
        <v>2006</v>
      </c>
      <c r="B3" s="71">
        <v>0.75</v>
      </c>
    </row>
    <row r="4" spans="1:5" x14ac:dyDescent="0.25">
      <c r="A4" s="68">
        <v>2007</v>
      </c>
      <c r="B4" s="71">
        <v>1.34</v>
      </c>
    </row>
    <row r="5" spans="1:5" x14ac:dyDescent="0.25">
      <c r="A5" s="68">
        <v>2008</v>
      </c>
      <c r="B5" s="71">
        <v>1.48</v>
      </c>
    </row>
    <row r="6" spans="1:5" x14ac:dyDescent="0.25">
      <c r="A6" s="68">
        <v>2009</v>
      </c>
      <c r="B6" s="71">
        <v>1.33</v>
      </c>
    </row>
    <row r="7" spans="1:5" x14ac:dyDescent="0.25">
      <c r="A7" s="68">
        <v>2010</v>
      </c>
      <c r="B7" s="71">
        <v>1.23</v>
      </c>
    </row>
    <row r="8" spans="1:5" x14ac:dyDescent="0.25">
      <c r="A8" s="68">
        <v>2011</v>
      </c>
      <c r="B8" s="71">
        <v>1.21</v>
      </c>
    </row>
    <row r="9" spans="1:5" x14ac:dyDescent="0.25">
      <c r="A9" s="68">
        <v>2012</v>
      </c>
      <c r="B9" s="71">
        <v>1.2</v>
      </c>
    </row>
    <row r="10" spans="1:5" x14ac:dyDescent="0.25">
      <c r="A10" s="68">
        <v>2013</v>
      </c>
      <c r="B10" s="71">
        <v>1.18</v>
      </c>
    </row>
    <row r="11" spans="1:5" x14ac:dyDescent="0.25">
      <c r="A11" s="68">
        <v>2014</v>
      </c>
      <c r="B11" s="71">
        <v>1.17</v>
      </c>
    </row>
    <row r="12" spans="1:5" x14ac:dyDescent="0.25">
      <c r="A12" s="68">
        <v>2015</v>
      </c>
      <c r="B12" s="71">
        <v>1.1499999999999999</v>
      </c>
    </row>
    <row r="13" spans="1:5" x14ac:dyDescent="0.25">
      <c r="A13" s="68">
        <v>2016</v>
      </c>
      <c r="B13" s="71">
        <v>1.1399999999999999</v>
      </c>
    </row>
    <row r="14" spans="1:5" x14ac:dyDescent="0.25">
      <c r="A14" s="68">
        <v>2017</v>
      </c>
      <c r="B14" s="71">
        <v>1.1399999999999999</v>
      </c>
    </row>
    <row r="15" spans="1:5" x14ac:dyDescent="0.25">
      <c r="A15" s="68">
        <v>2018</v>
      </c>
      <c r="B15" s="71">
        <v>1.19</v>
      </c>
    </row>
    <row r="16" spans="1:5" x14ac:dyDescent="0.25">
      <c r="A16" s="68">
        <v>2019</v>
      </c>
      <c r="B16" s="71">
        <v>1.29</v>
      </c>
    </row>
    <row r="17" spans="1:5" x14ac:dyDescent="0.25">
      <c r="A17" s="68">
        <v>2020</v>
      </c>
      <c r="B17" s="71">
        <v>1.37</v>
      </c>
    </row>
    <row r="18" spans="1:5" x14ac:dyDescent="0.25">
      <c r="A18" s="68">
        <v>2021</v>
      </c>
      <c r="B18" s="71">
        <v>1.52</v>
      </c>
      <c r="C18" s="71">
        <v>1.52</v>
      </c>
      <c r="D18" s="71">
        <v>1.52</v>
      </c>
      <c r="E18" s="71">
        <v>1.52</v>
      </c>
    </row>
    <row r="19" spans="1:5" x14ac:dyDescent="0.25">
      <c r="A19" s="68">
        <v>2022</v>
      </c>
      <c r="C19" s="71">
        <f>_xlfn.FORECAST.ETS(A19,$B$2:$B$18,$A$2:$A$18,1,1)</f>
        <v>1.5257074640258455</v>
      </c>
      <c r="D19" s="71">
        <f>C19-_xlfn.FORECAST.ETS.CONFINT(A19,$B$2:$B$18,$A$2:$A$18,0.95,1,1)</f>
        <v>1.2100576497179865</v>
      </c>
      <c r="E19" s="71">
        <f>C19+_xlfn.FORECAST.ETS.CONFINT(A19,$B$2:$B$18,$A$2:$A$18,0.95,1,1)</f>
        <v>1.8413572783337044</v>
      </c>
    </row>
    <row r="20" spans="1:5" x14ac:dyDescent="0.25">
      <c r="A20" s="68">
        <v>2023</v>
      </c>
      <c r="C20" s="71">
        <f>_xlfn.FORECAST.ETS(A20,$B$2:$B$18,$A$2:$A$18,1,1)</f>
        <v>1.5451732063942778</v>
      </c>
      <c r="D20" s="71">
        <f>C20-_xlfn.FORECAST.ETS.CONFINT(A20,$B$2:$B$18,$A$2:$A$18,0.95,1,1)</f>
        <v>1.1202985897981856</v>
      </c>
      <c r="E20" s="71">
        <f>C20+_xlfn.FORECAST.ETS.CONFINT(A20,$B$2:$B$18,$A$2:$A$18,0.95,1,1)</f>
        <v>1.97004782299037</v>
      </c>
    </row>
    <row r="21" spans="1:5" x14ac:dyDescent="0.25">
      <c r="A21" s="68">
        <v>2024</v>
      </c>
      <c r="C21" s="71">
        <f>_xlfn.FORECAST.ETS(A21,$B$2:$B$18,$A$2:$A$18,1,1)</f>
        <v>1.5646389487627101</v>
      </c>
      <c r="D21" s="71">
        <f>C21-_xlfn.FORECAST.ETS.CONFINT(A21,$B$2:$B$18,$A$2:$A$18,0.95,1,1)</f>
        <v>1.0531883490595979</v>
      </c>
      <c r="E21" s="71">
        <f>C21+_xlfn.FORECAST.ETS.CONFINT(A21,$B$2:$B$18,$A$2:$A$18,0.95,1,1)</f>
        <v>2.0760895484658226</v>
      </c>
    </row>
    <row r="22" spans="1:5" x14ac:dyDescent="0.25">
      <c r="A22" s="68">
        <v>2025</v>
      </c>
      <c r="C22" s="71">
        <f>_xlfn.FORECAST.ETS(A22,$B$2:$B$18,$A$2:$A$18,1,1)</f>
        <v>1.5841046911311425</v>
      </c>
      <c r="D22" s="71">
        <f>C22-_xlfn.FORECAST.ETS.CONFINT(A22,$B$2:$B$18,$A$2:$A$18,0.95,1,1)</f>
        <v>0.99859223791670648</v>
      </c>
      <c r="E22" s="71">
        <f>C22+_xlfn.FORECAST.ETS.CONFINT(A22,$B$2:$B$18,$A$2:$A$18,0.95,1,1)</f>
        <v>2.1696171443455787</v>
      </c>
    </row>
    <row r="23" spans="1:5" x14ac:dyDescent="0.25">
      <c r="A23" s="68">
        <v>2026</v>
      </c>
      <c r="C23" s="71">
        <f>_xlfn.FORECAST.ETS(A23,$B$2:$B$18,$A$2:$A$18,1,1)</f>
        <v>1.6035704334995748</v>
      </c>
      <c r="D23" s="71">
        <f>C23-_xlfn.FORECAST.ETS.CONFINT(A23,$B$2:$B$18,$A$2:$A$18,0.95,1,1)</f>
        <v>0.95222721376451946</v>
      </c>
      <c r="E23" s="71">
        <f>C23+_xlfn.FORECAST.ETS.CONFINT(A23,$B$2:$B$18,$A$2:$A$18,0.95,1,1)</f>
        <v>2.2549136532346301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10.5703125" customWidth="1"/>
    <col min="2" max="2" width="11" customWidth="1"/>
    <col min="3" max="3" width="11.28515625" customWidth="1"/>
    <col min="4" max="4" width="21.85546875" customWidth="1"/>
    <col min="5" max="5" width="22.140625" customWidth="1"/>
  </cols>
  <sheetData>
    <row r="1" spans="1:5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5">
      <c r="A2" s="68">
        <v>2005</v>
      </c>
      <c r="B2" s="72">
        <v>2306</v>
      </c>
    </row>
    <row r="3" spans="1:5" x14ac:dyDescent="0.25">
      <c r="A3" s="68">
        <v>2006</v>
      </c>
      <c r="B3" s="72">
        <v>2413</v>
      </c>
    </row>
    <row r="4" spans="1:5" x14ac:dyDescent="0.25">
      <c r="A4" s="68">
        <v>2007</v>
      </c>
      <c r="B4" s="72">
        <v>2603</v>
      </c>
    </row>
    <row r="5" spans="1:5" x14ac:dyDescent="0.25">
      <c r="A5" s="68">
        <v>2008</v>
      </c>
      <c r="B5" s="72">
        <v>2849</v>
      </c>
    </row>
    <row r="6" spans="1:5" x14ac:dyDescent="0.25">
      <c r="A6" s="68">
        <v>2009</v>
      </c>
      <c r="B6" s="72">
        <v>3139</v>
      </c>
    </row>
    <row r="7" spans="1:5" x14ac:dyDescent="0.25">
      <c r="A7" s="68">
        <v>2010</v>
      </c>
      <c r="B7" s="72">
        <v>3300</v>
      </c>
    </row>
    <row r="8" spans="1:5" x14ac:dyDescent="0.25">
      <c r="A8" s="68">
        <v>2011</v>
      </c>
      <c r="B8" s="72">
        <v>3481</v>
      </c>
    </row>
    <row r="9" spans="1:5" x14ac:dyDescent="0.25">
      <c r="A9" s="68">
        <v>2012</v>
      </c>
      <c r="B9" s="72">
        <v>3628</v>
      </c>
    </row>
    <row r="10" spans="1:5" x14ac:dyDescent="0.25">
      <c r="A10" s="68">
        <v>2013</v>
      </c>
      <c r="B10" s="72">
        <v>3761</v>
      </c>
    </row>
    <row r="11" spans="1:5" x14ac:dyDescent="0.25">
      <c r="A11" s="68">
        <v>2014</v>
      </c>
      <c r="B11" s="72">
        <v>3899</v>
      </c>
    </row>
    <row r="12" spans="1:5" x14ac:dyDescent="0.25">
      <c r="A12" s="68">
        <v>2015</v>
      </c>
      <c r="B12" s="72">
        <v>4017</v>
      </c>
    </row>
    <row r="13" spans="1:5" x14ac:dyDescent="0.25">
      <c r="A13" s="68">
        <v>2016</v>
      </c>
      <c r="B13" s="72">
        <v>4182</v>
      </c>
    </row>
    <row r="14" spans="1:5" x14ac:dyDescent="0.25">
      <c r="A14" s="68">
        <v>2017</v>
      </c>
      <c r="B14" s="72">
        <v>4454</v>
      </c>
    </row>
    <row r="15" spans="1:5" x14ac:dyDescent="0.25">
      <c r="A15" s="68">
        <v>2018</v>
      </c>
      <c r="B15" s="72">
        <v>4816</v>
      </c>
    </row>
    <row r="16" spans="1:5" x14ac:dyDescent="0.25">
      <c r="A16" s="68">
        <v>2019</v>
      </c>
      <c r="B16" s="72">
        <v>5168</v>
      </c>
    </row>
    <row r="17" spans="1:5" x14ac:dyDescent="0.25">
      <c r="A17" s="68">
        <v>2020</v>
      </c>
      <c r="B17" s="72">
        <v>5394</v>
      </c>
    </row>
    <row r="18" spans="1:5" x14ac:dyDescent="0.25">
      <c r="A18" s="68">
        <v>2021</v>
      </c>
      <c r="B18" s="72">
        <v>5536.8</v>
      </c>
      <c r="C18" s="72">
        <v>5536.8</v>
      </c>
      <c r="D18" s="72">
        <v>5536.8</v>
      </c>
      <c r="E18" s="72">
        <v>5536.8</v>
      </c>
    </row>
    <row r="19" spans="1:5" x14ac:dyDescent="0.25">
      <c r="A19" s="68">
        <v>2022</v>
      </c>
      <c r="C19" s="72">
        <f>_xlfn.FORECAST.ETS(A19,$B$2:$B$18,$A$2:$A$18,1,1)</f>
        <v>5626.9218227087831</v>
      </c>
      <c r="D19" s="72">
        <f>C19-_xlfn.FORECAST.ETS.CONFINT(A19,$B$2:$B$18,$A$2:$A$18,0.95,1,1)</f>
        <v>5375.8534660479218</v>
      </c>
      <c r="E19" s="72">
        <f>C19+_xlfn.FORECAST.ETS.CONFINT(A19,$B$2:$B$18,$A$2:$A$18,0.95,1,1)</f>
        <v>5877.9901793696445</v>
      </c>
    </row>
    <row r="20" spans="1:5" x14ac:dyDescent="0.25">
      <c r="A20" s="68">
        <v>2023</v>
      </c>
      <c r="C20" s="72">
        <f>_xlfn.FORECAST.ETS(A20,$B$2:$B$18,$A$2:$A$18,1,1)</f>
        <v>5825.4761988962227</v>
      </c>
      <c r="D20" s="72">
        <f>C20-_xlfn.FORECAST.ETS.CONFINT(A20,$B$2:$B$18,$A$2:$A$18,0.95,1,1)</f>
        <v>5572.3912005496368</v>
      </c>
      <c r="E20" s="72">
        <f>C20+_xlfn.FORECAST.ETS.CONFINT(A20,$B$2:$B$18,$A$2:$A$18,0.95,1,1)</f>
        <v>6078.5611972428087</v>
      </c>
    </row>
    <row r="21" spans="1:5" x14ac:dyDescent="0.25">
      <c r="A21" s="68">
        <v>2024</v>
      </c>
      <c r="C21" s="72">
        <f>_xlfn.FORECAST.ETS(A21,$B$2:$B$18,$A$2:$A$18,1,1)</f>
        <v>6024.0305750836615</v>
      </c>
      <c r="D21" s="72">
        <f>C21-_xlfn.FORECAST.ETS.CONFINT(A21,$B$2:$B$18,$A$2:$A$18,0.95,1,1)</f>
        <v>5768.9133724760668</v>
      </c>
      <c r="E21" s="72">
        <f>C21+_xlfn.FORECAST.ETS.CONFINT(A21,$B$2:$B$18,$A$2:$A$18,0.95,1,1)</f>
        <v>6279.1477776912561</v>
      </c>
    </row>
    <row r="22" spans="1:5" x14ac:dyDescent="0.25">
      <c r="A22" s="68">
        <v>2025</v>
      </c>
      <c r="C22" s="72">
        <f>_xlfn.FORECAST.ETS(A22,$B$2:$B$18,$A$2:$A$18,1,1)</f>
        <v>6222.5849512711002</v>
      </c>
      <c r="D22" s="72">
        <f>C22-_xlfn.FORECAST.ETS.CONFINT(A22,$B$2:$B$18,$A$2:$A$18,0.95,1,1)</f>
        <v>5965.4201056531101</v>
      </c>
      <c r="E22" s="72">
        <f>C22+_xlfn.FORECAST.ETS.CONFINT(A22,$B$2:$B$18,$A$2:$A$18,0.95,1,1)</f>
        <v>6479.7497968890902</v>
      </c>
    </row>
    <row r="23" spans="1:5" x14ac:dyDescent="0.25">
      <c r="A23" s="68">
        <v>2026</v>
      </c>
      <c r="C23" s="72">
        <f>_xlfn.FORECAST.ETS(A23,$B$2:$B$18,$A$2:$A$18,1,1)</f>
        <v>6421.1393274585389</v>
      </c>
      <c r="D23" s="72">
        <f>C23-_xlfn.FORECAST.ETS.CONFINT(A23,$B$2:$B$18,$A$2:$A$18,0.95,1,1)</f>
        <v>6161.9115227675065</v>
      </c>
      <c r="E23" s="72">
        <f>C23+_xlfn.FORECAST.ETS.CONFINT(A23,$B$2:$B$18,$A$2:$A$18,0.95,1,1)</f>
        <v>6680.3671321495713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Dane</vt:lpstr>
      <vt:lpstr>Quazi-stałych</vt:lpstr>
      <vt:lpstr>Korelacja</vt:lpstr>
      <vt:lpstr>Hellwiga</vt:lpstr>
      <vt:lpstr>Estymacja</vt:lpstr>
      <vt:lpstr>Weryfikacja</vt:lpstr>
      <vt:lpstr>Test symetrii</vt:lpstr>
      <vt:lpstr>Test Shapiro-Wilka</vt:lpstr>
      <vt:lpstr>Test serii</vt:lpstr>
      <vt:lpstr>Test Durbina-Watsona</vt:lpstr>
      <vt:lpstr>Test Goldfelda-Quandta</vt:lpstr>
      <vt:lpstr>Prognozy</vt:lpstr>
      <vt:lpstr>Prog_cen_mieszkań</vt:lpstr>
      <vt:lpstr>prog_cen_szkła</vt:lpstr>
      <vt:lpstr>prog_cen_cegły</vt:lpstr>
      <vt:lpstr>prog_wynagrodzen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2023-01-28T19:25:23Z</dcterms:created>
  <dcterms:modified xsi:type="dcterms:W3CDTF">2023-01-30T19:41:51Z</dcterms:modified>
</cp:coreProperties>
</file>