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730" windowHeight="10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Y4" i="3"/>
  <c r="P4"/>
  <c r="G4"/>
  <c r="AA4"/>
  <c r="Z4"/>
  <c r="R4"/>
  <c r="Q4"/>
  <c r="I4"/>
  <c r="H4"/>
  <c r="K4"/>
  <c r="T4"/>
  <c r="AC4"/>
  <c r="C23"/>
  <c r="E4"/>
  <c r="E6"/>
  <c r="E8"/>
  <c r="J4"/>
  <c r="N4"/>
  <c r="N6"/>
  <c r="N8"/>
  <c r="N10"/>
  <c r="N12"/>
  <c r="N14"/>
  <c r="N16"/>
  <c r="N18"/>
  <c r="N20"/>
  <c r="S4"/>
  <c r="W4"/>
  <c r="W6"/>
  <c r="W8"/>
  <c r="W10"/>
  <c r="W12"/>
  <c r="W14"/>
  <c r="W16"/>
  <c r="W18"/>
  <c r="W20"/>
  <c r="AB4"/>
  <c r="C22"/>
  <c r="R19" i="2"/>
  <c r="P19"/>
  <c r="N19"/>
  <c r="L19"/>
  <c r="J19"/>
  <c r="H19"/>
  <c r="F19"/>
  <c r="D19"/>
  <c r="B19"/>
  <c r="R12"/>
  <c r="P12"/>
  <c r="N12"/>
  <c r="L12"/>
  <c r="J12"/>
  <c r="H12"/>
  <c r="F12"/>
  <c r="D12"/>
  <c r="B12"/>
  <c r="F4"/>
  <c r="D4"/>
  <c r="B4"/>
  <c r="H26" i="1" l="1"/>
  <c r="M26"/>
  <c r="Z7"/>
  <c r="AL37"/>
  <c r="AQ37"/>
  <c r="AQ26"/>
  <c r="AL26"/>
  <c r="AG26"/>
  <c r="AB26"/>
  <c r="W26"/>
  <c r="R26"/>
  <c r="C26"/>
  <c r="M16"/>
  <c r="H16"/>
  <c r="C16"/>
  <c r="AG37"/>
  <c r="AB37"/>
  <c r="W37"/>
  <c r="R37"/>
  <c r="M37"/>
  <c r="H37"/>
  <c r="C37"/>
  <c r="Z6"/>
  <c r="Z13"/>
  <c r="Z8"/>
  <c r="Z15"/>
  <c r="AD10"/>
  <c r="AD11"/>
  <c r="AD12"/>
  <c r="AD13"/>
  <c r="AD14"/>
  <c r="AD15"/>
  <c r="AF15"/>
  <c r="U9"/>
  <c r="AD9"/>
  <c r="AD8"/>
  <c r="AD7"/>
  <c r="AD6"/>
  <c r="Z14"/>
  <c r="Z12"/>
  <c r="Z11"/>
  <c r="Z10"/>
  <c r="Z9"/>
  <c r="U8"/>
  <c r="H4"/>
  <c r="H5"/>
  <c r="H6"/>
  <c r="H7"/>
  <c r="H8"/>
  <c r="H9"/>
  <c r="H10"/>
  <c r="H11"/>
  <c r="H12"/>
  <c r="H13"/>
  <c r="H14"/>
  <c r="H15"/>
  <c r="U7"/>
  <c r="C4"/>
  <c r="C5"/>
  <c r="C7"/>
  <c r="C8"/>
  <c r="C10"/>
  <c r="C11"/>
  <c r="C12"/>
  <c r="C13"/>
  <c r="C15"/>
  <c r="U6"/>
  <c r="AU31"/>
  <c r="AU32"/>
  <c r="AU33"/>
  <c r="AU34"/>
  <c r="AU35"/>
  <c r="AU36"/>
  <c r="AU37"/>
  <c r="AT31"/>
  <c r="AT32"/>
  <c r="AT33"/>
  <c r="AT34"/>
  <c r="AT35"/>
  <c r="AT36"/>
  <c r="AT37"/>
  <c r="AS37"/>
  <c r="AR31"/>
  <c r="AR32"/>
  <c r="AR33"/>
  <c r="AR34"/>
  <c r="AR35"/>
  <c r="AR36"/>
  <c r="AR37"/>
  <c r="AP31"/>
  <c r="AP32"/>
  <c r="AP33"/>
  <c r="AP34"/>
  <c r="AP35"/>
  <c r="AP36"/>
  <c r="AP37"/>
  <c r="AO31"/>
  <c r="AO32"/>
  <c r="AO33"/>
  <c r="AO34"/>
  <c r="AO35"/>
  <c r="AO36"/>
  <c r="AO37"/>
  <c r="AN37"/>
  <c r="AM31"/>
  <c r="AM32"/>
  <c r="AM33"/>
  <c r="AM34"/>
  <c r="AM35"/>
  <c r="AM36"/>
  <c r="AM37"/>
  <c r="AA31"/>
  <c r="AA32"/>
  <c r="AA33"/>
  <c r="AA34"/>
  <c r="AA35"/>
  <c r="AA36"/>
  <c r="AA37"/>
  <c r="AC31"/>
  <c r="AC32"/>
  <c r="AC33"/>
  <c r="AC34"/>
  <c r="AC35"/>
  <c r="AC36"/>
  <c r="AC37"/>
  <c r="AD37"/>
  <c r="AE31"/>
  <c r="AE32"/>
  <c r="AE33"/>
  <c r="AE34"/>
  <c r="AE35"/>
  <c r="AE36"/>
  <c r="AE37"/>
  <c r="AF31"/>
  <c r="AF32"/>
  <c r="AF33"/>
  <c r="AF34"/>
  <c r="AF35"/>
  <c r="AF36"/>
  <c r="AF37"/>
  <c r="AG36"/>
  <c r="AH31"/>
  <c r="AH32"/>
  <c r="AH33"/>
  <c r="AH34"/>
  <c r="AH35"/>
  <c r="AH36"/>
  <c r="AH37"/>
  <c r="AI36"/>
  <c r="AI37"/>
  <c r="AJ31"/>
  <c r="AJ32"/>
  <c r="AJ33"/>
  <c r="AJ34"/>
  <c r="AJ35"/>
  <c r="AJ36"/>
  <c r="AJ37"/>
  <c r="AK31"/>
  <c r="AK32"/>
  <c r="AK33"/>
  <c r="AK34"/>
  <c r="AK35"/>
  <c r="AK36"/>
  <c r="AK37"/>
  <c r="Z31"/>
  <c r="Z32"/>
  <c r="Z33"/>
  <c r="Z34"/>
  <c r="Z35"/>
  <c r="Z36"/>
  <c r="Z37"/>
  <c r="Y37"/>
  <c r="X31"/>
  <c r="X32"/>
  <c r="X33"/>
  <c r="X34"/>
  <c r="X35"/>
  <c r="X36"/>
  <c r="X37"/>
  <c r="T36"/>
  <c r="T37"/>
  <c r="V37"/>
  <c r="R36"/>
  <c r="S37"/>
  <c r="U37"/>
  <c r="Q31"/>
  <c r="Q32"/>
  <c r="Q33"/>
  <c r="Q34"/>
  <c r="Q35"/>
  <c r="Q36"/>
  <c r="Q37"/>
  <c r="P31"/>
  <c r="P32"/>
  <c r="P33"/>
  <c r="P34"/>
  <c r="P35"/>
  <c r="P36"/>
  <c r="P37"/>
  <c r="O37"/>
  <c r="N31"/>
  <c r="N32"/>
  <c r="N33"/>
  <c r="N34"/>
  <c r="N35"/>
  <c r="N36"/>
  <c r="N37"/>
  <c r="L31"/>
  <c r="L32"/>
  <c r="L33"/>
  <c r="L34"/>
  <c r="L35"/>
  <c r="L36"/>
  <c r="L37"/>
  <c r="K31"/>
  <c r="K32"/>
  <c r="K33"/>
  <c r="K34"/>
  <c r="K35"/>
  <c r="K36"/>
  <c r="K37"/>
  <c r="J37"/>
  <c r="I31"/>
  <c r="I32"/>
  <c r="I33"/>
  <c r="I34"/>
  <c r="I35"/>
  <c r="I36"/>
  <c r="I37"/>
  <c r="F31"/>
  <c r="F32"/>
  <c r="F33"/>
  <c r="F34"/>
  <c r="F35"/>
  <c r="C36"/>
  <c r="F36"/>
  <c r="F37"/>
  <c r="G31"/>
  <c r="G32"/>
  <c r="G33"/>
  <c r="G34"/>
  <c r="G35"/>
  <c r="E36"/>
  <c r="G36"/>
  <c r="G37"/>
  <c r="E37"/>
  <c r="D31"/>
  <c r="D32"/>
  <c r="D33"/>
  <c r="D34"/>
  <c r="D35"/>
  <c r="D36"/>
  <c r="D37"/>
  <c r="AS20"/>
  <c r="AU20"/>
  <c r="AS21"/>
  <c r="AU21"/>
  <c r="AS22"/>
  <c r="AU22"/>
  <c r="AS23"/>
  <c r="AU23"/>
  <c r="AU24"/>
  <c r="AU25"/>
  <c r="AU26"/>
  <c r="AQ20"/>
  <c r="AT20"/>
  <c r="AQ21"/>
  <c r="AT21"/>
  <c r="AQ22"/>
  <c r="AT22"/>
  <c r="AQ23"/>
  <c r="AT23"/>
  <c r="AT24"/>
  <c r="AT25"/>
  <c r="AT26"/>
  <c r="AS26"/>
  <c r="AR20"/>
  <c r="AR21"/>
  <c r="AR22"/>
  <c r="AR23"/>
  <c r="AR24"/>
  <c r="AR25"/>
  <c r="AR26"/>
  <c r="AN20"/>
  <c r="AP20"/>
  <c r="AN21"/>
  <c r="AP21"/>
  <c r="AN22"/>
  <c r="AP22"/>
  <c r="AN23"/>
  <c r="AP23"/>
  <c r="AN24"/>
  <c r="AP24"/>
  <c r="AP25"/>
  <c r="AP26"/>
  <c r="AL20"/>
  <c r="AO20"/>
  <c r="AL21"/>
  <c r="AO21"/>
  <c r="AL22"/>
  <c r="AO22"/>
  <c r="AL23"/>
  <c r="AO23"/>
  <c r="AL24"/>
  <c r="AO24"/>
  <c r="AO25"/>
  <c r="AO26"/>
  <c r="AN26"/>
  <c r="AM20"/>
  <c r="AM21"/>
  <c r="AM22"/>
  <c r="AM23"/>
  <c r="AM24"/>
  <c r="AM25"/>
  <c r="AM26"/>
  <c r="AI20"/>
  <c r="AI21"/>
  <c r="AI25"/>
  <c r="AI26"/>
  <c r="AK26"/>
  <c r="AG20"/>
  <c r="AG21"/>
  <c r="AG25"/>
  <c r="AH26"/>
  <c r="AJ26"/>
  <c r="AD20"/>
  <c r="AF20"/>
  <c r="AD21"/>
  <c r="AF21"/>
  <c r="AD22"/>
  <c r="AF22"/>
  <c r="AD23"/>
  <c r="AF23"/>
  <c r="AF26"/>
  <c r="AB20"/>
  <c r="AE20"/>
  <c r="AB21"/>
  <c r="AE21"/>
  <c r="AB22"/>
  <c r="AE22"/>
  <c r="AB23"/>
  <c r="AE23"/>
  <c r="AE26"/>
  <c r="AD26"/>
  <c r="AC20"/>
  <c r="AC21"/>
  <c r="AC22"/>
  <c r="AC23"/>
  <c r="AC26"/>
  <c r="Y24"/>
  <c r="AA24"/>
  <c r="Y25"/>
  <c r="AA25"/>
  <c r="AA26"/>
  <c r="W24"/>
  <c r="Z24"/>
  <c r="W25"/>
  <c r="Z25"/>
  <c r="Z26"/>
  <c r="Y26"/>
  <c r="X24"/>
  <c r="X25"/>
  <c r="X26"/>
  <c r="T22"/>
  <c r="V22"/>
  <c r="T23"/>
  <c r="V23"/>
  <c r="V24"/>
  <c r="T25"/>
  <c r="V25"/>
  <c r="V26"/>
  <c r="R22"/>
  <c r="U22"/>
  <c r="R23"/>
  <c r="U23"/>
  <c r="U24"/>
  <c r="R25"/>
  <c r="U25"/>
  <c r="U26"/>
  <c r="T26"/>
  <c r="S22"/>
  <c r="S23"/>
  <c r="S24"/>
  <c r="S25"/>
  <c r="S26"/>
  <c r="O20"/>
  <c r="Q20"/>
  <c r="O21"/>
  <c r="Q21"/>
  <c r="O22"/>
  <c r="Q22"/>
  <c r="Q23"/>
  <c r="Q24"/>
  <c r="O25"/>
  <c r="Q25"/>
  <c r="Q26"/>
  <c r="M20"/>
  <c r="P20"/>
  <c r="M21"/>
  <c r="P21"/>
  <c r="M22"/>
  <c r="P22"/>
  <c r="P23"/>
  <c r="P24"/>
  <c r="M25"/>
  <c r="P25"/>
  <c r="P26"/>
  <c r="O26"/>
  <c r="N20"/>
  <c r="N21"/>
  <c r="N22"/>
  <c r="N23"/>
  <c r="N24"/>
  <c r="N25"/>
  <c r="N26"/>
  <c r="J20"/>
  <c r="L20"/>
  <c r="J21"/>
  <c r="L21"/>
  <c r="J22"/>
  <c r="L22"/>
  <c r="J23"/>
  <c r="L23"/>
  <c r="J24"/>
  <c r="L24"/>
  <c r="J25"/>
  <c r="L25"/>
  <c r="L26"/>
  <c r="H20"/>
  <c r="K20"/>
  <c r="H21"/>
  <c r="K21"/>
  <c r="H22"/>
  <c r="K22"/>
  <c r="H23"/>
  <c r="K23"/>
  <c r="H24"/>
  <c r="K24"/>
  <c r="H25"/>
  <c r="K25"/>
  <c r="K26"/>
  <c r="J26"/>
  <c r="I20"/>
  <c r="I21"/>
  <c r="I22"/>
  <c r="I23"/>
  <c r="I24"/>
  <c r="I25"/>
  <c r="I26"/>
  <c r="E20"/>
  <c r="G20"/>
  <c r="E21"/>
  <c r="G21"/>
  <c r="G22"/>
  <c r="E23"/>
  <c r="G23"/>
  <c r="E24"/>
  <c r="G24"/>
  <c r="E25"/>
  <c r="G25"/>
  <c r="G26"/>
  <c r="C20"/>
  <c r="F20"/>
  <c r="C21"/>
  <c r="F21"/>
  <c r="F22"/>
  <c r="C23"/>
  <c r="F23"/>
  <c r="C24"/>
  <c r="F24"/>
  <c r="C25"/>
  <c r="F25"/>
  <c r="F26"/>
  <c r="E26"/>
  <c r="D20"/>
  <c r="D21"/>
  <c r="D22"/>
  <c r="D23"/>
  <c r="D24"/>
  <c r="D25"/>
  <c r="D26"/>
  <c r="Q4"/>
  <c r="Q5"/>
  <c r="Q6"/>
  <c r="Q7"/>
  <c r="Q8"/>
  <c r="Q9"/>
  <c r="Q10"/>
  <c r="Q11"/>
  <c r="Q12"/>
  <c r="Q13"/>
  <c r="Q14"/>
  <c r="Q15"/>
  <c r="Q16"/>
  <c r="P16"/>
  <c r="O16"/>
  <c r="N4"/>
  <c r="N5"/>
  <c r="N6"/>
  <c r="N7"/>
  <c r="N8"/>
  <c r="N9"/>
  <c r="N10"/>
  <c r="N11"/>
  <c r="N12"/>
  <c r="N13"/>
  <c r="N14"/>
  <c r="N15"/>
  <c r="N16"/>
  <c r="J4"/>
  <c r="L4"/>
  <c r="J5"/>
  <c r="L5"/>
  <c r="J6"/>
  <c r="L6"/>
  <c r="J7"/>
  <c r="L7"/>
  <c r="J8"/>
  <c r="L8"/>
  <c r="J9"/>
  <c r="L9"/>
  <c r="J10"/>
  <c r="L10"/>
  <c r="J11"/>
  <c r="L11"/>
  <c r="J12"/>
  <c r="L12"/>
  <c r="J13"/>
  <c r="L13"/>
  <c r="J14"/>
  <c r="L14"/>
  <c r="J15"/>
  <c r="L15"/>
  <c r="L16"/>
  <c r="K16"/>
  <c r="J16"/>
  <c r="I4"/>
  <c r="I5"/>
  <c r="I6"/>
  <c r="I7"/>
  <c r="I8"/>
  <c r="I9"/>
  <c r="I10"/>
  <c r="I11"/>
  <c r="I12"/>
  <c r="I13"/>
  <c r="I14"/>
  <c r="I15"/>
  <c r="I16"/>
  <c r="E4"/>
  <c r="G4"/>
  <c r="E5"/>
  <c r="G5"/>
  <c r="G6"/>
  <c r="E7"/>
  <c r="G7"/>
  <c r="E8"/>
  <c r="G8"/>
  <c r="G9"/>
  <c r="E10"/>
  <c r="G10"/>
  <c r="E11"/>
  <c r="G11"/>
  <c r="E12"/>
  <c r="G12"/>
  <c r="E13"/>
  <c r="G13"/>
  <c r="G14"/>
  <c r="E15"/>
  <c r="G15"/>
  <c r="G16"/>
  <c r="F16"/>
  <c r="E16"/>
  <c r="D4"/>
  <c r="D5"/>
  <c r="D6"/>
  <c r="D7"/>
  <c r="D8"/>
  <c r="D9"/>
  <c r="D10"/>
  <c r="D11"/>
  <c r="D12"/>
  <c r="D13"/>
  <c r="D14"/>
  <c r="D15"/>
  <c r="D16"/>
  <c r="V36"/>
  <c r="U36"/>
  <c r="S36"/>
  <c r="V35"/>
  <c r="U35"/>
  <c r="S35"/>
  <c r="V34"/>
  <c r="U34"/>
  <c r="S34"/>
  <c r="V33"/>
  <c r="U33"/>
  <c r="S33"/>
  <c r="V32"/>
  <c r="U32"/>
  <c r="S32"/>
  <c r="V31"/>
  <c r="U31"/>
  <c r="S31"/>
  <c r="AK25"/>
  <c r="AJ25"/>
  <c r="AH25"/>
  <c r="AK24"/>
  <c r="AJ24"/>
  <c r="AH24"/>
  <c r="AK23"/>
  <c r="AJ23"/>
  <c r="AH23"/>
  <c r="AK22"/>
  <c r="AJ22"/>
  <c r="AH22"/>
  <c r="AK21"/>
  <c r="AJ21"/>
  <c r="AH21"/>
  <c r="AK20"/>
  <c r="AJ20"/>
  <c r="AH20"/>
</calcChain>
</file>

<file path=xl/sharedStrings.xml><?xml version="1.0" encoding="utf-8"?>
<sst xmlns="http://schemas.openxmlformats.org/spreadsheetml/2006/main" count="358" uniqueCount="81">
  <si>
    <t>小  学</t>
  </si>
  <si>
    <t>年段</t>
  </si>
  <si>
    <t>册数</t>
  </si>
  <si>
    <t>语文</t>
  </si>
  <si>
    <t>数学</t>
  </si>
  <si>
    <t>英语</t>
  </si>
  <si>
    <t>知识点微课（个）</t>
  </si>
  <si>
    <t>例题讲解微（个）</t>
  </si>
  <si>
    <t>试题（条）</t>
  </si>
  <si>
    <t>视频容量（GB）</t>
  </si>
  <si>
    <t>试题容量（KB）</t>
  </si>
  <si>
    <t>一年级</t>
  </si>
  <si>
    <t>上册</t>
  </si>
  <si>
    <t>下册</t>
  </si>
  <si>
    <t>二年级</t>
  </si>
  <si>
    <t>三年级</t>
  </si>
  <si>
    <t>四年级</t>
  </si>
  <si>
    <t>五年级</t>
  </si>
  <si>
    <t>六年级</t>
  </si>
  <si>
    <t>物理</t>
  </si>
  <si>
    <t>化学</t>
  </si>
  <si>
    <t>生物</t>
  </si>
  <si>
    <t>思想品德</t>
  </si>
  <si>
    <t>历史</t>
  </si>
  <si>
    <t>地理</t>
  </si>
  <si>
    <t>七年级</t>
  </si>
  <si>
    <t>八年级</t>
  </si>
  <si>
    <t>九年级</t>
  </si>
  <si>
    <t>十年级</t>
  </si>
  <si>
    <t>十一年级</t>
  </si>
  <si>
    <t>十二年级</t>
  </si>
  <si>
    <t>语文</t>
    <phoneticPr fontId="7" type="noConversion"/>
  </si>
  <si>
    <t>数学</t>
    <phoneticPr fontId="7" type="noConversion"/>
  </si>
  <si>
    <t>英语</t>
    <phoneticPr fontId="7" type="noConversion"/>
  </si>
  <si>
    <t>物理</t>
    <phoneticPr fontId="7" type="noConversion"/>
  </si>
  <si>
    <t>化学</t>
    <phoneticPr fontId="7" type="noConversion"/>
  </si>
  <si>
    <t>生物</t>
    <phoneticPr fontId="7" type="noConversion"/>
  </si>
  <si>
    <t>地理</t>
    <phoneticPr fontId="7" type="noConversion"/>
  </si>
  <si>
    <t>思想品德</t>
    <phoneticPr fontId="7" type="noConversion"/>
  </si>
  <si>
    <t>历史</t>
    <phoneticPr fontId="7" type="noConversion"/>
  </si>
  <si>
    <t>容量</t>
    <phoneticPr fontId="7" type="noConversion"/>
  </si>
  <si>
    <t>小学</t>
    <phoneticPr fontId="7" type="noConversion"/>
  </si>
  <si>
    <t>例题讲解微（个）</t>
    <phoneticPr fontId="7" type="noConversion"/>
  </si>
  <si>
    <t>微课总数</t>
    <phoneticPr fontId="7" type="noConversion"/>
  </si>
  <si>
    <t>初中</t>
  </si>
  <si>
    <t>高中</t>
    <phoneticPr fontId="7" type="noConversion"/>
  </si>
  <si>
    <t>年段</t>
    <phoneticPr fontId="7" type="noConversion"/>
  </si>
  <si>
    <t>知识点微课（个）</t>
    <phoneticPr fontId="7" type="noConversion"/>
  </si>
  <si>
    <t>小学</t>
  </si>
  <si>
    <t>高中</t>
    <phoneticPr fontId="7" type="noConversion"/>
  </si>
  <si>
    <t>微课总数</t>
    <phoneticPr fontId="7" type="noConversion"/>
  </si>
  <si>
    <t>微课数</t>
    <phoneticPr fontId="7" type="noConversion"/>
  </si>
  <si>
    <t>总微课数</t>
    <phoneticPr fontId="7" type="noConversion"/>
  </si>
  <si>
    <t>微课数</t>
    <phoneticPr fontId="7" type="noConversion"/>
  </si>
  <si>
    <t>知识点数（个）</t>
  </si>
  <si>
    <t>知识点数（个）</t>
    <phoneticPr fontId="7" type="noConversion"/>
  </si>
  <si>
    <t>微课总数</t>
    <phoneticPr fontId="7" type="noConversion"/>
  </si>
  <si>
    <t>容量总数</t>
    <phoneticPr fontId="7" type="noConversion"/>
  </si>
  <si>
    <t>例题讲解微课（个）</t>
    <phoneticPr fontId="7" type="noConversion"/>
  </si>
  <si>
    <t>例题讲解总微课数</t>
    <phoneticPr fontId="7" type="noConversion"/>
  </si>
  <si>
    <t>知识点总微课数</t>
    <phoneticPr fontId="7" type="noConversion"/>
  </si>
  <si>
    <t>总容量（G）</t>
    <phoneticPr fontId="7" type="noConversion"/>
  </si>
  <si>
    <t>知识点总数</t>
    <phoneticPr fontId="7" type="noConversion"/>
  </si>
  <si>
    <t>容量（G）</t>
    <phoneticPr fontId="7" type="noConversion"/>
  </si>
  <si>
    <t>年段</t>
    <phoneticPr fontId="3" type="noConversion"/>
  </si>
  <si>
    <t>学科</t>
    <phoneticPr fontId="3" type="noConversion"/>
  </si>
  <si>
    <t>知识点数量</t>
    <phoneticPr fontId="3" type="noConversion"/>
  </si>
  <si>
    <t>小学</t>
    <phoneticPr fontId="3" type="noConversion"/>
  </si>
  <si>
    <t>语文</t>
    <phoneticPr fontId="3" type="noConversion"/>
  </si>
  <si>
    <t>初中</t>
    <phoneticPr fontId="3" type="noConversion"/>
  </si>
  <si>
    <t>高中</t>
    <phoneticPr fontId="3" type="noConversion"/>
  </si>
  <si>
    <t>数学</t>
    <phoneticPr fontId="3" type="noConversion"/>
  </si>
  <si>
    <t>英语</t>
    <phoneticPr fontId="3" type="noConversion"/>
  </si>
  <si>
    <t>物理</t>
    <phoneticPr fontId="3" type="noConversion"/>
  </si>
  <si>
    <t>化学</t>
    <phoneticPr fontId="3" type="noConversion"/>
  </si>
  <si>
    <t>生物</t>
    <phoneticPr fontId="3" type="noConversion"/>
  </si>
  <si>
    <t>思想品德</t>
    <phoneticPr fontId="3" type="noConversion"/>
  </si>
  <si>
    <t>历史</t>
    <phoneticPr fontId="3" type="noConversion"/>
  </si>
  <si>
    <t>地理</t>
    <phoneticPr fontId="3" type="noConversion"/>
  </si>
  <si>
    <t>总数</t>
    <phoneticPr fontId="3" type="noConversion"/>
  </si>
  <si>
    <t>合计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</si>
</sst>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6" fillId="0" borderId="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4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28575</xdr:rowOff>
    </xdr:from>
    <xdr:to>
      <xdr:col>1</xdr:col>
      <xdr:colOff>1133475</xdr:colOff>
      <xdr:row>2</xdr:row>
      <xdr:rowOff>361950</xdr:rowOff>
    </xdr:to>
    <xdr:cxnSp macro="">
      <xdr:nvCxnSpPr>
        <xdr:cNvPr id="3" name="直接连接符 2"/>
        <xdr:cNvCxnSpPr/>
      </xdr:nvCxnSpPr>
      <xdr:spPr>
        <a:xfrm>
          <a:off x="9525" y="257175"/>
          <a:ext cx="1809750" cy="657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247650</xdr:colOff>
      <xdr:row>1</xdr:row>
      <xdr:rowOff>180975</xdr:rowOff>
    </xdr:from>
    <xdr:ext cx="790575" cy="292452"/>
    <xdr:sp macro="" textlink="">
      <xdr:nvSpPr>
        <xdr:cNvPr id="4" name="TextBox 3"/>
        <xdr:cNvSpPr txBox="1"/>
      </xdr:nvSpPr>
      <xdr:spPr>
        <a:xfrm>
          <a:off x="933450" y="409575"/>
          <a:ext cx="790575" cy="292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zh-CN" altLang="en-US" sz="1200" b="1"/>
            <a:t>学  段</a:t>
          </a:r>
        </a:p>
      </xdr:txBody>
    </xdr:sp>
    <xdr:clientData/>
  </xdr:oneCellAnchor>
  <xdr:twoCellAnchor>
    <xdr:from>
      <xdr:col>0</xdr:col>
      <xdr:colOff>47625</xdr:colOff>
      <xdr:row>1</xdr:row>
      <xdr:rowOff>47625</xdr:rowOff>
    </xdr:from>
    <xdr:to>
      <xdr:col>2</xdr:col>
      <xdr:colOff>0</xdr:colOff>
      <xdr:row>2</xdr:row>
      <xdr:rowOff>361950</xdr:rowOff>
    </xdr:to>
    <xdr:cxnSp macro="">
      <xdr:nvCxnSpPr>
        <xdr:cNvPr id="6" name="直接连接符 5"/>
        <xdr:cNvCxnSpPr/>
      </xdr:nvCxnSpPr>
      <xdr:spPr>
        <a:xfrm>
          <a:off x="47625" y="276225"/>
          <a:ext cx="1800225" cy="638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542925</xdr:colOff>
      <xdr:row>2</xdr:row>
      <xdr:rowOff>104775</xdr:rowOff>
    </xdr:from>
    <xdr:ext cx="563231" cy="292452"/>
    <xdr:sp macro="" textlink="">
      <xdr:nvSpPr>
        <xdr:cNvPr id="8" name="TextBox 7"/>
        <xdr:cNvSpPr txBox="1"/>
      </xdr:nvSpPr>
      <xdr:spPr>
        <a:xfrm>
          <a:off x="542925" y="657225"/>
          <a:ext cx="563231" cy="292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zh-CN" altLang="en-US" sz="1200" b="1"/>
            <a:t>学  科</a:t>
          </a:r>
        </a:p>
      </xdr:txBody>
    </xdr:sp>
    <xdr:clientData/>
  </xdr:oneCellAnchor>
  <xdr:twoCellAnchor>
    <xdr:from>
      <xdr:col>2</xdr:col>
      <xdr:colOff>28574</xdr:colOff>
      <xdr:row>9</xdr:row>
      <xdr:rowOff>28576</xdr:rowOff>
    </xdr:from>
    <xdr:to>
      <xdr:col>10</xdr:col>
      <xdr:colOff>647700</xdr:colOff>
      <xdr:row>20</xdr:row>
      <xdr:rowOff>333375</xdr:rowOff>
    </xdr:to>
    <xdr:cxnSp macro="">
      <xdr:nvCxnSpPr>
        <xdr:cNvPr id="10" name="直接连接符 9"/>
        <xdr:cNvCxnSpPr/>
      </xdr:nvCxnSpPr>
      <xdr:spPr>
        <a:xfrm>
          <a:off x="1876424" y="3019426"/>
          <a:ext cx="4143376" cy="40766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37"/>
  <sheetViews>
    <sheetView tabSelected="1" workbookViewId="0">
      <selection activeCell="E13" sqref="E13"/>
    </sheetView>
  </sheetViews>
  <sheetFormatPr defaultColWidth="9" defaultRowHeight="13.5"/>
  <cols>
    <col min="1" max="1" width="9" style="8"/>
    <col min="2" max="2" width="6.875" style="8" customWidth="1"/>
    <col min="3" max="3" width="10.25" style="8" customWidth="1"/>
    <col min="4" max="4" width="10.375" style="8" customWidth="1"/>
    <col min="5" max="7" width="9" style="8" customWidth="1"/>
    <col min="8" max="16384" width="9" style="8"/>
  </cols>
  <sheetData>
    <row r="1" spans="1:32" ht="21.7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32">
      <c r="A2" s="41" t="s">
        <v>1</v>
      </c>
      <c r="B2" s="45" t="s">
        <v>2</v>
      </c>
      <c r="C2" s="38" t="s">
        <v>3</v>
      </c>
      <c r="D2" s="39"/>
      <c r="E2" s="39"/>
      <c r="F2" s="39"/>
      <c r="G2" s="40"/>
      <c r="H2" s="38" t="s">
        <v>4</v>
      </c>
      <c r="I2" s="39"/>
      <c r="J2" s="39"/>
      <c r="K2" s="39"/>
      <c r="L2" s="40"/>
      <c r="M2" s="38" t="s">
        <v>5</v>
      </c>
      <c r="N2" s="39"/>
      <c r="O2" s="39"/>
      <c r="P2" s="39"/>
      <c r="Q2" s="40"/>
    </row>
    <row r="3" spans="1:32" ht="27">
      <c r="A3" s="41"/>
      <c r="B3" s="46"/>
      <c r="C3" s="1" t="s">
        <v>6</v>
      </c>
      <c r="D3" s="2" t="s">
        <v>7</v>
      </c>
      <c r="E3" s="1" t="s">
        <v>8</v>
      </c>
      <c r="F3" s="1" t="s">
        <v>9</v>
      </c>
      <c r="G3" s="1" t="s">
        <v>10</v>
      </c>
      <c r="H3" s="1" t="s">
        <v>6</v>
      </c>
      <c r="I3" s="2" t="s">
        <v>7</v>
      </c>
      <c r="J3" s="1" t="s">
        <v>8</v>
      </c>
      <c r="K3" s="1" t="s">
        <v>9</v>
      </c>
      <c r="L3" s="1" t="s">
        <v>10</v>
      </c>
      <c r="M3" s="1" t="s">
        <v>6</v>
      </c>
      <c r="N3" s="2" t="s">
        <v>7</v>
      </c>
      <c r="O3" s="1" t="s">
        <v>8</v>
      </c>
      <c r="P3" s="1" t="s">
        <v>9</v>
      </c>
      <c r="Q3" s="1" t="s">
        <v>10</v>
      </c>
    </row>
    <row r="4" spans="1:32">
      <c r="A4" s="42" t="s">
        <v>11</v>
      </c>
      <c r="B4" s="32" t="s">
        <v>12</v>
      </c>
      <c r="C4" s="3">
        <f>16+8</f>
        <v>24</v>
      </c>
      <c r="D4" s="3">
        <f>C4*3</f>
        <v>72</v>
      </c>
      <c r="E4" s="3">
        <f>131+80</f>
        <v>211</v>
      </c>
      <c r="F4" s="4">
        <v>4.8</v>
      </c>
      <c r="G4" s="3">
        <f>E4*3</f>
        <v>633</v>
      </c>
      <c r="H4" s="3">
        <f>26+27</f>
        <v>53</v>
      </c>
      <c r="I4" s="3">
        <f>H4*3</f>
        <v>159</v>
      </c>
      <c r="J4" s="3">
        <f>492+270</f>
        <v>762</v>
      </c>
      <c r="K4" s="4">
        <v>9.01</v>
      </c>
      <c r="L4" s="3">
        <f>J4*3</f>
        <v>2286</v>
      </c>
      <c r="M4" s="3">
        <v>18</v>
      </c>
      <c r="N4" s="3">
        <f t="shared" ref="N4:N15" si="0">M4*3</f>
        <v>54</v>
      </c>
      <c r="O4" s="3">
        <v>398</v>
      </c>
      <c r="P4" s="4">
        <v>2.52</v>
      </c>
      <c r="Q4" s="3">
        <f t="shared" ref="Q4:Q15" si="1">O4*3</f>
        <v>1194</v>
      </c>
    </row>
    <row r="5" spans="1:32">
      <c r="A5" s="43"/>
      <c r="B5" s="33" t="s">
        <v>13</v>
      </c>
      <c r="C5" s="3">
        <f>16+3</f>
        <v>19</v>
      </c>
      <c r="D5" s="3">
        <f t="shared" ref="D5:D15" si="2">C5*3</f>
        <v>57</v>
      </c>
      <c r="E5" s="3">
        <f>100+30</f>
        <v>130</v>
      </c>
      <c r="F5" s="4">
        <v>3.8</v>
      </c>
      <c r="G5" s="3">
        <f t="shared" ref="G5:G15" si="3">E5*3</f>
        <v>390</v>
      </c>
      <c r="H5" s="3">
        <f>25+18</f>
        <v>43</v>
      </c>
      <c r="I5" s="3">
        <f t="shared" ref="I5:I15" si="4">H5*3</f>
        <v>129</v>
      </c>
      <c r="J5" s="3">
        <f>398+18</f>
        <v>416</v>
      </c>
      <c r="K5" s="4">
        <v>7.31</v>
      </c>
      <c r="L5" s="3">
        <f t="shared" ref="L5:L15" si="5">J5*3</f>
        <v>1248</v>
      </c>
      <c r="M5" s="3">
        <v>18</v>
      </c>
      <c r="N5" s="3">
        <f t="shared" si="0"/>
        <v>54</v>
      </c>
      <c r="O5" s="3">
        <v>318</v>
      </c>
      <c r="P5" s="4">
        <v>2.52</v>
      </c>
      <c r="Q5" s="3">
        <f t="shared" si="1"/>
        <v>954</v>
      </c>
      <c r="R5" s="10"/>
      <c r="S5" s="9" t="s">
        <v>64</v>
      </c>
      <c r="T5" s="9" t="s">
        <v>65</v>
      </c>
      <c r="U5" s="9" t="s">
        <v>66</v>
      </c>
      <c r="X5" s="9" t="s">
        <v>64</v>
      </c>
      <c r="Y5" s="11" t="s">
        <v>65</v>
      </c>
      <c r="Z5" s="11" t="s">
        <v>66</v>
      </c>
      <c r="AB5" s="9" t="s">
        <v>64</v>
      </c>
      <c r="AC5" s="11" t="s">
        <v>65</v>
      </c>
      <c r="AD5" s="11" t="s">
        <v>66</v>
      </c>
    </row>
    <row r="6" spans="1:32">
      <c r="A6" s="42" t="s">
        <v>14</v>
      </c>
      <c r="B6" s="32" t="s">
        <v>12</v>
      </c>
      <c r="C6" s="3">
        <v>9</v>
      </c>
      <c r="D6" s="3">
        <f t="shared" si="2"/>
        <v>27</v>
      </c>
      <c r="E6" s="3">
        <v>282</v>
      </c>
      <c r="F6" s="4">
        <v>1.8</v>
      </c>
      <c r="G6" s="3">
        <f t="shared" si="3"/>
        <v>846</v>
      </c>
      <c r="H6" s="3">
        <f>21+11</f>
        <v>32</v>
      </c>
      <c r="I6" s="3">
        <f t="shared" si="4"/>
        <v>96</v>
      </c>
      <c r="J6" s="3">
        <f>458+110</f>
        <v>568</v>
      </c>
      <c r="K6" s="4">
        <v>5.44</v>
      </c>
      <c r="L6" s="3">
        <f t="shared" si="5"/>
        <v>1704</v>
      </c>
      <c r="M6" s="3">
        <v>79</v>
      </c>
      <c r="N6" s="3">
        <f t="shared" si="0"/>
        <v>237</v>
      </c>
      <c r="O6" s="3">
        <v>1418</v>
      </c>
      <c r="P6" s="4">
        <v>11.06</v>
      </c>
      <c r="Q6" s="3">
        <f t="shared" si="1"/>
        <v>4254</v>
      </c>
      <c r="R6" s="10"/>
      <c r="S6" s="9" t="s">
        <v>67</v>
      </c>
      <c r="T6" s="9" t="s">
        <v>68</v>
      </c>
      <c r="U6" s="9">
        <f>C16</f>
        <v>281</v>
      </c>
      <c r="X6" s="9" t="s">
        <v>69</v>
      </c>
      <c r="Y6" s="9" t="s">
        <v>68</v>
      </c>
      <c r="Z6" s="9">
        <f>C26</f>
        <v>167</v>
      </c>
      <c r="AB6" s="9" t="s">
        <v>70</v>
      </c>
      <c r="AC6" s="9" t="s">
        <v>68</v>
      </c>
      <c r="AD6" s="9">
        <f>C37</f>
        <v>138</v>
      </c>
    </row>
    <row r="7" spans="1:32">
      <c r="A7" s="43"/>
      <c r="B7" s="33" t="s">
        <v>13</v>
      </c>
      <c r="C7" s="3">
        <f>11+1</f>
        <v>12</v>
      </c>
      <c r="D7" s="3">
        <f t="shared" si="2"/>
        <v>36</v>
      </c>
      <c r="E7" s="3">
        <f>107+10</f>
        <v>117</v>
      </c>
      <c r="F7" s="4">
        <v>2.4</v>
      </c>
      <c r="G7" s="3">
        <f t="shared" si="3"/>
        <v>351</v>
      </c>
      <c r="H7" s="3">
        <f>22+21</f>
        <v>43</v>
      </c>
      <c r="I7" s="3">
        <f t="shared" si="4"/>
        <v>129</v>
      </c>
      <c r="J7" s="3">
        <f>410+210</f>
        <v>620</v>
      </c>
      <c r="K7" s="4">
        <v>7.31</v>
      </c>
      <c r="L7" s="3">
        <f t="shared" si="5"/>
        <v>1860</v>
      </c>
      <c r="M7" s="3">
        <v>31</v>
      </c>
      <c r="N7" s="3">
        <f t="shared" si="0"/>
        <v>93</v>
      </c>
      <c r="O7" s="3">
        <v>538</v>
      </c>
      <c r="P7" s="4">
        <v>4.34</v>
      </c>
      <c r="Q7" s="3">
        <f t="shared" si="1"/>
        <v>1614</v>
      </c>
      <c r="R7" s="10"/>
      <c r="S7" s="9" t="s">
        <v>67</v>
      </c>
      <c r="T7" s="9" t="s">
        <v>71</v>
      </c>
      <c r="U7" s="9">
        <f>H16</f>
        <v>621</v>
      </c>
      <c r="X7" s="9" t="s">
        <v>69</v>
      </c>
      <c r="Y7" s="9" t="s">
        <v>71</v>
      </c>
      <c r="Z7" s="9">
        <f>H26</f>
        <v>383</v>
      </c>
      <c r="AB7" s="9" t="s">
        <v>70</v>
      </c>
      <c r="AC7" s="9" t="s">
        <v>71</v>
      </c>
      <c r="AD7" s="9">
        <f>H37</f>
        <v>159</v>
      </c>
    </row>
    <row r="8" spans="1:32">
      <c r="A8" s="42" t="s">
        <v>15</v>
      </c>
      <c r="B8" s="32" t="s">
        <v>12</v>
      </c>
      <c r="C8" s="3">
        <f>16+3</f>
        <v>19</v>
      </c>
      <c r="D8" s="3">
        <f t="shared" si="2"/>
        <v>57</v>
      </c>
      <c r="E8" s="3">
        <f>210+30</f>
        <v>240</v>
      </c>
      <c r="F8" s="4">
        <v>3.8</v>
      </c>
      <c r="G8" s="3">
        <f t="shared" si="3"/>
        <v>720</v>
      </c>
      <c r="H8" s="3">
        <f>29+20</f>
        <v>49</v>
      </c>
      <c r="I8" s="3">
        <f t="shared" si="4"/>
        <v>147</v>
      </c>
      <c r="J8" s="3">
        <f>593+200</f>
        <v>793</v>
      </c>
      <c r="K8" s="4">
        <v>8.33</v>
      </c>
      <c r="L8" s="3">
        <f t="shared" si="5"/>
        <v>2379</v>
      </c>
      <c r="M8" s="3">
        <v>16</v>
      </c>
      <c r="N8" s="3">
        <f t="shared" si="0"/>
        <v>48</v>
      </c>
      <c r="O8" s="3">
        <v>411</v>
      </c>
      <c r="P8" s="4">
        <v>2.2400000000000002</v>
      </c>
      <c r="Q8" s="3">
        <f t="shared" si="1"/>
        <v>1233</v>
      </c>
      <c r="R8" s="10"/>
      <c r="S8" s="9" t="s">
        <v>67</v>
      </c>
      <c r="T8" s="9" t="s">
        <v>72</v>
      </c>
      <c r="U8" s="9">
        <f>M16</f>
        <v>486</v>
      </c>
      <c r="X8" s="9" t="s">
        <v>69</v>
      </c>
      <c r="Y8" s="9" t="s">
        <v>72</v>
      </c>
      <c r="Z8" s="9">
        <f>M26</f>
        <v>198</v>
      </c>
      <c r="AB8" s="9" t="s">
        <v>70</v>
      </c>
      <c r="AC8" s="9" t="s">
        <v>72</v>
      </c>
      <c r="AD8" s="9">
        <f>M37</f>
        <v>228</v>
      </c>
    </row>
    <row r="9" spans="1:32">
      <c r="A9" s="43"/>
      <c r="B9" s="33" t="s">
        <v>13</v>
      </c>
      <c r="C9" s="3">
        <v>15</v>
      </c>
      <c r="D9" s="3">
        <f t="shared" si="2"/>
        <v>45</v>
      </c>
      <c r="E9" s="3">
        <v>192</v>
      </c>
      <c r="F9" s="4">
        <v>3</v>
      </c>
      <c r="G9" s="3">
        <f t="shared" si="3"/>
        <v>576</v>
      </c>
      <c r="H9" s="3">
        <f>27+12</f>
        <v>39</v>
      </c>
      <c r="I9" s="3">
        <f t="shared" si="4"/>
        <v>117</v>
      </c>
      <c r="J9" s="3">
        <f>435+120</f>
        <v>555</v>
      </c>
      <c r="K9" s="4">
        <v>6.63</v>
      </c>
      <c r="L9" s="3">
        <f t="shared" si="5"/>
        <v>1665</v>
      </c>
      <c r="M9" s="3">
        <v>57</v>
      </c>
      <c r="N9" s="3">
        <f t="shared" si="0"/>
        <v>171</v>
      </c>
      <c r="O9" s="3">
        <v>893</v>
      </c>
      <c r="P9" s="4">
        <v>7.98</v>
      </c>
      <c r="Q9" s="3">
        <f t="shared" si="1"/>
        <v>2679</v>
      </c>
      <c r="U9" s="9">
        <f>SUM(U6:U8)</f>
        <v>1388</v>
      </c>
      <c r="X9" s="9" t="s">
        <v>69</v>
      </c>
      <c r="Y9" s="9" t="s">
        <v>73</v>
      </c>
      <c r="Z9" s="9">
        <f>R26</f>
        <v>248</v>
      </c>
      <c r="AB9" s="9" t="s">
        <v>70</v>
      </c>
      <c r="AC9" s="9" t="s">
        <v>73</v>
      </c>
      <c r="AD9" s="9">
        <f>R37</f>
        <v>251</v>
      </c>
    </row>
    <row r="10" spans="1:32">
      <c r="A10" s="42" t="s">
        <v>16</v>
      </c>
      <c r="B10" s="32" t="s">
        <v>12</v>
      </c>
      <c r="C10" s="3">
        <f>25+2</f>
        <v>27</v>
      </c>
      <c r="D10" s="3">
        <f t="shared" si="2"/>
        <v>81</v>
      </c>
      <c r="E10" s="3">
        <f>499+20</f>
        <v>519</v>
      </c>
      <c r="F10" s="4">
        <v>5.4</v>
      </c>
      <c r="G10" s="3">
        <f t="shared" si="3"/>
        <v>1557</v>
      </c>
      <c r="H10" s="3">
        <f>36+26</f>
        <v>62</v>
      </c>
      <c r="I10" s="3">
        <f t="shared" si="4"/>
        <v>186</v>
      </c>
      <c r="J10" s="3">
        <f>231+260</f>
        <v>491</v>
      </c>
      <c r="K10" s="4">
        <v>10.54</v>
      </c>
      <c r="L10" s="3">
        <f t="shared" si="5"/>
        <v>1473</v>
      </c>
      <c r="M10" s="3">
        <v>76</v>
      </c>
      <c r="N10" s="3">
        <f t="shared" si="0"/>
        <v>228</v>
      </c>
      <c r="O10" s="3">
        <v>970</v>
      </c>
      <c r="P10" s="4">
        <v>10.64</v>
      </c>
      <c r="Q10" s="3">
        <f t="shared" si="1"/>
        <v>2910</v>
      </c>
      <c r="X10" s="9" t="s">
        <v>69</v>
      </c>
      <c r="Y10" s="9" t="s">
        <v>74</v>
      </c>
      <c r="Z10" s="9">
        <f>W26</f>
        <v>255</v>
      </c>
      <c r="AB10" s="9" t="s">
        <v>70</v>
      </c>
      <c r="AC10" s="9" t="s">
        <v>74</v>
      </c>
      <c r="AD10" s="9">
        <f>W37</f>
        <v>323</v>
      </c>
    </row>
    <row r="11" spans="1:32">
      <c r="A11" s="43"/>
      <c r="B11" s="33" t="s">
        <v>13</v>
      </c>
      <c r="C11" s="3">
        <f>27+2</f>
        <v>29</v>
      </c>
      <c r="D11" s="3">
        <f t="shared" si="2"/>
        <v>87</v>
      </c>
      <c r="E11" s="3">
        <f>507+20</f>
        <v>527</v>
      </c>
      <c r="F11" s="4">
        <v>5.8</v>
      </c>
      <c r="G11" s="3">
        <f t="shared" si="3"/>
        <v>1581</v>
      </c>
      <c r="H11" s="3">
        <f>41+26</f>
        <v>67</v>
      </c>
      <c r="I11" s="3">
        <f t="shared" si="4"/>
        <v>201</v>
      </c>
      <c r="J11" s="3">
        <f>614+260</f>
        <v>874</v>
      </c>
      <c r="K11" s="4">
        <v>11.39</v>
      </c>
      <c r="L11" s="3">
        <f t="shared" si="5"/>
        <v>2622</v>
      </c>
      <c r="M11" s="3">
        <v>65</v>
      </c>
      <c r="N11" s="3">
        <f t="shared" si="0"/>
        <v>195</v>
      </c>
      <c r="O11" s="3">
        <v>852</v>
      </c>
      <c r="P11" s="4">
        <v>9.1</v>
      </c>
      <c r="Q11" s="3">
        <f t="shared" si="1"/>
        <v>2556</v>
      </c>
      <c r="X11" s="9" t="s">
        <v>69</v>
      </c>
      <c r="Y11" s="9" t="s">
        <v>75</v>
      </c>
      <c r="Z11" s="9">
        <f>AB26</f>
        <v>143</v>
      </c>
      <c r="AB11" s="9" t="s">
        <v>70</v>
      </c>
      <c r="AC11" s="9" t="s">
        <v>75</v>
      </c>
      <c r="AD11" s="9">
        <f>AB37</f>
        <v>327</v>
      </c>
    </row>
    <row r="12" spans="1:32">
      <c r="A12" s="42" t="s">
        <v>17</v>
      </c>
      <c r="B12" s="32" t="s">
        <v>12</v>
      </c>
      <c r="C12" s="3">
        <f>22+4</f>
        <v>26</v>
      </c>
      <c r="D12" s="3">
        <f t="shared" si="2"/>
        <v>78</v>
      </c>
      <c r="E12" s="3">
        <f>284+40</f>
        <v>324</v>
      </c>
      <c r="F12" s="4">
        <v>5.2</v>
      </c>
      <c r="G12" s="3">
        <f t="shared" si="3"/>
        <v>972</v>
      </c>
      <c r="H12" s="3">
        <f>44+16</f>
        <v>60</v>
      </c>
      <c r="I12" s="3">
        <f t="shared" si="4"/>
        <v>180</v>
      </c>
      <c r="J12" s="3">
        <f>874+160</f>
        <v>1034</v>
      </c>
      <c r="K12" s="4">
        <v>10.199999999999999</v>
      </c>
      <c r="L12" s="3">
        <f t="shared" si="5"/>
        <v>3102</v>
      </c>
      <c r="M12" s="3">
        <v>49</v>
      </c>
      <c r="N12" s="3">
        <f t="shared" si="0"/>
        <v>147</v>
      </c>
      <c r="O12" s="3">
        <v>726</v>
      </c>
      <c r="P12" s="4">
        <v>6.86</v>
      </c>
      <c r="Q12" s="3">
        <f t="shared" si="1"/>
        <v>2178</v>
      </c>
      <c r="X12" s="9" t="s">
        <v>69</v>
      </c>
      <c r="Y12" s="9" t="s">
        <v>76</v>
      </c>
      <c r="Z12" s="9">
        <f>AG26</f>
        <v>539</v>
      </c>
      <c r="AB12" s="9" t="s">
        <v>70</v>
      </c>
      <c r="AC12" s="9" t="s">
        <v>76</v>
      </c>
      <c r="AD12" s="9">
        <f>AG37</f>
        <v>276</v>
      </c>
    </row>
    <row r="13" spans="1:32">
      <c r="A13" s="43"/>
      <c r="B13" s="33" t="s">
        <v>13</v>
      </c>
      <c r="C13" s="3">
        <f>21+2</f>
        <v>23</v>
      </c>
      <c r="D13" s="3">
        <f t="shared" si="2"/>
        <v>69</v>
      </c>
      <c r="E13" s="3">
        <f>254+20</f>
        <v>274</v>
      </c>
      <c r="F13" s="4">
        <v>4.5999999999999996</v>
      </c>
      <c r="G13" s="3">
        <f t="shared" si="3"/>
        <v>822</v>
      </c>
      <c r="H13" s="3">
        <f>47+15</f>
        <v>62</v>
      </c>
      <c r="I13" s="3">
        <f t="shared" si="4"/>
        <v>186</v>
      </c>
      <c r="J13" s="3">
        <f>302+150</f>
        <v>452</v>
      </c>
      <c r="K13" s="4">
        <v>10.54</v>
      </c>
      <c r="L13" s="3">
        <f t="shared" si="5"/>
        <v>1356</v>
      </c>
      <c r="M13" s="3">
        <v>18</v>
      </c>
      <c r="N13" s="3">
        <f t="shared" si="0"/>
        <v>54</v>
      </c>
      <c r="O13" s="3">
        <v>198</v>
      </c>
      <c r="P13" s="4">
        <v>2.52</v>
      </c>
      <c r="Q13" s="3">
        <f t="shared" si="1"/>
        <v>594</v>
      </c>
      <c r="X13" s="9" t="s">
        <v>69</v>
      </c>
      <c r="Y13" s="9" t="s">
        <v>77</v>
      </c>
      <c r="Z13" s="9">
        <f>AL26</f>
        <v>360</v>
      </c>
      <c r="AB13" s="9" t="s">
        <v>70</v>
      </c>
      <c r="AC13" s="9" t="s">
        <v>77</v>
      </c>
      <c r="AD13" s="9">
        <f>AL37</f>
        <v>140</v>
      </c>
    </row>
    <row r="14" spans="1:32">
      <c r="A14" s="44" t="s">
        <v>18</v>
      </c>
      <c r="B14" s="32" t="s">
        <v>12</v>
      </c>
      <c r="C14" s="3">
        <v>25</v>
      </c>
      <c r="D14" s="3">
        <f t="shared" si="2"/>
        <v>75</v>
      </c>
      <c r="E14" s="3">
        <v>629</v>
      </c>
      <c r="F14" s="4">
        <v>5</v>
      </c>
      <c r="G14" s="3">
        <f t="shared" si="3"/>
        <v>1887</v>
      </c>
      <c r="H14" s="3">
        <f>33+13</f>
        <v>46</v>
      </c>
      <c r="I14" s="3">
        <f t="shared" si="4"/>
        <v>138</v>
      </c>
      <c r="J14" s="3">
        <f>652+130</f>
        <v>782</v>
      </c>
      <c r="K14" s="4">
        <v>7.82</v>
      </c>
      <c r="L14" s="3">
        <f t="shared" si="5"/>
        <v>2346</v>
      </c>
      <c r="M14" s="3">
        <v>14</v>
      </c>
      <c r="N14" s="3">
        <f t="shared" si="0"/>
        <v>42</v>
      </c>
      <c r="O14" s="3">
        <v>140</v>
      </c>
      <c r="P14" s="4">
        <v>1.96</v>
      </c>
      <c r="Q14" s="3">
        <f t="shared" si="1"/>
        <v>420</v>
      </c>
      <c r="X14" s="9" t="s">
        <v>69</v>
      </c>
      <c r="Y14" s="9" t="s">
        <v>78</v>
      </c>
      <c r="Z14" s="9">
        <f>AQ26</f>
        <v>514</v>
      </c>
      <c r="AB14" s="9" t="s">
        <v>70</v>
      </c>
      <c r="AC14" s="9" t="s">
        <v>78</v>
      </c>
      <c r="AD14" s="9">
        <f>AQ37</f>
        <v>618</v>
      </c>
      <c r="AF14" s="9" t="s">
        <v>79</v>
      </c>
    </row>
    <row r="15" spans="1:32">
      <c r="A15" s="44"/>
      <c r="B15" s="32" t="s">
        <v>13</v>
      </c>
      <c r="C15" s="3">
        <f>31+22</f>
        <v>53</v>
      </c>
      <c r="D15" s="3">
        <f t="shared" si="2"/>
        <v>159</v>
      </c>
      <c r="E15" s="3">
        <f>97+220</f>
        <v>317</v>
      </c>
      <c r="F15" s="4">
        <v>10.6</v>
      </c>
      <c r="G15" s="3">
        <f t="shared" si="3"/>
        <v>951</v>
      </c>
      <c r="H15" s="3">
        <f>59+6</f>
        <v>65</v>
      </c>
      <c r="I15" s="3">
        <f t="shared" si="4"/>
        <v>195</v>
      </c>
      <c r="J15" s="3">
        <f>598+6</f>
        <v>604</v>
      </c>
      <c r="K15" s="4">
        <v>11.05</v>
      </c>
      <c r="L15" s="3">
        <f t="shared" si="5"/>
        <v>1812</v>
      </c>
      <c r="M15" s="3">
        <v>45</v>
      </c>
      <c r="N15" s="3">
        <f t="shared" si="0"/>
        <v>135</v>
      </c>
      <c r="O15" s="3">
        <v>450</v>
      </c>
      <c r="P15" s="4">
        <v>6.3</v>
      </c>
      <c r="Q15" s="3">
        <f t="shared" si="1"/>
        <v>1350</v>
      </c>
      <c r="Z15" s="9">
        <f>SUM(Z6:Z14)</f>
        <v>2807</v>
      </c>
      <c r="AD15" s="9">
        <f>SUM(AD6:AD14)</f>
        <v>2460</v>
      </c>
      <c r="AF15" s="9">
        <f>SUM(U9,Z15,AD15)</f>
        <v>6655</v>
      </c>
    </row>
    <row r="16" spans="1:32">
      <c r="A16" s="34" t="s">
        <v>80</v>
      </c>
      <c r="B16" s="34"/>
      <c r="C16" s="31">
        <f>SUM(C4:C15)</f>
        <v>281</v>
      </c>
      <c r="D16" s="7">
        <f t="shared" ref="D16:Q16" si="6">SUM(D4:D15)</f>
        <v>843</v>
      </c>
      <c r="E16" s="31">
        <f t="shared" si="6"/>
        <v>3762</v>
      </c>
      <c r="F16" s="31">
        <f t="shared" si="6"/>
        <v>56.2</v>
      </c>
      <c r="G16" s="7">
        <f t="shared" si="6"/>
        <v>11286</v>
      </c>
      <c r="H16" s="34">
        <f>SUM(H4:H15)</f>
        <v>621</v>
      </c>
      <c r="I16" s="7">
        <f t="shared" si="6"/>
        <v>1863</v>
      </c>
      <c r="J16" s="34">
        <f t="shared" si="6"/>
        <v>7951</v>
      </c>
      <c r="K16" s="7">
        <f t="shared" si="6"/>
        <v>105.57000000000001</v>
      </c>
      <c r="L16" s="7">
        <f t="shared" si="6"/>
        <v>23853</v>
      </c>
      <c r="M16" s="7">
        <f>SUM(M4:M15)</f>
        <v>486</v>
      </c>
      <c r="N16" s="7">
        <f t="shared" si="6"/>
        <v>1458</v>
      </c>
      <c r="O16" s="7">
        <f t="shared" si="6"/>
        <v>7312</v>
      </c>
      <c r="P16" s="7">
        <f t="shared" si="6"/>
        <v>68.040000000000006</v>
      </c>
      <c r="Q16" s="7">
        <f t="shared" si="6"/>
        <v>21936</v>
      </c>
    </row>
    <row r="17" spans="1:47">
      <c r="C17" s="35"/>
      <c r="D17" s="35"/>
      <c r="E17" s="35"/>
      <c r="F17" s="35"/>
      <c r="G17" s="35"/>
    </row>
    <row r="18" spans="1:47">
      <c r="A18" s="41" t="s">
        <v>1</v>
      </c>
      <c r="B18" s="45" t="s">
        <v>2</v>
      </c>
      <c r="C18" s="38" t="s">
        <v>68</v>
      </c>
      <c r="D18" s="39"/>
      <c r="E18" s="39"/>
      <c r="F18" s="39"/>
      <c r="G18" s="40"/>
      <c r="H18" s="38" t="s">
        <v>4</v>
      </c>
      <c r="I18" s="39"/>
      <c r="J18" s="39"/>
      <c r="K18" s="39"/>
      <c r="L18" s="40"/>
      <c r="M18" s="38" t="s">
        <v>5</v>
      </c>
      <c r="N18" s="39"/>
      <c r="O18" s="39"/>
      <c r="P18" s="39"/>
      <c r="Q18" s="40"/>
      <c r="R18" s="38" t="s">
        <v>73</v>
      </c>
      <c r="S18" s="39"/>
      <c r="T18" s="39"/>
      <c r="U18" s="39"/>
      <c r="V18" s="40"/>
      <c r="W18" s="38" t="s">
        <v>74</v>
      </c>
      <c r="X18" s="39"/>
      <c r="Y18" s="39"/>
      <c r="Z18" s="39"/>
      <c r="AA18" s="40"/>
      <c r="AB18" s="38" t="s">
        <v>75</v>
      </c>
      <c r="AC18" s="39"/>
      <c r="AD18" s="39"/>
      <c r="AE18" s="39"/>
      <c r="AF18" s="40"/>
      <c r="AG18" s="38" t="s">
        <v>76</v>
      </c>
      <c r="AH18" s="39"/>
      <c r="AI18" s="39"/>
      <c r="AJ18" s="39"/>
      <c r="AK18" s="40"/>
      <c r="AL18" s="38" t="s">
        <v>77</v>
      </c>
      <c r="AM18" s="39"/>
      <c r="AN18" s="39"/>
      <c r="AO18" s="39"/>
      <c r="AP18" s="40"/>
      <c r="AQ18" s="38" t="s">
        <v>78</v>
      </c>
      <c r="AR18" s="39"/>
      <c r="AS18" s="39"/>
      <c r="AT18" s="39"/>
      <c r="AU18" s="40"/>
    </row>
    <row r="19" spans="1:47" ht="27">
      <c r="A19" s="41"/>
      <c r="B19" s="46"/>
      <c r="C19" s="1" t="s">
        <v>6</v>
      </c>
      <c r="D19" s="1" t="s">
        <v>7</v>
      </c>
      <c r="E19" s="1" t="s">
        <v>8</v>
      </c>
      <c r="F19" s="1" t="s">
        <v>9</v>
      </c>
      <c r="G19" s="1" t="s">
        <v>10</v>
      </c>
      <c r="H19" s="1" t="s">
        <v>6</v>
      </c>
      <c r="I19" s="2" t="s">
        <v>7</v>
      </c>
      <c r="J19" s="1" t="s">
        <v>8</v>
      </c>
      <c r="K19" s="1" t="s">
        <v>9</v>
      </c>
      <c r="L19" s="1" t="s">
        <v>10</v>
      </c>
      <c r="M19" s="1" t="s">
        <v>6</v>
      </c>
      <c r="N19" s="2" t="s">
        <v>7</v>
      </c>
      <c r="O19" s="1" t="s">
        <v>8</v>
      </c>
      <c r="P19" s="1" t="s">
        <v>9</v>
      </c>
      <c r="Q19" s="1" t="s">
        <v>10</v>
      </c>
      <c r="R19" s="1" t="s">
        <v>6</v>
      </c>
      <c r="S19" s="2" t="s">
        <v>7</v>
      </c>
      <c r="T19" s="1" t="s">
        <v>8</v>
      </c>
      <c r="U19" s="1" t="s">
        <v>9</v>
      </c>
      <c r="V19" s="1" t="s">
        <v>10</v>
      </c>
      <c r="W19" s="1" t="s">
        <v>6</v>
      </c>
      <c r="X19" s="2" t="s">
        <v>7</v>
      </c>
      <c r="Y19" s="1" t="s">
        <v>8</v>
      </c>
      <c r="Z19" s="1" t="s">
        <v>9</v>
      </c>
      <c r="AA19" s="1" t="s">
        <v>10</v>
      </c>
      <c r="AB19" s="1" t="s">
        <v>6</v>
      </c>
      <c r="AC19" s="2" t="s">
        <v>7</v>
      </c>
      <c r="AD19" s="1" t="s">
        <v>8</v>
      </c>
      <c r="AE19" s="1" t="s">
        <v>9</v>
      </c>
      <c r="AF19" s="1" t="s">
        <v>10</v>
      </c>
      <c r="AG19" s="1" t="s">
        <v>6</v>
      </c>
      <c r="AH19" s="2" t="s">
        <v>7</v>
      </c>
      <c r="AI19" s="1" t="s">
        <v>8</v>
      </c>
      <c r="AJ19" s="1" t="s">
        <v>9</v>
      </c>
      <c r="AK19" s="1" t="s">
        <v>10</v>
      </c>
      <c r="AL19" s="1" t="s">
        <v>6</v>
      </c>
      <c r="AM19" s="2" t="s">
        <v>7</v>
      </c>
      <c r="AN19" s="1" t="s">
        <v>8</v>
      </c>
      <c r="AO19" s="1" t="s">
        <v>9</v>
      </c>
      <c r="AP19" s="1" t="s">
        <v>10</v>
      </c>
      <c r="AQ19" s="1" t="s">
        <v>6</v>
      </c>
      <c r="AR19" s="2" t="s">
        <v>7</v>
      </c>
      <c r="AS19" s="1" t="s">
        <v>8</v>
      </c>
      <c r="AT19" s="1" t="s">
        <v>9</v>
      </c>
      <c r="AU19" s="1" t="s">
        <v>10</v>
      </c>
    </row>
    <row r="20" spans="1:47">
      <c r="A20" s="42" t="s">
        <v>25</v>
      </c>
      <c r="B20" s="32" t="s">
        <v>12</v>
      </c>
      <c r="C20" s="3">
        <f>14+14</f>
        <v>28</v>
      </c>
      <c r="D20" s="3">
        <f t="shared" ref="D20:D25" si="7">C20*3</f>
        <v>84</v>
      </c>
      <c r="E20" s="3">
        <f>68+140</f>
        <v>208</v>
      </c>
      <c r="F20" s="4">
        <f t="shared" ref="F20:F25" si="8">C20*0.25</f>
        <v>7</v>
      </c>
      <c r="G20" s="3">
        <f t="shared" ref="G20:G25" si="9">E20*3</f>
        <v>624</v>
      </c>
      <c r="H20" s="3">
        <f>25+27</f>
        <v>52</v>
      </c>
      <c r="I20" s="3">
        <f t="shared" ref="I20:I25" si="10">H20*3</f>
        <v>156</v>
      </c>
      <c r="J20" s="3">
        <f>1527+270</f>
        <v>1797</v>
      </c>
      <c r="K20" s="4">
        <f t="shared" ref="K20:K25" si="11">H20*0.23</f>
        <v>11.96</v>
      </c>
      <c r="L20" s="3">
        <f t="shared" ref="L20:L25" si="12">J20*3</f>
        <v>5391</v>
      </c>
      <c r="M20" s="3">
        <f>9+9</f>
        <v>18</v>
      </c>
      <c r="N20" s="3">
        <f t="shared" ref="N20:N25" si="13">M20*3</f>
        <v>54</v>
      </c>
      <c r="O20" s="3">
        <f>143+90</f>
        <v>233</v>
      </c>
      <c r="P20" s="4">
        <f t="shared" ref="P20:P25" si="14">M20*0.17</f>
        <v>3.06</v>
      </c>
      <c r="Q20" s="3">
        <f t="shared" ref="Q20:Q25" si="15">O20*3</f>
        <v>699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3">
        <f>29+16</f>
        <v>45</v>
      </c>
      <c r="AC20" s="3">
        <f t="shared" ref="AC20:AC23" si="16">AB20*3</f>
        <v>135</v>
      </c>
      <c r="AD20" s="3">
        <f>451+160</f>
        <v>611</v>
      </c>
      <c r="AE20" s="4">
        <f>AB20*0.12</f>
        <v>5.3999999999999995</v>
      </c>
      <c r="AF20" s="3">
        <f t="shared" ref="AF20:AF23" si="17">AD20*3</f>
        <v>1833</v>
      </c>
      <c r="AG20" s="3">
        <f>89+2</f>
        <v>91</v>
      </c>
      <c r="AH20" s="3">
        <f t="shared" ref="AH20:AH26" si="18">AG20*3</f>
        <v>273</v>
      </c>
      <c r="AI20" s="3">
        <f>1344+20</f>
        <v>1364</v>
      </c>
      <c r="AJ20" s="4">
        <f t="shared" ref="AJ20:AJ26" si="19">AG20*0.13</f>
        <v>11.83</v>
      </c>
      <c r="AK20" s="3">
        <f t="shared" ref="AK20:AK26" si="20">AI20*3</f>
        <v>4092</v>
      </c>
      <c r="AL20" s="3">
        <f>54+3</f>
        <v>57</v>
      </c>
      <c r="AM20" s="3">
        <f t="shared" ref="AM20:AM25" si="21">AL20*3</f>
        <v>171</v>
      </c>
      <c r="AN20" s="3">
        <f>468+30</f>
        <v>498</v>
      </c>
      <c r="AO20" s="4">
        <f t="shared" ref="AO20:AO25" si="22">AL20*0.27</f>
        <v>15.39</v>
      </c>
      <c r="AP20" s="3">
        <f t="shared" ref="AP20:AP25" si="23">AN20*3</f>
        <v>1494</v>
      </c>
      <c r="AQ20" s="3">
        <f>131+5</f>
        <v>136</v>
      </c>
      <c r="AR20" s="3">
        <f t="shared" ref="AR20:AR25" si="24">AQ20*3</f>
        <v>408</v>
      </c>
      <c r="AS20" s="3">
        <f>1281+50</f>
        <v>1331</v>
      </c>
      <c r="AT20" s="4">
        <f t="shared" ref="AT20:AT25" si="25">AQ20*0.21</f>
        <v>28.56</v>
      </c>
      <c r="AU20" s="3">
        <f t="shared" ref="AU20:AU25" si="26">AS20*3</f>
        <v>3993</v>
      </c>
    </row>
    <row r="21" spans="1:47">
      <c r="A21" s="43"/>
      <c r="B21" s="33" t="s">
        <v>13</v>
      </c>
      <c r="C21" s="3">
        <f>20+7</f>
        <v>27</v>
      </c>
      <c r="D21" s="3">
        <f t="shared" si="7"/>
        <v>81</v>
      </c>
      <c r="E21" s="3">
        <f>100+70</f>
        <v>170</v>
      </c>
      <c r="F21" s="4">
        <f t="shared" si="8"/>
        <v>6.75</v>
      </c>
      <c r="G21" s="3">
        <f t="shared" si="9"/>
        <v>510</v>
      </c>
      <c r="H21" s="3">
        <f>62+19</f>
        <v>81</v>
      </c>
      <c r="I21" s="3">
        <f t="shared" si="10"/>
        <v>243</v>
      </c>
      <c r="J21" s="3">
        <f>1076+190</f>
        <v>1266</v>
      </c>
      <c r="K21" s="4">
        <f t="shared" si="11"/>
        <v>18.630000000000003</v>
      </c>
      <c r="L21" s="3">
        <f t="shared" si="12"/>
        <v>3798</v>
      </c>
      <c r="M21" s="3">
        <f>18+2</f>
        <v>20</v>
      </c>
      <c r="N21" s="3">
        <f t="shared" si="13"/>
        <v>60</v>
      </c>
      <c r="O21" s="3">
        <f>269+20</f>
        <v>289</v>
      </c>
      <c r="P21" s="4">
        <f t="shared" si="14"/>
        <v>3.4000000000000004</v>
      </c>
      <c r="Q21" s="3">
        <f t="shared" si="15"/>
        <v>867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3">
        <f>23+12</f>
        <v>35</v>
      </c>
      <c r="AC21" s="3">
        <f t="shared" si="16"/>
        <v>105</v>
      </c>
      <c r="AD21" s="3">
        <f>78+120</f>
        <v>198</v>
      </c>
      <c r="AE21" s="4">
        <f>AB21*0.12</f>
        <v>4.2</v>
      </c>
      <c r="AF21" s="3">
        <f t="shared" si="17"/>
        <v>594</v>
      </c>
      <c r="AG21" s="3">
        <f>85+1</f>
        <v>86</v>
      </c>
      <c r="AH21" s="3">
        <f t="shared" si="18"/>
        <v>258</v>
      </c>
      <c r="AI21" s="3">
        <f>1010+10</f>
        <v>1020</v>
      </c>
      <c r="AJ21" s="4">
        <f t="shared" si="19"/>
        <v>11.18</v>
      </c>
      <c r="AK21" s="3">
        <f t="shared" si="20"/>
        <v>3060</v>
      </c>
      <c r="AL21" s="3">
        <f>39+6</f>
        <v>45</v>
      </c>
      <c r="AM21" s="3">
        <f t="shared" si="21"/>
        <v>135</v>
      </c>
      <c r="AN21" s="3">
        <f>360+60</f>
        <v>420</v>
      </c>
      <c r="AO21" s="4">
        <f t="shared" si="22"/>
        <v>12.15</v>
      </c>
      <c r="AP21" s="3">
        <f t="shared" si="23"/>
        <v>1260</v>
      </c>
      <c r="AQ21" s="3">
        <f>101+18</f>
        <v>119</v>
      </c>
      <c r="AR21" s="3">
        <f t="shared" si="24"/>
        <v>357</v>
      </c>
      <c r="AS21" s="3">
        <f>1685+180</f>
        <v>1865</v>
      </c>
      <c r="AT21" s="4">
        <f t="shared" si="25"/>
        <v>24.99</v>
      </c>
      <c r="AU21" s="3">
        <f t="shared" si="26"/>
        <v>5595</v>
      </c>
    </row>
    <row r="22" spans="1:47">
      <c r="A22" s="42" t="s">
        <v>26</v>
      </c>
      <c r="B22" s="32" t="s">
        <v>12</v>
      </c>
      <c r="C22" s="3">
        <v>31</v>
      </c>
      <c r="D22" s="3">
        <f t="shared" si="7"/>
        <v>93</v>
      </c>
      <c r="E22" s="3">
        <v>142</v>
      </c>
      <c r="F22" s="4">
        <f t="shared" si="8"/>
        <v>7.75</v>
      </c>
      <c r="G22" s="3">
        <f t="shared" si="9"/>
        <v>426</v>
      </c>
      <c r="H22" s="3">
        <f>47+36</f>
        <v>83</v>
      </c>
      <c r="I22" s="3">
        <f t="shared" si="10"/>
        <v>249</v>
      </c>
      <c r="J22" s="3">
        <f>957+360</f>
        <v>1317</v>
      </c>
      <c r="K22" s="4">
        <f t="shared" si="11"/>
        <v>19.09</v>
      </c>
      <c r="L22" s="3">
        <f t="shared" si="12"/>
        <v>3951</v>
      </c>
      <c r="M22" s="3">
        <f>16+8</f>
        <v>24</v>
      </c>
      <c r="N22" s="3">
        <f t="shared" si="13"/>
        <v>72</v>
      </c>
      <c r="O22" s="3">
        <f>290+80</f>
        <v>370</v>
      </c>
      <c r="P22" s="4">
        <f t="shared" si="14"/>
        <v>4.08</v>
      </c>
      <c r="Q22" s="3">
        <f t="shared" si="15"/>
        <v>1110</v>
      </c>
      <c r="R22" s="3">
        <f>61+20</f>
        <v>81</v>
      </c>
      <c r="S22" s="3">
        <f t="shared" ref="S22:S25" si="27">R22*3</f>
        <v>243</v>
      </c>
      <c r="T22" s="3">
        <f>621+20</f>
        <v>641</v>
      </c>
      <c r="U22" s="4">
        <f>R22*0.24</f>
        <v>19.439999999999998</v>
      </c>
      <c r="V22" s="3">
        <f t="shared" ref="V22:V25" si="28">T22*3</f>
        <v>1923</v>
      </c>
      <c r="W22" s="5"/>
      <c r="X22" s="5"/>
      <c r="Y22" s="5"/>
      <c r="Z22" s="5"/>
      <c r="AA22" s="5"/>
      <c r="AB22" s="3">
        <f>17+18</f>
        <v>35</v>
      </c>
      <c r="AC22" s="3">
        <f t="shared" si="16"/>
        <v>105</v>
      </c>
      <c r="AD22" s="3">
        <f>53+180</f>
        <v>233</v>
      </c>
      <c r="AE22" s="4">
        <f>AB22*0.12</f>
        <v>4.2</v>
      </c>
      <c r="AF22" s="3">
        <f t="shared" si="17"/>
        <v>699</v>
      </c>
      <c r="AG22" s="3">
        <v>88</v>
      </c>
      <c r="AH22" s="3">
        <f t="shared" si="18"/>
        <v>264</v>
      </c>
      <c r="AI22" s="3">
        <v>794</v>
      </c>
      <c r="AJ22" s="4">
        <f t="shared" si="19"/>
        <v>11.440000000000001</v>
      </c>
      <c r="AK22" s="3">
        <f t="shared" si="20"/>
        <v>2382</v>
      </c>
      <c r="AL22" s="3">
        <f>49+10</f>
        <v>59</v>
      </c>
      <c r="AM22" s="3">
        <f t="shared" si="21"/>
        <v>177</v>
      </c>
      <c r="AN22" s="3">
        <f>327+100</f>
        <v>427</v>
      </c>
      <c r="AO22" s="4">
        <f t="shared" si="22"/>
        <v>15.930000000000001</v>
      </c>
      <c r="AP22" s="3">
        <f t="shared" si="23"/>
        <v>1281</v>
      </c>
      <c r="AQ22" s="3">
        <f>75+7</f>
        <v>82</v>
      </c>
      <c r="AR22" s="3">
        <f t="shared" si="24"/>
        <v>246</v>
      </c>
      <c r="AS22" s="3">
        <f>903+70</f>
        <v>973</v>
      </c>
      <c r="AT22" s="4">
        <f t="shared" si="25"/>
        <v>17.22</v>
      </c>
      <c r="AU22" s="3">
        <f t="shared" si="26"/>
        <v>2919</v>
      </c>
    </row>
    <row r="23" spans="1:47">
      <c r="A23" s="43"/>
      <c r="B23" s="33" t="s">
        <v>13</v>
      </c>
      <c r="C23" s="3">
        <f>16+3</f>
        <v>19</v>
      </c>
      <c r="D23" s="3">
        <f t="shared" si="7"/>
        <v>57</v>
      </c>
      <c r="E23" s="3">
        <f>88+30</f>
        <v>118</v>
      </c>
      <c r="F23" s="4">
        <f t="shared" si="8"/>
        <v>4.75</v>
      </c>
      <c r="G23" s="3">
        <f t="shared" si="9"/>
        <v>354</v>
      </c>
      <c r="H23" s="3">
        <f>28+14</f>
        <v>42</v>
      </c>
      <c r="I23" s="3">
        <f t="shared" si="10"/>
        <v>126</v>
      </c>
      <c r="J23" s="3">
        <f>715+140</f>
        <v>855</v>
      </c>
      <c r="K23" s="4">
        <f t="shared" si="11"/>
        <v>9.66</v>
      </c>
      <c r="L23" s="3">
        <f t="shared" si="12"/>
        <v>2565</v>
      </c>
      <c r="M23" s="3">
        <v>38</v>
      </c>
      <c r="N23" s="3">
        <f t="shared" si="13"/>
        <v>114</v>
      </c>
      <c r="O23" s="3">
        <v>783</v>
      </c>
      <c r="P23" s="4">
        <f t="shared" si="14"/>
        <v>6.4600000000000009</v>
      </c>
      <c r="Q23" s="3">
        <f t="shared" si="15"/>
        <v>2349</v>
      </c>
      <c r="R23" s="3">
        <f>24+8</f>
        <v>32</v>
      </c>
      <c r="S23" s="3">
        <f t="shared" si="27"/>
        <v>96</v>
      </c>
      <c r="T23" s="3">
        <f>452+8</f>
        <v>460</v>
      </c>
      <c r="U23" s="4">
        <f>R23*0.24</f>
        <v>7.68</v>
      </c>
      <c r="V23" s="3">
        <f t="shared" si="28"/>
        <v>1380</v>
      </c>
      <c r="W23" s="5"/>
      <c r="X23" s="5"/>
      <c r="Y23" s="5"/>
      <c r="Z23" s="5"/>
      <c r="AA23" s="5"/>
      <c r="AB23" s="3">
        <f>17+11</f>
        <v>28</v>
      </c>
      <c r="AC23" s="3">
        <f t="shared" si="16"/>
        <v>84</v>
      </c>
      <c r="AD23" s="3">
        <f>97+110</f>
        <v>207</v>
      </c>
      <c r="AE23" s="4">
        <f>AB23*0.12</f>
        <v>3.36</v>
      </c>
      <c r="AF23" s="3">
        <f t="shared" si="17"/>
        <v>621</v>
      </c>
      <c r="AG23" s="3">
        <v>105</v>
      </c>
      <c r="AH23" s="3">
        <f t="shared" si="18"/>
        <v>315</v>
      </c>
      <c r="AI23" s="3">
        <v>108</v>
      </c>
      <c r="AJ23" s="4">
        <f t="shared" si="19"/>
        <v>13.65</v>
      </c>
      <c r="AK23" s="3">
        <f t="shared" si="20"/>
        <v>324</v>
      </c>
      <c r="AL23" s="3">
        <f>61+18</f>
        <v>79</v>
      </c>
      <c r="AM23" s="3">
        <f t="shared" si="21"/>
        <v>237</v>
      </c>
      <c r="AN23" s="3">
        <f>278+180</f>
        <v>458</v>
      </c>
      <c r="AO23" s="4">
        <f t="shared" si="22"/>
        <v>21.330000000000002</v>
      </c>
      <c r="AP23" s="3">
        <f t="shared" si="23"/>
        <v>1374</v>
      </c>
      <c r="AQ23" s="3">
        <f>67+39</f>
        <v>106</v>
      </c>
      <c r="AR23" s="3">
        <f t="shared" si="24"/>
        <v>318</v>
      </c>
      <c r="AS23" s="3">
        <f>860+390</f>
        <v>1250</v>
      </c>
      <c r="AT23" s="4">
        <f t="shared" si="25"/>
        <v>22.259999999999998</v>
      </c>
      <c r="AU23" s="3">
        <f t="shared" si="26"/>
        <v>3750</v>
      </c>
    </row>
    <row r="24" spans="1:47">
      <c r="A24" s="44" t="s">
        <v>27</v>
      </c>
      <c r="B24" s="32" t="s">
        <v>12</v>
      </c>
      <c r="C24" s="3">
        <f>30+2</f>
        <v>32</v>
      </c>
      <c r="D24" s="3">
        <f t="shared" si="7"/>
        <v>96</v>
      </c>
      <c r="E24" s="3">
        <f>142+20</f>
        <v>162</v>
      </c>
      <c r="F24" s="4">
        <f t="shared" si="8"/>
        <v>8</v>
      </c>
      <c r="G24" s="3">
        <f t="shared" si="9"/>
        <v>486</v>
      </c>
      <c r="H24" s="3">
        <f>44+18</f>
        <v>62</v>
      </c>
      <c r="I24" s="3">
        <f t="shared" si="10"/>
        <v>186</v>
      </c>
      <c r="J24" s="3">
        <f>1389+180</f>
        <v>1569</v>
      </c>
      <c r="K24" s="4">
        <f t="shared" si="11"/>
        <v>14.26</v>
      </c>
      <c r="L24" s="3">
        <f t="shared" si="12"/>
        <v>4707</v>
      </c>
      <c r="M24" s="3">
        <v>33</v>
      </c>
      <c r="N24" s="3">
        <f t="shared" si="13"/>
        <v>99</v>
      </c>
      <c r="O24" s="3">
        <v>481</v>
      </c>
      <c r="P24" s="4">
        <f t="shared" si="14"/>
        <v>5.61</v>
      </c>
      <c r="Q24" s="3">
        <f t="shared" si="15"/>
        <v>1443</v>
      </c>
      <c r="R24" s="3">
        <v>38</v>
      </c>
      <c r="S24" s="3">
        <f t="shared" si="27"/>
        <v>114</v>
      </c>
      <c r="T24" s="3">
        <v>955</v>
      </c>
      <c r="U24" s="4">
        <f>R24*0.24</f>
        <v>9.1199999999999992</v>
      </c>
      <c r="V24" s="3">
        <f t="shared" si="28"/>
        <v>2865</v>
      </c>
      <c r="W24" s="3">
        <f>86+35</f>
        <v>121</v>
      </c>
      <c r="X24" s="3">
        <f>W24*3</f>
        <v>363</v>
      </c>
      <c r="Y24" s="3">
        <f>1847+350</f>
        <v>2197</v>
      </c>
      <c r="Z24" s="4">
        <f>W24*0.15</f>
        <v>18.149999999999999</v>
      </c>
      <c r="AA24" s="3">
        <f>Y24*3</f>
        <v>6591</v>
      </c>
      <c r="AB24" s="5"/>
      <c r="AC24" s="5"/>
      <c r="AD24" s="5"/>
      <c r="AE24" s="5"/>
      <c r="AF24" s="5"/>
      <c r="AG24" s="3">
        <v>92</v>
      </c>
      <c r="AH24" s="3">
        <f t="shared" si="18"/>
        <v>276</v>
      </c>
      <c r="AI24" s="3">
        <v>820</v>
      </c>
      <c r="AJ24" s="4">
        <f t="shared" si="19"/>
        <v>11.96</v>
      </c>
      <c r="AK24" s="3">
        <f t="shared" si="20"/>
        <v>2460</v>
      </c>
      <c r="AL24" s="3">
        <f>44+31</f>
        <v>75</v>
      </c>
      <c r="AM24" s="3">
        <f t="shared" si="21"/>
        <v>225</v>
      </c>
      <c r="AN24" s="3">
        <f>303+310</f>
        <v>613</v>
      </c>
      <c r="AO24" s="4">
        <f t="shared" si="22"/>
        <v>20.25</v>
      </c>
      <c r="AP24" s="3">
        <f t="shared" si="23"/>
        <v>1839</v>
      </c>
      <c r="AQ24" s="3">
        <v>35</v>
      </c>
      <c r="AR24" s="3">
        <f t="shared" si="24"/>
        <v>105</v>
      </c>
      <c r="AS24" s="3">
        <v>422</v>
      </c>
      <c r="AT24" s="4">
        <f t="shared" si="25"/>
        <v>7.35</v>
      </c>
      <c r="AU24" s="3">
        <f t="shared" si="26"/>
        <v>1266</v>
      </c>
    </row>
    <row r="25" spans="1:47">
      <c r="A25" s="44"/>
      <c r="B25" s="32" t="s">
        <v>13</v>
      </c>
      <c r="C25" s="3">
        <f>25+5</f>
        <v>30</v>
      </c>
      <c r="D25" s="3">
        <f t="shared" si="7"/>
        <v>90</v>
      </c>
      <c r="E25" s="3">
        <f>211+50</f>
        <v>261</v>
      </c>
      <c r="F25" s="4">
        <f t="shared" si="8"/>
        <v>7.5</v>
      </c>
      <c r="G25" s="3">
        <f t="shared" si="9"/>
        <v>783</v>
      </c>
      <c r="H25" s="3">
        <f>32+31</f>
        <v>63</v>
      </c>
      <c r="I25" s="3">
        <f t="shared" si="10"/>
        <v>189</v>
      </c>
      <c r="J25" s="3">
        <f>359+310</f>
        <v>669</v>
      </c>
      <c r="K25" s="4">
        <f t="shared" si="11"/>
        <v>14.49</v>
      </c>
      <c r="L25" s="3">
        <f t="shared" si="12"/>
        <v>2007</v>
      </c>
      <c r="M25" s="3">
        <f>32+33</f>
        <v>65</v>
      </c>
      <c r="N25" s="3">
        <f t="shared" si="13"/>
        <v>195</v>
      </c>
      <c r="O25" s="3">
        <f>701+330</f>
        <v>1031</v>
      </c>
      <c r="P25" s="4">
        <f t="shared" si="14"/>
        <v>11.05</v>
      </c>
      <c r="Q25" s="3">
        <f t="shared" si="15"/>
        <v>3093</v>
      </c>
      <c r="R25" s="3">
        <f>42+55</f>
        <v>97</v>
      </c>
      <c r="S25" s="3">
        <f t="shared" si="27"/>
        <v>291</v>
      </c>
      <c r="T25" s="3">
        <f>661+550</f>
        <v>1211</v>
      </c>
      <c r="U25" s="4">
        <f>R25*0.24</f>
        <v>23.279999999999998</v>
      </c>
      <c r="V25" s="3">
        <f t="shared" si="28"/>
        <v>3633</v>
      </c>
      <c r="W25" s="3">
        <f>95+39</f>
        <v>134</v>
      </c>
      <c r="X25" s="3">
        <f>W25*3</f>
        <v>402</v>
      </c>
      <c r="Y25" s="3">
        <f>832+390</f>
        <v>1222</v>
      </c>
      <c r="Z25" s="4">
        <f>W25*0.15</f>
        <v>20.099999999999998</v>
      </c>
      <c r="AA25" s="3">
        <f>Y25*3</f>
        <v>3666</v>
      </c>
      <c r="AB25" s="5"/>
      <c r="AC25" s="5"/>
      <c r="AD25" s="5"/>
      <c r="AE25" s="5"/>
      <c r="AF25" s="5"/>
      <c r="AG25" s="3">
        <f>69+8</f>
        <v>77</v>
      </c>
      <c r="AH25" s="3">
        <f t="shared" si="18"/>
        <v>231</v>
      </c>
      <c r="AI25" s="3">
        <f>132+80</f>
        <v>212</v>
      </c>
      <c r="AJ25" s="4">
        <f t="shared" si="19"/>
        <v>10.01</v>
      </c>
      <c r="AK25" s="3">
        <f t="shared" si="20"/>
        <v>636</v>
      </c>
      <c r="AL25" s="3">
        <v>45</v>
      </c>
      <c r="AM25" s="3">
        <f t="shared" si="21"/>
        <v>135</v>
      </c>
      <c r="AN25" s="3">
        <v>755</v>
      </c>
      <c r="AO25" s="4">
        <f t="shared" si="22"/>
        <v>12.15</v>
      </c>
      <c r="AP25" s="3">
        <f t="shared" si="23"/>
        <v>2265</v>
      </c>
      <c r="AQ25" s="3">
        <v>36</v>
      </c>
      <c r="AR25" s="3">
        <f t="shared" si="24"/>
        <v>108</v>
      </c>
      <c r="AS25" s="3">
        <v>478</v>
      </c>
      <c r="AT25" s="4">
        <f t="shared" si="25"/>
        <v>7.56</v>
      </c>
      <c r="AU25" s="3">
        <f t="shared" si="26"/>
        <v>1434</v>
      </c>
    </row>
    <row r="26" spans="1:47">
      <c r="A26" s="34" t="s">
        <v>80</v>
      </c>
      <c r="B26" s="34"/>
      <c r="C26" s="31">
        <f>SUM(C20:C25)</f>
        <v>167</v>
      </c>
      <c r="D26" s="7">
        <f t="shared" ref="D26:Q26" si="29">SUM(D20:D25)</f>
        <v>501</v>
      </c>
      <c r="E26" s="31">
        <f t="shared" si="29"/>
        <v>1061</v>
      </c>
      <c r="F26" s="7">
        <f t="shared" si="29"/>
        <v>41.75</v>
      </c>
      <c r="G26" s="7">
        <f t="shared" si="29"/>
        <v>3183</v>
      </c>
      <c r="H26" s="7">
        <f>SUM(H20:H25)</f>
        <v>383</v>
      </c>
      <c r="I26" s="7">
        <f t="shared" si="29"/>
        <v>1149</v>
      </c>
      <c r="J26" s="7">
        <f t="shared" si="29"/>
        <v>7473</v>
      </c>
      <c r="K26" s="7">
        <f t="shared" si="29"/>
        <v>88.09</v>
      </c>
      <c r="L26" s="7">
        <f t="shared" si="29"/>
        <v>22419</v>
      </c>
      <c r="M26" s="7">
        <f>SUM(M20:M25)</f>
        <v>198</v>
      </c>
      <c r="N26" s="7">
        <f t="shared" si="29"/>
        <v>594</v>
      </c>
      <c r="O26" s="7">
        <f t="shared" si="29"/>
        <v>3187</v>
      </c>
      <c r="P26" s="7">
        <f t="shared" si="29"/>
        <v>33.659999999999997</v>
      </c>
      <c r="Q26" s="7">
        <f t="shared" si="29"/>
        <v>9561</v>
      </c>
      <c r="R26" s="7">
        <f>SUM(R22:R25)</f>
        <v>248</v>
      </c>
      <c r="S26" s="7">
        <f>SUM(S22:S25)</f>
        <v>744</v>
      </c>
      <c r="T26" s="34">
        <f>SUM(T22:T25)</f>
        <v>3267</v>
      </c>
      <c r="U26" s="7">
        <f>SUM(U22:U25)</f>
        <v>59.519999999999996</v>
      </c>
      <c r="V26" s="7">
        <f>SUM(V22:V25)</f>
        <v>9801</v>
      </c>
      <c r="W26" s="7">
        <f>SUM(W24:W25)</f>
        <v>255</v>
      </c>
      <c r="X26" s="7">
        <f>SUM(X24:X25)</f>
        <v>765</v>
      </c>
      <c r="Y26" s="34">
        <f>SUM(Y24:Y25)</f>
        <v>3419</v>
      </c>
      <c r="Z26" s="34">
        <f>SUM(Z24:Z25)</f>
        <v>38.25</v>
      </c>
      <c r="AA26" s="7">
        <f>SUM(AA24:AA25)</f>
        <v>10257</v>
      </c>
      <c r="AB26" s="7">
        <f>SUM(AB20:AB23)</f>
        <v>143</v>
      </c>
      <c r="AC26" s="7">
        <f>SUM(AC20:AC23)</f>
        <v>429</v>
      </c>
      <c r="AD26" s="34">
        <f>SUM(AD20:AD23)</f>
        <v>1249</v>
      </c>
      <c r="AE26" s="34">
        <f>SUM(AE20:AE23)</f>
        <v>17.16</v>
      </c>
      <c r="AF26" s="7">
        <f>SUM(AF20:AF23)</f>
        <v>3747</v>
      </c>
      <c r="AG26" s="7">
        <f>SUM(AG20:AG25)</f>
        <v>539</v>
      </c>
      <c r="AH26" s="7">
        <f t="shared" si="18"/>
        <v>1617</v>
      </c>
      <c r="AI26" s="34">
        <f>SUM(AI20:AI25)</f>
        <v>4318</v>
      </c>
      <c r="AJ26" s="7">
        <f t="shared" si="19"/>
        <v>70.070000000000007</v>
      </c>
      <c r="AK26" s="7">
        <f t="shared" si="20"/>
        <v>12954</v>
      </c>
      <c r="AL26" s="34">
        <f>SUM(AL20:AL25)</f>
        <v>360</v>
      </c>
      <c r="AM26" s="7">
        <f t="shared" ref="AM26:AU26" si="30">SUM(AM20:AM25)</f>
        <v>1080</v>
      </c>
      <c r="AN26" s="34">
        <f t="shared" si="30"/>
        <v>3171</v>
      </c>
      <c r="AO26" s="7">
        <f t="shared" si="30"/>
        <v>97.2</v>
      </c>
      <c r="AP26" s="7">
        <f t="shared" si="30"/>
        <v>9513</v>
      </c>
      <c r="AQ26" s="7">
        <f>SUM(AQ20:AQ25)</f>
        <v>514</v>
      </c>
      <c r="AR26" s="7">
        <f t="shared" si="30"/>
        <v>1542</v>
      </c>
      <c r="AS26" s="7">
        <f t="shared" si="30"/>
        <v>6319</v>
      </c>
      <c r="AT26" s="7">
        <f t="shared" si="30"/>
        <v>107.94</v>
      </c>
      <c r="AU26" s="7">
        <f t="shared" si="30"/>
        <v>18957</v>
      </c>
    </row>
    <row r="29" spans="1:47">
      <c r="A29" s="41" t="s">
        <v>1</v>
      </c>
      <c r="B29" s="45" t="s">
        <v>2</v>
      </c>
      <c r="C29" s="38" t="s">
        <v>3</v>
      </c>
      <c r="D29" s="39"/>
      <c r="E29" s="39"/>
      <c r="F29" s="39"/>
      <c r="G29" s="40"/>
      <c r="H29" s="38" t="s">
        <v>4</v>
      </c>
      <c r="I29" s="39"/>
      <c r="J29" s="39"/>
      <c r="K29" s="39"/>
      <c r="L29" s="40"/>
      <c r="M29" s="38" t="s">
        <v>5</v>
      </c>
      <c r="N29" s="39"/>
      <c r="O29" s="39"/>
      <c r="P29" s="39"/>
      <c r="Q29" s="40"/>
      <c r="R29" s="38" t="s">
        <v>19</v>
      </c>
      <c r="S29" s="39"/>
      <c r="T29" s="39"/>
      <c r="U29" s="39"/>
      <c r="V29" s="40"/>
      <c r="W29" s="38" t="s">
        <v>20</v>
      </c>
      <c r="X29" s="39"/>
      <c r="Y29" s="39"/>
      <c r="Z29" s="39"/>
      <c r="AA29" s="40"/>
      <c r="AB29" s="38" t="s">
        <v>21</v>
      </c>
      <c r="AC29" s="39"/>
      <c r="AD29" s="39"/>
      <c r="AE29" s="39"/>
      <c r="AF29" s="40"/>
      <c r="AG29" s="38" t="s">
        <v>22</v>
      </c>
      <c r="AH29" s="39"/>
      <c r="AI29" s="39"/>
      <c r="AJ29" s="39"/>
      <c r="AK29" s="40"/>
      <c r="AL29" s="38" t="s">
        <v>23</v>
      </c>
      <c r="AM29" s="39"/>
      <c r="AN29" s="39"/>
      <c r="AO29" s="39"/>
      <c r="AP29" s="40"/>
      <c r="AQ29" s="38" t="s">
        <v>24</v>
      </c>
      <c r="AR29" s="39"/>
      <c r="AS29" s="39"/>
      <c r="AT29" s="39"/>
      <c r="AU29" s="40"/>
    </row>
    <row r="30" spans="1:47" ht="27">
      <c r="A30" s="41"/>
      <c r="B30" s="46"/>
      <c r="C30" s="1" t="s">
        <v>6</v>
      </c>
      <c r="D30" s="2" t="s">
        <v>7</v>
      </c>
      <c r="E30" s="1" t="s">
        <v>8</v>
      </c>
      <c r="F30" s="1" t="s">
        <v>9</v>
      </c>
      <c r="G30" s="1" t="s">
        <v>10</v>
      </c>
      <c r="H30" s="1" t="s">
        <v>6</v>
      </c>
      <c r="I30" s="2" t="s">
        <v>7</v>
      </c>
      <c r="J30" s="1" t="s">
        <v>8</v>
      </c>
      <c r="K30" s="1" t="s">
        <v>9</v>
      </c>
      <c r="L30" s="1" t="s">
        <v>10</v>
      </c>
      <c r="M30" s="1" t="s">
        <v>6</v>
      </c>
      <c r="N30" s="2" t="s">
        <v>7</v>
      </c>
      <c r="O30" s="1" t="s">
        <v>8</v>
      </c>
      <c r="P30" s="1" t="s">
        <v>9</v>
      </c>
      <c r="Q30" s="1" t="s">
        <v>10</v>
      </c>
      <c r="R30" s="1" t="s">
        <v>6</v>
      </c>
      <c r="S30" s="2" t="s">
        <v>7</v>
      </c>
      <c r="T30" s="1" t="s">
        <v>8</v>
      </c>
      <c r="U30" s="1" t="s">
        <v>9</v>
      </c>
      <c r="V30" s="1" t="s">
        <v>10</v>
      </c>
      <c r="W30" s="1" t="s">
        <v>6</v>
      </c>
      <c r="X30" s="2" t="s">
        <v>7</v>
      </c>
      <c r="Y30" s="1" t="s">
        <v>8</v>
      </c>
      <c r="Z30" s="1" t="s">
        <v>9</v>
      </c>
      <c r="AA30" s="1" t="s">
        <v>10</v>
      </c>
      <c r="AB30" s="1" t="s">
        <v>6</v>
      </c>
      <c r="AC30" s="2" t="s">
        <v>7</v>
      </c>
      <c r="AD30" s="1" t="s">
        <v>8</v>
      </c>
      <c r="AE30" s="1" t="s">
        <v>9</v>
      </c>
      <c r="AF30" s="1" t="s">
        <v>10</v>
      </c>
      <c r="AG30" s="1" t="s">
        <v>6</v>
      </c>
      <c r="AH30" s="2" t="s">
        <v>7</v>
      </c>
      <c r="AI30" s="1" t="s">
        <v>8</v>
      </c>
      <c r="AJ30" s="1" t="s">
        <v>9</v>
      </c>
      <c r="AK30" s="1" t="s">
        <v>10</v>
      </c>
      <c r="AL30" s="1" t="s">
        <v>6</v>
      </c>
      <c r="AM30" s="2" t="s">
        <v>7</v>
      </c>
      <c r="AN30" s="1" t="s">
        <v>8</v>
      </c>
      <c r="AO30" s="1" t="s">
        <v>9</v>
      </c>
      <c r="AP30" s="1" t="s">
        <v>10</v>
      </c>
      <c r="AQ30" s="1" t="s">
        <v>6</v>
      </c>
      <c r="AR30" s="2" t="s">
        <v>7</v>
      </c>
      <c r="AS30" s="1" t="s">
        <v>8</v>
      </c>
      <c r="AT30" s="1" t="s">
        <v>9</v>
      </c>
      <c r="AU30" s="1" t="s">
        <v>10</v>
      </c>
    </row>
    <row r="31" spans="1:47">
      <c r="A31" s="42" t="s">
        <v>28</v>
      </c>
      <c r="B31" s="32" t="s">
        <v>12</v>
      </c>
      <c r="C31" s="3">
        <v>17</v>
      </c>
      <c r="D31" s="3">
        <f t="shared" ref="D31:D36" si="31">C31*3</f>
        <v>51</v>
      </c>
      <c r="E31" s="3">
        <v>242</v>
      </c>
      <c r="F31" s="4">
        <f t="shared" ref="F31:F36" si="32">C31*0.24</f>
        <v>4.08</v>
      </c>
      <c r="G31" s="3">
        <f t="shared" ref="G31:G36" si="33">E31*3</f>
        <v>726</v>
      </c>
      <c r="H31" s="3">
        <v>32</v>
      </c>
      <c r="I31" s="3">
        <f t="shared" ref="I31:I36" si="34">H31*3</f>
        <v>96</v>
      </c>
      <c r="J31" s="3">
        <v>316</v>
      </c>
      <c r="K31" s="4">
        <f t="shared" ref="K31:K36" si="35">H31*0.28</f>
        <v>8.9600000000000009</v>
      </c>
      <c r="L31" s="3">
        <f t="shared" ref="L31:L36" si="36">J31*3</f>
        <v>948</v>
      </c>
      <c r="M31" s="3">
        <v>29</v>
      </c>
      <c r="N31" s="3">
        <f t="shared" ref="N31:N36" si="37">M31*3</f>
        <v>87</v>
      </c>
      <c r="O31" s="3">
        <v>495</v>
      </c>
      <c r="P31" s="4">
        <f t="shared" ref="P31:P36" si="38">M31*0.21</f>
        <v>6.09</v>
      </c>
      <c r="Q31" s="3">
        <f t="shared" ref="Q31:Q36" si="39">O31*3</f>
        <v>1485</v>
      </c>
      <c r="R31" s="3">
        <v>41</v>
      </c>
      <c r="S31" s="3">
        <f t="shared" ref="S31:S37" si="40">R31*3</f>
        <v>123</v>
      </c>
      <c r="T31" s="3">
        <v>341</v>
      </c>
      <c r="U31" s="4">
        <f t="shared" ref="U31:U37" si="41">R31*0.24</f>
        <v>9.84</v>
      </c>
      <c r="V31" s="3">
        <f t="shared" ref="V31:V37" si="42">T31*3</f>
        <v>1023</v>
      </c>
      <c r="W31" s="3">
        <v>45</v>
      </c>
      <c r="X31" s="3">
        <f t="shared" ref="X31:X36" si="43">W31*3</f>
        <v>135</v>
      </c>
      <c r="Y31" s="3">
        <v>524</v>
      </c>
      <c r="Z31" s="4">
        <f t="shared" ref="Z31:Z36" si="44">W31*0.25</f>
        <v>11.25</v>
      </c>
      <c r="AA31" s="3">
        <f t="shared" ref="AA31:AA36" si="45">Y31*3</f>
        <v>1572</v>
      </c>
      <c r="AB31" s="3">
        <v>84</v>
      </c>
      <c r="AC31" s="3">
        <f t="shared" ref="AC31:AC36" si="46">AB31*3</f>
        <v>252</v>
      </c>
      <c r="AD31" s="3">
        <v>919</v>
      </c>
      <c r="AE31" s="4">
        <f t="shared" ref="AE31:AE36" si="47">AB31*0.18</f>
        <v>15.12</v>
      </c>
      <c r="AF31" s="3">
        <f t="shared" ref="AF31:AF36" si="48">AD31*3</f>
        <v>2757</v>
      </c>
      <c r="AG31" s="3">
        <v>63</v>
      </c>
      <c r="AH31" s="3">
        <f t="shared" ref="AH31:AH36" si="49">AG31*3</f>
        <v>189</v>
      </c>
      <c r="AI31" s="3">
        <v>1155</v>
      </c>
      <c r="AJ31" s="4">
        <f t="shared" ref="AJ31:AJ36" si="50">AG31*0.23</f>
        <v>14.49</v>
      </c>
      <c r="AK31" s="3">
        <f t="shared" ref="AK31:AK36" si="51">AI31*3</f>
        <v>3465</v>
      </c>
      <c r="AL31" s="3">
        <v>31</v>
      </c>
      <c r="AM31" s="3">
        <f t="shared" ref="AM31:AM36" si="52">AL31*3</f>
        <v>93</v>
      </c>
      <c r="AN31" s="3">
        <v>169</v>
      </c>
      <c r="AO31" s="4">
        <f t="shared" ref="AO31:AO36" si="53">AL31*0.26</f>
        <v>8.06</v>
      </c>
      <c r="AP31" s="3">
        <f t="shared" ref="AP31:AP36" si="54">AN31*3</f>
        <v>507</v>
      </c>
      <c r="AQ31" s="3">
        <v>76</v>
      </c>
      <c r="AR31" s="3">
        <f t="shared" ref="AR31:AR36" si="55">AQ31*3</f>
        <v>228</v>
      </c>
      <c r="AS31" s="3">
        <v>441</v>
      </c>
      <c r="AT31" s="4">
        <f t="shared" ref="AT31:AT36" si="56">AQ31*0.14</f>
        <v>10.64</v>
      </c>
      <c r="AU31" s="3">
        <f t="shared" ref="AU31:AU36" si="57">AS31*3</f>
        <v>1323</v>
      </c>
    </row>
    <row r="32" spans="1:47">
      <c r="A32" s="43"/>
      <c r="B32" s="33" t="s">
        <v>13</v>
      </c>
      <c r="C32" s="3">
        <v>20</v>
      </c>
      <c r="D32" s="3">
        <f t="shared" si="31"/>
        <v>60</v>
      </c>
      <c r="E32" s="3">
        <v>316</v>
      </c>
      <c r="F32" s="4">
        <f t="shared" si="32"/>
        <v>4.8</v>
      </c>
      <c r="G32" s="3">
        <f t="shared" si="33"/>
        <v>948</v>
      </c>
      <c r="H32" s="3">
        <v>53</v>
      </c>
      <c r="I32" s="3">
        <f t="shared" si="34"/>
        <v>159</v>
      </c>
      <c r="J32" s="3">
        <v>538</v>
      </c>
      <c r="K32" s="4">
        <f t="shared" si="35"/>
        <v>14.840000000000002</v>
      </c>
      <c r="L32" s="3">
        <f t="shared" si="36"/>
        <v>1614</v>
      </c>
      <c r="M32" s="3">
        <v>47</v>
      </c>
      <c r="N32" s="3">
        <f t="shared" si="37"/>
        <v>141</v>
      </c>
      <c r="O32" s="3">
        <v>756</v>
      </c>
      <c r="P32" s="4">
        <f t="shared" si="38"/>
        <v>9.8699999999999992</v>
      </c>
      <c r="Q32" s="3">
        <f t="shared" si="39"/>
        <v>2268</v>
      </c>
      <c r="R32" s="3">
        <v>32</v>
      </c>
      <c r="S32" s="3">
        <f t="shared" si="40"/>
        <v>96</v>
      </c>
      <c r="T32" s="3">
        <v>502</v>
      </c>
      <c r="U32" s="4">
        <f t="shared" si="41"/>
        <v>7.68</v>
      </c>
      <c r="V32" s="3">
        <f t="shared" si="42"/>
        <v>1506</v>
      </c>
      <c r="W32" s="3">
        <v>47</v>
      </c>
      <c r="X32" s="3">
        <f t="shared" si="43"/>
        <v>141</v>
      </c>
      <c r="Y32" s="3">
        <v>715</v>
      </c>
      <c r="Z32" s="4">
        <f t="shared" si="44"/>
        <v>11.75</v>
      </c>
      <c r="AA32" s="3">
        <f t="shared" si="45"/>
        <v>2145</v>
      </c>
      <c r="AB32" s="3">
        <v>45</v>
      </c>
      <c r="AC32" s="3">
        <f t="shared" si="46"/>
        <v>135</v>
      </c>
      <c r="AD32" s="3">
        <v>550</v>
      </c>
      <c r="AE32" s="4">
        <f t="shared" si="47"/>
        <v>8.1</v>
      </c>
      <c r="AF32" s="3">
        <f t="shared" si="48"/>
        <v>1650</v>
      </c>
      <c r="AG32" s="3">
        <v>51</v>
      </c>
      <c r="AH32" s="3">
        <f t="shared" si="49"/>
        <v>153</v>
      </c>
      <c r="AI32" s="3">
        <v>841</v>
      </c>
      <c r="AJ32" s="4">
        <f t="shared" si="50"/>
        <v>11.73</v>
      </c>
      <c r="AK32" s="3">
        <f t="shared" si="51"/>
        <v>2523</v>
      </c>
      <c r="AL32" s="3">
        <v>35</v>
      </c>
      <c r="AM32" s="3">
        <f t="shared" si="52"/>
        <v>105</v>
      </c>
      <c r="AN32" s="3">
        <v>190</v>
      </c>
      <c r="AO32" s="4">
        <f t="shared" si="53"/>
        <v>9.1</v>
      </c>
      <c r="AP32" s="3">
        <f t="shared" si="54"/>
        <v>570</v>
      </c>
      <c r="AQ32" s="3">
        <v>67</v>
      </c>
      <c r="AR32" s="3">
        <f t="shared" si="55"/>
        <v>201</v>
      </c>
      <c r="AS32" s="3">
        <v>472</v>
      </c>
      <c r="AT32" s="4">
        <f t="shared" si="56"/>
        <v>9.3800000000000008</v>
      </c>
      <c r="AU32" s="3">
        <f t="shared" si="57"/>
        <v>1416</v>
      </c>
    </row>
    <row r="33" spans="1:47">
      <c r="A33" s="42" t="s">
        <v>29</v>
      </c>
      <c r="B33" s="32" t="s">
        <v>12</v>
      </c>
      <c r="C33" s="3">
        <v>16</v>
      </c>
      <c r="D33" s="3">
        <f t="shared" si="31"/>
        <v>48</v>
      </c>
      <c r="E33" s="3">
        <v>239</v>
      </c>
      <c r="F33" s="4">
        <f t="shared" si="32"/>
        <v>3.84</v>
      </c>
      <c r="G33" s="3">
        <f t="shared" si="33"/>
        <v>717</v>
      </c>
      <c r="H33" s="3">
        <v>27</v>
      </c>
      <c r="I33" s="3">
        <f t="shared" si="34"/>
        <v>81</v>
      </c>
      <c r="J33" s="3">
        <v>239</v>
      </c>
      <c r="K33" s="4">
        <f t="shared" si="35"/>
        <v>7.5600000000000005</v>
      </c>
      <c r="L33" s="3">
        <f t="shared" si="36"/>
        <v>717</v>
      </c>
      <c r="M33" s="3">
        <v>40</v>
      </c>
      <c r="N33" s="3">
        <f t="shared" si="37"/>
        <v>120</v>
      </c>
      <c r="O33" s="3">
        <v>575</v>
      </c>
      <c r="P33" s="4">
        <f t="shared" si="38"/>
        <v>8.4</v>
      </c>
      <c r="Q33" s="3">
        <f t="shared" si="39"/>
        <v>1725</v>
      </c>
      <c r="R33" s="3">
        <v>35</v>
      </c>
      <c r="S33" s="3">
        <f t="shared" si="40"/>
        <v>105</v>
      </c>
      <c r="T33" s="3">
        <v>521</v>
      </c>
      <c r="U33" s="4">
        <f t="shared" si="41"/>
        <v>8.4</v>
      </c>
      <c r="V33" s="3">
        <f t="shared" si="42"/>
        <v>1563</v>
      </c>
      <c r="W33" s="3">
        <v>51</v>
      </c>
      <c r="X33" s="3">
        <f t="shared" si="43"/>
        <v>153</v>
      </c>
      <c r="Y33" s="3">
        <v>409</v>
      </c>
      <c r="Z33" s="4">
        <f t="shared" si="44"/>
        <v>12.75</v>
      </c>
      <c r="AA33" s="3">
        <f t="shared" si="45"/>
        <v>1227</v>
      </c>
      <c r="AB33" s="3">
        <v>53</v>
      </c>
      <c r="AC33" s="3">
        <f t="shared" si="46"/>
        <v>159</v>
      </c>
      <c r="AD33" s="3">
        <v>520</v>
      </c>
      <c r="AE33" s="4">
        <f t="shared" si="47"/>
        <v>9.5399999999999991</v>
      </c>
      <c r="AF33" s="3">
        <f t="shared" si="48"/>
        <v>1560</v>
      </c>
      <c r="AG33" s="3">
        <v>48</v>
      </c>
      <c r="AH33" s="3">
        <f t="shared" si="49"/>
        <v>144</v>
      </c>
      <c r="AI33" s="3">
        <v>886</v>
      </c>
      <c r="AJ33" s="4">
        <f t="shared" si="50"/>
        <v>11.040000000000001</v>
      </c>
      <c r="AK33" s="3">
        <f t="shared" si="51"/>
        <v>2658</v>
      </c>
      <c r="AL33" s="3">
        <v>14</v>
      </c>
      <c r="AM33" s="3">
        <f t="shared" si="52"/>
        <v>42</v>
      </c>
      <c r="AN33" s="3">
        <v>68</v>
      </c>
      <c r="AO33" s="4">
        <f t="shared" si="53"/>
        <v>3.64</v>
      </c>
      <c r="AP33" s="3">
        <f t="shared" si="54"/>
        <v>204</v>
      </c>
      <c r="AQ33" s="3">
        <v>160</v>
      </c>
      <c r="AR33" s="3">
        <f t="shared" si="55"/>
        <v>480</v>
      </c>
      <c r="AS33" s="3">
        <v>985</v>
      </c>
      <c r="AT33" s="4">
        <f t="shared" si="56"/>
        <v>22.400000000000002</v>
      </c>
      <c r="AU33" s="3">
        <f t="shared" si="57"/>
        <v>2955</v>
      </c>
    </row>
    <row r="34" spans="1:47">
      <c r="A34" s="43"/>
      <c r="B34" s="33" t="s">
        <v>13</v>
      </c>
      <c r="C34" s="3">
        <v>15</v>
      </c>
      <c r="D34" s="3">
        <f t="shared" si="31"/>
        <v>45</v>
      </c>
      <c r="E34" s="3">
        <v>158</v>
      </c>
      <c r="F34" s="4">
        <f t="shared" si="32"/>
        <v>3.5999999999999996</v>
      </c>
      <c r="G34" s="3">
        <f t="shared" si="33"/>
        <v>474</v>
      </c>
      <c r="H34" s="3">
        <v>15</v>
      </c>
      <c r="I34" s="3">
        <f t="shared" si="34"/>
        <v>45</v>
      </c>
      <c r="J34" s="3">
        <v>149</v>
      </c>
      <c r="K34" s="4">
        <f t="shared" si="35"/>
        <v>4.2</v>
      </c>
      <c r="L34" s="3">
        <f t="shared" si="36"/>
        <v>447</v>
      </c>
      <c r="M34" s="3">
        <v>28</v>
      </c>
      <c r="N34" s="3">
        <f t="shared" si="37"/>
        <v>84</v>
      </c>
      <c r="O34" s="3">
        <v>661</v>
      </c>
      <c r="P34" s="4">
        <f t="shared" si="38"/>
        <v>5.88</v>
      </c>
      <c r="Q34" s="3">
        <f t="shared" si="39"/>
        <v>1983</v>
      </c>
      <c r="R34" s="3">
        <v>43</v>
      </c>
      <c r="S34" s="3">
        <f t="shared" si="40"/>
        <v>129</v>
      </c>
      <c r="T34" s="3">
        <v>694</v>
      </c>
      <c r="U34" s="4">
        <f t="shared" si="41"/>
        <v>10.32</v>
      </c>
      <c r="V34" s="3">
        <f t="shared" si="42"/>
        <v>2082</v>
      </c>
      <c r="W34" s="3">
        <v>66</v>
      </c>
      <c r="X34" s="3">
        <f t="shared" si="43"/>
        <v>198</v>
      </c>
      <c r="Y34" s="3">
        <v>1154</v>
      </c>
      <c r="Z34" s="4">
        <f t="shared" si="44"/>
        <v>16.5</v>
      </c>
      <c r="AA34" s="3">
        <f t="shared" si="45"/>
        <v>3462</v>
      </c>
      <c r="AB34" s="3">
        <v>43</v>
      </c>
      <c r="AC34" s="3">
        <f t="shared" si="46"/>
        <v>129</v>
      </c>
      <c r="AD34" s="3">
        <v>627</v>
      </c>
      <c r="AE34" s="4">
        <f t="shared" si="47"/>
        <v>7.7399999999999993</v>
      </c>
      <c r="AF34" s="3">
        <f t="shared" si="48"/>
        <v>1881</v>
      </c>
      <c r="AG34" s="3">
        <v>28</v>
      </c>
      <c r="AH34" s="3">
        <f t="shared" si="49"/>
        <v>84</v>
      </c>
      <c r="AI34" s="3">
        <v>480</v>
      </c>
      <c r="AJ34" s="4">
        <f t="shared" si="50"/>
        <v>6.44</v>
      </c>
      <c r="AK34" s="3">
        <f t="shared" si="51"/>
        <v>1440</v>
      </c>
      <c r="AL34" s="3">
        <v>16</v>
      </c>
      <c r="AM34" s="3">
        <f t="shared" si="52"/>
        <v>48</v>
      </c>
      <c r="AN34" s="3">
        <v>89</v>
      </c>
      <c r="AO34" s="4">
        <f t="shared" si="53"/>
        <v>4.16</v>
      </c>
      <c r="AP34" s="3">
        <f t="shared" si="54"/>
        <v>267</v>
      </c>
      <c r="AQ34" s="3">
        <v>179</v>
      </c>
      <c r="AR34" s="3">
        <f t="shared" si="55"/>
        <v>537</v>
      </c>
      <c r="AS34" s="3">
        <v>1681</v>
      </c>
      <c r="AT34" s="4">
        <f t="shared" si="56"/>
        <v>25.060000000000002</v>
      </c>
      <c r="AU34" s="3">
        <f t="shared" si="57"/>
        <v>5043</v>
      </c>
    </row>
    <row r="35" spans="1:47">
      <c r="A35" s="44" t="s">
        <v>30</v>
      </c>
      <c r="B35" s="32" t="s">
        <v>12</v>
      </c>
      <c r="C35" s="3">
        <v>49</v>
      </c>
      <c r="D35" s="3">
        <f t="shared" si="31"/>
        <v>147</v>
      </c>
      <c r="E35" s="3">
        <v>752</v>
      </c>
      <c r="F35" s="4">
        <f t="shared" si="32"/>
        <v>11.76</v>
      </c>
      <c r="G35" s="3">
        <f t="shared" si="33"/>
        <v>2256</v>
      </c>
      <c r="H35" s="3">
        <v>19</v>
      </c>
      <c r="I35" s="3">
        <f t="shared" si="34"/>
        <v>57</v>
      </c>
      <c r="J35" s="3">
        <v>345</v>
      </c>
      <c r="K35" s="4">
        <f t="shared" si="35"/>
        <v>5.32</v>
      </c>
      <c r="L35" s="3">
        <f t="shared" si="36"/>
        <v>1035</v>
      </c>
      <c r="M35" s="3">
        <v>37</v>
      </c>
      <c r="N35" s="3">
        <f t="shared" si="37"/>
        <v>111</v>
      </c>
      <c r="O35" s="3">
        <v>573</v>
      </c>
      <c r="P35" s="4">
        <f t="shared" si="38"/>
        <v>7.77</v>
      </c>
      <c r="Q35" s="3">
        <f t="shared" si="39"/>
        <v>1719</v>
      </c>
      <c r="R35" s="3">
        <v>72</v>
      </c>
      <c r="S35" s="3">
        <f t="shared" si="40"/>
        <v>216</v>
      </c>
      <c r="T35" s="3">
        <v>764</v>
      </c>
      <c r="U35" s="4">
        <f t="shared" si="41"/>
        <v>17.28</v>
      </c>
      <c r="V35" s="3">
        <f t="shared" si="42"/>
        <v>2292</v>
      </c>
      <c r="W35" s="3">
        <v>68</v>
      </c>
      <c r="X35" s="3">
        <f t="shared" si="43"/>
        <v>204</v>
      </c>
      <c r="Y35" s="3">
        <v>854</v>
      </c>
      <c r="Z35" s="4">
        <f t="shared" si="44"/>
        <v>17</v>
      </c>
      <c r="AA35" s="3">
        <f t="shared" si="45"/>
        <v>2562</v>
      </c>
      <c r="AB35" s="3">
        <v>61</v>
      </c>
      <c r="AC35" s="3">
        <f t="shared" si="46"/>
        <v>183</v>
      </c>
      <c r="AD35" s="3">
        <v>939</v>
      </c>
      <c r="AE35" s="4">
        <f t="shared" si="47"/>
        <v>10.98</v>
      </c>
      <c r="AF35" s="3">
        <f t="shared" si="48"/>
        <v>2817</v>
      </c>
      <c r="AG35" s="3">
        <v>63</v>
      </c>
      <c r="AH35" s="3">
        <f t="shared" si="49"/>
        <v>189</v>
      </c>
      <c r="AI35" s="3">
        <v>1069</v>
      </c>
      <c r="AJ35" s="4">
        <f t="shared" si="50"/>
        <v>14.49</v>
      </c>
      <c r="AK35" s="3">
        <f t="shared" si="51"/>
        <v>3207</v>
      </c>
      <c r="AL35" s="3">
        <v>26</v>
      </c>
      <c r="AM35" s="3">
        <f t="shared" si="52"/>
        <v>78</v>
      </c>
      <c r="AN35" s="3">
        <v>181</v>
      </c>
      <c r="AO35" s="4">
        <f t="shared" si="53"/>
        <v>6.76</v>
      </c>
      <c r="AP35" s="3">
        <f t="shared" si="54"/>
        <v>543</v>
      </c>
      <c r="AQ35" s="3">
        <v>51</v>
      </c>
      <c r="AR35" s="3">
        <f t="shared" si="55"/>
        <v>153</v>
      </c>
      <c r="AS35" s="3">
        <v>281</v>
      </c>
      <c r="AT35" s="4">
        <f t="shared" si="56"/>
        <v>7.1400000000000006</v>
      </c>
      <c r="AU35" s="3">
        <f t="shared" si="57"/>
        <v>843</v>
      </c>
    </row>
    <row r="36" spans="1:47">
      <c r="A36" s="44"/>
      <c r="B36" s="32" t="s">
        <v>13</v>
      </c>
      <c r="C36" s="3">
        <f>15+6</f>
        <v>21</v>
      </c>
      <c r="D36" s="3">
        <f t="shared" si="31"/>
        <v>63</v>
      </c>
      <c r="E36" s="3">
        <f>228+60</f>
        <v>288</v>
      </c>
      <c r="F36" s="4">
        <f t="shared" si="32"/>
        <v>5.04</v>
      </c>
      <c r="G36" s="3">
        <f t="shared" si="33"/>
        <v>864</v>
      </c>
      <c r="H36" s="3">
        <v>13</v>
      </c>
      <c r="I36" s="3">
        <f t="shared" si="34"/>
        <v>39</v>
      </c>
      <c r="J36" s="3">
        <v>133</v>
      </c>
      <c r="K36" s="4">
        <f t="shared" si="35"/>
        <v>3.6400000000000006</v>
      </c>
      <c r="L36" s="3">
        <f t="shared" si="36"/>
        <v>399</v>
      </c>
      <c r="M36" s="3">
        <v>47</v>
      </c>
      <c r="N36" s="3">
        <f t="shared" si="37"/>
        <v>141</v>
      </c>
      <c r="O36" s="3">
        <v>873</v>
      </c>
      <c r="P36" s="4">
        <f t="shared" si="38"/>
        <v>9.8699999999999992</v>
      </c>
      <c r="Q36" s="3">
        <f t="shared" si="39"/>
        <v>2619</v>
      </c>
      <c r="R36" s="3">
        <f>27+1</f>
        <v>28</v>
      </c>
      <c r="S36" s="3">
        <f t="shared" si="40"/>
        <v>84</v>
      </c>
      <c r="T36" s="3">
        <f>755+10</f>
        <v>765</v>
      </c>
      <c r="U36" s="4">
        <f t="shared" si="41"/>
        <v>6.72</v>
      </c>
      <c r="V36" s="3">
        <f t="shared" si="42"/>
        <v>2295</v>
      </c>
      <c r="W36" s="3">
        <v>46</v>
      </c>
      <c r="X36" s="3">
        <f t="shared" si="43"/>
        <v>138</v>
      </c>
      <c r="Y36" s="3">
        <v>380</v>
      </c>
      <c r="Z36" s="4">
        <f t="shared" si="44"/>
        <v>11.5</v>
      </c>
      <c r="AA36" s="3">
        <f t="shared" si="45"/>
        <v>1140</v>
      </c>
      <c r="AB36" s="3">
        <v>41</v>
      </c>
      <c r="AC36" s="3">
        <f t="shared" si="46"/>
        <v>123</v>
      </c>
      <c r="AD36" s="3">
        <v>709</v>
      </c>
      <c r="AE36" s="4">
        <f t="shared" si="47"/>
        <v>7.38</v>
      </c>
      <c r="AF36" s="3">
        <f t="shared" si="48"/>
        <v>2127</v>
      </c>
      <c r="AG36" s="3">
        <f>16+7</f>
        <v>23</v>
      </c>
      <c r="AH36" s="3">
        <f t="shared" si="49"/>
        <v>69</v>
      </c>
      <c r="AI36" s="3">
        <f>267+70</f>
        <v>337</v>
      </c>
      <c r="AJ36" s="4">
        <f t="shared" si="50"/>
        <v>5.29</v>
      </c>
      <c r="AK36" s="3">
        <f t="shared" si="51"/>
        <v>1011</v>
      </c>
      <c r="AL36" s="3">
        <v>18</v>
      </c>
      <c r="AM36" s="3">
        <f t="shared" si="52"/>
        <v>54</v>
      </c>
      <c r="AN36" s="3">
        <v>136</v>
      </c>
      <c r="AO36" s="4">
        <f t="shared" si="53"/>
        <v>4.68</v>
      </c>
      <c r="AP36" s="3">
        <f t="shared" si="54"/>
        <v>408</v>
      </c>
      <c r="AQ36" s="3">
        <v>85</v>
      </c>
      <c r="AR36" s="3">
        <f t="shared" si="55"/>
        <v>255</v>
      </c>
      <c r="AS36" s="3">
        <v>470</v>
      </c>
      <c r="AT36" s="4">
        <f t="shared" si="56"/>
        <v>11.9</v>
      </c>
      <c r="AU36" s="3">
        <f t="shared" si="57"/>
        <v>1410</v>
      </c>
    </row>
    <row r="37" spans="1:47" s="36" customFormat="1">
      <c r="A37" s="34" t="s">
        <v>80</v>
      </c>
      <c r="B37" s="34"/>
      <c r="C37" s="31">
        <f t="shared" ref="C37:R37" si="58">SUM(C31:C36)</f>
        <v>138</v>
      </c>
      <c r="D37" s="7">
        <f t="shared" si="58"/>
        <v>414</v>
      </c>
      <c r="E37" s="34">
        <f t="shared" si="58"/>
        <v>1995</v>
      </c>
      <c r="F37" s="7">
        <f t="shared" si="58"/>
        <v>33.119999999999997</v>
      </c>
      <c r="G37" s="7">
        <f t="shared" si="58"/>
        <v>5985</v>
      </c>
      <c r="H37" s="7">
        <f t="shared" si="58"/>
        <v>159</v>
      </c>
      <c r="I37" s="7">
        <f t="shared" si="58"/>
        <v>477</v>
      </c>
      <c r="J37" s="7">
        <f t="shared" si="58"/>
        <v>1720</v>
      </c>
      <c r="K37" s="7">
        <f t="shared" si="58"/>
        <v>44.52000000000001</v>
      </c>
      <c r="L37" s="7">
        <f t="shared" si="58"/>
        <v>5160</v>
      </c>
      <c r="M37" s="7">
        <f t="shared" si="58"/>
        <v>228</v>
      </c>
      <c r="N37" s="7">
        <f t="shared" si="58"/>
        <v>684</v>
      </c>
      <c r="O37" s="7">
        <f t="shared" si="58"/>
        <v>3933</v>
      </c>
      <c r="P37" s="7">
        <f t="shared" si="58"/>
        <v>47.879999999999995</v>
      </c>
      <c r="Q37" s="7">
        <f t="shared" si="58"/>
        <v>11799</v>
      </c>
      <c r="R37" s="7">
        <f t="shared" si="58"/>
        <v>251</v>
      </c>
      <c r="S37" s="7">
        <f t="shared" si="40"/>
        <v>753</v>
      </c>
      <c r="T37" s="7">
        <f>SUM(T31:T36)</f>
        <v>3587</v>
      </c>
      <c r="U37" s="7">
        <f t="shared" si="41"/>
        <v>60.239999999999995</v>
      </c>
      <c r="V37" s="7">
        <f t="shared" si="42"/>
        <v>10761</v>
      </c>
      <c r="W37" s="34">
        <f t="shared" ref="W37:AU37" si="59">SUM(W31:W36)</f>
        <v>323</v>
      </c>
      <c r="X37" s="7">
        <f t="shared" si="59"/>
        <v>969</v>
      </c>
      <c r="Y37" s="34">
        <f t="shared" si="59"/>
        <v>4036</v>
      </c>
      <c r="Z37" s="7">
        <f t="shared" si="59"/>
        <v>80.75</v>
      </c>
      <c r="AA37" s="7">
        <f t="shared" si="59"/>
        <v>12108</v>
      </c>
      <c r="AB37" s="7">
        <f t="shared" si="59"/>
        <v>327</v>
      </c>
      <c r="AC37" s="7">
        <f t="shared" si="59"/>
        <v>981</v>
      </c>
      <c r="AD37" s="7">
        <f t="shared" si="59"/>
        <v>4264</v>
      </c>
      <c r="AE37" s="7">
        <f t="shared" si="59"/>
        <v>58.860000000000007</v>
      </c>
      <c r="AF37" s="7">
        <f t="shared" si="59"/>
        <v>12792</v>
      </c>
      <c r="AG37" s="7">
        <f t="shared" si="59"/>
        <v>276</v>
      </c>
      <c r="AH37" s="7">
        <f t="shared" si="59"/>
        <v>828</v>
      </c>
      <c r="AI37" s="7">
        <f t="shared" si="59"/>
        <v>4768</v>
      </c>
      <c r="AJ37" s="7">
        <f t="shared" si="59"/>
        <v>63.48</v>
      </c>
      <c r="AK37" s="7">
        <f t="shared" si="59"/>
        <v>14304</v>
      </c>
      <c r="AL37" s="7">
        <f>SUM(AL31:AL36)</f>
        <v>140</v>
      </c>
      <c r="AM37" s="7">
        <f t="shared" si="59"/>
        <v>420</v>
      </c>
      <c r="AN37" s="7">
        <f t="shared" si="59"/>
        <v>833</v>
      </c>
      <c r="AO37" s="7">
        <f t="shared" si="59"/>
        <v>36.4</v>
      </c>
      <c r="AP37" s="7">
        <f t="shared" si="59"/>
        <v>2499</v>
      </c>
      <c r="AQ37" s="7">
        <f>SUM(AQ31:AQ36)</f>
        <v>618</v>
      </c>
      <c r="AR37" s="7">
        <f t="shared" si="59"/>
        <v>1854</v>
      </c>
      <c r="AS37" s="7">
        <f t="shared" si="59"/>
        <v>4330</v>
      </c>
      <c r="AT37" s="7">
        <f t="shared" si="59"/>
        <v>86.52000000000001</v>
      </c>
      <c r="AU37" s="7">
        <f t="shared" si="59"/>
        <v>12990</v>
      </c>
    </row>
  </sheetData>
  <mergeCells count="40">
    <mergeCell ref="A33:A34"/>
    <mergeCell ref="A35:A36"/>
    <mergeCell ref="B2:B3"/>
    <mergeCell ref="B18:B19"/>
    <mergeCell ref="B29:B30"/>
    <mergeCell ref="A20:A21"/>
    <mergeCell ref="A22:A23"/>
    <mergeCell ref="A24:A25"/>
    <mergeCell ref="A29:A30"/>
    <mergeCell ref="A31:A32"/>
    <mergeCell ref="AQ18:AU18"/>
    <mergeCell ref="C29:G29"/>
    <mergeCell ref="H29:L29"/>
    <mergeCell ref="M29:Q29"/>
    <mergeCell ref="R29:V29"/>
    <mergeCell ref="W29:AA29"/>
    <mergeCell ref="AB29:AF29"/>
    <mergeCell ref="AG29:AK29"/>
    <mergeCell ref="AL29:AP29"/>
    <mergeCell ref="AQ29:AU29"/>
    <mergeCell ref="R18:V18"/>
    <mergeCell ref="W18:AA18"/>
    <mergeCell ref="AB18:AF18"/>
    <mergeCell ref="AG18:AK18"/>
    <mergeCell ref="AL18:AP18"/>
    <mergeCell ref="A1:Q1"/>
    <mergeCell ref="C2:G2"/>
    <mergeCell ref="H2:L2"/>
    <mergeCell ref="M2:Q2"/>
    <mergeCell ref="C18:G18"/>
    <mergeCell ref="H18:L18"/>
    <mergeCell ref="M18:Q18"/>
    <mergeCell ref="A2:A3"/>
    <mergeCell ref="A4:A5"/>
    <mergeCell ref="A6:A7"/>
    <mergeCell ref="A8:A9"/>
    <mergeCell ref="A10:A11"/>
    <mergeCell ref="A12:A13"/>
    <mergeCell ref="A14:A15"/>
    <mergeCell ref="A18:A19"/>
  </mergeCells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0"/>
  <sheetViews>
    <sheetView topLeftCell="B1" workbookViewId="0">
      <selection activeCell="P11" sqref="P11"/>
    </sheetView>
  </sheetViews>
  <sheetFormatPr defaultColWidth="9" defaultRowHeight="13.5"/>
  <cols>
    <col min="2" max="2" width="11.625" customWidth="1"/>
    <col min="3" max="4" width="10.125" customWidth="1"/>
    <col min="5" max="5" width="11.875" customWidth="1"/>
  </cols>
  <sheetData>
    <row r="1" spans="1:19" s="13" customFormat="1" ht="26.25" customHeight="1">
      <c r="B1" s="49" t="s">
        <v>31</v>
      </c>
      <c r="C1" s="49"/>
      <c r="D1" s="49" t="s">
        <v>32</v>
      </c>
      <c r="E1" s="49"/>
      <c r="F1" s="47" t="s">
        <v>33</v>
      </c>
      <c r="G1" s="47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27">
      <c r="A2" s="18" t="s">
        <v>46</v>
      </c>
      <c r="B2" s="16" t="s">
        <v>47</v>
      </c>
      <c r="C2" s="17" t="s">
        <v>7</v>
      </c>
      <c r="D2" s="16" t="s">
        <v>6</v>
      </c>
      <c r="E2" s="19" t="s">
        <v>42</v>
      </c>
      <c r="F2" s="1" t="s">
        <v>6</v>
      </c>
      <c r="G2" s="2" t="s">
        <v>7</v>
      </c>
      <c r="H2" s="22"/>
      <c r="I2" s="15"/>
      <c r="J2" s="22"/>
      <c r="K2" s="15"/>
      <c r="L2" s="22"/>
      <c r="M2" s="15"/>
      <c r="N2" s="22"/>
      <c r="O2" s="15"/>
      <c r="P2" s="22"/>
      <c r="Q2" s="15"/>
      <c r="R2" s="22"/>
      <c r="S2" s="15"/>
    </row>
    <row r="3" spans="1:19">
      <c r="A3" s="12" t="s">
        <v>41</v>
      </c>
      <c r="B3" s="12">
        <v>281</v>
      </c>
      <c r="C3" s="12">
        <v>843</v>
      </c>
      <c r="D3" s="12">
        <v>621</v>
      </c>
      <c r="E3" s="20">
        <v>1863</v>
      </c>
      <c r="F3" s="12">
        <v>486</v>
      </c>
      <c r="G3" s="12">
        <v>1458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>
      <c r="A4" s="14" t="s">
        <v>43</v>
      </c>
      <c r="B4" s="48">
        <f>SUM(B3:C3)</f>
        <v>1124</v>
      </c>
      <c r="C4" s="48"/>
      <c r="D4" s="48">
        <f>SUM(D3:E3)</f>
        <v>2484</v>
      </c>
      <c r="E4" s="50"/>
      <c r="F4" s="48">
        <f>SUM(F3:G3)</f>
        <v>1944</v>
      </c>
      <c r="G4" s="48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>
      <c r="A5" s="12" t="s">
        <v>40</v>
      </c>
      <c r="B5" s="48">
        <v>56.2</v>
      </c>
      <c r="C5" s="48"/>
      <c r="D5" s="48">
        <v>105.57</v>
      </c>
      <c r="E5" s="50"/>
      <c r="F5" s="48">
        <v>68.040000000000006</v>
      </c>
      <c r="G5" s="48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9" spans="1:19" s="6" customFormat="1" ht="18.75" customHeight="1">
      <c r="B9" s="47" t="s">
        <v>31</v>
      </c>
      <c r="C9" s="47"/>
      <c r="D9" s="47" t="s">
        <v>32</v>
      </c>
      <c r="E9" s="47"/>
      <c r="F9" s="47" t="s">
        <v>33</v>
      </c>
      <c r="G9" s="47"/>
      <c r="H9" s="47" t="s">
        <v>34</v>
      </c>
      <c r="I9" s="47"/>
      <c r="J9" s="47" t="s">
        <v>35</v>
      </c>
      <c r="K9" s="47"/>
      <c r="L9" s="47" t="s">
        <v>36</v>
      </c>
      <c r="M9" s="47"/>
      <c r="N9" s="47" t="s">
        <v>38</v>
      </c>
      <c r="O9" s="47"/>
      <c r="P9" s="47" t="s">
        <v>39</v>
      </c>
      <c r="Q9" s="47"/>
      <c r="R9" s="47" t="s">
        <v>37</v>
      </c>
      <c r="S9" s="47"/>
    </row>
    <row r="10" spans="1:19" ht="27">
      <c r="A10" s="18" t="s">
        <v>46</v>
      </c>
      <c r="B10" s="24" t="s">
        <v>6</v>
      </c>
      <c r="C10" s="25" t="s">
        <v>7</v>
      </c>
      <c r="D10" s="24" t="s">
        <v>6</v>
      </c>
      <c r="E10" s="25" t="s">
        <v>42</v>
      </c>
      <c r="F10" s="24" t="s">
        <v>6</v>
      </c>
      <c r="G10" s="25" t="s">
        <v>7</v>
      </c>
      <c r="H10" s="24" t="s">
        <v>6</v>
      </c>
      <c r="I10" s="25" t="s">
        <v>7</v>
      </c>
      <c r="J10" s="24" t="s">
        <v>6</v>
      </c>
      <c r="K10" s="25" t="s">
        <v>7</v>
      </c>
      <c r="L10" s="24" t="s">
        <v>6</v>
      </c>
      <c r="M10" s="25" t="s">
        <v>7</v>
      </c>
      <c r="N10" s="24" t="s">
        <v>6</v>
      </c>
      <c r="O10" s="25" t="s">
        <v>7</v>
      </c>
      <c r="P10" s="24" t="s">
        <v>6</v>
      </c>
      <c r="Q10" s="25" t="s">
        <v>7</v>
      </c>
      <c r="R10" s="24" t="s">
        <v>6</v>
      </c>
      <c r="S10" s="25" t="s">
        <v>7</v>
      </c>
    </row>
    <row r="11" spans="1:19">
      <c r="A11" s="12" t="s">
        <v>44</v>
      </c>
      <c r="B11" s="12">
        <v>167</v>
      </c>
      <c r="C11" s="12">
        <v>501</v>
      </c>
      <c r="D11" s="12">
        <v>383</v>
      </c>
      <c r="E11" s="12">
        <v>1149</v>
      </c>
      <c r="F11" s="12">
        <v>198</v>
      </c>
      <c r="G11" s="12">
        <v>594</v>
      </c>
      <c r="H11" s="12">
        <v>248</v>
      </c>
      <c r="I11" s="12">
        <v>744</v>
      </c>
      <c r="J11" s="12">
        <v>255</v>
      </c>
      <c r="K11" s="12">
        <v>765</v>
      </c>
      <c r="L11" s="12">
        <v>143</v>
      </c>
      <c r="M11" s="12">
        <v>429</v>
      </c>
      <c r="N11" s="12">
        <v>539</v>
      </c>
      <c r="O11" s="12">
        <v>1617</v>
      </c>
      <c r="P11" s="12">
        <v>360</v>
      </c>
      <c r="Q11" s="12">
        <v>1080</v>
      </c>
      <c r="R11" s="12">
        <v>514</v>
      </c>
      <c r="S11" s="12">
        <v>1542</v>
      </c>
    </row>
    <row r="12" spans="1:19">
      <c r="A12" s="12" t="s">
        <v>43</v>
      </c>
      <c r="B12" s="48">
        <f>SUM(B11:C11)</f>
        <v>668</v>
      </c>
      <c r="C12" s="48"/>
      <c r="D12" s="48">
        <f>SUM(D11:E11)</f>
        <v>1532</v>
      </c>
      <c r="E12" s="48"/>
      <c r="F12" s="48">
        <f>SUM(F11:G11)</f>
        <v>792</v>
      </c>
      <c r="G12" s="48"/>
      <c r="H12" s="48">
        <f>SUM(H11:I11)</f>
        <v>992</v>
      </c>
      <c r="I12" s="48"/>
      <c r="J12" s="48">
        <f>SUM(J11:K11)</f>
        <v>1020</v>
      </c>
      <c r="K12" s="48"/>
      <c r="L12" s="48">
        <f>SUM(L11:M11)</f>
        <v>572</v>
      </c>
      <c r="M12" s="48"/>
      <c r="N12" s="48">
        <f>SUM(N11:O11)</f>
        <v>2156</v>
      </c>
      <c r="O12" s="48"/>
      <c r="P12" s="48">
        <f>SUM(P11:Q11)</f>
        <v>1440</v>
      </c>
      <c r="Q12" s="48"/>
      <c r="R12" s="48">
        <f>SUM(R11:S11)</f>
        <v>2056</v>
      </c>
      <c r="S12" s="48"/>
    </row>
    <row r="13" spans="1:19">
      <c r="A13" s="12" t="s">
        <v>40</v>
      </c>
      <c r="B13" s="48">
        <v>41.75</v>
      </c>
      <c r="C13" s="48"/>
      <c r="D13" s="48">
        <v>88.09</v>
      </c>
      <c r="E13" s="48"/>
      <c r="F13" s="48">
        <v>33.659999999999997</v>
      </c>
      <c r="G13" s="48"/>
      <c r="H13" s="48">
        <v>59.52</v>
      </c>
      <c r="I13" s="48"/>
      <c r="J13" s="48">
        <v>38.25</v>
      </c>
      <c r="K13" s="48"/>
      <c r="L13" s="48">
        <v>17.16</v>
      </c>
      <c r="M13" s="48"/>
      <c r="N13" s="48">
        <v>70.069999999999993</v>
      </c>
      <c r="O13" s="48"/>
      <c r="P13" s="48">
        <v>97.2</v>
      </c>
      <c r="Q13" s="48"/>
      <c r="R13" s="48">
        <v>107.94</v>
      </c>
      <c r="S13" s="48"/>
    </row>
    <row r="16" spans="1:19" s="6" customFormat="1" ht="18.75" customHeight="1">
      <c r="B16" s="47" t="s">
        <v>31</v>
      </c>
      <c r="C16" s="47"/>
      <c r="D16" s="47" t="s">
        <v>32</v>
      </c>
      <c r="E16" s="47"/>
      <c r="F16" s="47" t="s">
        <v>33</v>
      </c>
      <c r="G16" s="47"/>
      <c r="H16" s="47" t="s">
        <v>34</v>
      </c>
      <c r="I16" s="47"/>
      <c r="J16" s="47" t="s">
        <v>35</v>
      </c>
      <c r="K16" s="47"/>
      <c r="L16" s="47" t="s">
        <v>36</v>
      </c>
      <c r="M16" s="47"/>
      <c r="N16" s="47" t="s">
        <v>38</v>
      </c>
      <c r="O16" s="47"/>
      <c r="P16" s="47" t="s">
        <v>39</v>
      </c>
      <c r="Q16" s="47"/>
      <c r="R16" s="47" t="s">
        <v>37</v>
      </c>
      <c r="S16" s="47"/>
    </row>
    <row r="17" spans="1:19" ht="27">
      <c r="A17" s="18" t="s">
        <v>46</v>
      </c>
      <c r="B17" s="16" t="s">
        <v>6</v>
      </c>
      <c r="C17" s="17" t="s">
        <v>7</v>
      </c>
      <c r="D17" s="16" t="s">
        <v>6</v>
      </c>
      <c r="E17" s="17" t="s">
        <v>42</v>
      </c>
      <c r="F17" s="16" t="s">
        <v>6</v>
      </c>
      <c r="G17" s="17" t="s">
        <v>7</v>
      </c>
      <c r="H17" s="16" t="s">
        <v>6</v>
      </c>
      <c r="I17" s="17" t="s">
        <v>7</v>
      </c>
      <c r="J17" s="16" t="s">
        <v>6</v>
      </c>
      <c r="K17" s="17" t="s">
        <v>7</v>
      </c>
      <c r="L17" s="16" t="s">
        <v>6</v>
      </c>
      <c r="M17" s="17" t="s">
        <v>7</v>
      </c>
      <c r="N17" s="16" t="s">
        <v>6</v>
      </c>
      <c r="O17" s="17" t="s">
        <v>7</v>
      </c>
      <c r="P17" s="16" t="s">
        <v>6</v>
      </c>
      <c r="Q17" s="17" t="s">
        <v>7</v>
      </c>
      <c r="R17" s="16" t="s">
        <v>6</v>
      </c>
      <c r="S17" s="17" t="s">
        <v>7</v>
      </c>
    </row>
    <row r="18" spans="1:19">
      <c r="A18" s="12" t="s">
        <v>45</v>
      </c>
      <c r="B18" s="12">
        <v>138</v>
      </c>
      <c r="C18" s="12">
        <v>414</v>
      </c>
      <c r="D18" s="12">
        <v>159</v>
      </c>
      <c r="E18" s="12">
        <v>477</v>
      </c>
      <c r="F18" s="12">
        <v>228</v>
      </c>
      <c r="G18" s="12">
        <v>684</v>
      </c>
      <c r="H18" s="12">
        <v>251</v>
      </c>
      <c r="I18" s="12">
        <v>753</v>
      </c>
      <c r="J18" s="12">
        <v>323</v>
      </c>
      <c r="K18" s="12">
        <v>969</v>
      </c>
      <c r="L18" s="12">
        <v>327</v>
      </c>
      <c r="M18" s="12">
        <v>981</v>
      </c>
      <c r="N18" s="12">
        <v>276</v>
      </c>
      <c r="O18" s="12">
        <v>828</v>
      </c>
      <c r="P18" s="12">
        <v>140</v>
      </c>
      <c r="Q18" s="12">
        <v>420</v>
      </c>
      <c r="R18" s="12">
        <v>618</v>
      </c>
      <c r="S18" s="12">
        <v>1854</v>
      </c>
    </row>
    <row r="19" spans="1:19">
      <c r="A19" s="12" t="s">
        <v>43</v>
      </c>
      <c r="B19" s="48">
        <f>SUM(B18:C18)</f>
        <v>552</v>
      </c>
      <c r="C19" s="48"/>
      <c r="D19" s="48">
        <f>SUM(D18:E18)</f>
        <v>636</v>
      </c>
      <c r="E19" s="48"/>
      <c r="F19" s="48">
        <f>SUM(F18:G18)</f>
        <v>912</v>
      </c>
      <c r="G19" s="48"/>
      <c r="H19" s="48">
        <f>SUM(H18:I18)</f>
        <v>1004</v>
      </c>
      <c r="I19" s="48"/>
      <c r="J19" s="48">
        <f>SUM(J18:K18)</f>
        <v>1292</v>
      </c>
      <c r="K19" s="48"/>
      <c r="L19" s="48">
        <f>SUM(L18:M18)</f>
        <v>1308</v>
      </c>
      <c r="M19" s="48"/>
      <c r="N19" s="48">
        <f>SUM(N18:O18)</f>
        <v>1104</v>
      </c>
      <c r="O19" s="48"/>
      <c r="P19" s="48">
        <f>SUM(P18:Q18)</f>
        <v>560</v>
      </c>
      <c r="Q19" s="48"/>
      <c r="R19" s="48">
        <f>SUM(R18:S18)</f>
        <v>2472</v>
      </c>
      <c r="S19" s="48"/>
    </row>
    <row r="20" spans="1:19">
      <c r="A20" s="12" t="s">
        <v>40</v>
      </c>
      <c r="B20" s="48">
        <v>33.119999999999997</v>
      </c>
      <c r="C20" s="48"/>
      <c r="D20" s="48">
        <v>44.52</v>
      </c>
      <c r="E20" s="48"/>
      <c r="F20" s="48">
        <v>47.88</v>
      </c>
      <c r="G20" s="48"/>
      <c r="H20" s="48">
        <v>60.24</v>
      </c>
      <c r="I20" s="48"/>
      <c r="J20" s="48">
        <v>80.75</v>
      </c>
      <c r="K20" s="48"/>
      <c r="L20" s="48">
        <v>58.86</v>
      </c>
      <c r="M20" s="48"/>
      <c r="N20" s="48">
        <v>63.48</v>
      </c>
      <c r="O20" s="48"/>
      <c r="P20" s="48">
        <v>36.4</v>
      </c>
      <c r="Q20" s="48"/>
      <c r="R20" s="48">
        <v>86.52</v>
      </c>
      <c r="S20" s="48"/>
    </row>
  </sheetData>
  <mergeCells count="63">
    <mergeCell ref="B12:C12"/>
    <mergeCell ref="B13:C13"/>
    <mergeCell ref="D12:E12"/>
    <mergeCell ref="D13:E13"/>
    <mergeCell ref="F12:G12"/>
    <mergeCell ref="F13:G13"/>
    <mergeCell ref="R13:S13"/>
    <mergeCell ref="H12:I12"/>
    <mergeCell ref="H13:I13"/>
    <mergeCell ref="J12:K12"/>
    <mergeCell ref="J13:K13"/>
    <mergeCell ref="L12:M12"/>
    <mergeCell ref="N13:O13"/>
    <mergeCell ref="N12:O12"/>
    <mergeCell ref="D19:E19"/>
    <mergeCell ref="F19:G19"/>
    <mergeCell ref="H19:I19"/>
    <mergeCell ref="J19:K19"/>
    <mergeCell ref="P12:Q12"/>
    <mergeCell ref="P13:Q13"/>
    <mergeCell ref="B1:C1"/>
    <mergeCell ref="D1:E1"/>
    <mergeCell ref="F1:G1"/>
    <mergeCell ref="B9:C9"/>
    <mergeCell ref="D9:E9"/>
    <mergeCell ref="B4:C4"/>
    <mergeCell ref="B5:C5"/>
    <mergeCell ref="D4:E4"/>
    <mergeCell ref="D5:E5"/>
    <mergeCell ref="F4:G4"/>
    <mergeCell ref="F5:G5"/>
    <mergeCell ref="N20:O20"/>
    <mergeCell ref="P20:Q20"/>
    <mergeCell ref="R20:S20"/>
    <mergeCell ref="B16:C16"/>
    <mergeCell ref="D16:E16"/>
    <mergeCell ref="L19:M19"/>
    <mergeCell ref="N19:O19"/>
    <mergeCell ref="P19:Q19"/>
    <mergeCell ref="R19:S19"/>
    <mergeCell ref="B20:C20"/>
    <mergeCell ref="D20:E20"/>
    <mergeCell ref="F20:G20"/>
    <mergeCell ref="H20:I20"/>
    <mergeCell ref="J20:K20"/>
    <mergeCell ref="L20:M20"/>
    <mergeCell ref="B19:C19"/>
    <mergeCell ref="R9:S9"/>
    <mergeCell ref="F16:G16"/>
    <mergeCell ref="H16:I16"/>
    <mergeCell ref="J16:K16"/>
    <mergeCell ref="L16:M16"/>
    <mergeCell ref="N16:O16"/>
    <mergeCell ref="P16:Q16"/>
    <mergeCell ref="R16:S16"/>
    <mergeCell ref="F9:G9"/>
    <mergeCell ref="H9:I9"/>
    <mergeCell ref="J9:K9"/>
    <mergeCell ref="L9:M9"/>
    <mergeCell ref="N9:O9"/>
    <mergeCell ref="P9:Q9"/>
    <mergeCell ref="L13:M13"/>
    <mergeCell ref="R12:S12"/>
  </mergeCells>
  <phoneticPr fontId="7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3"/>
  <sheetViews>
    <sheetView workbookViewId="0">
      <selection activeCell="R3" sqref="R3"/>
    </sheetView>
  </sheetViews>
  <sheetFormatPr defaultColWidth="9" defaultRowHeight="13.5"/>
  <cols>
    <col min="1" max="1" width="9" style="30"/>
    <col min="2" max="2" width="15.25" style="30" customWidth="1"/>
    <col min="3" max="3" width="8.875" style="30" customWidth="1"/>
    <col min="4" max="4" width="9" style="30"/>
    <col min="5" max="5" width="6.375" style="30" customWidth="1"/>
    <col min="6" max="6" width="7" style="30" customWidth="1"/>
    <col min="7" max="7" width="6.5" style="30" customWidth="1"/>
    <col min="8" max="8" width="6.875" style="30" customWidth="1"/>
    <col min="9" max="9" width="7.25" style="30" customWidth="1"/>
    <col min="10" max="10" width="5.875" style="30" customWidth="1"/>
    <col min="11" max="11" width="6.875" style="30" customWidth="1"/>
    <col min="12" max="12" width="7.5" style="30" customWidth="1"/>
    <col min="13" max="13" width="6.75" style="30" customWidth="1"/>
    <col min="14" max="14" width="8.125" style="30" customWidth="1"/>
    <col min="15" max="15" width="8" style="30" customWidth="1"/>
    <col min="16" max="16" width="7" style="30" customWidth="1"/>
    <col min="17" max="17" width="7.375" style="30" customWidth="1"/>
    <col min="18" max="18" width="7.5" style="30" customWidth="1"/>
    <col min="19" max="19" width="5.75" style="30" customWidth="1"/>
    <col min="20" max="21" width="9" style="30"/>
    <col min="22" max="22" width="7.125" style="30" customWidth="1"/>
    <col min="23" max="23" width="6.25" style="30" customWidth="1"/>
    <col min="24" max="24" width="7.875" style="30" customWidth="1"/>
    <col min="25" max="25" width="6.25" style="30" customWidth="1"/>
    <col min="26" max="27" width="8.875" style="30" customWidth="1"/>
    <col min="28" max="28" width="9" style="30"/>
    <col min="29" max="29" width="7.125" style="30" customWidth="1"/>
    <col min="30" max="16384" width="9" style="30"/>
  </cols>
  <sheetData>
    <row r="1" spans="1:29" ht="18" customHeight="1"/>
    <row r="2" spans="1:29" ht="25.5" customHeight="1">
      <c r="A2" s="74"/>
      <c r="B2" s="75"/>
      <c r="C2" s="60" t="s">
        <v>48</v>
      </c>
      <c r="D2" s="61"/>
      <c r="E2" s="61"/>
      <c r="F2" s="61"/>
      <c r="G2" s="61"/>
      <c r="H2" s="61"/>
      <c r="I2" s="61"/>
      <c r="J2" s="61"/>
      <c r="K2" s="62"/>
      <c r="L2" s="57" t="s">
        <v>44</v>
      </c>
      <c r="M2" s="58"/>
      <c r="N2" s="58"/>
      <c r="O2" s="58"/>
      <c r="P2" s="58"/>
      <c r="Q2" s="58"/>
      <c r="R2" s="58"/>
      <c r="S2" s="58"/>
      <c r="T2" s="59"/>
      <c r="U2" s="57" t="s">
        <v>49</v>
      </c>
      <c r="V2" s="58"/>
      <c r="W2" s="58"/>
      <c r="X2" s="58"/>
      <c r="Y2" s="58"/>
      <c r="Z2" s="58"/>
      <c r="AA2" s="58"/>
      <c r="AB2" s="58"/>
      <c r="AC2" s="59"/>
    </row>
    <row r="3" spans="1:29" ht="49.5" customHeight="1">
      <c r="A3" s="76"/>
      <c r="B3" s="77"/>
      <c r="C3" s="1" t="s">
        <v>55</v>
      </c>
      <c r="D3" s="27" t="s">
        <v>53</v>
      </c>
      <c r="E3" s="29" t="s">
        <v>50</v>
      </c>
      <c r="F3" s="1" t="s">
        <v>63</v>
      </c>
      <c r="G3" s="1" t="s">
        <v>62</v>
      </c>
      <c r="H3" s="1" t="s">
        <v>60</v>
      </c>
      <c r="I3" s="1" t="s">
        <v>59</v>
      </c>
      <c r="J3" s="1" t="s">
        <v>52</v>
      </c>
      <c r="K3" s="1" t="s">
        <v>61</v>
      </c>
      <c r="L3" s="29" t="s">
        <v>54</v>
      </c>
      <c r="M3" s="28" t="s">
        <v>51</v>
      </c>
      <c r="N3" s="28" t="s">
        <v>50</v>
      </c>
      <c r="O3" s="1" t="s">
        <v>63</v>
      </c>
      <c r="P3" s="1" t="s">
        <v>62</v>
      </c>
      <c r="Q3" s="1" t="s">
        <v>60</v>
      </c>
      <c r="R3" s="1" t="s">
        <v>59</v>
      </c>
      <c r="S3" s="29" t="s">
        <v>52</v>
      </c>
      <c r="T3" s="1" t="s">
        <v>61</v>
      </c>
      <c r="U3" s="29" t="s">
        <v>54</v>
      </c>
      <c r="V3" s="28" t="s">
        <v>51</v>
      </c>
      <c r="W3" s="29" t="s">
        <v>50</v>
      </c>
      <c r="X3" s="1" t="s">
        <v>63</v>
      </c>
      <c r="Y3" s="1" t="s">
        <v>62</v>
      </c>
      <c r="Z3" s="1" t="s">
        <v>60</v>
      </c>
      <c r="AA3" s="1" t="s">
        <v>59</v>
      </c>
      <c r="AB3" s="28" t="s">
        <v>52</v>
      </c>
      <c r="AC3" s="1" t="s">
        <v>61</v>
      </c>
    </row>
    <row r="4" spans="1:29" ht="27">
      <c r="A4" s="47" t="s">
        <v>3</v>
      </c>
      <c r="B4" s="1" t="s">
        <v>47</v>
      </c>
      <c r="C4" s="72">
        <v>154</v>
      </c>
      <c r="D4" s="26">
        <v>281</v>
      </c>
      <c r="E4" s="48">
        <f>SUM(D4:D5)</f>
        <v>1124</v>
      </c>
      <c r="F4" s="48">
        <v>56.2</v>
      </c>
      <c r="G4" s="54">
        <f>SUM(C4:C9)</f>
        <v>455</v>
      </c>
      <c r="H4" s="54">
        <f>SUM(D4+D6+D8)</f>
        <v>1388</v>
      </c>
      <c r="I4" s="54">
        <f>SUM(D5+D7+D9)</f>
        <v>4164</v>
      </c>
      <c r="J4" s="48">
        <f>SUM(E4:E9)</f>
        <v>5552</v>
      </c>
      <c r="K4" s="48">
        <f>SUM(F4:F9)</f>
        <v>229.81</v>
      </c>
      <c r="L4" s="54">
        <v>104</v>
      </c>
      <c r="M4" s="26">
        <v>167</v>
      </c>
      <c r="N4" s="48">
        <f>SUM(M4:M5)</f>
        <v>668</v>
      </c>
      <c r="O4" s="48">
        <v>41.75</v>
      </c>
      <c r="P4" s="54">
        <f>SUM(L4:L21)</f>
        <v>1370</v>
      </c>
      <c r="Q4" s="54">
        <f>SUM(M4+M6+M8+M10+M12+M14+M16+M18+M20)</f>
        <v>2807</v>
      </c>
      <c r="R4" s="54">
        <f>SUM(M5+M7+M9+M11+M13+M15+M17+M19+M21)</f>
        <v>8421</v>
      </c>
      <c r="S4" s="48">
        <f>SUM(N4:N21)</f>
        <v>11228</v>
      </c>
      <c r="T4" s="48">
        <f>SUM(O4:O21)</f>
        <v>553.64</v>
      </c>
      <c r="U4" s="54">
        <v>75</v>
      </c>
      <c r="V4" s="26">
        <v>138</v>
      </c>
      <c r="W4" s="48">
        <f>SUM(V4:V5)</f>
        <v>552</v>
      </c>
      <c r="X4" s="48">
        <v>33.119999999999997</v>
      </c>
      <c r="Y4" s="54">
        <f>SUM(U4:U21)</f>
        <v>1285</v>
      </c>
      <c r="Z4" s="54">
        <f>SUM(V4+V6+V8+V10+V12+V14+V16+V18+V20)</f>
        <v>2460</v>
      </c>
      <c r="AA4" s="54">
        <f>SUM(V5+V7+V9+V11+V13+V15+V17+V19+V21)</f>
        <v>7380</v>
      </c>
      <c r="AB4" s="48">
        <f>SUM(W4:W21)</f>
        <v>9840</v>
      </c>
      <c r="AC4" s="48">
        <f>SUM(X4:X21)</f>
        <v>511.77</v>
      </c>
    </row>
    <row r="5" spans="1:29" ht="27">
      <c r="A5" s="47"/>
      <c r="B5" s="1" t="s">
        <v>58</v>
      </c>
      <c r="C5" s="73"/>
      <c r="D5" s="26">
        <v>843</v>
      </c>
      <c r="E5" s="48"/>
      <c r="F5" s="48"/>
      <c r="G5" s="55"/>
      <c r="H5" s="55"/>
      <c r="I5" s="55"/>
      <c r="J5" s="48"/>
      <c r="K5" s="48"/>
      <c r="L5" s="56"/>
      <c r="M5" s="26">
        <v>501</v>
      </c>
      <c r="N5" s="48"/>
      <c r="O5" s="48"/>
      <c r="P5" s="55"/>
      <c r="Q5" s="55"/>
      <c r="R5" s="55"/>
      <c r="S5" s="48"/>
      <c r="T5" s="48"/>
      <c r="U5" s="56"/>
      <c r="V5" s="26">
        <v>414</v>
      </c>
      <c r="W5" s="48"/>
      <c r="X5" s="48"/>
      <c r="Y5" s="55"/>
      <c r="Z5" s="55"/>
      <c r="AA5" s="55"/>
      <c r="AB5" s="48"/>
      <c r="AC5" s="48"/>
    </row>
    <row r="6" spans="1:29" ht="27">
      <c r="A6" s="47" t="s">
        <v>4</v>
      </c>
      <c r="B6" s="1" t="s">
        <v>47</v>
      </c>
      <c r="C6" s="72">
        <v>286</v>
      </c>
      <c r="D6" s="26">
        <v>621</v>
      </c>
      <c r="E6" s="48">
        <f t="shared" ref="E6" si="0">SUM(D6:D7)</f>
        <v>2484</v>
      </c>
      <c r="F6" s="48">
        <v>105.57</v>
      </c>
      <c r="G6" s="55"/>
      <c r="H6" s="55"/>
      <c r="I6" s="55"/>
      <c r="J6" s="48"/>
      <c r="K6" s="48"/>
      <c r="L6" s="54">
        <v>158</v>
      </c>
      <c r="M6" s="26">
        <v>383</v>
      </c>
      <c r="N6" s="48">
        <f t="shared" ref="N6" si="1">SUM(M6:M7)</f>
        <v>1532</v>
      </c>
      <c r="O6" s="48">
        <v>88.09</v>
      </c>
      <c r="P6" s="55"/>
      <c r="Q6" s="55"/>
      <c r="R6" s="55"/>
      <c r="S6" s="48"/>
      <c r="T6" s="48"/>
      <c r="U6" s="54">
        <v>136</v>
      </c>
      <c r="V6" s="26">
        <v>159</v>
      </c>
      <c r="W6" s="48">
        <f t="shared" ref="W6" si="2">SUM(V6:V7)</f>
        <v>636</v>
      </c>
      <c r="X6" s="48">
        <v>44.52</v>
      </c>
      <c r="Y6" s="55"/>
      <c r="Z6" s="55"/>
      <c r="AA6" s="55"/>
      <c r="AB6" s="48"/>
      <c r="AC6" s="48"/>
    </row>
    <row r="7" spans="1:29" ht="27">
      <c r="A7" s="47"/>
      <c r="B7" s="1" t="s">
        <v>58</v>
      </c>
      <c r="C7" s="73"/>
      <c r="D7" s="26">
        <v>1863</v>
      </c>
      <c r="E7" s="48"/>
      <c r="F7" s="48"/>
      <c r="G7" s="55"/>
      <c r="H7" s="55"/>
      <c r="I7" s="55"/>
      <c r="J7" s="48"/>
      <c r="K7" s="48"/>
      <c r="L7" s="56"/>
      <c r="M7" s="26">
        <v>1149</v>
      </c>
      <c r="N7" s="48"/>
      <c r="O7" s="48"/>
      <c r="P7" s="55"/>
      <c r="Q7" s="55"/>
      <c r="R7" s="55"/>
      <c r="S7" s="48"/>
      <c r="T7" s="48"/>
      <c r="U7" s="56"/>
      <c r="V7" s="26">
        <v>477</v>
      </c>
      <c r="W7" s="48"/>
      <c r="X7" s="48"/>
      <c r="Y7" s="55"/>
      <c r="Z7" s="55"/>
      <c r="AA7" s="55"/>
      <c r="AB7" s="48"/>
      <c r="AC7" s="48"/>
    </row>
    <row r="8" spans="1:29" ht="27">
      <c r="A8" s="47" t="s">
        <v>5</v>
      </c>
      <c r="B8" s="1" t="s">
        <v>47</v>
      </c>
      <c r="C8" s="72">
        <v>15</v>
      </c>
      <c r="D8" s="26">
        <v>486</v>
      </c>
      <c r="E8" s="48">
        <f t="shared" ref="E8" si="3">SUM(D8:D9)</f>
        <v>1944</v>
      </c>
      <c r="F8" s="48">
        <v>68.040000000000006</v>
      </c>
      <c r="G8" s="55"/>
      <c r="H8" s="55"/>
      <c r="I8" s="55"/>
      <c r="J8" s="48"/>
      <c r="K8" s="48"/>
      <c r="L8" s="54">
        <v>151</v>
      </c>
      <c r="M8" s="26">
        <v>198</v>
      </c>
      <c r="N8" s="48">
        <f t="shared" ref="N8" si="4">SUM(M8:M9)</f>
        <v>792</v>
      </c>
      <c r="O8" s="48">
        <v>33.659999999999997</v>
      </c>
      <c r="P8" s="55"/>
      <c r="Q8" s="55"/>
      <c r="R8" s="55"/>
      <c r="S8" s="48"/>
      <c r="T8" s="48"/>
      <c r="U8" s="54">
        <v>44</v>
      </c>
      <c r="V8" s="26">
        <v>228</v>
      </c>
      <c r="W8" s="48">
        <f t="shared" ref="W8" si="5">SUM(V8:V9)</f>
        <v>912</v>
      </c>
      <c r="X8" s="48">
        <v>47.88</v>
      </c>
      <c r="Y8" s="55"/>
      <c r="Z8" s="55"/>
      <c r="AA8" s="55"/>
      <c r="AB8" s="48"/>
      <c r="AC8" s="48"/>
    </row>
    <row r="9" spans="1:29" ht="27">
      <c r="A9" s="47"/>
      <c r="B9" s="1" t="s">
        <v>58</v>
      </c>
      <c r="C9" s="73"/>
      <c r="D9" s="26">
        <v>1458</v>
      </c>
      <c r="E9" s="48"/>
      <c r="F9" s="48"/>
      <c r="G9" s="56"/>
      <c r="H9" s="56"/>
      <c r="I9" s="56"/>
      <c r="J9" s="48"/>
      <c r="K9" s="48"/>
      <c r="L9" s="56"/>
      <c r="M9" s="26">
        <v>594</v>
      </c>
      <c r="N9" s="48"/>
      <c r="O9" s="48"/>
      <c r="P9" s="55"/>
      <c r="Q9" s="55"/>
      <c r="R9" s="55"/>
      <c r="S9" s="48"/>
      <c r="T9" s="48"/>
      <c r="U9" s="56"/>
      <c r="V9" s="26">
        <v>684</v>
      </c>
      <c r="W9" s="48"/>
      <c r="X9" s="48"/>
      <c r="Y9" s="55"/>
      <c r="Z9" s="55"/>
      <c r="AA9" s="55"/>
      <c r="AB9" s="48"/>
      <c r="AC9" s="48"/>
    </row>
    <row r="10" spans="1:29" ht="27">
      <c r="A10" s="47" t="s">
        <v>19</v>
      </c>
      <c r="B10" s="1" t="s">
        <v>47</v>
      </c>
      <c r="C10" s="63"/>
      <c r="D10" s="64"/>
      <c r="E10" s="64"/>
      <c r="F10" s="64"/>
      <c r="G10" s="64"/>
      <c r="H10" s="64"/>
      <c r="I10" s="64"/>
      <c r="J10" s="64"/>
      <c r="K10" s="65"/>
      <c r="L10" s="53">
        <v>168</v>
      </c>
      <c r="M10" s="26">
        <v>248</v>
      </c>
      <c r="N10" s="48">
        <f t="shared" ref="N10" si="6">SUM(M10:M11)</f>
        <v>992</v>
      </c>
      <c r="O10" s="48">
        <v>59.52</v>
      </c>
      <c r="P10" s="55"/>
      <c r="Q10" s="55"/>
      <c r="R10" s="55"/>
      <c r="S10" s="48"/>
      <c r="T10" s="48"/>
      <c r="U10" s="54">
        <v>136</v>
      </c>
      <c r="V10" s="26">
        <v>251</v>
      </c>
      <c r="W10" s="48">
        <f t="shared" ref="W10" si="7">SUM(V10:V11)</f>
        <v>1004</v>
      </c>
      <c r="X10" s="48">
        <v>60.24</v>
      </c>
      <c r="Y10" s="55"/>
      <c r="Z10" s="55"/>
      <c r="AA10" s="55"/>
      <c r="AB10" s="48"/>
      <c r="AC10" s="48"/>
    </row>
    <row r="11" spans="1:29" ht="27">
      <c r="A11" s="47"/>
      <c r="B11" s="1" t="s">
        <v>58</v>
      </c>
      <c r="C11" s="66"/>
      <c r="D11" s="67"/>
      <c r="E11" s="67"/>
      <c r="F11" s="67"/>
      <c r="G11" s="67"/>
      <c r="H11" s="67"/>
      <c r="I11" s="67"/>
      <c r="J11" s="67"/>
      <c r="K11" s="68"/>
      <c r="L11" s="53"/>
      <c r="M11" s="26">
        <v>744</v>
      </c>
      <c r="N11" s="48"/>
      <c r="O11" s="48"/>
      <c r="P11" s="55"/>
      <c r="Q11" s="55"/>
      <c r="R11" s="55"/>
      <c r="S11" s="48"/>
      <c r="T11" s="48"/>
      <c r="U11" s="56"/>
      <c r="V11" s="26">
        <v>753</v>
      </c>
      <c r="W11" s="48"/>
      <c r="X11" s="48"/>
      <c r="Y11" s="55"/>
      <c r="Z11" s="55"/>
      <c r="AA11" s="55"/>
      <c r="AB11" s="48"/>
      <c r="AC11" s="48"/>
    </row>
    <row r="12" spans="1:29" ht="27">
      <c r="A12" s="47" t="s">
        <v>20</v>
      </c>
      <c r="B12" s="1" t="s">
        <v>47</v>
      </c>
      <c r="C12" s="66"/>
      <c r="D12" s="67"/>
      <c r="E12" s="67"/>
      <c r="F12" s="67"/>
      <c r="G12" s="67"/>
      <c r="H12" s="67"/>
      <c r="I12" s="67"/>
      <c r="J12" s="67"/>
      <c r="K12" s="68"/>
      <c r="L12" s="53">
        <v>203</v>
      </c>
      <c r="M12" s="26">
        <v>255</v>
      </c>
      <c r="N12" s="48">
        <f t="shared" ref="N12" si="8">SUM(M12:M13)</f>
        <v>1020</v>
      </c>
      <c r="O12" s="48">
        <v>38.25</v>
      </c>
      <c r="P12" s="55"/>
      <c r="Q12" s="55"/>
      <c r="R12" s="55"/>
      <c r="S12" s="48"/>
      <c r="T12" s="48"/>
      <c r="U12" s="54">
        <v>268</v>
      </c>
      <c r="V12" s="26">
        <v>323</v>
      </c>
      <c r="W12" s="48">
        <f t="shared" ref="W12:W18" si="9">SUM(V12:V13)</f>
        <v>1292</v>
      </c>
      <c r="X12" s="48">
        <v>80.75</v>
      </c>
      <c r="Y12" s="55"/>
      <c r="Z12" s="55"/>
      <c r="AA12" s="55"/>
      <c r="AB12" s="48"/>
      <c r="AC12" s="48"/>
    </row>
    <row r="13" spans="1:29" ht="27">
      <c r="A13" s="47"/>
      <c r="B13" s="1" t="s">
        <v>58</v>
      </c>
      <c r="C13" s="66"/>
      <c r="D13" s="67"/>
      <c r="E13" s="67"/>
      <c r="F13" s="67"/>
      <c r="G13" s="67"/>
      <c r="H13" s="67"/>
      <c r="I13" s="67"/>
      <c r="J13" s="67"/>
      <c r="K13" s="68"/>
      <c r="L13" s="53"/>
      <c r="M13" s="26">
        <v>765</v>
      </c>
      <c r="N13" s="48"/>
      <c r="O13" s="48"/>
      <c r="P13" s="55"/>
      <c r="Q13" s="55"/>
      <c r="R13" s="55"/>
      <c r="S13" s="48"/>
      <c r="T13" s="48"/>
      <c r="U13" s="56"/>
      <c r="V13" s="26">
        <v>969</v>
      </c>
      <c r="W13" s="48"/>
      <c r="X13" s="48"/>
      <c r="Y13" s="55"/>
      <c r="Z13" s="55"/>
      <c r="AA13" s="55"/>
      <c r="AB13" s="48"/>
      <c r="AC13" s="48"/>
    </row>
    <row r="14" spans="1:29" ht="27">
      <c r="A14" s="47" t="s">
        <v>21</v>
      </c>
      <c r="B14" s="1" t="s">
        <v>47</v>
      </c>
      <c r="C14" s="66"/>
      <c r="D14" s="67"/>
      <c r="E14" s="67"/>
      <c r="F14" s="67"/>
      <c r="G14" s="67"/>
      <c r="H14" s="67"/>
      <c r="I14" s="67"/>
      <c r="J14" s="67"/>
      <c r="K14" s="68"/>
      <c r="L14" s="53">
        <v>102</v>
      </c>
      <c r="M14" s="26">
        <v>143</v>
      </c>
      <c r="N14" s="48">
        <f t="shared" ref="N14" si="10">SUM(M14:M15)</f>
        <v>572</v>
      </c>
      <c r="O14" s="48">
        <v>17.16</v>
      </c>
      <c r="P14" s="55"/>
      <c r="Q14" s="55"/>
      <c r="R14" s="55"/>
      <c r="S14" s="48"/>
      <c r="T14" s="48"/>
      <c r="U14" s="42">
        <v>127</v>
      </c>
      <c r="V14" s="26">
        <v>327</v>
      </c>
      <c r="W14" s="48">
        <f t="shared" ref="W14:W20" si="11">SUM(V14:V15)</f>
        <v>1308</v>
      </c>
      <c r="X14" s="48">
        <v>58.86</v>
      </c>
      <c r="Y14" s="55"/>
      <c r="Z14" s="55"/>
      <c r="AA14" s="55"/>
      <c r="AB14" s="48"/>
      <c r="AC14" s="48"/>
    </row>
    <row r="15" spans="1:29" ht="27">
      <c r="A15" s="47"/>
      <c r="B15" s="1" t="s">
        <v>58</v>
      </c>
      <c r="C15" s="66"/>
      <c r="D15" s="67"/>
      <c r="E15" s="67"/>
      <c r="F15" s="67"/>
      <c r="G15" s="67"/>
      <c r="H15" s="67"/>
      <c r="I15" s="67"/>
      <c r="J15" s="67"/>
      <c r="K15" s="68"/>
      <c r="L15" s="53"/>
      <c r="M15" s="26">
        <v>429</v>
      </c>
      <c r="N15" s="48"/>
      <c r="O15" s="48"/>
      <c r="P15" s="55"/>
      <c r="Q15" s="55"/>
      <c r="R15" s="55"/>
      <c r="S15" s="48"/>
      <c r="T15" s="48"/>
      <c r="U15" s="56"/>
      <c r="V15" s="26">
        <v>981</v>
      </c>
      <c r="W15" s="48"/>
      <c r="X15" s="48"/>
      <c r="Y15" s="55"/>
      <c r="Z15" s="55"/>
      <c r="AA15" s="55"/>
      <c r="AB15" s="48"/>
      <c r="AC15" s="48"/>
    </row>
    <row r="16" spans="1:29" ht="27">
      <c r="A16" s="47" t="s">
        <v>22</v>
      </c>
      <c r="B16" s="1" t="s">
        <v>47</v>
      </c>
      <c r="C16" s="66"/>
      <c r="D16" s="67"/>
      <c r="E16" s="67"/>
      <c r="F16" s="67"/>
      <c r="G16" s="67"/>
      <c r="H16" s="67"/>
      <c r="I16" s="67"/>
      <c r="J16" s="67"/>
      <c r="K16" s="68"/>
      <c r="L16" s="53">
        <v>101</v>
      </c>
      <c r="M16" s="26">
        <v>539</v>
      </c>
      <c r="N16" s="48">
        <f t="shared" ref="N16" si="12">SUM(M16:M17)</f>
        <v>2156</v>
      </c>
      <c r="O16" s="48">
        <v>70.069999999999993</v>
      </c>
      <c r="P16" s="55"/>
      <c r="Q16" s="55"/>
      <c r="R16" s="55"/>
      <c r="S16" s="48"/>
      <c r="T16" s="48"/>
      <c r="U16" s="54">
        <v>140</v>
      </c>
      <c r="V16" s="26">
        <v>276</v>
      </c>
      <c r="W16" s="48">
        <f t="shared" ref="W16" si="13">SUM(V16:V17)</f>
        <v>1104</v>
      </c>
      <c r="X16" s="48">
        <v>63.48</v>
      </c>
      <c r="Y16" s="55"/>
      <c r="Z16" s="55"/>
      <c r="AA16" s="55"/>
      <c r="AB16" s="48"/>
      <c r="AC16" s="48"/>
    </row>
    <row r="17" spans="1:29" ht="27">
      <c r="A17" s="47"/>
      <c r="B17" s="1" t="s">
        <v>58</v>
      </c>
      <c r="C17" s="66"/>
      <c r="D17" s="67"/>
      <c r="E17" s="67"/>
      <c r="F17" s="67"/>
      <c r="G17" s="67"/>
      <c r="H17" s="67"/>
      <c r="I17" s="67"/>
      <c r="J17" s="67"/>
      <c r="K17" s="68"/>
      <c r="L17" s="53"/>
      <c r="M17" s="26">
        <v>1617</v>
      </c>
      <c r="N17" s="48"/>
      <c r="O17" s="48"/>
      <c r="P17" s="55"/>
      <c r="Q17" s="55"/>
      <c r="R17" s="55"/>
      <c r="S17" s="48"/>
      <c r="T17" s="48"/>
      <c r="U17" s="56"/>
      <c r="V17" s="26">
        <v>828</v>
      </c>
      <c r="W17" s="48"/>
      <c r="X17" s="48"/>
      <c r="Y17" s="55"/>
      <c r="Z17" s="55"/>
      <c r="AA17" s="55"/>
      <c r="AB17" s="48"/>
      <c r="AC17" s="48"/>
    </row>
    <row r="18" spans="1:29" ht="27">
      <c r="A18" s="47" t="s">
        <v>23</v>
      </c>
      <c r="B18" s="1" t="s">
        <v>47</v>
      </c>
      <c r="C18" s="66"/>
      <c r="D18" s="67"/>
      <c r="E18" s="67"/>
      <c r="F18" s="67"/>
      <c r="G18" s="67"/>
      <c r="H18" s="67"/>
      <c r="I18" s="67"/>
      <c r="J18" s="67"/>
      <c r="K18" s="68"/>
      <c r="L18" s="53">
        <v>129</v>
      </c>
      <c r="M18" s="26">
        <v>360</v>
      </c>
      <c r="N18" s="48">
        <f t="shared" ref="N18" si="14">SUM(M18:M19)</f>
        <v>1440</v>
      </c>
      <c r="O18" s="48">
        <v>97.2</v>
      </c>
      <c r="P18" s="55"/>
      <c r="Q18" s="55"/>
      <c r="R18" s="55"/>
      <c r="S18" s="48"/>
      <c r="T18" s="48"/>
      <c r="U18" s="54">
        <v>99</v>
      </c>
      <c r="V18" s="26">
        <v>140</v>
      </c>
      <c r="W18" s="48">
        <f t="shared" si="9"/>
        <v>560</v>
      </c>
      <c r="X18" s="48">
        <v>36.4</v>
      </c>
      <c r="Y18" s="55"/>
      <c r="Z18" s="55"/>
      <c r="AA18" s="55"/>
      <c r="AB18" s="48"/>
      <c r="AC18" s="48"/>
    </row>
    <row r="19" spans="1:29" ht="27">
      <c r="A19" s="47"/>
      <c r="B19" s="1" t="s">
        <v>58</v>
      </c>
      <c r="C19" s="66"/>
      <c r="D19" s="67"/>
      <c r="E19" s="67"/>
      <c r="F19" s="67"/>
      <c r="G19" s="67"/>
      <c r="H19" s="67"/>
      <c r="I19" s="67"/>
      <c r="J19" s="67"/>
      <c r="K19" s="68"/>
      <c r="L19" s="53"/>
      <c r="M19" s="26">
        <v>1080</v>
      </c>
      <c r="N19" s="48"/>
      <c r="O19" s="48"/>
      <c r="P19" s="55"/>
      <c r="Q19" s="55"/>
      <c r="R19" s="55"/>
      <c r="S19" s="48"/>
      <c r="T19" s="48"/>
      <c r="U19" s="56"/>
      <c r="V19" s="26">
        <v>420</v>
      </c>
      <c r="W19" s="48"/>
      <c r="X19" s="48"/>
      <c r="Y19" s="55"/>
      <c r="Z19" s="55"/>
      <c r="AA19" s="55"/>
      <c r="AB19" s="48"/>
      <c r="AC19" s="48"/>
    </row>
    <row r="20" spans="1:29" ht="27">
      <c r="A20" s="47" t="s">
        <v>24</v>
      </c>
      <c r="B20" s="1" t="s">
        <v>47</v>
      </c>
      <c r="C20" s="66"/>
      <c r="D20" s="67"/>
      <c r="E20" s="67"/>
      <c r="F20" s="67"/>
      <c r="G20" s="67"/>
      <c r="H20" s="67"/>
      <c r="I20" s="67"/>
      <c r="J20" s="67"/>
      <c r="K20" s="68"/>
      <c r="L20" s="53">
        <v>254</v>
      </c>
      <c r="M20" s="26">
        <v>514</v>
      </c>
      <c r="N20" s="48">
        <f t="shared" ref="N20" si="15">SUM(M20:M21)</f>
        <v>2056</v>
      </c>
      <c r="O20" s="48">
        <v>107.94</v>
      </c>
      <c r="P20" s="55"/>
      <c r="Q20" s="55"/>
      <c r="R20" s="55"/>
      <c r="S20" s="48"/>
      <c r="T20" s="48"/>
      <c r="U20" s="54">
        <v>260</v>
      </c>
      <c r="V20" s="26">
        <v>618</v>
      </c>
      <c r="W20" s="48">
        <f t="shared" si="11"/>
        <v>2472</v>
      </c>
      <c r="X20" s="48">
        <v>86.52</v>
      </c>
      <c r="Y20" s="55"/>
      <c r="Z20" s="55"/>
      <c r="AA20" s="55"/>
      <c r="AB20" s="48"/>
      <c r="AC20" s="48"/>
    </row>
    <row r="21" spans="1:29" ht="27">
      <c r="A21" s="47"/>
      <c r="B21" s="1" t="s">
        <v>58</v>
      </c>
      <c r="C21" s="69"/>
      <c r="D21" s="70"/>
      <c r="E21" s="70"/>
      <c r="F21" s="70"/>
      <c r="G21" s="70"/>
      <c r="H21" s="70"/>
      <c r="I21" s="70"/>
      <c r="J21" s="70"/>
      <c r="K21" s="71"/>
      <c r="L21" s="53"/>
      <c r="M21" s="26">
        <v>1542</v>
      </c>
      <c r="N21" s="48"/>
      <c r="O21" s="48"/>
      <c r="P21" s="56"/>
      <c r="Q21" s="56"/>
      <c r="R21" s="56"/>
      <c r="S21" s="48"/>
      <c r="T21" s="48"/>
      <c r="U21" s="56"/>
      <c r="V21" s="26">
        <v>1854</v>
      </c>
      <c r="W21" s="48"/>
      <c r="X21" s="48"/>
      <c r="Y21" s="56"/>
      <c r="Z21" s="56"/>
      <c r="AA21" s="56"/>
      <c r="AB21" s="48"/>
      <c r="AC21" s="48"/>
    </row>
    <row r="22" spans="1:29" ht="17.25" customHeight="1">
      <c r="A22" s="41" t="s">
        <v>56</v>
      </c>
      <c r="B22" s="41"/>
      <c r="C22" s="50">
        <f>SUM(J4+S4+AB4)</f>
        <v>26620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2"/>
    </row>
    <row r="23" spans="1:29" ht="20.25" customHeight="1">
      <c r="A23" s="41" t="s">
        <v>57</v>
      </c>
      <c r="B23" s="41"/>
      <c r="C23" s="50">
        <f>SUM(K4+T4+AC4)</f>
        <v>1295.22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2"/>
    </row>
  </sheetData>
  <mergeCells count="96">
    <mergeCell ref="J4:J9"/>
    <mergeCell ref="E6:E7"/>
    <mergeCell ref="Z4:Z21"/>
    <mergeCell ref="P4:P21"/>
    <mergeCell ref="Y4:Y21"/>
    <mergeCell ref="X4:X5"/>
    <mergeCell ref="X6:X7"/>
    <mergeCell ref="X8:X9"/>
    <mergeCell ref="X10:X11"/>
    <mergeCell ref="X12:X13"/>
    <mergeCell ref="U14:U15"/>
    <mergeCell ref="U16:U17"/>
    <mergeCell ref="U18:U19"/>
    <mergeCell ref="U20:U21"/>
    <mergeCell ref="U4:U5"/>
    <mergeCell ref="U6:U7"/>
    <mergeCell ref="E4:E5"/>
    <mergeCell ref="H4:H9"/>
    <mergeCell ref="I4:I9"/>
    <mergeCell ref="G4:G9"/>
    <mergeCell ref="E8:E9"/>
    <mergeCell ref="F4:F5"/>
    <mergeCell ref="F6:F7"/>
    <mergeCell ref="F8:F9"/>
    <mergeCell ref="O18:O19"/>
    <mergeCell ref="S4:S21"/>
    <mergeCell ref="T4:T21"/>
    <mergeCell ref="W4:W5"/>
    <mergeCell ref="W6:W7"/>
    <mergeCell ref="W8:W9"/>
    <mergeCell ref="W10:W11"/>
    <mergeCell ref="W12:W13"/>
    <mergeCell ref="W14:W15"/>
    <mergeCell ref="O16:O17"/>
    <mergeCell ref="X20:X21"/>
    <mergeCell ref="Q4:Q21"/>
    <mergeCell ref="R4:R21"/>
    <mergeCell ref="AB4:AB21"/>
    <mergeCell ref="U8:U9"/>
    <mergeCell ref="U10:U11"/>
    <mergeCell ref="U12:U13"/>
    <mergeCell ref="X14:X15"/>
    <mergeCell ref="X16:X17"/>
    <mergeCell ref="A4:A5"/>
    <mergeCell ref="A6:A7"/>
    <mergeCell ref="C2:K2"/>
    <mergeCell ref="C10:K21"/>
    <mergeCell ref="C4:C5"/>
    <mergeCell ref="C6:C7"/>
    <mergeCell ref="C8:C9"/>
    <mergeCell ref="A20:A21"/>
    <mergeCell ref="A2:B3"/>
    <mergeCell ref="A8:A9"/>
    <mergeCell ref="A10:A11"/>
    <mergeCell ref="A12:A13"/>
    <mergeCell ref="A14:A15"/>
    <mergeCell ref="A16:A17"/>
    <mergeCell ref="A18:A19"/>
    <mergeCell ref="K4:K9"/>
    <mergeCell ref="L2:T2"/>
    <mergeCell ref="U2:AC2"/>
    <mergeCell ref="L4:L5"/>
    <mergeCell ref="L6:L7"/>
    <mergeCell ref="L8:L9"/>
    <mergeCell ref="O4:O5"/>
    <mergeCell ref="O6:O7"/>
    <mergeCell ref="O8:O9"/>
    <mergeCell ref="N4:N5"/>
    <mergeCell ref="N6:N7"/>
    <mergeCell ref="N8:N9"/>
    <mergeCell ref="AC4:AC21"/>
    <mergeCell ref="W16:W17"/>
    <mergeCell ref="W18:W19"/>
    <mergeCell ref="W20:W21"/>
    <mergeCell ref="X18:X19"/>
    <mergeCell ref="L16:L17"/>
    <mergeCell ref="N10:N11"/>
    <mergeCell ref="N12:N13"/>
    <mergeCell ref="N14:N15"/>
    <mergeCell ref="L18:L19"/>
    <mergeCell ref="A22:B22"/>
    <mergeCell ref="A23:B23"/>
    <mergeCell ref="C22:AC22"/>
    <mergeCell ref="C23:AC23"/>
    <mergeCell ref="L20:L21"/>
    <mergeCell ref="O20:O21"/>
    <mergeCell ref="AA4:AA21"/>
    <mergeCell ref="N16:N17"/>
    <mergeCell ref="N18:N19"/>
    <mergeCell ref="N20:N21"/>
    <mergeCell ref="O10:O11"/>
    <mergeCell ref="O12:O13"/>
    <mergeCell ref="O14:O15"/>
    <mergeCell ref="L10:L11"/>
    <mergeCell ref="L12:L13"/>
    <mergeCell ref="L14:L15"/>
  </mergeCells>
  <phoneticPr fontId="7" type="noConversion"/>
  <pageMargins left="0.69930555555555596" right="0.69930555555555596" top="0.75" bottom="0.75" header="0.3" footer="0.3"/>
  <pageSetup paperSize="9" orientation="portrait" horizontalDpi="2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vision</dc:creator>
  <cp:lastModifiedBy>穈Җ낀Ҕ늰Ҕ呀ˏ姘ˏ네Ҕ姀ˏ屘ˏ뗰Ҕ忰ˏ宰ˏ墘ˏ뗀Ҕ巤ˏ녘Ҕ랰ζ떰Ҕ塀ˏ尘ˏ똘Ҕ렀ζ저ӑ</cp:lastModifiedBy>
  <dcterms:created xsi:type="dcterms:W3CDTF">2006-09-13T11:21:00Z</dcterms:created>
  <dcterms:modified xsi:type="dcterms:W3CDTF">2017-06-20T05:09:51Z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