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drawings/drawing3.xml" ContentType="application/vnd.openxmlformats-officedocument.drawingml.chartshap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o0930\Dropbox\社區產業\股份有限公司設立登記應備文件\"/>
    </mc:Choice>
  </mc:AlternateContent>
  <xr:revisionPtr revIDLastSave="0" documentId="13_ncr:1_{5521B924-ABB4-4AA8-AF0D-D7E3E54F8BF3}" xr6:coauthVersionLast="47" xr6:coauthVersionMax="47" xr10:uidLastSave="{00000000-0000-0000-0000-000000000000}"/>
  <bookViews>
    <workbookView xWindow="396" yWindow="0" windowWidth="19920" windowHeight="13680" tabRatio="1000" activeTab="2" xr2:uid="{00000000-000D-0000-FFFF-FFFF00000000}"/>
  </bookViews>
  <sheets>
    <sheet name="計畫經費彙總表" sheetId="1" r:id="rId1"/>
    <sheet name="計畫架構圖表" sheetId="16" r:id="rId2"/>
    <sheet name="文字計畫資訊" sheetId="19" r:id="rId3"/>
    <sheet name="營運財務規劃預測" sheetId="20" r:id="rId4"/>
    <sheet name="人事費" sheetId="2" r:id="rId5"/>
    <sheet name="加班記錄" sheetId="3" r:id="rId6"/>
    <sheet name="顧問" sheetId="4" r:id="rId7"/>
    <sheet name="工時記錄表" sheetId="5" r:id="rId8"/>
    <sheet name="材料費" sheetId="6" r:id="rId9"/>
    <sheet name="設備使用費" sheetId="7" r:id="rId10"/>
    <sheet name="設備使用記錄表" sheetId="8" r:id="rId11"/>
    <sheet name="設備維護費" sheetId="9" r:id="rId12"/>
    <sheet name="技術購買費" sheetId="10" r:id="rId13"/>
    <sheet name="委託研究費" sheetId="11" r:id="rId14"/>
    <sheet name="委託勞務費" sheetId="12" r:id="rId15"/>
    <sheet name="國內差旅費" sheetId="13" r:id="rId16"/>
    <sheet name="國外差旅費" sheetId="15" r:id="rId17"/>
    <sheet name="市場驗證費" sheetId="14" r:id="rId18"/>
    <sheet name="工作表2" sheetId="17" r:id="rId19"/>
    <sheet name="工作表1" sheetId="21" r:id="rId20"/>
  </sheets>
  <definedNames>
    <definedName name="_Hlk157872730" localSheetId="2">文字計畫資訊!$B$389</definedName>
    <definedName name="_Hlk161528044" localSheetId="2">文字計畫資訊!$A$235</definedName>
    <definedName name="_Toc383670581" localSheetId="2">文字計畫資訊!$B$74</definedName>
    <definedName name="_xlnm.Print_Area" localSheetId="4">人事費!$A$1:$I$19</definedName>
    <definedName name="_xlnm.Print_Area" localSheetId="7">工時記錄表!$A$1:$AJ$25</definedName>
    <definedName name="_xlnm.Print_Area" localSheetId="2">文字計畫資訊!$B:$I</definedName>
    <definedName name="_xlnm.Print_Area" localSheetId="5">加班記錄!$A$1:$J$14</definedName>
    <definedName name="_xlnm.Print_Area" localSheetId="17">市場驗證費!$A$1:$J$30</definedName>
    <definedName name="_xlnm.Print_Area" localSheetId="8">材料費!$A$1:$J$38</definedName>
    <definedName name="_xlnm.Print_Area" localSheetId="0">計畫經費彙總表!$A$1:$M$29</definedName>
    <definedName name="_xlnm.Print_Area" localSheetId="15">國內差旅費!$A$1:$N$22</definedName>
    <definedName name="_xlnm.Print_Area" localSheetId="16">國外差旅費!$A$1:$N$22</definedName>
    <definedName name="_xlnm.Print_Area" localSheetId="10">設備使用記錄表!$A$1:$AJ$24</definedName>
    <definedName name="_xlnm.Print_Area" localSheetId="9">設備使用費!$A$1:$K$37</definedName>
    <definedName name="_xlnm.Print_Area" localSheetId="11">設備維護費!$A$1:$M$24</definedName>
    <definedName name="_xlnm.Print_Area" localSheetId="6">顧問!$A$1:$E$22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5" i="16" l="1"/>
  <c r="O75" i="16"/>
  <c r="N75" i="16"/>
  <c r="M75" i="16"/>
  <c r="L75" i="16"/>
  <c r="K75" i="16"/>
  <c r="J75" i="16"/>
  <c r="I75" i="16"/>
  <c r="H75" i="16"/>
  <c r="G75" i="16"/>
  <c r="F75" i="16"/>
  <c r="E75" i="16"/>
  <c r="T57" i="16"/>
  <c r="T56" i="16"/>
  <c r="T37" i="16"/>
  <c r="T39" i="16"/>
  <c r="T38" i="16"/>
  <c r="Q24" i="16"/>
  <c r="G628" i="19" s="1"/>
  <c r="Q26" i="16"/>
  <c r="G631" i="19" s="1"/>
  <c r="Q28" i="16"/>
  <c r="G636" i="19" s="1"/>
  <c r="Q30" i="16"/>
  <c r="G640" i="19" s="1"/>
  <c r="Q32" i="16"/>
  <c r="G645" i="19" s="1"/>
  <c r="Q34" i="16"/>
  <c r="J36" i="16"/>
  <c r="Q18" i="16"/>
  <c r="Q20" i="16"/>
  <c r="Q15" i="16"/>
  <c r="Q11" i="16"/>
  <c r="Q9" i="16"/>
  <c r="Q7" i="16"/>
  <c r="Q5" i="16"/>
  <c r="L18" i="16"/>
  <c r="F19" i="16"/>
  <c r="E19" i="16"/>
  <c r="T19" i="16"/>
  <c r="T18" i="16"/>
  <c r="T20" i="16" s="1"/>
  <c r="Q17" i="16"/>
  <c r="Q13" i="16"/>
  <c r="G585" i="19"/>
  <c r="Q6" i="16"/>
  <c r="J100" i="16"/>
  <c r="J101" i="16"/>
  <c r="E1030" i="19"/>
  <c r="G1030" i="19" s="1"/>
  <c r="H1030" i="19" s="1"/>
  <c r="B679" i="19"/>
  <c r="B637" i="19"/>
  <c r="B660" i="19"/>
  <c r="I69" i="16"/>
  <c r="K69" i="16"/>
  <c r="K76" i="16" s="1"/>
  <c r="K74" i="16"/>
  <c r="P69" i="16"/>
  <c r="I764" i="19"/>
  <c r="B707" i="19"/>
  <c r="I748" i="19"/>
  <c r="P65" i="16"/>
  <c r="J65" i="16" s="1"/>
  <c r="G65" i="16" s="1"/>
  <c r="C41" i="16"/>
  <c r="C60" i="16"/>
  <c r="Q87" i="16"/>
  <c r="Q85" i="16"/>
  <c r="Q83" i="16"/>
  <c r="I822" i="19"/>
  <c r="G82" i="16" s="1"/>
  <c r="D822" i="19"/>
  <c r="E48" i="20" s="1"/>
  <c r="Q72" i="16"/>
  <c r="Q62" i="16"/>
  <c r="Q64" i="16"/>
  <c r="Q66" i="16"/>
  <c r="Q67" i="16"/>
  <c r="Q68" i="16"/>
  <c r="Q51" i="16"/>
  <c r="Q53" i="16"/>
  <c r="E37" i="16"/>
  <c r="G652" i="19"/>
  <c r="I603" i="19"/>
  <c r="G582" i="19"/>
  <c r="Q90" i="16"/>
  <c r="Q91" i="16"/>
  <c r="Q92" i="16"/>
  <c r="B665" i="19"/>
  <c r="B623" i="19"/>
  <c r="B579" i="19"/>
  <c r="G851" i="19"/>
  <c r="G852" i="19"/>
  <c r="G853" i="19"/>
  <c r="G854" i="19"/>
  <c r="B809" i="19"/>
  <c r="B810" i="19"/>
  <c r="B827" i="19"/>
  <c r="B834" i="19"/>
  <c r="B844" i="19"/>
  <c r="B712" i="19"/>
  <c r="B713" i="19"/>
  <c r="B734" i="19"/>
  <c r="B749" i="19"/>
  <c r="B765" i="19"/>
  <c r="B790" i="19"/>
  <c r="G796" i="19"/>
  <c r="G797" i="19"/>
  <c r="G799" i="19"/>
  <c r="G706" i="19"/>
  <c r="G704" i="19"/>
  <c r="B690" i="19"/>
  <c r="B691" i="19"/>
  <c r="B696" i="19"/>
  <c r="B697" i="19"/>
  <c r="G703" i="19"/>
  <c r="B672" i="19"/>
  <c r="B685" i="19"/>
  <c r="B666" i="19"/>
  <c r="G657" i="19"/>
  <c r="G658" i="19"/>
  <c r="E612" i="19"/>
  <c r="E609" i="19"/>
  <c r="E610" i="19"/>
  <c r="G656" i="19"/>
  <c r="G655" i="19"/>
  <c r="I652" i="19"/>
  <c r="B646" i="19"/>
  <c r="I645" i="19"/>
  <c r="B641" i="19"/>
  <c r="I640" i="19"/>
  <c r="B629" i="19"/>
  <c r="B632" i="19"/>
  <c r="B624" i="19"/>
  <c r="B598" i="19"/>
  <c r="B604" i="19"/>
  <c r="B594" i="19"/>
  <c r="B583" i="19"/>
  <c r="B586" i="19"/>
  <c r="B580" i="19"/>
  <c r="D484" i="19"/>
  <c r="F483" i="19"/>
  <c r="C483" i="19"/>
  <c r="E482" i="19"/>
  <c r="C475" i="19"/>
  <c r="E474" i="19"/>
  <c r="D470" i="19"/>
  <c r="D468" i="19"/>
  <c r="F466" i="19"/>
  <c r="G465" i="19"/>
  <c r="D465" i="19"/>
  <c r="F450" i="19"/>
  <c r="F449" i="19"/>
  <c r="E449" i="19"/>
  <c r="D449" i="19"/>
  <c r="F447" i="19"/>
  <c r="F446" i="19"/>
  <c r="F445" i="19"/>
  <c r="E445" i="19"/>
  <c r="D445" i="19"/>
  <c r="E450" i="19"/>
  <c r="D453" i="19"/>
  <c r="D452" i="19"/>
  <c r="D451" i="19"/>
  <c r="D450" i="19"/>
  <c r="E447" i="19"/>
  <c r="D448" i="19"/>
  <c r="D447" i="19"/>
  <c r="E446" i="19"/>
  <c r="D446" i="19"/>
  <c r="B453" i="19"/>
  <c r="B449" i="19"/>
  <c r="B445" i="19"/>
  <c r="K18" i="20"/>
  <c r="E4" i="20"/>
  <c r="F42" i="20"/>
  <c r="E42" i="20"/>
  <c r="F5" i="20"/>
  <c r="F40" i="20"/>
  <c r="E40" i="20" s="1"/>
  <c r="M37" i="20"/>
  <c r="F39" i="20"/>
  <c r="E39" i="20"/>
  <c r="G57" i="16"/>
  <c r="F57" i="16"/>
  <c r="E57" i="16"/>
  <c r="P57" i="16"/>
  <c r="E36" i="16"/>
  <c r="F9" i="2" s="1"/>
  <c r="F36" i="16"/>
  <c r="F37" i="16" s="1"/>
  <c r="G36" i="16"/>
  <c r="G37" i="16" s="1"/>
  <c r="H36" i="16"/>
  <c r="H37" i="16" s="1"/>
  <c r="I36" i="16"/>
  <c r="I37" i="16" s="1"/>
  <c r="J37" i="16"/>
  <c r="K36" i="16"/>
  <c r="K37" i="16" s="1"/>
  <c r="L36" i="16"/>
  <c r="L37" i="16" s="1"/>
  <c r="M36" i="16"/>
  <c r="N36" i="16"/>
  <c r="N37" i="16" s="1"/>
  <c r="O36" i="16"/>
  <c r="O37" i="16" s="1"/>
  <c r="P38" i="16"/>
  <c r="P19" i="16"/>
  <c r="F29" i="20"/>
  <c r="F28" i="20"/>
  <c r="F4" i="20"/>
  <c r="F51" i="20" s="1"/>
  <c r="E51" i="20"/>
  <c r="E34" i="20"/>
  <c r="E28" i="20"/>
  <c r="E29" i="20"/>
  <c r="E60" i="20"/>
  <c r="E59" i="20"/>
  <c r="E6" i="20"/>
  <c r="Q63" i="16"/>
  <c r="I718" i="19" s="1"/>
  <c r="F49" i="20"/>
  <c r="F62" i="20"/>
  <c r="F57" i="20"/>
  <c r="F22" i="20"/>
  <c r="E22" i="20"/>
  <c r="E19" i="20"/>
  <c r="Q69" i="16" l="1"/>
  <c r="E82" i="16"/>
  <c r="M37" i="16"/>
  <c r="K77" i="16"/>
  <c r="I823" i="19"/>
  <c r="T102" i="16" s="1"/>
  <c r="E49" i="20"/>
  <c r="E67" i="20"/>
  <c r="F30" i="20"/>
  <c r="F67" i="20"/>
  <c r="E30" i="20"/>
  <c r="E52" i="20"/>
  <c r="E53" i="20" s="1"/>
  <c r="E31" i="20"/>
  <c r="E62" i="20"/>
  <c r="T103" i="16"/>
  <c r="I23" i="7"/>
  <c r="I7" i="7"/>
  <c r="J7" i="6"/>
  <c r="J8" i="6"/>
  <c r="J9" i="6"/>
  <c r="J10" i="6"/>
  <c r="J11" i="6"/>
  <c r="J12" i="6"/>
  <c r="J13" i="6"/>
  <c r="J14" i="6"/>
  <c r="J15" i="6"/>
  <c r="J16" i="6"/>
  <c r="J17" i="6"/>
  <c r="J18" i="6"/>
  <c r="J19" i="6"/>
  <c r="J20" i="6"/>
  <c r="J21" i="6"/>
  <c r="J22" i="6"/>
  <c r="J23" i="6"/>
  <c r="J24" i="6"/>
  <c r="J25" i="6"/>
  <c r="J26" i="6"/>
  <c r="J6" i="6"/>
  <c r="H11" i="2"/>
  <c r="H12" i="2"/>
  <c r="F12" i="2"/>
  <c r="E12" i="2"/>
  <c r="A10" i="3"/>
  <c r="A9" i="3"/>
  <c r="A8" i="3"/>
  <c r="A7" i="3"/>
  <c r="A6" i="3"/>
  <c r="A5" i="3"/>
  <c r="A9" i="5"/>
  <c r="A8" i="5"/>
  <c r="A7" i="5"/>
  <c r="A6" i="5"/>
  <c r="A5" i="5"/>
  <c r="C3" i="16"/>
  <c r="B573" i="19" s="1"/>
  <c r="C79" i="16"/>
  <c r="B804" i="19" s="1"/>
  <c r="C22" i="16"/>
  <c r="B619" i="19" s="1"/>
  <c r="I103" i="16"/>
  <c r="I102" i="16"/>
  <c r="I101" i="16"/>
  <c r="I100" i="16"/>
  <c r="I99" i="16"/>
  <c r="E11" i="2"/>
  <c r="F98" i="16"/>
  <c r="Q71" i="16"/>
  <c r="I789" i="19" s="1"/>
  <c r="Q65" i="16"/>
  <c r="P76" i="16"/>
  <c r="T76" i="16" s="1"/>
  <c r="F102" i="16"/>
  <c r="G718" i="19"/>
  <c r="G597" i="19"/>
  <c r="G603" i="19"/>
  <c r="F100" i="16"/>
  <c r="F101" i="16"/>
  <c r="F103" i="16"/>
  <c r="F104" i="16"/>
  <c r="G701" i="19"/>
  <c r="Q49" i="16"/>
  <c r="G690" i="19" s="1"/>
  <c r="Q45" i="16"/>
  <c r="G678" i="19" s="1"/>
  <c r="Q43" i="16"/>
  <c r="G671" i="19" s="1"/>
  <c r="G833" i="19"/>
  <c r="G795" i="19"/>
  <c r="O93" i="16"/>
  <c r="O94" i="16" s="1"/>
  <c r="E93" i="16"/>
  <c r="E94" i="16" s="1"/>
  <c r="P95" i="16"/>
  <c r="Q89" i="16"/>
  <c r="O95" i="16"/>
  <c r="N95" i="16"/>
  <c r="M95" i="16"/>
  <c r="L95" i="16"/>
  <c r="K95" i="16"/>
  <c r="J95" i="16"/>
  <c r="I95" i="16"/>
  <c r="H95" i="16"/>
  <c r="G95" i="16"/>
  <c r="F95" i="16"/>
  <c r="P93" i="16"/>
  <c r="P94" i="16" s="1"/>
  <c r="N93" i="16"/>
  <c r="N94" i="16" s="1"/>
  <c r="M93" i="16"/>
  <c r="M94" i="16" s="1"/>
  <c r="L93" i="16"/>
  <c r="L94" i="16" s="1"/>
  <c r="K93" i="16"/>
  <c r="K94" i="16" s="1"/>
  <c r="J93" i="16"/>
  <c r="J94" i="16" s="1"/>
  <c r="I93" i="16"/>
  <c r="I94" i="16" s="1"/>
  <c r="H93" i="16"/>
  <c r="H94" i="16" s="1"/>
  <c r="G93" i="16"/>
  <c r="G94" i="16" s="1"/>
  <c r="F93" i="16"/>
  <c r="F94" i="16" s="1"/>
  <c r="Q88" i="16"/>
  <c r="Q86" i="16"/>
  <c r="I843" i="19" s="1"/>
  <c r="Q84" i="16"/>
  <c r="I833" i="19" s="1"/>
  <c r="Q81" i="16"/>
  <c r="G826" i="19" s="1"/>
  <c r="O76" i="16"/>
  <c r="N76" i="16"/>
  <c r="M76" i="16"/>
  <c r="L76" i="16"/>
  <c r="J76" i="16"/>
  <c r="I76" i="16"/>
  <c r="H76" i="16"/>
  <c r="G76" i="16"/>
  <c r="F76" i="16"/>
  <c r="E76" i="16"/>
  <c r="P74" i="16"/>
  <c r="O74" i="16"/>
  <c r="N74" i="16"/>
  <c r="M74" i="16"/>
  <c r="L74" i="16"/>
  <c r="J74" i="16"/>
  <c r="I74" i="16"/>
  <c r="H74" i="16"/>
  <c r="G74" i="16"/>
  <c r="F74" i="16"/>
  <c r="E74" i="16"/>
  <c r="Q73" i="16"/>
  <c r="I795" i="19" s="1"/>
  <c r="Q70" i="16"/>
  <c r="G789" i="19" s="1"/>
  <c r="G764" i="19"/>
  <c r="G748" i="19"/>
  <c r="O57" i="16"/>
  <c r="N57" i="16"/>
  <c r="M57" i="16"/>
  <c r="L57" i="16"/>
  <c r="K57" i="16"/>
  <c r="J57" i="16"/>
  <c r="I57" i="16"/>
  <c r="H57" i="16"/>
  <c r="P55" i="16"/>
  <c r="P56" i="16" s="1"/>
  <c r="O55" i="16"/>
  <c r="O56" i="16" s="1"/>
  <c r="N55" i="16"/>
  <c r="N56" i="16" s="1"/>
  <c r="M55" i="16"/>
  <c r="M56" i="16" s="1"/>
  <c r="L55" i="16"/>
  <c r="L56" i="16" s="1"/>
  <c r="K55" i="16"/>
  <c r="K56" i="16" s="1"/>
  <c r="J55" i="16"/>
  <c r="J56" i="16" s="1"/>
  <c r="I55" i="16"/>
  <c r="I56" i="16" s="1"/>
  <c r="H55" i="16"/>
  <c r="H56" i="16" s="1"/>
  <c r="G55" i="16"/>
  <c r="G56" i="16" s="1"/>
  <c r="F55" i="16"/>
  <c r="F56" i="16" s="1"/>
  <c r="E55" i="16"/>
  <c r="E56" i="16" s="1"/>
  <c r="Q54" i="16"/>
  <c r="Q52" i="16"/>
  <c r="C696" i="19" s="1"/>
  <c r="Q50" i="16"/>
  <c r="C690" i="19" s="1"/>
  <c r="Q48" i="16"/>
  <c r="Q47" i="16"/>
  <c r="G684" i="19" s="1"/>
  <c r="Q46" i="16"/>
  <c r="Q44" i="16"/>
  <c r="I671" i="19" s="1"/>
  <c r="O38" i="16"/>
  <c r="N38" i="16"/>
  <c r="M38" i="16"/>
  <c r="L38" i="16"/>
  <c r="K38" i="16"/>
  <c r="J38" i="16"/>
  <c r="I38" i="16"/>
  <c r="H38" i="16"/>
  <c r="G38" i="16"/>
  <c r="F38" i="16"/>
  <c r="E38" i="16"/>
  <c r="P36" i="16"/>
  <c r="P37" i="16" s="1"/>
  <c r="Q35" i="16"/>
  <c r="Q33" i="16"/>
  <c r="C645" i="19" s="1"/>
  <c r="Q31" i="16"/>
  <c r="Q29" i="16"/>
  <c r="I636" i="19" s="1"/>
  <c r="Q27" i="16"/>
  <c r="I631" i="19" s="1"/>
  <c r="Q25" i="16"/>
  <c r="I628" i="19" s="1"/>
  <c r="G19" i="16"/>
  <c r="K19" i="16"/>
  <c r="J19" i="16"/>
  <c r="P17" i="16"/>
  <c r="P18" i="16" s="1"/>
  <c r="F17" i="16"/>
  <c r="F18" i="16" s="1"/>
  <c r="G17" i="16"/>
  <c r="G18" i="16" s="1"/>
  <c r="H17" i="16"/>
  <c r="H18" i="16" s="1"/>
  <c r="I17" i="16"/>
  <c r="I18" i="16" s="1"/>
  <c r="J17" i="16"/>
  <c r="J18" i="16" s="1"/>
  <c r="K17" i="16"/>
  <c r="K18" i="16" s="1"/>
  <c r="L17" i="16"/>
  <c r="M17" i="16"/>
  <c r="M18" i="16" s="1"/>
  <c r="N17" i="16"/>
  <c r="N18" i="16" s="1"/>
  <c r="O17" i="16"/>
  <c r="O18" i="16" s="1"/>
  <c r="E17" i="16"/>
  <c r="Q8" i="16"/>
  <c r="I585" i="19" s="1"/>
  <c r="G593" i="19"/>
  <c r="Q10" i="16"/>
  <c r="R9" i="16" s="1"/>
  <c r="Q12" i="16"/>
  <c r="Q14" i="16"/>
  <c r="R13" i="16" s="1"/>
  <c r="G607" i="19"/>
  <c r="Q16" i="16"/>
  <c r="I607" i="19" s="1"/>
  <c r="I582" i="19"/>
  <c r="H19" i="16"/>
  <c r="I19" i="16"/>
  <c r="L19" i="16"/>
  <c r="M19" i="16"/>
  <c r="N19" i="16"/>
  <c r="O19" i="16"/>
  <c r="AH14" i="8"/>
  <c r="AH13" i="8"/>
  <c r="AJ18" i="8"/>
  <c r="AH18" i="8"/>
  <c r="B18" i="8"/>
  <c r="J27" i="7"/>
  <c r="I20" i="7"/>
  <c r="I21" i="7"/>
  <c r="I22" i="7"/>
  <c r="I27" i="7"/>
  <c r="I8" i="7"/>
  <c r="I9" i="7"/>
  <c r="I10" i="7"/>
  <c r="I11" i="7"/>
  <c r="I12" i="7"/>
  <c r="Q76" i="16" l="1"/>
  <c r="T75" i="16"/>
  <c r="T77" i="16" s="1"/>
  <c r="R11" i="16"/>
  <c r="E1038" i="19"/>
  <c r="D124" i="19"/>
  <c r="I824" i="19"/>
  <c r="I826" i="19" s="1"/>
  <c r="F99" i="16"/>
  <c r="B12" i="1" s="1"/>
  <c r="E54" i="20"/>
  <c r="E95" i="16"/>
  <c r="T94" i="16" s="1"/>
  <c r="K8" i="20"/>
  <c r="K12" i="20" s="1"/>
  <c r="E37" i="20"/>
  <c r="E41" i="20" s="1"/>
  <c r="Q82" i="16"/>
  <c r="Q95" i="16" s="1"/>
  <c r="H853" i="19" s="1"/>
  <c r="R63" i="16"/>
  <c r="G733" i="19"/>
  <c r="I733" i="19"/>
  <c r="P77" i="16"/>
  <c r="R85" i="16"/>
  <c r="G843" i="19"/>
  <c r="R87" i="16"/>
  <c r="G849" i="19"/>
  <c r="R51" i="16"/>
  <c r="G696" i="19"/>
  <c r="B15" i="1"/>
  <c r="C15" i="1"/>
  <c r="P96" i="16"/>
  <c r="B20" i="1"/>
  <c r="C20" i="1"/>
  <c r="B10" i="1"/>
  <c r="C16" i="1"/>
  <c r="C10" i="1"/>
  <c r="B9" i="1"/>
  <c r="C9" i="1"/>
  <c r="B14" i="1"/>
  <c r="C14" i="1"/>
  <c r="K6" i="20"/>
  <c r="E35" i="20"/>
  <c r="O77" i="16"/>
  <c r="R68" i="16"/>
  <c r="F8" i="2"/>
  <c r="G8" i="2" s="1"/>
  <c r="E56" i="20"/>
  <c r="E57" i="20" s="1"/>
  <c r="Q36" i="16"/>
  <c r="Q37" i="16" s="1"/>
  <c r="Q39" i="16" s="1"/>
  <c r="R65" i="16"/>
  <c r="E77" i="16"/>
  <c r="F11" i="2"/>
  <c r="B16" i="1"/>
  <c r="E58" i="16"/>
  <c r="F10" i="2"/>
  <c r="E18" i="16"/>
  <c r="F7" i="2"/>
  <c r="F31" i="20"/>
  <c r="F35" i="20" s="1"/>
  <c r="R83" i="16"/>
  <c r="R24" i="16"/>
  <c r="R62" i="16"/>
  <c r="R47" i="16"/>
  <c r="R45" i="16"/>
  <c r="R28" i="16"/>
  <c r="R70" i="16"/>
  <c r="Q19" i="16"/>
  <c r="F611" i="19" s="1"/>
  <c r="R53" i="16"/>
  <c r="R7" i="16"/>
  <c r="R32" i="16"/>
  <c r="R5" i="16"/>
  <c r="R34" i="16"/>
  <c r="R15" i="16"/>
  <c r="R26" i="16"/>
  <c r="R66" i="16"/>
  <c r="R43" i="16"/>
  <c r="R49" i="16"/>
  <c r="R30" i="16"/>
  <c r="R64" i="16"/>
  <c r="R72" i="16"/>
  <c r="E39" i="16"/>
  <c r="O96" i="16"/>
  <c r="I96" i="16"/>
  <c r="H96" i="16"/>
  <c r="G96" i="16"/>
  <c r="F96" i="16"/>
  <c r="M77" i="16"/>
  <c r="N96" i="16"/>
  <c r="F77" i="16"/>
  <c r="G77" i="16"/>
  <c r="H77" i="16"/>
  <c r="J77" i="16"/>
  <c r="N77" i="16"/>
  <c r="F39" i="16"/>
  <c r="J96" i="16"/>
  <c r="K96" i="16"/>
  <c r="L96" i="16"/>
  <c r="M96" i="16"/>
  <c r="Q93" i="16"/>
  <c r="H851" i="19" s="1"/>
  <c r="J39" i="16"/>
  <c r="I77" i="16"/>
  <c r="G39" i="16"/>
  <c r="L77" i="16"/>
  <c r="Q38" i="16"/>
  <c r="H657" i="19" s="1"/>
  <c r="K39" i="16"/>
  <c r="L39" i="16"/>
  <c r="M39" i="16"/>
  <c r="F58" i="16"/>
  <c r="H58" i="16"/>
  <c r="M58" i="16"/>
  <c r="G58" i="16"/>
  <c r="Q57" i="16"/>
  <c r="H705" i="19" s="1"/>
  <c r="I58" i="16"/>
  <c r="J58" i="16"/>
  <c r="K58" i="16"/>
  <c r="L58" i="16"/>
  <c r="N58" i="16"/>
  <c r="O58" i="16"/>
  <c r="Q74" i="16"/>
  <c r="Q75" i="16" s="1"/>
  <c r="F20" i="16"/>
  <c r="H39" i="16"/>
  <c r="I39" i="16"/>
  <c r="N39" i="16"/>
  <c r="O39" i="16"/>
  <c r="Q55" i="16"/>
  <c r="H703" i="19" s="1"/>
  <c r="H20" i="16"/>
  <c r="O20" i="16"/>
  <c r="G20" i="16"/>
  <c r="M20" i="16"/>
  <c r="N20" i="16"/>
  <c r="L20" i="16"/>
  <c r="K20" i="16"/>
  <c r="J20" i="16"/>
  <c r="I20" i="16"/>
  <c r="K27" i="7"/>
  <c r="T96" i="16" l="1"/>
  <c r="L100" i="16"/>
  <c r="E8" i="20" s="1"/>
  <c r="H798" i="19"/>
  <c r="Q77" i="16"/>
  <c r="E96" i="16"/>
  <c r="C11" i="1"/>
  <c r="B11" i="1"/>
  <c r="C12" i="1"/>
  <c r="R81" i="16"/>
  <c r="F41" i="20"/>
  <c r="F43" i="20" s="1"/>
  <c r="E43" i="20"/>
  <c r="E68" i="20" s="1"/>
  <c r="H656" i="19"/>
  <c r="H655" i="19"/>
  <c r="H796" i="19"/>
  <c r="Q56" i="16"/>
  <c r="H704" i="19" s="1"/>
  <c r="F610" i="19"/>
  <c r="F609" i="19"/>
  <c r="T95" i="16"/>
  <c r="M100" i="16" s="1"/>
  <c r="L12" i="20"/>
  <c r="M12" i="20" s="1"/>
  <c r="Q94" i="16"/>
  <c r="H658" i="19"/>
  <c r="J99" i="16"/>
  <c r="AH17" i="8"/>
  <c r="AJ17" i="8" s="1"/>
  <c r="J23" i="7" s="1"/>
  <c r="K23" i="7" s="1"/>
  <c r="AH16" i="8"/>
  <c r="AJ16" i="8" s="1"/>
  <c r="J22" i="7" s="1"/>
  <c r="K22" i="7" s="1"/>
  <c r="AH11" i="8"/>
  <c r="AJ11" i="8" s="1"/>
  <c r="J12" i="7" s="1"/>
  <c r="AH10" i="8"/>
  <c r="AJ10" i="8" s="1"/>
  <c r="J11" i="7" s="1"/>
  <c r="AH9" i="8"/>
  <c r="AJ9" i="8" s="1"/>
  <c r="J10" i="7" s="1"/>
  <c r="B17" i="8"/>
  <c r="B16" i="8"/>
  <c r="B15" i="8"/>
  <c r="B14" i="8"/>
  <c r="B13" i="8"/>
  <c r="B11" i="8"/>
  <c r="B10" i="8"/>
  <c r="B9" i="8"/>
  <c r="B8" i="8"/>
  <c r="B7" i="8"/>
  <c r="B6" i="8"/>
  <c r="N13" i="15"/>
  <c r="N12" i="15"/>
  <c r="N11" i="15"/>
  <c r="N10" i="15"/>
  <c r="N9" i="15"/>
  <c r="N8" i="15"/>
  <c r="N7" i="15"/>
  <c r="N6" i="15"/>
  <c r="N13" i="13"/>
  <c r="N12" i="13"/>
  <c r="N11" i="13"/>
  <c r="N10" i="13"/>
  <c r="N9" i="13"/>
  <c r="N8" i="13"/>
  <c r="N7" i="13"/>
  <c r="N6" i="13"/>
  <c r="H88" i="19" l="1"/>
  <c r="E88" i="19" s="1"/>
  <c r="C88" i="19" s="1"/>
  <c r="F8" i="20"/>
  <c r="E1029" i="19"/>
  <c r="E1031" i="19"/>
  <c r="G1031" i="19" s="1"/>
  <c r="Q96" i="16"/>
  <c r="H852" i="19"/>
  <c r="Q58" i="16"/>
  <c r="F612" i="19"/>
  <c r="F105" i="16"/>
  <c r="B8" i="1" s="1"/>
  <c r="B21" i="1" s="1"/>
  <c r="H797" i="19"/>
  <c r="D19" i="1"/>
  <c r="G19" i="1"/>
  <c r="G18" i="1"/>
  <c r="D18" i="1"/>
  <c r="N14" i="15"/>
  <c r="J19" i="1" s="1"/>
  <c r="A1" i="15"/>
  <c r="D10" i="1"/>
  <c r="J18" i="14"/>
  <c r="J20" i="1" s="1"/>
  <c r="F15" i="12"/>
  <c r="J16" i="1" s="1"/>
  <c r="F15" i="11"/>
  <c r="J15" i="1" s="1"/>
  <c r="F15" i="10"/>
  <c r="J14" i="1" s="1"/>
  <c r="M16" i="9"/>
  <c r="J12" i="1" s="1"/>
  <c r="J27" i="6"/>
  <c r="J10" i="1" s="1"/>
  <c r="E15" i="4"/>
  <c r="J9" i="1" s="1"/>
  <c r="I11" i="3"/>
  <c r="A1" i="14"/>
  <c r="A1" i="13"/>
  <c r="A1" i="12"/>
  <c r="A1" i="11"/>
  <c r="A1" i="10"/>
  <c r="A1" i="9"/>
  <c r="A1" i="8"/>
  <c r="A1" i="7"/>
  <c r="A1" i="6"/>
  <c r="A1" i="5"/>
  <c r="A1" i="4"/>
  <c r="A1" i="3"/>
  <c r="H10" i="2"/>
  <c r="H9" i="2"/>
  <c r="H8" i="2"/>
  <c r="H7" i="2"/>
  <c r="A1" i="2"/>
  <c r="N14" i="13"/>
  <c r="J18" i="1" s="1"/>
  <c r="AJ14" i="8"/>
  <c r="J20" i="7" s="1"/>
  <c r="AJ13" i="8"/>
  <c r="J19" i="7" s="1"/>
  <c r="AH8" i="8"/>
  <c r="AJ8" i="8" s="1"/>
  <c r="J9" i="7" s="1"/>
  <c r="AH7" i="8"/>
  <c r="AJ7" i="8" s="1"/>
  <c r="J8" i="7" s="1"/>
  <c r="AH6" i="8"/>
  <c r="AJ6" i="8" s="1"/>
  <c r="J7" i="7" s="1"/>
  <c r="K7" i="7" s="1"/>
  <c r="I19" i="7"/>
  <c r="K12" i="7"/>
  <c r="K11" i="7"/>
  <c r="K10" i="7"/>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AG8" i="5"/>
  <c r="AI8" i="5" s="1"/>
  <c r="AG7" i="5"/>
  <c r="AI7" i="5" s="1"/>
  <c r="AG6" i="5"/>
  <c r="AI6" i="5" s="1"/>
  <c r="AG5" i="5"/>
  <c r="AI5" i="5" s="1"/>
  <c r="D13" i="2"/>
  <c r="C13" i="2"/>
  <c r="B13" i="2"/>
  <c r="G12" i="2"/>
  <c r="I12" i="2" s="1"/>
  <c r="G11" i="2"/>
  <c r="I11" i="2" s="1"/>
  <c r="E10" i="2"/>
  <c r="T104" i="16" s="1"/>
  <c r="E9" i="2"/>
  <c r="E8" i="2"/>
  <c r="E7" i="2"/>
  <c r="F21" i="1"/>
  <c r="E21" i="1"/>
  <c r="G20" i="1"/>
  <c r="D20" i="1"/>
  <c r="G16" i="1"/>
  <c r="D16" i="1"/>
  <c r="G15" i="1"/>
  <c r="D15" i="1"/>
  <c r="G14" i="1"/>
  <c r="D14" i="1"/>
  <c r="G12" i="1"/>
  <c r="D12" i="1"/>
  <c r="G11" i="1"/>
  <c r="D11" i="1"/>
  <c r="G10" i="1"/>
  <c r="G9" i="1"/>
  <c r="D9" i="1"/>
  <c r="G8" i="1"/>
  <c r="F9" i="20" l="1"/>
  <c r="H1031" i="19"/>
  <c r="H1029" i="19" s="1"/>
  <c r="G1029" i="19"/>
  <c r="F106" i="16"/>
  <c r="C8" i="1"/>
  <c r="C21" i="1" s="1"/>
  <c r="H706" i="19"/>
  <c r="H799" i="19"/>
  <c r="J102" i="16"/>
  <c r="J103" i="16"/>
  <c r="H854" i="19"/>
  <c r="H13" i="2"/>
  <c r="D8" i="1"/>
  <c r="D21" i="1" s="1"/>
  <c r="H10" i="1"/>
  <c r="K10" i="1" s="1"/>
  <c r="K20" i="7"/>
  <c r="K19" i="7"/>
  <c r="H18" i="1"/>
  <c r="K18" i="1" s="1"/>
  <c r="K19" i="1"/>
  <c r="AI17" i="5"/>
  <c r="H15" i="1"/>
  <c r="I15" i="1" s="1"/>
  <c r="L15" i="1" s="1"/>
  <c r="G10" i="2"/>
  <c r="I10" i="2" s="1"/>
  <c r="E13" i="2"/>
  <c r="G21" i="1"/>
  <c r="K8" i="7"/>
  <c r="H9" i="1"/>
  <c r="K9" i="1" s="1"/>
  <c r="H12" i="1"/>
  <c r="K12" i="1" s="1"/>
  <c r="G9" i="2"/>
  <c r="I9" i="2" s="1"/>
  <c r="H14" i="1"/>
  <c r="K14" i="1" s="1"/>
  <c r="K9" i="7"/>
  <c r="H16" i="1"/>
  <c r="K16" i="1" s="1"/>
  <c r="H20" i="1"/>
  <c r="K20" i="1" s="1"/>
  <c r="I8" i="2"/>
  <c r="AG17" i="5"/>
  <c r="J104" i="16" l="1"/>
  <c r="M101" i="16" s="1"/>
  <c r="L101" i="16"/>
  <c r="D122" i="19"/>
  <c r="F107" i="16"/>
  <c r="E1036" i="19"/>
  <c r="R33" i="16"/>
  <c r="R6" i="16"/>
  <c r="R73" i="16"/>
  <c r="R48" i="16"/>
  <c r="R8" i="16"/>
  <c r="R46" i="16"/>
  <c r="R10" i="16"/>
  <c r="R71" i="16"/>
  <c r="R12" i="16"/>
  <c r="R82" i="16"/>
  <c r="R25" i="16"/>
  <c r="R86" i="16"/>
  <c r="R14" i="16"/>
  <c r="R84" i="16"/>
  <c r="R27" i="16"/>
  <c r="R88" i="16"/>
  <c r="R16" i="16"/>
  <c r="R54" i="16"/>
  <c r="R29" i="16"/>
  <c r="R44" i="16"/>
  <c r="R69" i="16"/>
  <c r="R31" i="16"/>
  <c r="R67" i="16"/>
  <c r="R52" i="16"/>
  <c r="R35" i="16"/>
  <c r="R50" i="16"/>
  <c r="F52" i="20"/>
  <c r="F53" i="20" s="1"/>
  <c r="K13" i="7"/>
  <c r="I18" i="1"/>
  <c r="L18" i="1" s="1"/>
  <c r="M18" i="1" s="1"/>
  <c r="I19" i="1"/>
  <c r="L19" i="1" s="1"/>
  <c r="M19" i="1" s="1"/>
  <c r="K15" i="1"/>
  <c r="M15" i="1" s="1"/>
  <c r="I10" i="1"/>
  <c r="L10" i="1" s="1"/>
  <c r="M10" i="1" s="1"/>
  <c r="I9" i="1"/>
  <c r="L9" i="1" s="1"/>
  <c r="M9" i="1" s="1"/>
  <c r="I14" i="1"/>
  <c r="L14" i="1" s="1"/>
  <c r="M14" i="1" s="1"/>
  <c r="G7" i="2"/>
  <c r="I7" i="2" s="1"/>
  <c r="I13" i="2" s="1"/>
  <c r="J8" i="1" s="1"/>
  <c r="F13" i="2"/>
  <c r="I16" i="1"/>
  <c r="I12" i="1"/>
  <c r="L12" i="1" s="1"/>
  <c r="M12" i="1" s="1"/>
  <c r="I20" i="1"/>
  <c r="L20" i="1" s="1"/>
  <c r="M20" i="1" s="1"/>
  <c r="F54" i="20" l="1"/>
  <c r="F68" i="20" s="1"/>
  <c r="L16" i="1"/>
  <c r="M16" i="1" s="1"/>
  <c r="G13" i="2"/>
  <c r="F69" i="20" l="1"/>
  <c r="H8" i="1"/>
  <c r="K8" i="1" l="1"/>
  <c r="I8" i="1"/>
  <c r="L8" i="1" l="1"/>
  <c r="M8" i="1" l="1"/>
  <c r="E20" i="16" l="1"/>
  <c r="H86" i="19"/>
  <c r="E86" i="19" s="1"/>
  <c r="C86" i="19" s="1"/>
  <c r="E9" i="20" s="1"/>
  <c r="E69" i="20" l="1"/>
  <c r="D115" i="19"/>
  <c r="E23" i="20"/>
  <c r="E70" i="20" s="1"/>
  <c r="F18" i="20" s="1"/>
  <c r="F19" i="20" s="1"/>
  <c r="F23" i="20" s="1"/>
  <c r="F70" i="20" s="1"/>
  <c r="D117" i="19"/>
  <c r="D116" i="19"/>
  <c r="M21" i="1"/>
  <c r="M11" i="1"/>
  <c r="AB15" i="8"/>
  <c r="H21" i="1"/>
  <c r="J21" i="1"/>
  <c r="V19" i="8"/>
  <c r="V19" i="8" a="1"/>
  <c r="I21" i="1"/>
  <c r="I11" i="1"/>
  <c r="L11" i="1"/>
  <c r="L21" i="1"/>
  <c r="AB15" i="8" a="1"/>
  <c r="AH15" i="8"/>
  <c r="AJ15" i="8"/>
  <c r="J21" i="7"/>
  <c r="K21" i="7"/>
  <c r="K28" i="7"/>
  <c r="K29" i="7"/>
  <c r="J11" i="1"/>
  <c r="H11" i="1"/>
  <c r="K11" i="1"/>
  <c r="K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DF65C2C5-0DD8-441A-8105-6310BDCB2489}">
      <text>
        <r>
          <rPr>
            <b/>
            <sz val="9"/>
            <color indexed="81"/>
            <rFont val="細明體"/>
            <family val="3"/>
            <charset val="136"/>
          </rPr>
          <t>填表注意事項</t>
        </r>
        <r>
          <rPr>
            <b/>
            <sz val="9"/>
            <color indexed="81"/>
            <rFont val="Tahoma"/>
            <family val="2"/>
          </rPr>
          <t xml:space="preserve">:
</t>
        </r>
        <r>
          <rPr>
            <sz val="9"/>
            <color indexed="81"/>
            <rFont val="Tahoma"/>
            <family val="2"/>
          </rPr>
          <t>1.</t>
        </r>
        <r>
          <rPr>
            <sz val="9"/>
            <color indexed="81"/>
            <rFont val="細明體"/>
            <family val="3"/>
            <charset val="136"/>
          </rPr>
          <t xml:space="preserve">標示綠色者為可修改欄位
</t>
        </r>
        <r>
          <rPr>
            <sz val="9"/>
            <color indexed="81"/>
            <rFont val="Tahoma"/>
            <family val="2"/>
          </rPr>
          <t>2.</t>
        </r>
        <r>
          <rPr>
            <sz val="9"/>
            <color indexed="81"/>
            <rFont val="細明體"/>
            <family val="3"/>
            <charset val="136"/>
          </rPr>
          <t xml:space="preserve">標示藍色的三個技術移轉科目小計欄位，只有在當月份技術移轉交易對象不只一家，需要同時連結多張專帳表格時才修改公式，否則請勿修改公式
</t>
        </r>
        <r>
          <rPr>
            <sz val="9"/>
            <color indexed="81"/>
            <rFont val="Tahoma"/>
            <family val="2"/>
          </rPr>
          <t>3.</t>
        </r>
        <r>
          <rPr>
            <sz val="9"/>
            <color indexed="81"/>
            <rFont val="細明體"/>
            <family val="3"/>
            <charset val="136"/>
          </rPr>
          <t>白色的欄位建議勿修改</t>
        </r>
        <r>
          <rPr>
            <sz val="9"/>
            <color indexed="81"/>
            <rFont val="Tahoma"/>
            <family val="2"/>
          </rPr>
          <t>(</t>
        </r>
        <r>
          <rPr>
            <sz val="9"/>
            <color indexed="81"/>
            <rFont val="細明體"/>
            <family val="3"/>
            <charset val="136"/>
          </rPr>
          <t>該等欄位大部分已經鎖定無法修改</t>
        </r>
        <r>
          <rPr>
            <sz val="9"/>
            <color indexed="81"/>
            <rFont val="Tahoma"/>
            <family val="2"/>
          </rPr>
          <t>)
4.</t>
        </r>
        <r>
          <rPr>
            <sz val="9"/>
            <color indexed="81"/>
            <rFont val="細明體"/>
            <family val="3"/>
            <charset val="136"/>
          </rPr>
          <t>列印時注意上期累計支用數</t>
        </r>
        <r>
          <rPr>
            <sz val="9"/>
            <color indexed="81"/>
            <rFont val="Tahoma"/>
            <family val="2"/>
          </rPr>
          <t>(EFG</t>
        </r>
        <r>
          <rPr>
            <sz val="9"/>
            <color indexed="81"/>
            <rFont val="細明體"/>
            <family val="3"/>
            <charset val="136"/>
          </rPr>
          <t>三欄</t>
        </r>
        <r>
          <rPr>
            <sz val="9"/>
            <color indexed="81"/>
            <rFont val="Tahoma"/>
            <family val="2"/>
          </rPr>
          <t>)</t>
        </r>
        <r>
          <rPr>
            <sz val="9"/>
            <color indexed="81"/>
            <rFont val="細明體"/>
            <family val="3"/>
            <charset val="136"/>
          </rPr>
          <t xml:space="preserve">請隱藏起來
</t>
        </r>
        <r>
          <rPr>
            <sz val="9"/>
            <color indexed="81"/>
            <rFont val="Tahoma"/>
            <family val="2"/>
          </rPr>
          <t>5.</t>
        </r>
        <r>
          <rPr>
            <sz val="9"/>
            <color indexed="81"/>
            <rFont val="細明體"/>
            <family val="3"/>
            <charset val="136"/>
          </rPr>
          <t>每個月填一份經費累計表</t>
        </r>
        <r>
          <rPr>
            <sz val="9"/>
            <color indexed="81"/>
            <rFont val="Tahoma"/>
            <family val="2"/>
          </rPr>
          <t>excel</t>
        </r>
        <r>
          <rPr>
            <sz val="9"/>
            <color indexed="81"/>
            <rFont val="細明體"/>
            <family val="3"/>
            <charset val="136"/>
          </rPr>
          <t>檔，請勿把多個月份的資料放在同一個</t>
        </r>
        <r>
          <rPr>
            <sz val="9"/>
            <color indexed="81"/>
            <rFont val="Tahoma"/>
            <family val="2"/>
          </rPr>
          <t>excel</t>
        </r>
        <r>
          <rPr>
            <sz val="9"/>
            <color indexed="81"/>
            <rFont val="細明體"/>
            <family val="3"/>
            <charset val="136"/>
          </rPr>
          <t xml:space="preserve">檔案中，因為公式很容易跑掉，這樣很容易造成計算錯誤
</t>
        </r>
        <r>
          <rPr>
            <sz val="9"/>
            <color indexed="81"/>
            <rFont val="Tahoma"/>
            <family val="2"/>
          </rPr>
          <t>6.</t>
        </r>
        <r>
          <rPr>
            <sz val="9"/>
            <color indexed="81"/>
            <rFont val="細明體"/>
            <family val="3"/>
            <charset val="136"/>
          </rPr>
          <t xml:space="preserve">填寫上若有不了解的地方，請撥電話或寫信詢問正風聯合會計師事務所負責審查貴公司的查帳員
</t>
        </r>
        <r>
          <rPr>
            <sz val="9"/>
            <color indexed="81"/>
            <rFont val="Tahoma"/>
            <family val="2"/>
          </rPr>
          <t>7.</t>
        </r>
        <r>
          <rPr>
            <sz val="9"/>
            <color indexed="81"/>
            <rFont val="細明體"/>
            <family val="3"/>
            <charset val="136"/>
          </rPr>
          <t>表格上方蓋公司大章，表格下方負責人部分蓋公司負責人小章。另表格下方其他權責人員章也務必蓋上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江政隆</author>
  </authors>
  <commentList>
    <comment ref="B147" authorId="0" shapeId="0" xr:uid="{E8D55DDF-C8A3-4FE4-A918-01E116D553B1}">
      <text>
        <r>
          <rPr>
            <b/>
            <sz val="9"/>
            <color indexed="81"/>
            <rFont val="細明體"/>
            <family val="3"/>
            <charset val="136"/>
          </rPr>
          <t>江政隆</t>
        </r>
        <r>
          <rPr>
            <b/>
            <sz val="9"/>
            <color indexed="81"/>
            <rFont val="Tahoma"/>
            <family val="2"/>
          </rPr>
          <t>:</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8505A33-84B0-4B6B-96A1-FD510377BE7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1175235-546A-43CA-A2FD-84CE32508C58}">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8304E897-D99C-4803-9CF4-67C219C7288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9327EE6-E3E8-40B7-AFBF-467A764617BC}">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正常工作時數每個月可能不同(受大小月、例假日等因素影響)，請務必逐月確認是否填寫正確
3."簽名欄"位務必由投入計畫人員本人親簽，不要蓋章
4.表格下方所列計畫主持人、主辦會計、填表人等權責人員皆應蓋章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0D15ACA-BD43-40E6-A063-36C9B681CD97}">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AEC7D688-AE13-4F01-A4BD-ECE706B01712}">
      <text>
        <r>
          <rPr>
            <b/>
            <sz val="12"/>
            <color indexed="81"/>
            <rFont val="細明體"/>
            <family val="3"/>
            <charset val="136"/>
          </rPr>
          <t xml:space="preserve">填表注意事項:
</t>
        </r>
        <r>
          <rPr>
            <sz val="12"/>
            <color indexed="81"/>
            <rFont val="細明體"/>
            <family val="3"/>
            <charset val="136"/>
          </rPr>
          <t>1.填綠色部分即可，白色部分的數字有預設公式，請不要修改，避免計算錯誤
2.所列設備名稱務必與"設備使用紀錄表"所列設備名稱完全相符
3.表格下方所列權責人員皆應蓋章</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9698085F-9898-4B8F-B74A-ECEE3534541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所列設備名稱務必與"設備使用費"工作表所列設備名稱完全相符
3</t>
        </r>
        <r>
          <rPr>
            <sz val="12"/>
            <color indexed="81"/>
            <rFont val="Tahoma"/>
            <family val="2"/>
          </rPr>
          <t>.</t>
        </r>
        <r>
          <rPr>
            <sz val="12"/>
            <color indexed="81"/>
            <rFont val="細明體"/>
            <family val="3"/>
            <charset val="136"/>
          </rPr>
          <t>表格下方所列權責人員皆應蓋章</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0829B917-661D-4211-99F4-7EB99B807FF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2E60961A-8365-412F-B234-971F038353C8}">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18081065-44B9-4521-9D6E-290C679E51E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A8F1B1E-9343-47FD-8034-FB08C6B10EFC}">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7EADEC4-52FE-41CC-A8DE-D174D38F59BE}">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32A4FD2-E412-404D-A0D1-2C28E295308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74AD6E9-E12E-4A7B-BC66-AF9D6309020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41AD4-57A2-47D8-8863-011E95EC630C}" keepAlive="1" name="查詢 - 細項計畫資訊" description="與活頁簿中 '細項計畫資訊' 查詢的連接。" type="5" refreshedVersion="0" background="1">
    <dbPr connection="Provider=Microsoft.Mashup.OleDb.1;Data Source=$Workbook$;Location=細項計畫資訊;Extended Properties=&quot;&quot;" command="SELECT * FROM [細項計畫資訊]"/>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<sst xmlns="http://schemas.openxmlformats.org/spreadsheetml/2006/main" count="2131" uniqueCount="1565">
  <si>
    <t>經費累計表(應按月編制)</t>
  </si>
  <si>
    <t>金額單位：元</t>
  </si>
  <si>
    <t>計畫預算數</t>
  </si>
  <si>
    <r>
      <t>上期累計支用數</t>
    </r>
    <r>
      <rPr>
        <b/>
        <sz val="10"/>
        <color rgb="FF000000"/>
        <rFont val="標楷體"/>
        <family val="4"/>
        <charset val="136"/>
      </rPr>
      <t>(列印時請隱藏此欄位)</t>
    </r>
    <phoneticPr fontId="9" type="noConversion"/>
  </si>
  <si>
    <t xml:space="preserve">  本期支用數</t>
  </si>
  <si>
    <t xml:space="preserve"> 累計支用數</t>
  </si>
  <si>
    <t>預算科目</t>
  </si>
  <si>
    <t>補助款</t>
  </si>
  <si>
    <t>自籌款</t>
  </si>
  <si>
    <t>小計</t>
  </si>
  <si>
    <t>一、人事費</t>
  </si>
  <si>
    <t xml:space="preserve">    1.計畫人員</t>
  </si>
  <si>
    <t xml:space="preserve">    2.顧問</t>
  </si>
  <si>
    <t>二、消耗性器材及原材料費</t>
  </si>
  <si>
    <t>三、研發設備使用費</t>
  </si>
  <si>
    <t>四、研發設備維護費</t>
  </si>
  <si>
    <t>五、技術移轉費</t>
  </si>
  <si>
    <t xml:space="preserve">    1.技術或智慧財產權購買費</t>
  </si>
  <si>
    <t xml:space="preserve">    2.委託研究費</t>
  </si>
  <si>
    <t xml:space="preserve">    3.委託勞務費</t>
  </si>
  <si>
    <t>六、差旅費</t>
  </si>
  <si>
    <t xml:space="preserve">    1.國內差旅費</t>
    <phoneticPr fontId="9" type="noConversion"/>
  </si>
  <si>
    <t xml:space="preserve">    2.國外差旅費</t>
    <phoneticPr fontId="9" type="noConversion"/>
  </si>
  <si>
    <t>七、市場驗證費</t>
  </si>
  <si>
    <t>合  計</t>
  </si>
  <si>
    <t>註1:金額以元為單位。</t>
  </si>
  <si>
    <t>註2:補助款及自籌款出現#DIV/0!之欄位請填0。</t>
  </si>
  <si>
    <t>註3:請填寫綠色填滿之欄位，電腦會自動編列小計。</t>
  </si>
  <si>
    <t>註4:列印時請隱藏「上期累計實支數」之欄位</t>
  </si>
  <si>
    <t>公司負責人:</t>
  </si>
  <si>
    <t>計畫主持人:</t>
  </si>
  <si>
    <t>主辦會計:</t>
  </si>
  <si>
    <t>填表人：</t>
  </si>
  <si>
    <t>金額單位:元</t>
  </si>
  <si>
    <t>傳票日期</t>
  </si>
  <si>
    <t>傳票編號</t>
  </si>
  <si>
    <r>
      <t>計畫人員姓</t>
    </r>
    <r>
      <rPr>
        <b/>
        <sz val="18"/>
        <color rgb="FF000000"/>
        <rFont val="Times New Roman"/>
        <family val="1"/>
      </rPr>
      <t xml:space="preserve">  </t>
    </r>
    <r>
      <rPr>
        <b/>
        <sz val="18"/>
        <color rgb="FF000000"/>
        <rFont val="標楷體"/>
        <family val="4"/>
        <charset val="136"/>
      </rPr>
      <t>名</t>
    </r>
  </si>
  <si>
    <r>
      <t>本</t>
    </r>
    <r>
      <rPr>
        <b/>
        <sz val="18"/>
        <color rgb="FF000000"/>
        <rFont val="Times New Roman"/>
        <family val="1"/>
      </rPr>
      <t>(</t>
    </r>
    <r>
      <rPr>
        <b/>
        <sz val="18"/>
        <color rgb="FF000000"/>
        <rFont val="標楷體"/>
        <family val="4"/>
        <charset val="136"/>
      </rPr>
      <t>底</t>
    </r>
    <r>
      <rPr>
        <b/>
        <sz val="18"/>
        <color rgb="FF000000"/>
        <rFont val="Times New Roman"/>
        <family val="1"/>
      </rPr>
      <t>)</t>
    </r>
    <r>
      <rPr>
        <b/>
        <sz val="18"/>
        <color rgb="FF000000"/>
        <rFont val="標楷體"/>
        <family val="4"/>
        <charset val="136"/>
      </rPr>
      <t xml:space="preserve">薪
</t>
    </r>
    <r>
      <rPr>
        <b/>
        <sz val="18"/>
        <color rgb="FF000000"/>
        <rFont val="Times New Roman"/>
        <family val="1"/>
      </rPr>
      <t>A</t>
    </r>
  </si>
  <si>
    <r>
      <t xml:space="preserve">職務加給或
技術津貼
</t>
    </r>
    <r>
      <rPr>
        <b/>
        <sz val="18"/>
        <color rgb="FF000000"/>
        <rFont val="Times New Roman"/>
        <family val="1"/>
      </rPr>
      <t>B</t>
    </r>
  </si>
  <si>
    <r>
      <t xml:space="preserve">主管加給
</t>
    </r>
    <r>
      <rPr>
        <b/>
        <sz val="18"/>
        <color rgb="FF000000"/>
        <rFont val="Times New Roman"/>
        <family val="1"/>
      </rPr>
      <t>C</t>
    </r>
  </si>
  <si>
    <r>
      <t xml:space="preserve">月薪小計
</t>
    </r>
    <r>
      <rPr>
        <b/>
        <sz val="18"/>
        <color rgb="FF000000"/>
        <rFont val="Times New Roman"/>
        <family val="1"/>
      </rPr>
      <t>D=A+B+C</t>
    </r>
  </si>
  <si>
    <r>
      <t xml:space="preserve">投入比率
</t>
    </r>
    <r>
      <rPr>
        <b/>
        <sz val="18"/>
        <color rgb="FF000000"/>
        <rFont val="Times New Roman"/>
        <family val="1"/>
      </rPr>
      <t>(</t>
    </r>
    <r>
      <rPr>
        <b/>
        <sz val="18"/>
        <color rgb="FF000000"/>
        <rFont val="標楷體"/>
        <family val="4"/>
        <charset val="136"/>
      </rPr>
      <t>註</t>
    </r>
    <r>
      <rPr>
        <b/>
        <sz val="18"/>
        <color rgb="FF000000"/>
        <rFont val="Times New Roman"/>
        <family val="1"/>
      </rPr>
      <t>1)</t>
    </r>
    <r>
      <rPr>
        <b/>
        <sz val="18"/>
        <color rgb="FF000000"/>
        <rFont val="Times New Roman"/>
        <family val="1"/>
      </rPr>
      <t xml:space="preserve">
I</t>
    </r>
  </si>
  <si>
    <r>
      <t>可列入本計畫之薪餉</t>
    </r>
    <r>
      <rPr>
        <b/>
        <sz val="18"/>
        <color rgb="FF000000"/>
        <rFont val="Times New Roman"/>
        <family val="1"/>
      </rPr>
      <t>J=D*I</t>
    </r>
  </si>
  <si>
    <r>
      <t xml:space="preserve">本計畫加班費
</t>
    </r>
    <r>
      <rPr>
        <b/>
        <sz val="18"/>
        <color rgb="FF000000"/>
        <rFont val="Times New Roman"/>
        <family val="1"/>
      </rPr>
      <t>K</t>
    </r>
  </si>
  <si>
    <r>
      <t xml:space="preserve">應計入本計畫薪資
</t>
    </r>
    <r>
      <rPr>
        <b/>
        <sz val="18"/>
        <color rgb="FF000000"/>
        <rFont val="Times New Roman"/>
        <family val="1"/>
      </rPr>
      <t>L=J+K</t>
    </r>
  </si>
  <si>
    <r>
      <t>合</t>
    </r>
    <r>
      <rPr>
        <b/>
        <sz val="18"/>
        <color rgb="FF000000"/>
        <rFont val="Times New Roman"/>
        <family val="1"/>
      </rPr>
      <t xml:space="preserve">   </t>
    </r>
    <r>
      <rPr>
        <b/>
        <sz val="18"/>
        <color rgb="FF000000"/>
        <rFont val="標楷體"/>
        <family val="4"/>
        <charset val="136"/>
      </rPr>
      <t>計</t>
    </r>
  </si>
  <si>
    <t>註1：投入比率應與工時記錄表合計當月份一致。每月投入比率以1為上限。</t>
  </si>
  <si>
    <t>註2：帳務查核時應備妥下列文件備查: 1.薪資清冊(內容包含：發放之薪資結構明細計算)</t>
  </si>
  <si>
    <t xml:space="preserve">     2.銀行轉帳記錄或印領清冊</t>
  </si>
  <si>
    <t>SIIR計畫人員加班記錄總表  (112年××月)</t>
    <phoneticPr fontId="9" type="noConversion"/>
  </si>
  <si>
    <t>計畫人員姓  名</t>
  </si>
  <si>
    <t>加班事由</t>
  </si>
  <si>
    <t>加班時數</t>
  </si>
  <si>
    <t>加班費計算公式</t>
  </si>
  <si>
    <t>本計畫之加班費</t>
  </si>
  <si>
    <t>計畫人員簽名</t>
  </si>
  <si>
    <t>合   計</t>
  </si>
  <si>
    <t>姓名</t>
  </si>
  <si>
    <t>摘要</t>
  </si>
  <si>
    <r>
      <t>合</t>
    </r>
    <r>
      <rPr>
        <b/>
        <sz val="12"/>
        <color rgb="FF000000"/>
        <rFont val="Times New Roman"/>
        <family val="1"/>
      </rPr>
      <t xml:space="preserve">    </t>
    </r>
    <r>
      <rPr>
        <b/>
        <sz val="12"/>
        <color rgb="FF000000"/>
        <rFont val="標楷體"/>
        <family val="4"/>
        <charset val="136"/>
      </rPr>
      <t>計</t>
    </r>
  </si>
  <si>
    <r>
      <t>合</t>
    </r>
    <r>
      <rPr>
        <b/>
        <sz val="12"/>
        <color rgb="FF000000"/>
        <rFont val="Times New Roman"/>
        <family val="1"/>
      </rPr>
      <t xml:space="preserve">   </t>
    </r>
    <r>
      <rPr>
        <b/>
        <sz val="12"/>
        <color rgb="FF000000"/>
        <rFont val="標楷體"/>
        <family val="4"/>
        <charset val="136"/>
      </rPr>
      <t>計</t>
    </r>
  </si>
  <si>
    <t xml:space="preserve">註1：帳務查核時應備妥下列文件備查:1.領款收據（應書明受領事由、受領人名、地址、                </t>
  </si>
  <si>
    <t xml:space="preserve">     身份證編號，由受領人簽名 或蓋章） 2.證明支付金額之文件(ex:銀行匯款單據)
</t>
  </si>
  <si>
    <t>註2：顧問任職單位同意函。</t>
  </si>
  <si>
    <t>合計</t>
  </si>
  <si>
    <t>正常工作時數</t>
  </si>
  <si>
    <t>投入
比率</t>
  </si>
  <si>
    <t>簽名欄</t>
  </si>
  <si>
    <r>
      <t>註1</t>
    </r>
    <r>
      <rPr>
        <sz val="10"/>
        <color rgb="FF000000"/>
        <rFont val="Times New Roman"/>
        <family val="1"/>
      </rPr>
      <t>.</t>
    </r>
    <r>
      <rPr>
        <sz val="10"/>
        <color rgb="FF000000"/>
        <rFont val="標楷體"/>
        <family val="4"/>
        <charset val="136"/>
      </rPr>
      <t>請假不論事由，請假時數均不得列入本計畫投入工時計算。</t>
    </r>
  </si>
  <si>
    <r>
      <t>註2</t>
    </r>
    <r>
      <rPr>
        <sz val="10"/>
        <color rgb="FF000000"/>
        <rFont val="Times New Roman"/>
        <family val="1"/>
      </rPr>
      <t>.</t>
    </r>
    <r>
      <rPr>
        <sz val="10"/>
        <color rgb="FF000000"/>
        <rFont val="標楷體"/>
        <family val="4"/>
        <charset val="136"/>
      </rPr>
      <t>公司加班如另發加班費則上表所統計之工時不含加班時數；如採補休方式則加班時數應計入，補休時則視同請假處理。</t>
    </r>
  </si>
  <si>
    <r>
      <t>註</t>
    </r>
    <r>
      <rPr>
        <sz val="10"/>
        <color rgb="FF000000"/>
        <rFont val="Times New Roman"/>
        <family val="1"/>
      </rPr>
      <t>3.</t>
    </r>
    <r>
      <rPr>
        <sz val="10"/>
        <color rgb="FF000000"/>
        <rFont val="標楷體"/>
        <family val="4"/>
        <charset val="136"/>
      </rPr>
      <t>每月投入比率最高為</t>
    </r>
    <r>
      <rPr>
        <sz val="10"/>
        <color rgb="FF000000"/>
        <rFont val="Times New Roman"/>
        <family val="1"/>
      </rPr>
      <t>1.00</t>
    </r>
    <r>
      <rPr>
        <sz val="10"/>
        <color rgb="FF000000"/>
        <rFont val="標楷體"/>
        <family val="4"/>
        <charset val="136"/>
      </rPr>
      <t>。</t>
    </r>
  </si>
  <si>
    <r>
      <t>註4</t>
    </r>
    <r>
      <rPr>
        <sz val="10"/>
        <color rgb="FFFF0000"/>
        <rFont val="Times New Roman"/>
        <family val="1"/>
      </rPr>
      <t>.</t>
    </r>
    <r>
      <rPr>
        <sz val="10"/>
        <color rgb="FFFF0000"/>
        <rFont val="標楷體"/>
        <family val="4"/>
        <charset val="136"/>
      </rPr>
      <t>請計畫人員確認工時記錄後於簽名欄位簽名</t>
    </r>
  </si>
  <si>
    <t>傳票號碼</t>
  </si>
  <si>
    <t>發票日期             (領料日期)</t>
  </si>
  <si>
    <t>發票編號         (領料單號)</t>
  </si>
  <si>
    <t>供應商</t>
  </si>
  <si>
    <t>發票品名
(註2)</t>
  </si>
  <si>
    <t>對照計畫書所列項目
(註1)</t>
  </si>
  <si>
    <t>數量</t>
  </si>
  <si>
    <t>單價(材料明細或分攤表)</t>
  </si>
  <si>
    <r>
      <t xml:space="preserve">金額
</t>
    </r>
    <r>
      <rPr>
        <b/>
        <sz val="12"/>
        <color rgb="FF000000"/>
        <rFont val="Times New Roman"/>
        <family val="1"/>
      </rPr>
      <t>(</t>
    </r>
    <r>
      <rPr>
        <b/>
        <sz val="12"/>
        <color rgb="FF000000"/>
        <rFont val="標楷體"/>
        <family val="4"/>
        <charset val="136"/>
      </rPr>
      <t>不含營業稅</t>
    </r>
    <r>
      <rPr>
        <b/>
        <sz val="12"/>
        <color rgb="FF000000"/>
        <rFont val="Times New Roman"/>
        <family val="1"/>
      </rPr>
      <t>)</t>
    </r>
  </si>
  <si>
    <t>112.4.22</t>
    <phoneticPr fontId="9" type="noConversion"/>
  </si>
  <si>
    <t>AB12345678</t>
  </si>
  <si>
    <t>××</t>
  </si>
  <si>
    <t>AB13145676</t>
  </si>
  <si>
    <r>
      <t>合</t>
    </r>
    <r>
      <rPr>
        <b/>
        <sz val="12"/>
        <color rgb="FF000000"/>
        <rFont val="Times New Roman"/>
        <family val="1"/>
      </rPr>
      <t xml:space="preserve">                                </t>
    </r>
    <r>
      <rPr>
        <b/>
        <sz val="12"/>
        <color rgb="FF000000"/>
        <rFont val="標楷體"/>
        <family val="4"/>
        <charset val="136"/>
      </rPr>
      <t>計</t>
    </r>
  </si>
  <si>
    <t>註1：「對照計畫書所列項目」名稱需與計畫書所列之材料項目名稱一致。</t>
  </si>
  <si>
    <t>註2：「發票品名」請依發票填寫所列項目。</t>
  </si>
  <si>
    <t>註3：如屬公司共通性材料領用，發票日期、發票號碼請改填寫領料單日期、領料單號碼</t>
  </si>
  <si>
    <r>
      <t>註</t>
    </r>
    <r>
      <rPr>
        <sz val="10"/>
        <color rgb="FF000000"/>
        <rFont val="Times New Roman"/>
        <family val="1"/>
      </rPr>
      <t>4</t>
    </r>
    <r>
      <rPr>
        <sz val="10"/>
        <color rgb="FF000000"/>
        <rFont val="標楷體"/>
        <family val="4"/>
        <charset val="136"/>
      </rPr>
      <t>：營業稅不得報支。</t>
    </r>
  </si>
  <si>
    <r>
      <t>註</t>
    </r>
    <r>
      <rPr>
        <sz val="10"/>
        <color rgb="FF000000"/>
        <rFont val="Times New Roman"/>
        <family val="1"/>
      </rPr>
      <t>5</t>
    </r>
    <r>
      <rPr>
        <sz val="10"/>
        <color rgb="FF000000"/>
        <rFont val="標楷體"/>
        <family val="4"/>
        <charset val="136"/>
      </rPr>
      <t>：辦公室所需之事務性耗材不得報支。</t>
    </r>
  </si>
  <si>
    <t xml:space="preserve">註6：帳務查核時應備妥下列文件備查:1.為專案計畫採購者應提供統一發票、收據或進口結匯單據與invoice、 及內部轉帳傳票、請購單、採購單
</t>
  </si>
  <si>
    <t xml:space="preserve">     及驗收單足以證明之憑證。 2.自共通性器材領料應提供：領料單、材料明細帳或分攤表。3.涉及外幣支付時應附當時之外幣匯率表。</t>
  </si>
  <si>
    <t>SIIR計畫－設備使用費(1)---已有設備(112年××月)</t>
    <phoneticPr fontId="9" type="noConversion"/>
  </si>
  <si>
    <t>財產編號</t>
  </si>
  <si>
    <t>設備名稱</t>
  </si>
  <si>
    <t>對照計畫書所列項目</t>
  </si>
  <si>
    <t>取得日期</t>
  </si>
  <si>
    <r>
      <t xml:space="preserve">購入成本
</t>
    </r>
    <r>
      <rPr>
        <b/>
        <sz val="10"/>
        <color rgb="FF000000"/>
        <rFont val="Times New Roman"/>
        <family val="1"/>
      </rPr>
      <t>(</t>
    </r>
    <r>
      <rPr>
        <b/>
        <sz val="10"/>
        <color rgb="FF000000"/>
        <rFont val="標楷體"/>
        <family val="4"/>
        <charset val="136"/>
      </rPr>
      <t>單套</t>
    </r>
    <r>
      <rPr>
        <b/>
        <sz val="10"/>
        <color rgb="FF000000"/>
        <rFont val="Times New Roman"/>
        <family val="1"/>
      </rPr>
      <t>)</t>
    </r>
  </si>
  <si>
    <r>
      <t xml:space="preserve">套數
</t>
    </r>
    <r>
      <rPr>
        <b/>
        <sz val="10"/>
        <color rgb="FF000000"/>
        <rFont val="Times New Roman"/>
        <family val="1"/>
      </rPr>
      <t>A1</t>
    </r>
  </si>
  <si>
    <r>
      <t xml:space="preserve">投入時
單套帳面價值
（未折減餘額）
</t>
    </r>
    <r>
      <rPr>
        <b/>
        <sz val="10"/>
        <color rgb="FF000000"/>
        <rFont val="Times New Roman"/>
        <family val="1"/>
      </rPr>
      <t>A2</t>
    </r>
  </si>
  <si>
    <t>剩餘使用月數</t>
  </si>
  <si>
    <r>
      <t xml:space="preserve">每月攤提使用費
</t>
    </r>
    <r>
      <rPr>
        <b/>
        <sz val="9"/>
        <color rgb="FF000000"/>
        <rFont val="Times New Roman"/>
        <family val="1"/>
      </rPr>
      <t>A3=A1*A2*/</t>
    </r>
    <r>
      <rPr>
        <b/>
        <sz val="9"/>
        <color rgb="FF000000"/>
        <rFont val="標楷體"/>
        <family val="4"/>
        <charset val="136"/>
      </rPr>
      <t>剩餘使用月數</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</si>
  <si>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A4</t>
    </r>
  </si>
  <si>
    <r>
      <t xml:space="preserve">本期使用費
</t>
    </r>
    <r>
      <rPr>
        <b/>
        <sz val="10"/>
        <color rgb="FF000000"/>
        <rFont val="Times New Roman"/>
        <family val="1"/>
      </rPr>
      <t>A5=A3*A4</t>
    </r>
  </si>
  <si>
    <t>小計</t>
    <phoneticPr fontId="9" type="noConversion"/>
  </si>
  <si>
    <t>SIIR計畫－設備使用費(2)---新增設備(112年××月)</t>
    <phoneticPr fontId="9" type="noConversion"/>
  </si>
  <si>
    <r>
      <t xml:space="preserve">套數
</t>
    </r>
    <r>
      <rPr>
        <b/>
        <sz val="10"/>
        <color rgb="FF000000"/>
        <rFont val="Times New Roman"/>
        <family val="1"/>
      </rPr>
      <t>B1</t>
    </r>
  </si>
  <si>
    <r>
      <t xml:space="preserve">投入時
單套帳面價值
（未折減餘額）
</t>
    </r>
    <r>
      <rPr>
        <b/>
        <sz val="10"/>
        <color rgb="FF000000"/>
        <rFont val="Times New Roman"/>
        <family val="1"/>
      </rPr>
      <t>B2</t>
    </r>
  </si>
  <si>
    <r>
      <t xml:space="preserve">每月攤提使用費
</t>
    </r>
    <r>
      <rPr>
        <b/>
        <sz val="9"/>
        <color rgb="FF000000"/>
        <rFont val="Times New Roman"/>
        <family val="1"/>
      </rPr>
      <t>B3=B1*B2*/60</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</si>
  <si>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B4</t>
    </r>
  </si>
  <si>
    <r>
      <t xml:space="preserve">本期使用費
</t>
    </r>
    <r>
      <rPr>
        <b/>
        <sz val="10"/>
        <color rgb="FF000000"/>
        <rFont val="Times New Roman"/>
        <family val="1"/>
      </rPr>
      <t>B5=B3*B4</t>
    </r>
  </si>
  <si>
    <t>合計</t>
    <phoneticPr fontId="9" type="noConversion"/>
  </si>
  <si>
    <r>
      <t>註</t>
    </r>
    <r>
      <rPr>
        <sz val="10"/>
        <color rgb="FF000000"/>
        <rFont val="Times New Roman"/>
        <family val="1"/>
      </rPr>
      <t>1</t>
    </r>
    <r>
      <rPr>
        <sz val="10"/>
        <color rgb="FF000000"/>
        <rFont val="標楷體"/>
        <family val="4"/>
        <charset val="136"/>
      </rPr>
      <t>：</t>
    </r>
    <r>
      <rPr>
        <sz val="10"/>
        <color rgb="FF000000"/>
        <rFont val="Times New Roman"/>
        <family val="1"/>
      </rPr>
      <t xml:space="preserve"> </t>
    </r>
    <r>
      <rPr>
        <sz val="10"/>
        <color rgb="FF000000"/>
        <rFont val="標楷體"/>
        <family val="4"/>
        <charset val="136"/>
      </rPr>
      <t>「已有設備」及「新增設備」之名稱應與計畫書所列相符並依上表分開填列。</t>
    </r>
  </si>
  <si>
    <r>
      <t>註</t>
    </r>
    <r>
      <rPr>
        <sz val="10"/>
        <color rgb="FF000000"/>
        <rFont val="Times New Roman"/>
        <family val="1"/>
      </rPr>
      <t>2</t>
    </r>
    <r>
      <rPr>
        <sz val="10"/>
        <color rgb="FF000000"/>
        <rFont val="標楷體"/>
        <family val="4"/>
        <charset val="136"/>
      </rPr>
      <t>：「本期投入比率」應依據設備使用記錄表實際投入比率一致。</t>
    </r>
  </si>
  <si>
    <t>註3：帳務查核時應備妥下列文件備查:1.新增設備-請購單、採購單、驗收單、統一發票或收據、進口報關結匯單據與INVOICE。</t>
  </si>
  <si>
    <t xml:space="preserve">     2.已有設備-財產目錄。3.研發設備使用記錄表。4.若為分攤，應附分攤表及原始憑證影本。
</t>
  </si>
  <si>
    <t>正常使用時數</t>
  </si>
  <si>
    <t>已有設備</t>
  </si>
  <si>
    <t>新增設備</t>
  </si>
  <si>
    <r>
      <t>註1.當月正常使用總時數與人員上班時數相同；若設備為24小時開機者，則以24小時*當月日數，計算當月正常使用總時數</t>
    </r>
    <r>
      <rPr>
        <sz val="10"/>
        <color rgb="FFFF0000"/>
        <rFont val="標楷體"/>
        <family val="4"/>
        <charset val="136"/>
      </rPr>
      <t>。</t>
    </r>
  </si>
  <si>
    <t>註2.每月投入比率最高為1.00。</t>
  </si>
  <si>
    <t>註3.攤提設備名稱請參照計畫書所編列設備。</t>
  </si>
  <si>
    <t>SIIR計畫設備維護費---已有設備(112年××月)</t>
    <phoneticPr fontId="9" type="noConversion"/>
  </si>
  <si>
    <t>購入成本</t>
  </si>
  <si>
    <t>發票日期</t>
  </si>
  <si>
    <t>發票編號</t>
  </si>
  <si>
    <t>品名</t>
  </si>
  <si>
    <t>單位</t>
  </si>
  <si>
    <t>金額</t>
  </si>
  <si>
    <t>小 計(A)</t>
  </si>
  <si>
    <t>註1：所列報之維護設備應與計畫書所列相符，並應出具維修廠商憑證，且所列維護費之金額應與原始憑證、費用分攤表相符。</t>
  </si>
  <si>
    <t>註2：營業稅不得報支。新增設備保固期間內不得列報維護費。</t>
  </si>
  <si>
    <t>註3：若屬廠商自行維修之設備，維護費不得超出原購入成本之5%。</t>
  </si>
  <si>
    <t xml:space="preserve">註4：帳務查核時應備妥下列文件備查:1.請購單、驗收單、維護合約、發票或收據等。2.屬自行維修性質者應提供「設備維修時間記錄表」
</t>
  </si>
  <si>
    <t xml:space="preserve">     及相關自行維修成本計算表。3.若為分攤，應附分攤表及原始憑證影本。4.涉及外幣支付時應附當時之外幣 匯率表。</t>
  </si>
  <si>
    <t>1.技轉(委託)項目:</t>
  </si>
  <si>
    <t>2.技轉(委託)對象：</t>
  </si>
  <si>
    <t>3.合約期間:00年00月00日~00年00月00日</t>
  </si>
  <si>
    <t>4.合約總額：</t>
  </si>
  <si>
    <t>付款期數</t>
  </si>
  <si>
    <t>第 1 期</t>
  </si>
  <si>
    <t>AV23182456</t>
  </si>
  <si>
    <t>第 2 期</t>
  </si>
  <si>
    <t>EW86973745</t>
  </si>
  <si>
    <t>合       計</t>
  </si>
  <si>
    <t>註1：營業稅不得報支。</t>
  </si>
  <si>
    <t>註2：技術購買之對象應與計畫書所列相符，金額應與原始憑證（如：統一發票或收據）相符。</t>
  </si>
  <si>
    <t xml:space="preserve">註3：帳務查核時應備妥下列文件備查:1.技術購買契約書。(2)統一發票（或收據）、或國外之INVOICE(或RECEIPT)及匯兌水單。
         </t>
  </si>
  <si>
    <t>SIIR計畫－委託研究費(112年××月)</t>
    <phoneticPr fontId="9" type="noConversion"/>
  </si>
  <si>
    <t>5.付款方式：</t>
  </si>
  <si>
    <t>註2：委託研究之對象應與計畫書所列相符，金額應與原始憑證（如：統一發票或收據）相符。</t>
  </si>
  <si>
    <t>SIIR計畫－委託勞務費(112年××月)</t>
    <phoneticPr fontId="9" type="noConversion"/>
  </si>
  <si>
    <t>註2：委託勞務之對象應與計畫書所列相符，金額應與原始憑證（如：統一發票或收據）相符。</t>
  </si>
  <si>
    <t xml:space="preserve">註3：帳務查核時應備妥下列文件備查:1.委託勞務契約書。(2)統一發票（或收據）、或國外之INVOICE(或RECEIPT)及匯兌水單。
         </t>
  </si>
  <si>
    <t>SIIR計畫－國內差旅費(112年××月)</t>
    <phoneticPr fontId="9" type="noConversion"/>
  </si>
  <si>
    <t>金額單元:元</t>
  </si>
  <si>
    <t>職稱</t>
  </si>
  <si>
    <t>出差期間</t>
  </si>
  <si>
    <t>天數</t>
  </si>
  <si>
    <t>地點</t>
  </si>
  <si>
    <t>事  由</t>
  </si>
  <si>
    <t>機票</t>
  </si>
  <si>
    <t>車資</t>
  </si>
  <si>
    <t>住宿費</t>
  </si>
  <si>
    <t>膳雜費</t>
  </si>
  <si>
    <t>其他</t>
  </si>
  <si>
    <t>1.×××</t>
  </si>
  <si>
    <t>經理</t>
  </si>
  <si>
    <t>3月14-15日</t>
  </si>
  <si>
    <t>塑膠中心</t>
  </si>
  <si>
    <t>討論勞務規格</t>
  </si>
  <si>
    <t>2.×××</t>
  </si>
  <si>
    <t>工程師</t>
  </si>
  <si>
    <t xml:space="preserve">    合   計</t>
  </si>
  <si>
    <t>註1：出差人員僅限本計畫計畫人員，且出差事由應與本專案計畫有關。</t>
  </si>
  <si>
    <t xml:space="preserve">註2：差旅費之膳雜費計算應不超過營利事業所得稅查核準則規定。 </t>
  </si>
  <si>
    <t xml:space="preserve">註3：帳務查核時應備妥下列文件備查:(1)搭乘飛機，應檢附機票票根或登機證存根及國際線航空機票購票證明單或旅行業代收轉付收據；
</t>
  </si>
  <si>
    <t xml:space="preserve">     其餘交通費，應檢附原始單據或旅行業代收轉付 收據。(2)乘坐輪船，應提供船票或輪船公司出具之證明。</t>
  </si>
  <si>
    <t xml:space="preserve">  　 (3)火車、汽車之車資，以經手人（即出差人）之證明為憑。但包租計程車應取具車行證明及經手人或出差人證明。(4)住宿費收據或發票。</t>
  </si>
  <si>
    <t xml:space="preserve">     (5)出差報銷單及公司差旅費報銷規定。(6)涉及外幣支付時應附當時之外幣匯率表。 
</t>
  </si>
  <si>
    <t>SIIR計畫－國外差旅費(112年××月)</t>
    <phoneticPr fontId="9" type="noConversion"/>
  </si>
  <si>
    <t>3月17-18日</t>
    <phoneticPr fontId="9" type="noConversion"/>
  </si>
  <si>
    <t>XX</t>
    <phoneticPr fontId="9" type="noConversion"/>
  </si>
  <si>
    <t>SIIR計畫－市場驗證費(112年××月)</t>
    <phoneticPr fontId="9" type="noConversion"/>
  </si>
  <si>
    <t xml:space="preserve">發票日期 </t>
  </si>
  <si>
    <t xml:space="preserve">發票編號 </t>
  </si>
  <si>
    <t>發票內容
(註2)</t>
  </si>
  <si>
    <t>單價</t>
  </si>
  <si>
    <t>金額
(不含營業稅)</t>
  </si>
  <si>
    <t>112.4.25</t>
    <phoneticPr fontId="9" type="noConversion"/>
  </si>
  <si>
    <t>合                                計</t>
  </si>
  <si>
    <t>註1：「對照計畫書所列項目」名稱需與計畫書所列之項目名稱一致。</t>
  </si>
  <si>
    <t>註2：「發票內容」請依發票填寫所列項目。</t>
  </si>
  <si>
    <t>註3：營業稅不得報支。</t>
  </si>
  <si>
    <t xml:space="preserve">註4：帳務查核時應備妥下列文件備查:1.應提供統一發票、收據或進口結匯單據與invoice。2.涉及外幣支付時應附當時之外幣匯率表。3、廣告樣張（樣張上應印有營利事業名稱
</t>
  </si>
  <si>
    <t>　　　、品牌名或與計畫有相關之資訊)。</t>
  </si>
  <si>
    <t>註5：贈送樣品或商品饋贈之項目上限不得逾本科目10%，單份不得逾新台幣500元。</t>
  </si>
  <si>
    <t>註6：贊助公益或體育活動具有廣告性質之各項費用應取得統一發票或合法憑證，並檢附載有活動名稱及營利事業名稱之相關廣告品。</t>
    <phoneticPr fontId="9" type="noConversion"/>
  </si>
  <si>
    <t>註7：活動臨時聘用人力費用須提供如人事費科目之查核資料。</t>
    <phoneticPr fontId="9" type="noConversion"/>
  </si>
  <si>
    <t>註8：活動臨時聘用人力費用，時薪不得低於政府公告最低時薪標準，且不得超過本經費科目10%。</t>
    <phoneticPr fontId="9" type="noConversion"/>
  </si>
  <si>
    <t>合計人月</t>
    <phoneticPr fontId="9" type="noConversion"/>
  </si>
  <si>
    <t>合計薪資</t>
    <phoneticPr fontId="9" type="noConversion"/>
  </si>
  <si>
    <t>計畫項目</t>
    <phoneticPr fontId="9" type="noConversion"/>
  </si>
  <si>
    <t>非屬薪資</t>
    <phoneticPr fontId="9" type="noConversion"/>
  </si>
  <si>
    <t>費用小計</t>
    <phoneticPr fontId="9" type="noConversion"/>
  </si>
  <si>
    <t>人</t>
    <phoneticPr fontId="9" type="noConversion"/>
  </si>
  <si>
    <t>費</t>
    <phoneticPr fontId="9" type="noConversion"/>
  </si>
  <si>
    <t>分項合計</t>
    <phoneticPr fontId="9" type="noConversion"/>
  </si>
  <si>
    <t>其他費用</t>
    <phoneticPr fontId="9" type="noConversion"/>
  </si>
  <si>
    <t>顧問費用</t>
    <phoneticPr fontId="9" type="noConversion"/>
  </si>
  <si>
    <t>驗證費用</t>
    <phoneticPr fontId="9" type="noConversion"/>
  </si>
  <si>
    <t>技術引進</t>
    <phoneticPr fontId="9" type="noConversion"/>
  </si>
  <si>
    <t>人事費用</t>
    <phoneticPr fontId="9" type="noConversion"/>
  </si>
  <si>
    <t>委託開發</t>
    <phoneticPr fontId="9" type="noConversion"/>
  </si>
  <si>
    <t>A分項計畫  商業資訊中心設置計畫</t>
    <phoneticPr fontId="9" type="noConversion"/>
  </si>
  <si>
    <t>五常物業規劃顧問股份(閉鎖型)有限公司</t>
    <phoneticPr fontId="9" type="noConversion"/>
  </si>
  <si>
    <t>創新AI系統整合營運中心服務機制開發運用計畫</t>
    <phoneticPr fontId="9" type="noConversion"/>
  </si>
  <si>
    <r>
      <t>A1直營商店營運權力取得及技術轉移</t>
    </r>
    <r>
      <rPr>
        <b/>
        <sz val="12"/>
        <color rgb="FFFFFFFF"/>
        <rFont val="標楷體"/>
        <family val="4"/>
        <charset val="136"/>
      </rPr>
      <t>7/10</t>
    </r>
    <phoneticPr fontId="9" type="noConversion"/>
  </si>
  <si>
    <r>
      <t>A2直營咖啡店營運、進行員工教學及產品開發研究、並導入點餐系統</t>
    </r>
    <r>
      <rPr>
        <b/>
        <sz val="12"/>
        <color rgb="FFFFFFFF"/>
        <rFont val="標楷體"/>
        <family val="4"/>
        <charset val="136"/>
      </rPr>
      <t>8/1</t>
    </r>
    <phoneticPr fontId="9" type="noConversion"/>
  </si>
  <si>
    <r>
      <t>A3轄內商業資訊收集建檔及資料分析</t>
    </r>
    <r>
      <rPr>
        <b/>
        <sz val="12"/>
        <color rgb="FFFFFFFF"/>
        <rFont val="標楷體"/>
        <family val="4"/>
        <charset val="136"/>
      </rPr>
      <t>11/1</t>
    </r>
    <phoneticPr fontId="9" type="noConversion"/>
  </si>
  <si>
    <r>
      <t>A4開發商業會員參與聯合營運計畫</t>
    </r>
    <r>
      <rPr>
        <b/>
        <sz val="12"/>
        <color rgb="FFFFFFFF"/>
        <rFont val="標楷體"/>
        <family val="4"/>
        <charset val="136"/>
      </rPr>
      <t>10/1</t>
    </r>
    <phoneticPr fontId="9" type="noConversion"/>
  </si>
  <si>
    <r>
      <t>A6出席研討會並收集本分項計畫有關之訊息</t>
    </r>
    <r>
      <rPr>
        <b/>
        <sz val="12"/>
        <color rgb="FFFFFFFF"/>
        <rFont val="標楷體"/>
        <family val="4"/>
        <charset val="136"/>
      </rPr>
      <t>6/10</t>
    </r>
    <phoneticPr fontId="9" type="noConversion"/>
  </si>
  <si>
    <r>
      <t>B1物業管理及保全協力廠商探詢及轄內物業管理</t>
    </r>
    <r>
      <rPr>
        <b/>
        <sz val="12"/>
        <color theme="0"/>
        <rFont val="標楷體"/>
        <family val="4"/>
        <charset val="136"/>
      </rPr>
      <t>8/1</t>
    </r>
    <phoneticPr fontId="9" type="noConversion"/>
  </si>
  <si>
    <r>
      <t>B2分析各管委會及承攬物業資訊製作物業資訊庫</t>
    </r>
    <r>
      <rPr>
        <b/>
        <sz val="12"/>
        <color theme="0"/>
        <rFont val="標楷體"/>
        <family val="4"/>
        <charset val="136"/>
      </rPr>
      <t>10/1</t>
    </r>
    <phoneticPr fontId="9" type="noConversion"/>
  </si>
  <si>
    <r>
      <t>B3選定5家測試合作業物業並前往洽談合作事宜</t>
    </r>
    <r>
      <rPr>
        <b/>
        <sz val="12"/>
        <color theme="0"/>
        <rFont val="標楷體"/>
        <family val="4"/>
        <charset val="136"/>
      </rPr>
      <t>10/15</t>
    </r>
    <phoneticPr fontId="9" type="noConversion"/>
  </si>
  <si>
    <r>
      <t>B4進行全區域的物業拜訪開拓創新社區安全網業務</t>
    </r>
    <r>
      <rPr>
        <b/>
        <sz val="12"/>
        <color theme="0"/>
        <rFont val="標楷體"/>
        <family val="4"/>
        <charset val="136"/>
      </rPr>
      <t>11/1</t>
    </r>
    <phoneticPr fontId="9" type="noConversion"/>
  </si>
  <si>
    <r>
      <t>B5完成全區域內物業分析報告及擬定安保顧問企劃</t>
    </r>
    <r>
      <rPr>
        <b/>
        <sz val="12"/>
        <color theme="0"/>
        <rFont val="標楷體"/>
        <family val="4"/>
        <charset val="136"/>
      </rPr>
      <t>3/11</t>
    </r>
    <phoneticPr fontId="9" type="noConversion"/>
  </si>
  <si>
    <r>
      <t>B6出席研討會並收集本分項計畫有關之訊息</t>
    </r>
    <r>
      <rPr>
        <b/>
        <sz val="12"/>
        <color theme="0"/>
        <rFont val="標楷體"/>
        <family val="4"/>
        <charset val="136"/>
      </rPr>
      <t>6/10</t>
    </r>
    <phoneticPr fontId="9" type="noConversion"/>
  </si>
  <si>
    <r>
      <t>C6出席研討會並收集本分項計畫有關之訊息</t>
    </r>
    <r>
      <rPr>
        <b/>
        <sz val="12"/>
        <color rgb="FFFFFFFF"/>
        <rFont val="標楷體"/>
        <family val="4"/>
        <charset val="136"/>
      </rPr>
      <t>6/10</t>
    </r>
  </si>
  <si>
    <r>
      <t>C2 AI智慧社區服務系統完成商業及物業系統開發。</t>
    </r>
    <r>
      <rPr>
        <b/>
        <sz val="12"/>
        <color theme="0"/>
        <rFont val="標楷體"/>
        <family val="4"/>
        <charset val="136"/>
      </rPr>
      <t>9/1</t>
    </r>
    <phoneticPr fontId="9" type="noConversion"/>
  </si>
  <si>
    <r>
      <t>C3 AI智慧社區服務系統完成社區專勤隊串接</t>
    </r>
    <r>
      <rPr>
        <b/>
        <sz val="12"/>
        <color theme="0"/>
        <rFont val="標楷體"/>
        <family val="4"/>
        <charset val="136"/>
      </rPr>
      <t>10/1</t>
    </r>
    <phoneticPr fontId="9" type="noConversion"/>
  </si>
  <si>
    <r>
      <t>C4 AI智慧社區服務系統、無人保全系統及完成串接</t>
    </r>
    <r>
      <rPr>
        <b/>
        <sz val="12"/>
        <color theme="0"/>
        <rFont val="標楷體"/>
        <family val="4"/>
        <charset val="136"/>
      </rPr>
      <t>10/1</t>
    </r>
    <phoneticPr fontId="9" type="noConversion"/>
  </si>
  <si>
    <r>
      <t>C5各使用端意見收集及系統改善項目表提出</t>
    </r>
    <r>
      <rPr>
        <b/>
        <sz val="12"/>
        <color theme="0"/>
        <rFont val="標楷體"/>
        <family val="4"/>
        <charset val="136"/>
      </rPr>
      <t>1/15</t>
    </r>
    <phoneticPr fontId="9" type="noConversion"/>
  </si>
  <si>
    <r>
      <t>D1營運中心空間規劃建構，直營咖啡廳SOP制定</t>
    </r>
    <r>
      <rPr>
        <b/>
        <sz val="12"/>
        <color theme="0"/>
        <rFont val="標楷體"/>
        <family val="4"/>
        <charset val="136"/>
      </rPr>
      <t>8/30</t>
    </r>
    <phoneticPr fontId="9" type="noConversion"/>
  </si>
  <si>
    <r>
      <t>D2 機動保全、特勤保全、定點保全狀況個突發狀態默契訓練及SOP制定及驗證</t>
    </r>
    <r>
      <rPr>
        <b/>
        <sz val="12"/>
        <color rgb="FFFFFFFF"/>
        <rFont val="標楷體"/>
        <family val="4"/>
        <charset val="136"/>
      </rPr>
      <t>9/10、12/10、6/10</t>
    </r>
    <phoneticPr fontId="9" type="noConversion"/>
  </si>
  <si>
    <r>
      <t>D3串接雲端點餐系統執行單店服務量能測試</t>
    </r>
    <r>
      <rPr>
        <b/>
        <sz val="12"/>
        <color theme="0"/>
        <rFont val="標楷體"/>
        <family val="4"/>
        <charset val="136"/>
      </rPr>
      <t>9/1、10/1、11/1</t>
    </r>
    <phoneticPr fontId="9" type="noConversion"/>
  </si>
  <si>
    <r>
      <t>D3串接雲端點餐系統執行聯合銷售服務量能測</t>
    </r>
    <r>
      <rPr>
        <b/>
        <sz val="12"/>
        <color rgb="FFFFFFFF"/>
        <rFont val="標楷體"/>
        <family val="4"/>
        <charset val="136"/>
      </rPr>
      <t>9/1、11/1  1/01</t>
    </r>
    <phoneticPr fontId="9" type="noConversion"/>
  </si>
  <si>
    <r>
      <t>D5 AI智慧社區服務系統上限驗證</t>
    </r>
    <r>
      <rPr>
        <b/>
        <sz val="12"/>
        <color theme="0"/>
        <rFont val="標楷體"/>
        <family val="4"/>
        <charset val="136"/>
      </rPr>
      <t>1/15</t>
    </r>
    <phoneticPr fontId="9" type="noConversion"/>
  </si>
  <si>
    <r>
      <t>D6出席研討會並收集本分項計畫有關之訊息</t>
    </r>
    <r>
      <rPr>
        <b/>
        <sz val="12"/>
        <color theme="0"/>
        <rFont val="標楷體"/>
        <family val="4"/>
        <charset val="136"/>
      </rPr>
      <t>6/10</t>
    </r>
    <phoneticPr fontId="9" type="noConversion"/>
  </si>
  <si>
    <r>
      <t>E3計畫進度管考及協調指、各計畫開發研發工作職務代理</t>
    </r>
    <r>
      <rPr>
        <b/>
        <sz val="12"/>
        <color theme="0"/>
        <rFont val="標楷體"/>
        <family val="4"/>
        <charset val="136"/>
      </rPr>
      <t>ALLTIME</t>
    </r>
    <phoneticPr fontId="9" type="noConversion"/>
  </si>
  <si>
    <r>
      <t>E2顧問選任聘用，協助社區發展協會開發社區專勤隊</t>
    </r>
    <r>
      <rPr>
        <b/>
        <sz val="12"/>
        <color theme="0"/>
        <rFont val="標楷體"/>
        <family val="4"/>
        <charset val="136"/>
      </rPr>
      <t>9/1</t>
    </r>
    <phoneticPr fontId="9" type="noConversion"/>
  </si>
  <si>
    <r>
      <t>E4辦理產官學民四方專案研討會</t>
    </r>
    <r>
      <rPr>
        <b/>
        <sz val="12"/>
        <color theme="0"/>
        <rFont val="標楷體"/>
        <family val="4"/>
        <charset val="136"/>
      </rPr>
      <t>6/10</t>
    </r>
    <phoneticPr fontId="9" type="noConversion"/>
  </si>
  <si>
    <t>單位/千元</t>
    <phoneticPr fontId="9" type="noConversion"/>
  </si>
  <si>
    <r>
      <rPr>
        <b/>
        <sz val="12"/>
        <color rgb="FF000000"/>
        <rFont val="王漢宗中行書繁"/>
        <family val="3"/>
        <charset val="136"/>
      </rPr>
      <t>費用小計</t>
    </r>
    <phoneticPr fontId="9" type="noConversion"/>
  </si>
  <si>
    <r>
      <rPr>
        <b/>
        <sz val="12"/>
        <color rgb="FF000000"/>
        <rFont val="標楷體"/>
        <family val="4"/>
        <charset val="136"/>
      </rPr>
      <t>分項合計</t>
    </r>
    <phoneticPr fontId="9" type="noConversion"/>
  </si>
  <si>
    <r>
      <rPr>
        <b/>
        <sz val="12"/>
        <color rgb="FF000000"/>
        <rFont val="Microsoft JhengHei"/>
        <family val="1"/>
      </rPr>
      <t>合計</t>
    </r>
    <phoneticPr fontId="9" type="noConversion"/>
  </si>
  <si>
    <t>E分項計畫  計畫管考設備採購暨友善勞動制度及產業需求研發</t>
    <phoneticPr fontId="9" type="noConversion"/>
  </si>
  <si>
    <t>D分項計畫 各分项計畫串接結合及驗證控管</t>
    <phoneticPr fontId="9" type="noConversion"/>
  </si>
  <si>
    <t>C分項計畫 資訊、勞務系統開發</t>
    <phoneticPr fontId="9" type="noConversion"/>
  </si>
  <si>
    <t>細項小計及權重</t>
    <phoneticPr fontId="9" type="noConversion"/>
  </si>
  <si>
    <t>1.阮氏泉</t>
    <phoneticPr fontId="9" type="noConversion"/>
  </si>
  <si>
    <t>2.江政隆</t>
    <phoneticPr fontId="9" type="noConversion"/>
  </si>
  <si>
    <t>3.蔣明諺</t>
    <phoneticPr fontId="9" type="noConversion"/>
  </si>
  <si>
    <t>4.林詩妘</t>
    <phoneticPr fontId="9" type="noConversion"/>
  </si>
  <si>
    <t>5.李道翔</t>
    <phoneticPr fontId="9" type="noConversion"/>
  </si>
  <si>
    <t>官釗鈱</t>
    <phoneticPr fontId="9" type="noConversion"/>
  </si>
  <si>
    <t>咖啡豆</t>
    <phoneticPr fontId="9" type="noConversion"/>
  </si>
  <si>
    <t>奶精</t>
    <phoneticPr fontId="9" type="noConversion"/>
  </si>
  <si>
    <t>鮮奶</t>
    <phoneticPr fontId="9" type="noConversion"/>
  </si>
  <si>
    <t>筆記型電腦</t>
    <phoneticPr fontId="9" type="noConversion"/>
  </si>
  <si>
    <t>桌上型電腦</t>
    <phoneticPr fontId="9" type="noConversion"/>
  </si>
  <si>
    <t>(1)1130001</t>
    <phoneticPr fontId="9" type="noConversion"/>
  </si>
  <si>
    <t>電冰箱</t>
    <phoneticPr fontId="9" type="noConversion"/>
  </si>
  <si>
    <t>SIIR計畫工時記錄表(112年07月)</t>
    <phoneticPr fontId="9" type="noConversion"/>
  </si>
  <si>
    <t>商用咖啡機</t>
    <phoneticPr fontId="9" type="noConversion"/>
  </si>
  <si>
    <t>112.07.01</t>
    <phoneticPr fontId="9" type="noConversion"/>
  </si>
  <si>
    <t>磨豆機</t>
    <phoneticPr fontId="9" type="noConversion"/>
  </si>
  <si>
    <t>(1)1130004</t>
    <phoneticPr fontId="9" type="noConversion"/>
  </si>
  <si>
    <t>(2)1130005</t>
    <phoneticPr fontId="9" type="noConversion"/>
  </si>
  <si>
    <t>(2)1130007</t>
  </si>
  <si>
    <t>(2)1130008</t>
  </si>
  <si>
    <t>磨豆機(大)</t>
    <phoneticPr fontId="9" type="noConversion"/>
  </si>
  <si>
    <t>磨豆機(中)</t>
    <phoneticPr fontId="9" type="noConversion"/>
  </si>
  <si>
    <t>磨豆機(時間型)</t>
    <phoneticPr fontId="9" type="noConversion"/>
  </si>
  <si>
    <t>SIIR計畫設備使用記錄表(113年07月)</t>
    <phoneticPr fontId="9" type="noConversion"/>
  </si>
  <si>
    <t>113.7.1</t>
    <phoneticPr fontId="9" type="noConversion"/>
  </si>
  <si>
    <t>光泉鮮奶</t>
    <phoneticPr fontId="9" type="noConversion"/>
  </si>
  <si>
    <t>品黃奶精</t>
    <phoneticPr fontId="9" type="noConversion"/>
  </si>
  <si>
    <t>招牌咖啡豆</t>
    <phoneticPr fontId="9" type="noConversion"/>
  </si>
  <si>
    <t>112.7.01</t>
    <phoneticPr fontId="9" type="noConversion"/>
  </si>
  <si>
    <t>113.7.01</t>
    <phoneticPr fontId="9" type="noConversion"/>
  </si>
  <si>
    <t>SIIR計畫－消耗性器材及原材料費(113年7月)</t>
    <phoneticPr fontId="9" type="noConversion"/>
  </si>
  <si>
    <t>AA001</t>
    <phoneticPr fontId="9" type="noConversion"/>
  </si>
  <si>
    <t>AB001</t>
    <phoneticPr fontId="9" type="noConversion"/>
  </si>
  <si>
    <t>AB002</t>
    <phoneticPr fontId="9" type="noConversion"/>
  </si>
  <si>
    <t>AC001</t>
    <phoneticPr fontId="9" type="noConversion"/>
  </si>
  <si>
    <t>AC002</t>
    <phoneticPr fontId="9" type="noConversion"/>
  </si>
  <si>
    <t>AC003</t>
    <phoneticPr fontId="9" type="noConversion"/>
  </si>
  <si>
    <t>冷杯S</t>
    <phoneticPr fontId="9" type="noConversion"/>
  </si>
  <si>
    <t>冷杯M</t>
    <phoneticPr fontId="9" type="noConversion"/>
  </si>
  <si>
    <t>冷杯L</t>
    <phoneticPr fontId="9" type="noConversion"/>
  </si>
  <si>
    <t>AC011</t>
    <phoneticPr fontId="9" type="noConversion"/>
  </si>
  <si>
    <t>AC012</t>
    <phoneticPr fontId="9" type="noConversion"/>
  </si>
  <si>
    <t>AC013</t>
    <phoneticPr fontId="9" type="noConversion"/>
  </si>
  <si>
    <t>熱杯S</t>
    <phoneticPr fontId="9" type="noConversion"/>
  </si>
  <si>
    <t>熱杯M</t>
    <phoneticPr fontId="9" type="noConversion"/>
  </si>
  <si>
    <t>熱杯L</t>
    <phoneticPr fontId="9" type="noConversion"/>
  </si>
  <si>
    <t xml:space="preserve">註3：帳務查核時應備妥下列文件備查:1.委託研究契約書。(2)統一發票（或收據）、或國外之INVOICE(或RECEIPT)及匯兌水單。
         </t>
    <phoneticPr fontId="9" type="noConversion"/>
  </si>
  <si>
    <t>3.合約期間:113年07月01日~114年07月01日</t>
    <phoneticPr fontId="9" type="noConversion"/>
  </si>
  <si>
    <t>製冰機</t>
    <phoneticPr fontId="9" type="noConversion"/>
  </si>
  <si>
    <t>勞務委外費</t>
    <phoneticPr fontId="9" type="noConversion"/>
  </si>
  <si>
    <t>營運中心租用租金</t>
    <phoneticPr fontId="9" type="noConversion"/>
  </si>
  <si>
    <t>公司實際人事費用合計</t>
    <phoneticPr fontId="9" type="noConversion"/>
  </si>
  <si>
    <t>五常物業規劃股份有限公司營運預算書</t>
    <phoneticPr fontId="62" type="noConversion"/>
  </si>
  <si>
    <t>門</t>
  </si>
  <si>
    <t>款</t>
  </si>
  <si>
    <t>項</t>
  </si>
  <si>
    <t>科目</t>
  </si>
  <si>
    <t>第一年</t>
    <phoneticPr fontId="62" type="noConversion"/>
  </si>
  <si>
    <t>第二年</t>
    <phoneticPr fontId="62" type="noConversion"/>
  </si>
  <si>
    <t>備註</t>
  </si>
  <si>
    <t>商業收入</t>
  </si>
  <si>
    <t>物業及委託收入</t>
  </si>
  <si>
    <t>協會全年計畫規模約為200萬元，依合約收入20萬元</t>
  </si>
  <si>
    <t>物業合約目前僅有1案全年36萬元</t>
  </si>
  <si>
    <t>補助收入</t>
  </si>
  <si>
    <t>營業收入項小計</t>
  </si>
  <si>
    <t>其他收入</t>
  </si>
  <si>
    <t>不做預估</t>
  </si>
  <si>
    <t>代收款項</t>
  </si>
  <si>
    <t>勞健保勞工負擔及勞退自提</t>
  </si>
  <si>
    <t>孳息</t>
  </si>
  <si>
    <t>股本收入</t>
  </si>
  <si>
    <t>永續發展基金(法定盈餘)</t>
  </si>
  <si>
    <t>由勞工組織決定額度，本司提撥相同金額騎出暫定每名/月提撥500元，本項由盈餘勞工分配額提撥</t>
  </si>
  <si>
    <t>代管基金</t>
  </si>
  <si>
    <t>收託代管基金，如大樓管委會託管、五常社區發展基金</t>
  </si>
  <si>
    <t>各類基金項小計</t>
  </si>
  <si>
    <t>借方總計</t>
  </si>
  <si>
    <t>貸方統計表                                  單位：新台幣元</t>
  </si>
  <si>
    <r>
      <t>薪資支出</t>
    </r>
    <r>
      <rPr>
        <b/>
        <sz val="12"/>
        <color theme="1"/>
        <rFont val="標楷體"/>
        <family val="4"/>
        <charset val="136"/>
      </rPr>
      <t>A</t>
    </r>
    <r>
      <rPr>
        <sz val="12"/>
        <color theme="1"/>
        <rFont val="標楷體"/>
        <family val="4"/>
        <charset val="136"/>
      </rPr>
      <t>項</t>
    </r>
  </si>
  <si>
    <t>27,740*5</t>
  </si>
  <si>
    <t>薪資支出B項</t>
  </si>
  <si>
    <t>董事長20營運長18經理16協理14高等專員12初等專員10</t>
  </si>
  <si>
    <t>勞工保險費</t>
  </si>
  <si>
    <t>勞工健保費</t>
  </si>
  <si>
    <t>勞工組織費</t>
  </si>
  <si>
    <t>每人500</t>
  </si>
  <si>
    <t>勞工分紅及福利費用</t>
  </si>
  <si>
    <t>勞工教育訓練費</t>
  </si>
  <si>
    <t>人事費用小計</t>
  </si>
  <si>
    <t>筆電3X50K=150K,桌椅20K</t>
  </si>
  <si>
    <t>行政耗材費</t>
  </si>
  <si>
    <t>文具、影印紙、文書器材</t>
  </si>
  <si>
    <t>水電費</t>
  </si>
  <si>
    <t>每人每日100計，用餘歸直營商店營收</t>
  </si>
  <si>
    <t>設備維護費</t>
  </si>
  <si>
    <t>辦公費小計</t>
  </si>
  <si>
    <t>咖啡機280,000+製冰機70,000+.磨豆機30,000+冰箱50,000,客桌椅30,000，技術及商標轉移220,000</t>
  </si>
  <si>
    <t>修繕費</t>
  </si>
  <si>
    <t>驗證活動餐費</t>
  </si>
  <si>
    <t>行銷暨功能驗證費</t>
  </si>
  <si>
    <t>AI智慧社區服務系統開發</t>
  </si>
  <si>
    <t>社區專勤隊勞務費用</t>
  </si>
  <si>
    <t>無人保全系統委託開發</t>
  </si>
  <si>
    <t>貸項合計</t>
  </si>
  <si>
    <t>股利及業主權益</t>
  </si>
  <si>
    <t>按聊閣重新店經驗每月編列20萬元</t>
    <phoneticPr fontId="9" type="noConversion"/>
  </si>
  <si>
    <t>營業費用</t>
    <phoneticPr fontId="9" type="noConversion"/>
  </si>
  <si>
    <t>人事費</t>
    <phoneticPr fontId="9" type="noConversion"/>
  </si>
  <si>
    <t>辦公費</t>
    <phoneticPr fontId="9" type="noConversion"/>
  </si>
  <si>
    <t>租金</t>
    <phoneticPr fontId="9" type="noConversion"/>
  </si>
  <si>
    <t>技術轉移費(營運成本)</t>
    <phoneticPr fontId="9" type="noConversion"/>
  </si>
  <si>
    <t>房屋押金</t>
    <phoneticPr fontId="9" type="noConversion"/>
  </si>
  <si>
    <t>商業營運費用</t>
    <phoneticPr fontId="9" type="noConversion"/>
  </si>
  <si>
    <t>營運費用</t>
    <phoneticPr fontId="9" type="noConversion"/>
  </si>
  <si>
    <t>行銷暨功能驗證費小計</t>
    <phoneticPr fontId="9" type="noConversion"/>
  </si>
  <si>
    <t>開發或勞務委外費用</t>
    <phoneticPr fontId="9" type="noConversion"/>
  </si>
  <si>
    <t>其他費用(含營運準備金)</t>
    <phoneticPr fontId="9" type="noConversion"/>
  </si>
  <si>
    <t>依咖啡零售業成本架構推算材料成本約為35&amp;故23+235約等於240萬x0.35=84萬常備存量以2個月為基準應屬合宜</t>
    <phoneticPr fontId="9" type="noConversion"/>
  </si>
  <si>
    <t>本項含營運準備金5萬其他費用為營業額之3%</t>
    <phoneticPr fontId="9" type="noConversion"/>
  </si>
  <si>
    <t>設備及技術採購費</t>
    <phoneticPr fontId="9" type="noConversion"/>
  </si>
  <si>
    <t>材料費</t>
    <phoneticPr fontId="9" type="noConversion"/>
  </si>
  <si>
    <t>一般股500,000股，面額10元</t>
    <phoneticPr fontId="9" type="noConversion"/>
  </si>
  <si>
    <t>特別股 100,000股，面額10元</t>
    <phoneticPr fontId="9" type="noConversion"/>
  </si>
  <si>
    <t>無形資產</t>
    <phoneticPr fontId="9" type="noConversion"/>
  </si>
  <si>
    <t>無形資產小計</t>
    <phoneticPr fontId="9" type="noConversion"/>
  </si>
  <si>
    <t>專利權</t>
    <phoneticPr fontId="9" type="noConversion"/>
  </si>
  <si>
    <t>SIIR計畫－顧問費(113年6月)</t>
    <phoneticPr fontId="9" type="noConversion"/>
  </si>
  <si>
    <t>外帶杯</t>
    <phoneticPr fontId="9" type="noConversion"/>
  </si>
  <si>
    <t>經濟部科技研究發展專案</t>
  </si>
  <si>
    <r>
      <t>產業升級創新平台輔導計畫</t>
    </r>
    <r>
      <rPr>
        <b/>
        <sz val="24"/>
        <color rgb="FF000000"/>
        <rFont val="標楷體"/>
        <family val="4"/>
        <charset val="136"/>
      </rPr>
      <t>(新興育成)</t>
    </r>
  </si>
  <si>
    <t>限閱文件</t>
  </si>
  <si>
    <t>公司名稱：五常物業規劃管理顧問股份有限公司</t>
  </si>
  <si>
    <t>綜合資料</t>
  </si>
  <si>
    <t>金額單位：千元</t>
  </si>
  <si>
    <t>計畫名稱</t>
  </si>
  <si>
    <t>運用AI智能系統整合勞務產能有效降低物業(商業)安全維護(聯合雲端銷售)成本並提高服務品質開發計畫　　　　　</t>
  </si>
  <si>
    <t>公司名稱</t>
  </si>
  <si>
    <t>五常物業管理規劃顧問股份有限公司</t>
  </si>
  <si>
    <t>法人名稱</t>
  </si>
  <si>
    <t>新北市三重區五常社區發展協會</t>
  </si>
  <si>
    <t>計畫起～訖時間</t>
  </si>
  <si>
    <t>計畫主持人</t>
  </si>
  <si>
    <t>江政隆</t>
  </si>
  <si>
    <t>電話</t>
  </si>
  <si>
    <t>(02)29866856</t>
  </si>
  <si>
    <t>營運長</t>
  </si>
  <si>
    <t>電子信箱</t>
  </si>
  <si>
    <t>wuchang1100606355@gmail.com</t>
  </si>
  <si>
    <t>協同計畫主持人</t>
  </si>
  <si>
    <t>林詩妘</t>
  </si>
  <si>
    <t>年度經費</t>
  </si>
  <si>
    <t>總經費</t>
  </si>
  <si>
    <t>ＸＸ年度</t>
  </si>
  <si>
    <t>計畫聯絡人</t>
  </si>
  <si>
    <t>財務協理</t>
  </si>
  <si>
    <r>
      <t>一、</t>
    </r>
    <r>
      <rPr>
        <sz val="12"/>
        <color rgb="FF000000"/>
        <rFont val="標楷體"/>
        <family val="4"/>
        <charset val="136"/>
      </rPr>
      <t>公司簡介</t>
    </r>
  </si>
  <si>
    <t>物業及商業管理規劃顧問業、法人或公司行政業務承攬業、餐飲服務及加工業、物業管理或商業經營衍生服務產業、區域健康照護業務規劃業、廢棄物清理業、人力資源規劃業</t>
  </si>
  <si>
    <r>
      <t>二、</t>
    </r>
    <r>
      <rPr>
        <sz val="12"/>
        <color rgb="FF000000"/>
        <rFont val="標楷體"/>
        <family val="4"/>
        <charset val="136"/>
      </rPr>
      <t>產業與市場需求</t>
    </r>
  </si>
  <si>
    <t>三、創新服務開發說明</t>
  </si>
  <si>
    <r>
      <t>四、</t>
    </r>
    <r>
      <rPr>
        <sz val="12"/>
        <color rgb="FF000000"/>
        <rFont val="標楷體"/>
        <family val="4"/>
        <charset val="136"/>
      </rPr>
      <t>計畫執行優勢</t>
    </r>
  </si>
  <si>
    <r>
      <t>營運組織形象清新：閉鎖型公司股東單純，社會企業共享營利</t>
    </r>
    <r>
      <rPr>
        <sz val="12"/>
        <color rgb="FFFF0000"/>
        <rFont val="標楷體"/>
        <family val="4"/>
        <charset val="136"/>
      </rPr>
      <t>(公益品牌競爭力)</t>
    </r>
    <r>
      <rPr>
        <sz val="12"/>
        <color rgb="FF000000"/>
        <rFont val="標楷體"/>
        <family val="4"/>
        <charset val="136"/>
      </rPr>
      <t>。</t>
    </r>
  </si>
  <si>
    <r>
      <t>營運能力完整豐富：計畫主持人(本司營運長)各領域從業經驗豐富資歷證照完整，足以鏈接各產業服務供給及營運需求。</t>
    </r>
    <r>
      <rPr>
        <sz val="12"/>
        <color rgb="FFFF0000"/>
        <rFont val="標楷體"/>
        <family val="4"/>
        <charset val="136"/>
      </rPr>
      <t>(生產競爭力)</t>
    </r>
  </si>
  <si>
    <r>
      <t>營運條件得天獨厚：重劃區開發第三年人口爆炸式成長，面臨物業承攬更換期</t>
    </r>
    <r>
      <rPr>
        <sz val="12"/>
        <color rgb="FF833C0B"/>
        <rFont val="標楷體"/>
        <family val="4"/>
        <charset val="136"/>
      </rPr>
      <t>(天時)</t>
    </r>
    <r>
      <rPr>
        <sz val="12"/>
        <color rgb="FF000000"/>
        <rFont val="標楷體"/>
        <family val="4"/>
        <charset val="136"/>
      </rPr>
      <t>、住商區畫分明確營運點位於交接處位置絕佳</t>
    </r>
    <r>
      <rPr>
        <sz val="12"/>
        <color rgb="FF833C0B"/>
        <rFont val="標楷體"/>
        <family val="4"/>
        <charset val="136"/>
      </rPr>
      <t>(地利)</t>
    </r>
    <r>
      <rPr>
        <sz val="12"/>
        <color rgb="FF000000"/>
        <rFont val="標楷體"/>
        <family val="4"/>
        <charset val="136"/>
      </rPr>
      <t xml:space="preserve"> 在地發展協會社工員及弱勢族群注資成立，股東群在地居住40年，地方關係根深蒂固</t>
    </r>
    <r>
      <rPr>
        <sz val="12"/>
        <color rgb="FF833C0B"/>
        <rFont val="標楷體"/>
        <family val="4"/>
        <charset val="136"/>
      </rPr>
      <t>(人和)</t>
    </r>
    <r>
      <rPr>
        <sz val="12"/>
        <color rgb="FF000000"/>
        <rFont val="標楷體"/>
        <family val="4"/>
        <charset val="136"/>
      </rPr>
      <t>。</t>
    </r>
    <r>
      <rPr>
        <sz val="12"/>
        <color rgb="FFFF0000"/>
        <rFont val="標楷體"/>
        <family val="4"/>
        <charset val="136"/>
      </rPr>
      <t>(環境競爭力)</t>
    </r>
  </si>
  <si>
    <t>量化效益</t>
  </si>
  <si>
    <t>計畫效益</t>
  </si>
  <si>
    <t>項　　目</t>
  </si>
  <si>
    <t>N年</t>
  </si>
  <si>
    <t>N+1年</t>
  </si>
  <si>
    <t>營業淨利(單位：千/月)</t>
  </si>
  <si>
    <t>月毛利額(單位：千)</t>
  </si>
  <si>
    <t>計畫年(X12)總毛利額(單位：千)</t>
  </si>
  <si>
    <t>預估毛利率(%)</t>
  </si>
  <si>
    <t>虧損</t>
  </si>
  <si>
    <t>經濟效益</t>
  </si>
  <si>
    <r>
      <t>行銷方式</t>
    </r>
    <r>
      <rPr>
        <sz val="8"/>
        <color rgb="FF000000"/>
        <rFont val="標楷體"/>
        <family val="4"/>
        <charset val="136"/>
      </rPr>
      <t>(OEM、ODM或自有品牌比重)</t>
    </r>
  </si>
  <si>
    <t>商業OEM、物業ODM</t>
  </si>
  <si>
    <r>
      <t>商業ODM、物業</t>
    </r>
    <r>
      <rPr>
        <sz val="6"/>
        <color rgb="FF000000"/>
        <rFont val="標楷體"/>
        <family val="4"/>
        <charset val="136"/>
      </rPr>
      <t>自有</t>
    </r>
    <r>
      <rPr>
        <sz val="8"/>
        <color rgb="FF000000"/>
        <rFont val="標楷體"/>
        <family val="4"/>
        <charset val="136"/>
      </rPr>
      <t>照護OEM、環保</t>
    </r>
    <r>
      <rPr>
        <sz val="6"/>
        <color rgb="FF000000"/>
        <rFont val="標楷體"/>
        <family val="4"/>
        <charset val="136"/>
      </rPr>
      <t>自有</t>
    </r>
  </si>
  <si>
    <t>全自有或財團法人化</t>
  </si>
  <si>
    <t>預估市場占有率(%)</t>
  </si>
  <si>
    <t>預計研發投資額</t>
  </si>
  <si>
    <t>預計設備投資額</t>
  </si>
  <si>
    <t>降低生產成本(千元)</t>
  </si>
  <si>
    <t>成果發表會(場)/人數</t>
  </si>
  <si>
    <t>9/2000</t>
  </si>
  <si>
    <t>1/1000</t>
  </si>
  <si>
    <t>1/2000</t>
  </si>
  <si>
    <t>創新服務應用</t>
  </si>
  <si>
    <t>專利申請（件）</t>
  </si>
  <si>
    <t>專利核准（件）</t>
  </si>
  <si>
    <t>衍生新服務業務（項）</t>
  </si>
  <si>
    <t>1項</t>
  </si>
  <si>
    <t>0項</t>
  </si>
  <si>
    <t>社會效益</t>
  </si>
  <si>
    <t>累計增加就業人數</t>
  </si>
  <si>
    <t>1人</t>
  </si>
  <si>
    <t>5人</t>
  </si>
  <si>
    <t>10人</t>
  </si>
  <si>
    <t>創業育成累計（家）</t>
  </si>
  <si>
    <t>專案聘僱中高齡弱勢族群人數累計</t>
  </si>
  <si>
    <t>18人</t>
  </si>
  <si>
    <t>30人</t>
  </si>
  <si>
    <t>45人</t>
  </si>
  <si>
    <t>學術成就</t>
  </si>
  <si>
    <t>辦理學術活動(累計場次)</t>
  </si>
  <si>
    <t>研究報告（累計篇數）</t>
  </si>
  <si>
    <t>質化效益</t>
  </si>
  <si>
    <t>六、</t>
  </si>
  <si>
    <t>計畫關鍵字：區域服務中心、區域發展、同業共同發展、異業聯合銷售、創新物業服務</t>
  </si>
  <si>
    <t>N+2</t>
    <phoneticPr fontId="9" type="noConversion"/>
  </si>
  <si>
    <t>290(240+50)</t>
    <phoneticPr fontId="9" type="noConversion"/>
  </si>
  <si>
    <t>380(280+100)</t>
    <phoneticPr fontId="9" type="noConversion"/>
  </si>
  <si>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整合區域組織合作開發互助、導引消費方向提振區域經濟、創造服務需求媒介弱勢居民、共享共有共好宜居樂活社區</t>
    </r>
    <phoneticPr fontId="9" type="noConversion"/>
  </si>
  <si>
    <t>開辦費(維護費)小計</t>
    <phoneticPr fontId="9" type="noConversion"/>
  </si>
  <si>
    <t>借方統計表                                                                                              單位：新台幣元</t>
    <phoneticPr fontId="62" type="noConversion"/>
  </si>
  <si>
    <t>咖啡製作技術、咖啡及飲品共15品項製作配方、製作工序、原料商</t>
    <phoneticPr fontId="9" type="noConversion"/>
  </si>
  <si>
    <t>4.合約總額：新台幣肆拾萬元整</t>
    <phoneticPr fontId="9" type="noConversion"/>
  </si>
  <si>
    <t>3.合約期間:00年00月00日~00年00月00日</t>
    <phoneticPr fontId="9" type="noConversion"/>
  </si>
  <si>
    <t>中華民國113年07月01日至114年06月30日</t>
    <phoneticPr fontId="9" type="noConversion"/>
  </si>
  <si>
    <r>
      <t>7</t>
    </r>
    <r>
      <rPr>
        <b/>
        <sz val="12"/>
        <color theme="1"/>
        <rFont val="新細明體"/>
        <family val="1"/>
        <charset val="136"/>
        <scheme val="minor"/>
      </rPr>
      <t>月</t>
    </r>
    <phoneticPr fontId="9" type="noConversion"/>
  </si>
  <si>
    <r>
      <t>8</t>
    </r>
    <r>
      <rPr>
        <b/>
        <sz val="12"/>
        <color theme="1"/>
        <rFont val="新細明體"/>
        <family val="1"/>
        <charset val="136"/>
        <scheme val="minor"/>
      </rPr>
      <t>月</t>
    </r>
    <phoneticPr fontId="9" type="noConversion"/>
  </si>
  <si>
    <r>
      <t>9</t>
    </r>
    <r>
      <rPr>
        <b/>
        <sz val="12"/>
        <color theme="1"/>
        <rFont val="新細明體"/>
        <family val="1"/>
        <charset val="136"/>
        <scheme val="minor"/>
      </rPr>
      <t>月</t>
    </r>
    <phoneticPr fontId="9" type="noConversion"/>
  </si>
  <si>
    <r>
      <t>10</t>
    </r>
    <r>
      <rPr>
        <b/>
        <sz val="12"/>
        <color theme="1"/>
        <rFont val="新細明體"/>
        <family val="1"/>
        <charset val="136"/>
        <scheme val="minor"/>
      </rPr>
      <t>月</t>
    </r>
    <phoneticPr fontId="9" type="noConversion"/>
  </si>
  <si>
    <r>
      <t>11</t>
    </r>
    <r>
      <rPr>
        <b/>
        <sz val="12"/>
        <color theme="1"/>
        <rFont val="新細明體"/>
        <family val="1"/>
        <charset val="136"/>
        <scheme val="minor"/>
      </rPr>
      <t>月</t>
    </r>
    <phoneticPr fontId="9" type="noConversion"/>
  </si>
  <si>
    <r>
      <t>12</t>
    </r>
    <r>
      <rPr>
        <b/>
        <sz val="12"/>
        <color theme="1"/>
        <rFont val="新細明體"/>
        <family val="1"/>
        <charset val="136"/>
        <scheme val="minor"/>
      </rPr>
      <t>月</t>
    </r>
    <phoneticPr fontId="9" type="noConversion"/>
  </si>
  <si>
    <r>
      <t>1</t>
    </r>
    <r>
      <rPr>
        <b/>
        <sz val="12"/>
        <color theme="1"/>
        <rFont val="新細明體"/>
        <family val="1"/>
        <charset val="136"/>
        <scheme val="minor"/>
      </rPr>
      <t>月</t>
    </r>
    <phoneticPr fontId="9" type="noConversion"/>
  </si>
  <si>
    <r>
      <t>2</t>
    </r>
    <r>
      <rPr>
        <b/>
        <sz val="12"/>
        <color theme="1"/>
        <rFont val="新細明體"/>
        <family val="1"/>
        <charset val="136"/>
        <scheme val="minor"/>
      </rPr>
      <t>月</t>
    </r>
    <phoneticPr fontId="9" type="noConversion"/>
  </si>
  <si>
    <r>
      <t>3</t>
    </r>
    <r>
      <rPr>
        <b/>
        <sz val="12"/>
        <color theme="1"/>
        <rFont val="新細明體"/>
        <family val="1"/>
        <charset val="136"/>
        <scheme val="minor"/>
      </rPr>
      <t>月</t>
    </r>
    <phoneticPr fontId="9" type="noConversion"/>
  </si>
  <si>
    <r>
      <t>4</t>
    </r>
    <r>
      <rPr>
        <b/>
        <sz val="12"/>
        <color theme="1"/>
        <rFont val="新細明體"/>
        <family val="1"/>
        <charset val="136"/>
        <scheme val="minor"/>
      </rPr>
      <t>月</t>
    </r>
    <phoneticPr fontId="9" type="noConversion"/>
  </si>
  <si>
    <r>
      <t>5</t>
    </r>
    <r>
      <rPr>
        <b/>
        <sz val="12"/>
        <color theme="1"/>
        <rFont val="新細明體"/>
        <family val="1"/>
        <charset val="136"/>
        <scheme val="minor"/>
      </rPr>
      <t>月</t>
    </r>
    <phoneticPr fontId="9" type="noConversion"/>
  </si>
  <si>
    <r>
      <t>6</t>
    </r>
    <r>
      <rPr>
        <b/>
        <sz val="12"/>
        <color theme="1"/>
        <rFont val="新細明體"/>
        <family val="1"/>
        <charset val="136"/>
        <scheme val="minor"/>
      </rPr>
      <t>月</t>
    </r>
    <phoneticPr fontId="9" type="noConversion"/>
  </si>
  <si>
    <t>SIIR計畫－計畫人員薪資計算表  (113年07月)</t>
    <phoneticPr fontId="9" type="noConversion"/>
  </si>
  <si>
    <r>
      <t>113</t>
    </r>
    <r>
      <rPr>
        <sz val="12"/>
        <color rgb="FF000000"/>
        <rFont val="Microsoft JhengHei"/>
        <family val="1"/>
      </rPr>
      <t>年度</t>
    </r>
    <phoneticPr fontId="9" type="noConversion"/>
  </si>
  <si>
    <r>
      <t>114</t>
    </r>
    <r>
      <rPr>
        <sz val="12"/>
        <color rgb="FF000000"/>
        <rFont val="Microsoft JhengHei"/>
        <family val="1"/>
      </rPr>
      <t>年度</t>
    </r>
    <phoneticPr fontId="9" type="noConversion"/>
  </si>
  <si>
    <t>董事長1、營運長1、經理1、協理1、初專1</t>
    <phoneticPr fontId="9" type="noConversion"/>
  </si>
  <si>
    <t>每月1.2萬計</t>
    <phoneticPr fontId="9" type="noConversion"/>
  </si>
  <si>
    <t>勞工副食費</t>
    <phoneticPr fontId="9" type="noConversion"/>
  </si>
  <si>
    <t>協理</t>
    <phoneticPr fontId="9" type="noConversion"/>
  </si>
  <si>
    <t>商業顧問服務費</t>
    <phoneticPr fontId="9" type="noConversion"/>
  </si>
  <si>
    <t>營運中心開辦費(維護費)</t>
    <phoneticPr fontId="9" type="noConversion"/>
  </si>
  <si>
    <t>加值型營業稅</t>
    <phoneticPr fontId="9" type="noConversion"/>
  </si>
  <si>
    <t>稅金</t>
    <phoneticPr fontId="9" type="noConversion"/>
  </si>
  <si>
    <t>辦公設備維護</t>
    <phoneticPr fontId="9" type="noConversion"/>
  </si>
  <si>
    <t>上期結餘</t>
    <phoneticPr fontId="9" type="noConversion"/>
  </si>
  <si>
    <t>本期損益</t>
    <phoneticPr fontId="9" type="noConversion"/>
  </si>
  <si>
    <t>咖啡店</t>
    <phoneticPr fontId="9" type="noConversion"/>
  </si>
  <si>
    <t>初期成本</t>
    <phoneticPr fontId="9" type="noConversion"/>
  </si>
  <si>
    <t>明諺</t>
    <phoneticPr fontId="9" type="noConversion"/>
  </si>
  <si>
    <t>政隆</t>
    <phoneticPr fontId="9" type="noConversion"/>
  </si>
  <si>
    <t>半年收益</t>
    <phoneticPr fontId="9" type="noConversion"/>
  </si>
  <si>
    <t>需出資額</t>
    <phoneticPr fontId="9" type="noConversion"/>
  </si>
  <si>
    <t>平均月收益</t>
    <phoneticPr fontId="9" type="noConversion"/>
  </si>
  <si>
    <t>勞工組織發展基金</t>
    <phoneticPr fontId="9" type="noConversion"/>
  </si>
  <si>
    <t>資本項目</t>
    <phoneticPr fontId="9" type="noConversion"/>
  </si>
  <si>
    <t>資本公積</t>
    <phoneticPr fontId="9" type="noConversion"/>
  </si>
  <si>
    <t>資本項小計</t>
    <phoneticPr fontId="9" type="noConversion"/>
  </si>
  <si>
    <t>5.付款方式：依合約內容</t>
    <phoneticPr fontId="9" type="noConversion"/>
  </si>
  <si>
    <t>本司派出之技術承接專員</t>
    <phoneticPr fontId="9" type="noConversion"/>
  </si>
  <si>
    <t>1.技轉(委託)項目:咖啡製作技術、咖啡及飲品共15品項製作配方、製作工序、原料商</t>
    <phoneticPr fontId="9" type="noConversion"/>
  </si>
  <si>
    <t>SIIR計畫－技術或智慧財產權購買費(113年07月)</t>
    <phoneticPr fontId="9" type="noConversion"/>
  </si>
  <si>
    <t>一、基本資料</t>
  </si>
  <si>
    <t>公司簡介</t>
  </si>
  <si>
    <r>
      <t>1.</t>
    </r>
    <r>
      <rPr>
        <b/>
        <sz val="12"/>
        <color rgb="FF000000"/>
        <rFont val="標楷體"/>
        <family val="4"/>
        <charset val="136"/>
      </rPr>
      <t>商業服務:由本司</t>
    </r>
    <r>
      <rPr>
        <sz val="12"/>
        <color rgb="FF000000"/>
        <rFont val="標楷體"/>
        <family val="4"/>
        <charset val="136"/>
      </rPr>
      <t>直營咖啡店採區域聯合營運的多元銷售模式、協助商圈商家利用本司所開發AI社區服務系統，串接線上預購功能、線上點餐及餐飲業離峰時間消費折讓等功能，對社區內居民的消費行為進行服務並具有消費行為導向的功能、為社區商圈整體的銷售行為規劃，並藉由合併及簡化的外送業務，大幅降低商業營運及消費者所需負擔的成本</t>
    </r>
  </si>
  <si>
    <r>
      <t>2.</t>
    </r>
    <r>
      <rPr>
        <b/>
        <sz val="12"/>
        <color rgb="FF000000"/>
        <rFont val="標楷體"/>
        <family val="4"/>
        <charset val="136"/>
      </rPr>
      <t>勞務市場:</t>
    </r>
    <r>
      <rPr>
        <sz val="12"/>
        <color rgb="FF000000"/>
        <rFont val="標楷體"/>
        <family val="4"/>
        <charset val="136"/>
      </rPr>
      <t>利用AI智能系統，整合ERP及CRM繼LINE模組功能，提供社區內中高齡及弱勢族群合宜的額外工作機會，並由本司整合工序後的開發創新區域勞務工作需求，具有低勞動強度、高時間彈性等特質的工作項目，有效運用中高齡及弱勢族群的剩餘產能，利用物業及餐飲業的高密度，將大大降低耗費在交通上的時間成本，藉由創新的派遣制度，進行拆解後的短工時工作可以讓這些工作並不會成為主業，而是適合補充部分收入的兼職機會，讓更多需要的人受惠，使得此勞務派遣機制不會影響社區內的居民總獲利能力及來源使得此項派遣制度能夠提高社區居民的平均收入及消費能力並且本司安排具有照顧服務專長的照服員管理此項業務，以適合的勞務派遣工作，(外送、代班保全、巡邏保全、功能姓保全商業銷售峰期勞動力)開發具有彈性時間、低工作強度、以件計費的工作需求，在工作等待期間於備勤場所植入社區關懷據點的功能，發展創新的複合式中高齡照業及就業服務業務。</t>
    </r>
  </si>
  <si>
    <r>
      <t>3.</t>
    </r>
    <r>
      <rPr>
        <b/>
        <sz val="12"/>
        <color rgb="FF000000"/>
        <rFont val="標楷體"/>
        <family val="4"/>
        <charset val="136"/>
      </rPr>
      <t>物業服務:</t>
    </r>
    <r>
      <rPr>
        <sz val="12"/>
        <color rgb="FF000000"/>
        <rFont val="標楷體"/>
        <family val="4"/>
        <charset val="136"/>
      </rPr>
      <t>了解物業不同階層客戶需求為做為開發業務之主要取向，透過拜訪了解實際需求後及本司在地的關係網，人脈，提供高機動性的服務及人力，如保全業的需求代班保全，無人保全系統搭配24H快速反應特勤保全、專業且高機動性的管理維護服務人員，公寓大廈管理條例諮詢、各類公寓大廈生活機能及服務提供設計，藉由提高物業的管理服務品質，將原本物業的定點保全人力資源藉由科技無人保全系統及社區安全網制度，有效的降低物業的成本並將降低的成本導向增進區域的生活機能及個人安全維護提升上。</t>
    </r>
  </si>
  <si>
    <t>二、經營團隊及執行能力</t>
  </si>
  <si>
    <t>全公司組織圖</t>
  </si>
  <si>
    <t>碩士</t>
  </si>
  <si>
    <t>學士</t>
  </si>
  <si>
    <t>專科</t>
  </si>
  <si>
    <t>比例</t>
  </si>
  <si>
    <t>性別</t>
  </si>
  <si>
    <t>男</t>
  </si>
  <si>
    <t>女</t>
  </si>
  <si>
    <t>主管</t>
  </si>
  <si>
    <t>決策管理</t>
  </si>
  <si>
    <t>業務經理</t>
  </si>
  <si>
    <t>非主管</t>
  </si>
  <si>
    <t>業務協理</t>
  </si>
  <si>
    <t>業務專員</t>
  </si>
  <si>
    <t>合約勞務</t>
  </si>
  <si>
    <t>本業年資</t>
  </si>
  <si>
    <t>博 士</t>
  </si>
  <si>
    <t>碩 士</t>
  </si>
  <si>
    <t>學 士</t>
  </si>
  <si>
    <t>專 科</t>
  </si>
  <si>
    <t>其 他</t>
  </si>
  <si>
    <t>合 計</t>
  </si>
  <si>
    <t>2年以下</t>
  </si>
  <si>
    <t>3 ~ 5年</t>
  </si>
  <si>
    <t>6 ~10年</t>
  </si>
  <si>
    <t>10年以上</t>
  </si>
  <si>
    <t>合    計</t>
  </si>
  <si>
    <t>獲得時間</t>
  </si>
  <si>
    <t>編號</t>
  </si>
  <si>
    <t>說明</t>
  </si>
  <si>
    <t>五常社區人口結構調查及分析資訊</t>
  </si>
  <si>
    <t>由新北市三重區社區發展協會依據社區發展綱要第十二條所進行的詳細人口結構調查資料及分析報告</t>
  </si>
  <si>
    <t>為解決社區因仁義街因重劃區開發導致仁義街交通混亂，商家營業額下滑，社區發展協會受限都會場域，無法提供居民適合之活動空間及發展困難，協會靠總幹事捐薪運作苦撐，經理事會決議責令總幹事提出協會財務改革結合發展專案規劃，透過發展適合都會的社區產業讓協會可進入財務健全的狀態，更可以是兼具社區居民利益的及有利於社區永續發展的新形態社會企業組織。</t>
  </si>
  <si>
    <t>新北市文化局新住民參與社區工作暨刊物翻譯編輯工作前置計畫</t>
  </si>
  <si>
    <t>一、公司概況</t>
    <phoneticPr fontId="9" type="noConversion"/>
  </si>
  <si>
    <t>2.114 年實收資本額：5,000 千元</t>
  </si>
  <si>
    <t>1.核准設立日期</t>
    <phoneticPr fontId="9" type="noConversion"/>
  </si>
  <si>
    <t>3.代表人：阮氏泉</t>
  </si>
  <si>
    <t>江政隆實際占比小計</t>
    <phoneticPr fontId="9" type="noConversion"/>
  </si>
  <si>
    <t>(資訊業務技術佔股，113年公司成立股東會通過此股份由所有權江政隆指定承購人)</t>
    <phoneticPr fontId="9" type="noConversion"/>
  </si>
  <si>
    <t>江政隆</t>
    <phoneticPr fontId="9" type="noConversion"/>
  </si>
  <si>
    <t>阮氏泉</t>
    <phoneticPr fontId="9" type="noConversion"/>
  </si>
  <si>
    <t>林詩妘</t>
    <phoneticPr fontId="9" type="noConversion"/>
  </si>
  <si>
    <t>蔣明諺</t>
    <phoneticPr fontId="9" type="noConversion"/>
  </si>
  <si>
    <t>(三)研發部門人力說明</t>
    <phoneticPr fontId="9" type="noConversion"/>
  </si>
  <si>
    <t>2.研發部門學歷說明</t>
    <phoneticPr fontId="9" type="noConversion"/>
  </si>
  <si>
    <t>五常社區都會型社區產業規劃案{創新四營運中心設計概念}</t>
    <phoneticPr fontId="9" type="noConversion"/>
  </si>
  <si>
    <t>450501保全夜間守衛；守衛服務；各種場所之安全保護；透過遠端監控系統提供場所安全守衛；安全及防盜警報系統的監控；行李安全檢查；現金或其他貴重物品運送之安全維護；人身之安全維護；私人保鑣；保全；保全諮詢；為保護財產或個人所提供之安全服務；保鑣服務；無人機安全監視服務；緊急通報醫護之監控服務；監視攝錄影機出租</t>
    <phoneticPr fontId="9" type="noConversion"/>
  </si>
  <si>
    <t>三、經營理念與營造友善職場環境之規劃</t>
  </si>
  <si>
    <r>
      <t>以促進社區商業及服務產業升級發展及健全社區組織財務為目的而成立的SDGs概念之社會永續經營的社區服務產業，利用本社區新式住宅高密集、餐飲業高密集、科技創新、環境永續、低汙染、大數據、永續經營、透明化公司管理、注重勞工權益、提供弱勢族群彈性工作機會、回饋並協助社區組織、發展長照事業、居民共有共享等元素作為公司的核心價值，將多種社區服務產業之工序重新整理、導入SDGs元素、運用歷年來同樣理念的社會企業創新產品、服務於社區中並且擔任政府部門及社區居民的橋樑，執行政策宣達及居民需求反應等工作，藉由發展各項社區各型組織所需服務業務創造營利，再將營利以固定比例用以建設社區</t>
    </r>
    <r>
      <rPr>
        <vertAlign val="superscript"/>
        <sz val="12"/>
        <color rgb="FFFF0000"/>
        <rFont val="標楷體"/>
        <family val="4"/>
        <charset val="136"/>
      </rPr>
      <t>(社區組織)</t>
    </r>
    <r>
      <rPr>
        <sz val="12"/>
        <color rgb="FF000000"/>
        <rFont val="標楷體"/>
        <family val="4"/>
        <charset val="136"/>
      </rPr>
      <t>、勞工激勵</t>
    </r>
    <r>
      <rPr>
        <vertAlign val="superscript"/>
        <sz val="12"/>
        <color rgb="FFFF0000"/>
        <rFont val="標楷體"/>
        <family val="4"/>
        <charset val="136"/>
      </rPr>
      <t>(員工權益)</t>
    </r>
    <r>
      <rPr>
        <sz val="12"/>
        <color rgb="FF000000"/>
        <rFont val="標楷體"/>
        <family val="4"/>
        <charset val="136"/>
      </rPr>
      <t>、降低成本</t>
    </r>
    <r>
      <rPr>
        <vertAlign val="superscript"/>
        <sz val="12"/>
        <color rgb="FFFF0000"/>
        <rFont val="標楷體"/>
        <family val="4"/>
        <charset val="136"/>
      </rPr>
      <t>(管委會及商業會員)</t>
    </r>
    <r>
      <rPr>
        <sz val="12"/>
        <color rgb="FF000000"/>
        <rFont val="標楷體"/>
        <family val="4"/>
        <charset val="136"/>
      </rPr>
      <t>永續經營</t>
    </r>
    <r>
      <rPr>
        <vertAlign val="superscript"/>
        <sz val="12"/>
        <color rgb="FFFF0000"/>
        <rFont val="標楷體"/>
        <family val="4"/>
        <charset val="136"/>
      </rPr>
      <t>(永續環保及財團法人化)</t>
    </r>
    <r>
      <rPr>
        <sz val="12"/>
        <color rgb="FF000000"/>
        <rFont val="標楷體"/>
        <family val="4"/>
        <charset val="136"/>
      </rPr>
      <t>創造一個宜居、友善、先進、共融的烏托邦社區，一改過去企業追求EPS的終極目標轉變成為追求ESG（環境、社會、治理）。</t>
    </r>
  </si>
  <si>
    <t>為維持固定比例回饋居民、獲利再投入、高勞工獎利及超低資本利得型態，本司章程明定為閉鎖型股份有限公司；本司由新北市三重區五常社區發展協會會員大會通過以總幹事所捐贈之勞務及智慧財產權提供做為投資資本及總幹事業管之社會工作個管案中高潛力案主出資組成、協會所持有之股份之資本利得30%將作為會饋社區居民及社區內客戶。30%淨利作為本司勞工激勵獎金及開發中高齡、弱勢族群短工時、高彈性特殊條件職缺，20%的淨利作為社區永續展基金，協會持有之股票所產生的股票股利部分及資本利得統一由盈餘分配委員會具有導引現金流向的客戶回饋措施使用的社會企業股份公司，公司每季公布營業狀態，詳細財務狀況，透過這些措施公開透明的營運、獲利、支持社區營造、社會福利措施、培養社區工作人才、促進產業合作升級、落實公民政治的價值。</t>
  </si>
  <si>
    <t>由女性新住民出資擔任本公司董事長、任用家暴受害女性、青年學子擔任管理幹部並或儲備幹部並由創辦人協會社工員出任營運長</t>
  </si>
  <si>
    <t>本司設有全職缺代理人、無須擔心業務因素無法請假，且提供員工免費冷熱飲品服務。</t>
  </si>
  <si>
    <t>本司長輩及幼童各項照護機構業務，職員一等直系血親費用本司全額補助、二等直系血親半價補助。</t>
  </si>
  <si>
    <t>已婚者帶薪家庭事務假對於本司員工給予年三日、未婚者每年三日帶薪成家假等。</t>
  </si>
  <si>
    <t>。</t>
  </si>
  <si>
    <t>本司為社工員創辦人帶領社會工作個管案主(新住民、家暴受害婦女、更生人、中低收入戶)由公益組織發起成立的社會企業，因此ESG及SDGs是我們核心價值，早在本司成立前期規劃中便以ESG為骨，SDGs為血肉，公益共享為靈魂所架構的商業組織，所有創新方案皆以此為基底原則設計，藉由本補助計畫案來實踐理想發揮社會企業的功能，下列便是社區發展協會社區產業開發小組於會員大會通過之營運企劃部分內容有關創新制度及永續發展關聯表</t>
  </si>
  <si>
    <t>五常物業規劃(閉鎖型)股份有限公司ESG對應部門暨創新制度及永續發展關聯表</t>
  </si>
  <si>
    <t>負責部門</t>
  </si>
  <si>
    <t>ESG相關項目</t>
  </si>
  <si>
    <t>具體創新制度及措施</t>
  </si>
  <si>
    <t>創新唯一的人事任用標準-心態。有故事的經營團隊</t>
  </si>
  <si>
    <t xml:space="preserve"> 培力社會弱勢族群作為公司發起股東創造階級翻轉</t>
  </si>
  <si>
    <t>經營之神王永慶先生的故事告訴我們學歷不全然代表能力，但態度卻能造就能力。</t>
  </si>
  <si>
    <r>
      <t>五常社區發展協會透過社會工作技術（社工輔導）讓一位位的社會弱勢族群透過社工員的社會工作技能，使其恢復其社會功能後再加以專業培力令他們能成為創新企業的發起股東，這群在人生道路上遭受過不幸的在地居民中，有遭受家暴的女性、失業新住民、更生人、生長在低收家庭中迷惘的社會新鮮人還有年過70歲仍然懷有社造夢的退休加工廠老闆。但是他們有一個最不容忽視的專業，就是翻轉人生懷抱實現夢想的主動積極</t>
    </r>
    <r>
      <rPr>
        <b/>
        <sz val="10"/>
        <color rgb="FF000000"/>
        <rFont val="標楷體"/>
        <family val="4"/>
        <charset val="136"/>
      </rPr>
      <t>態度，</t>
    </r>
    <r>
      <rPr>
        <sz val="10"/>
        <color rgb="FF000000"/>
        <rFont val="標楷體"/>
        <family val="4"/>
        <charset val="136"/>
      </rPr>
      <t>經過長達一年的討論、學習及專業證照的考取、我們現在擁有一群具有專業素養並且有故事的的團隊，以下就是我們的團隊人員專業項目：(證照認可陸續增加中)</t>
    </r>
  </si>
  <si>
    <t>以整合勞務需求、開發創新服務、保護勞動權益、發展族群友善、健全社區服務、落實永續發展為營業內涵</t>
  </si>
  <si>
    <t>在都會區進行具廚餘現地處理程序的創新農業生產技術以國際公認的再生農法「循環養耕」概念，發展廚餘在地處理能力，在都會區發展科技無毒綠色農業，降低廚餘處理的環境成本，並試圖與其洽談合作計畫，尋求擔任其產品北區經銷及都會區應用示範點，並尋求技術轉移，共同推廣綠色科技運用，負起人類生存於地球上的本該負責的責任，降低因食物浪費而對環境的傷害。</t>
  </si>
  <si>
    <t>讓社區居民提高資收分類動機，避免各項無法分解之塑化製品，透過水系統流向大海，終將使得海洋生物遭受塑化製品的戕害。</t>
  </si>
  <si>
    <t xml:space="preserve">將目前各大社會企業所研究的自然工法融入社區發展自然耕作綠色農業項目的可能性(生態循環有機種植、魚菜共生、雨水資源循環再生利用)，利用大自然互相滋養的自然現象，作為環境教育示範課程，並藉由都市養殖工法降低農產運送所產生的碳排放 </t>
  </si>
  <si>
    <r>
      <t>與環保主管機關協調生活</t>
    </r>
    <r>
      <rPr>
        <sz val="9"/>
        <color rgb="FF000000"/>
        <rFont val="標楷體"/>
        <family val="4"/>
        <charset val="136"/>
      </rPr>
      <t>廢棄物清運協力，利用本司對地方的熟悉度及小型車特性，協助公部門危險狹小巷弄路段之市民廢棄物收運，並且發展多元生活垃圾收運制度，如利用上下班居民出門契機，作定點式廢棄物收集工作，藉由此項多元收運措施，提高社區居民生活便利性，降低現行執行機關收運垃圾所需耗費的成本，使公私部門能夠一同攜手合作服務市民，達成公私合作共創永續。</t>
    </r>
  </si>
  <si>
    <t>社區照護中心</t>
  </si>
  <si>
    <t>規劃業務</t>
  </si>
  <si>
    <t>初期我們先按照社會局所規範的社區據點社區關懷據點提供的服務為以下幾點：</t>
  </si>
  <si>
    <t>初期構想</t>
  </si>
  <si>
    <t xml:space="preserve">    我們計畫預計由本司委託客戶申請轄區內仁忠里做為開設第一個社區關懷據點位址，並且兼做為長照業務辦公處所使用，辦公處設備由協會提供，及按照我們的需求向主管機關依據社區關懷服務據點設置辦法及發展社區工作補助計畫。每年可申請的設備總金額約新台幣10萬元，另外也可透過協會申請20萬元社區產業發展補助、10萬元長照據點開辦費、5萬元銀髮俱樂部開辦費、34,000元*15個月的社區關懷據點專職人員薪資費用一名，再由社區安全中心中介有適合空間場地且有意願的管理委員會，導入大樓關懷據點制度，以降低管理服務費為誘因導入大樓關懷據點制，利用其據點開辦申請專職人力及利用其租用其空間充實社區照護中心人力及空間，管委會亦能降低營運成本及提高些許社區收入。</t>
  </si>
  <si>
    <t>創新作為及規劃</t>
  </si>
  <si>
    <r>
      <t xml:space="preserve">    據點水電費補助社區照護業務費等都有相關補助規定，依據其他協會開設情形補助資料推估約能申請每年新台幣75萬元。持續性服務、參訪活動、其他創新項目如社區旗艦計畫等，初估補助金額不下百萬。刊物發行補助額度可補助行銷費用，再加上社區產業的補助約可挹注資金20萬元左右，社區發展協會在地耕耘超過30年，左鄰右舍都認識這讓我們成立據點時便有信任關係存在，大大降低磨合期間的各項成本。這些是營利型企業沒有的經驗更是我們寶貴的資金來源。協會的資源及社區業務經驗就是我們在起跑點上優勢，這樣的優勢再加上本司盈餘上的挹注，使用者付費的制度，建構優質的社區照護機構，讓長輩在</t>
    </r>
    <r>
      <rPr>
        <b/>
        <sz val="10"/>
        <color rgb="FF000000"/>
        <rFont val="標楷體"/>
        <family val="4"/>
        <charset val="136"/>
      </rPr>
      <t>社區內就養終老</t>
    </r>
    <r>
      <rPr>
        <sz val="10"/>
        <color rgb="FF000000"/>
        <rFont val="標楷體"/>
        <family val="4"/>
        <charset val="136"/>
      </rPr>
      <t>，再也不是夢想。</t>
    </r>
  </si>
  <si>
    <r>
      <t xml:space="preserve">    我們還有針對實施家庭照護的協力政策，外籍看護工的日間合作社計畫，結合區域內的外勞雇主開設照護合作社，當家人忙於工作時將家中須照護且條件許可的失能居民於日間集中照護，此時透過與外籍看護的工作協調可節省部分外籍看護工的人力，用以輪休及參加在職教育，提升外籍看護工的服務品質，節省雇主延長工時加班費的支出，即可支付日照處所的開支，且於夏日集中看護將大幅降低雇主電費支出</t>
    </r>
    <r>
      <rPr>
        <b/>
        <sz val="10"/>
        <color rgb="FF000000"/>
        <rFont val="標楷體"/>
        <family val="4"/>
        <charset val="136"/>
      </rPr>
      <t>減低碳排放。</t>
    </r>
    <r>
      <rPr>
        <sz val="10"/>
        <color rgb="FF000000"/>
        <rFont val="標楷體"/>
        <family val="4"/>
        <charset val="136"/>
      </rPr>
      <t xml:space="preserve"> </t>
    </r>
  </si>
  <si>
    <t xml:space="preserve">    由本司董事長所主持的新住民文化推廣社提供看護工權益諮詢及移工申訴管道，維護勞工工作權益，並且每月舉行移工慶生會，讓遠在他鄉工作的移工能在異鄉感受到一絲絲家的溫暖，並在每年勞工節舉辦社區模範移工表揚，視公司營運狀況提供獎品。</t>
  </si>
  <si>
    <t>社區照護服務對象不只被照護者，主要照護者更是需要被關心的族群，我們將結合本公司示範商業咖啡店提供照護者咖啡並提供照護者喘息服務鏈接保護型社工提供心理諮商服務。</t>
  </si>
  <si>
    <t xml:space="preserve">  我們的終極服務想像</t>
  </si>
  <si>
    <r>
      <t>1.</t>
    </r>
    <r>
      <rPr>
        <b/>
        <sz val="10"/>
        <color rgb="FF000000"/>
        <rFont val="標楷體"/>
        <family val="4"/>
        <charset val="136"/>
      </rPr>
      <t>多來源資料庫交叉驗證</t>
    </r>
  </si>
  <si>
    <t>藉由承攬社區發展協會業務代行內政部社區發展綱要所規範之工作項目建立、紀錄、分析、運用範圍著手擬訂資訊使用規範及注意事項並加上協會幹部的鄰里住戶資訊交叉驗證。</t>
  </si>
  <si>
    <r>
      <t>2.</t>
    </r>
    <r>
      <rPr>
        <b/>
        <sz val="10"/>
        <color rgb="FF000000"/>
        <rFont val="標楷體"/>
        <family val="4"/>
        <charset val="136"/>
      </rPr>
      <t>建立具多項功能及價值的AI社區服務系統</t>
    </r>
  </si>
  <si>
    <t>藉由商業及物業會員資料庫建立及運用，開發貫穿未來社會機能的未來服務系統，以串接國人常用的通訊軟體LINE來做為發展介面，由具有AI核心技術控制ERP及CRM兩種系統的超級資料庫</t>
  </si>
  <si>
    <r>
      <t>3.</t>
    </r>
    <r>
      <rPr>
        <b/>
        <sz val="10"/>
        <color rgb="FF000000"/>
        <rFont val="標楷體"/>
        <family val="4"/>
        <charset val="136"/>
      </rPr>
      <t>建立雲端銷售範本</t>
    </r>
  </si>
  <si>
    <t>並邀集仁義街早餐店的商家，共同以預售方式，開辦準點早餐餐飲服務，自取或直送管委會警衛處，開發重劃區早餐客源，協助商圈組織形成，降低一般小型商業數位科技化的成本，並且取得低廉的外送服務</t>
  </si>
  <si>
    <r>
      <t>4.</t>
    </r>
    <r>
      <rPr>
        <b/>
        <sz val="10"/>
        <color rgb="FF000000"/>
        <rFont val="標楷體"/>
        <family val="4"/>
        <charset val="136"/>
      </rPr>
      <t>五常樂活福利券(虛擬社區幣)系統規劃</t>
    </r>
  </si>
  <si>
    <t>以此社區貨幣系統提出區域經濟聯合行銷聯盟抵禦連鎖大型企業的行銷計畫，以品質、服務、虛擬點數服務產品價值轉換價差折扣的方式，提高虛擬貨幣流通性及超商系統替代性，間接影響並導引居民的消費行為，讓經濟行為所產生的現金流不斷的在區域內流通最終透過本制度對多次消費行為進行循環導向及提高消費者品牌忠誠度形成區域金流漩渦</t>
  </si>
  <si>
    <r>
      <t>5.</t>
    </r>
    <r>
      <rPr>
        <b/>
        <sz val="10"/>
        <color rgb="FF000000"/>
        <rFont val="標楷體"/>
        <family val="4"/>
        <charset val="136"/>
      </rPr>
      <t>藉由雲端銷售技術研發開發跨越時空限制的新型銷售技術</t>
    </r>
  </si>
  <si>
    <r>
      <t>集體預售早餐，開發無可能開發的市場，利用遠在6公里外的捷運站旁咖啡館</t>
    </r>
    <r>
      <rPr>
        <b/>
        <i/>
        <sz val="10"/>
        <color rgb="FF000000"/>
        <rFont val="標楷體"/>
        <family val="4"/>
        <charset val="136"/>
      </rPr>
      <t>位置優勢</t>
    </r>
    <r>
      <rPr>
        <sz val="10"/>
        <color rgb="FF000000"/>
        <rFont val="標楷體"/>
        <family val="4"/>
        <charset val="136"/>
      </rPr>
      <t>、捷運通勤族在交通上的</t>
    </r>
    <r>
      <rPr>
        <b/>
        <i/>
        <sz val="10"/>
        <color rgb="FF000000"/>
        <rFont val="標楷體"/>
        <family val="4"/>
        <charset val="136"/>
      </rPr>
      <t>時間壓力</t>
    </r>
    <r>
      <rPr>
        <sz val="10"/>
        <color rgb="FF000000"/>
        <rFont val="標楷體"/>
        <family val="4"/>
        <charset val="136"/>
      </rPr>
      <t>無法選擇早餐難處、</t>
    </r>
    <r>
      <rPr>
        <b/>
        <i/>
        <sz val="10"/>
        <color rgb="FF000000"/>
        <rFont val="標楷體"/>
        <family val="4"/>
        <charset val="136"/>
      </rPr>
      <t>網路雲端預購</t>
    </r>
    <r>
      <rPr>
        <sz val="10"/>
        <color rgb="FF000000"/>
        <rFont val="標楷體"/>
        <family val="4"/>
        <charset val="136"/>
      </rPr>
      <t>系統的便利及</t>
    </r>
    <r>
      <rPr>
        <b/>
        <i/>
        <sz val="10"/>
        <color rgb="FF000000"/>
        <rFont val="標楷體"/>
        <family val="4"/>
        <charset val="136"/>
      </rPr>
      <t>線上支付</t>
    </r>
    <r>
      <rPr>
        <sz val="10"/>
        <color rgb="FF000000"/>
        <rFont val="標楷體"/>
        <family val="4"/>
        <charset val="136"/>
      </rPr>
      <t>的普及，將仁義街商圈之多家高密集早餐店早餐以定時方式即到即取的便利性在異地捷運站交付趕時間的上班族增加商圈獲利，搭配店內飲品銷售，發展創新異地異業結合新銷售手法。</t>
    </r>
  </si>
  <si>
    <r>
      <t>我們瞄準SBIR創新服務計畫，運用該計畫補助經費委託或聘用專才開發本司專用的社區資訊系統，運用LINE的高普及性及模組高開發度運用分眾功能開發各使用群組的專屬介面，社區服務客製化的介面根據不同使用者的需求連接我們所建置由導入AI管理的ERP及 CRM，並且以這個AI系統貫穿本司四中心的各種服務新創服務功能，以創新的模式提升社區安全、便利、公平、服務、經濟、發展功能、並具有災害通報、環境監測、銀髮安全、主動示警、緊急呼救、管委會功能、議題投票系統社區廣播…等功能之專屬</t>
    </r>
    <r>
      <rPr>
        <b/>
        <sz val="10"/>
        <color rgb="FF000000"/>
        <rFont val="標楷體"/>
        <family val="4"/>
        <charset val="136"/>
      </rPr>
      <t>LINE官方系統</t>
    </r>
    <r>
      <rPr>
        <sz val="10"/>
        <color rgb="FF000000"/>
        <rFont val="標楷體"/>
        <family val="4"/>
        <charset val="136"/>
      </rPr>
      <t>，搭配或穿戴式裝置，帶入智慧社區的概念，系統化串接社區軟硬體，並透過社區WIFI熱點全涵蓋的終極目標，實現社區功能雲端數位化。</t>
    </r>
  </si>
  <si>
    <t>1.逐步以團隊是服務取代個人是服務，社區管理中心值班主任將會取代總幹事的工作</t>
  </si>
  <si>
    <t>2.團隊管理增加透明度，降低因個人操守所造成的財務風險，以團隊電子科層簽核制度取代傳統紀錄及核章、帳戶支出採行銀行驗證技術、由各權責人分別以行動推播裝置、電子憑證、轉帳放款簽核流程設計來達到萬無一失的財務監管，並且帳戶有任何變動立即主動推播管理中心及管委會兩方監察單位）</t>
  </si>
  <si>
    <t>3.無人保全系統＋中高齡短工時高彈性保全人力＋菁英保全機動勤務能夠為保全的安全服務帶來有降低安全維護成本、優化服務品質且擴大安全警戒區域，縮小安全服務單位至個人等優勢， 這才是理想且優質的保全服務模式。</t>
  </si>
  <si>
    <t>4.結合其他中心開發物業管理服務附加價值，結合商業資訊中心開發在地商業網路商業服務，結合在地中高齡人力發展物流外送服務，結合健康照護中心發展運動課程，結合環境永續中心開發廚餘現地處理能力，我們能做的還很多，把業務交給我們，我們把將營利再投入社區促進不斷的產業升級。</t>
  </si>
  <si>
    <t>三、建立公開透管理服務項目收費標準表</t>
  </si>
  <si>
    <t>讓管委會能根據自身財務預算來選擇服務項目，或透過本司進行財務改造計畫，開源並節流，讓住戶知道錢花在哪花多少及管委會該怎麼賺錢。</t>
  </si>
  <si>
    <r>
      <t>三、</t>
    </r>
    <r>
      <rPr>
        <b/>
        <sz val="12"/>
        <color rgb="FF000000"/>
        <rFont val="標楷體"/>
        <family val="4"/>
        <charset val="136"/>
      </rPr>
      <t>大量運用利用網路雲端科技</t>
    </r>
  </si>
  <si>
    <t>無人保全+社區安全往，大量使用雲端科技發展如動態感知、電子圍籬、空拍攝影、行動通信、科技辨識、WIFI網路運用..等先進元素及資源進行管理安全服務質與量的升級以動態感知啟動警報來啟動如燈光、照明、錄影、警報等功能降低人力及財力了負擔、並且能夠降低碳排放，往碳清零目標邁進</t>
  </si>
  <si>
    <t>四、進行社區管理服務人員的能力升級</t>
  </si>
  <si>
    <r>
      <t>從</t>
    </r>
    <r>
      <rPr>
        <b/>
        <sz val="10"/>
        <color rgb="FF000000"/>
        <rFont val="標楷體"/>
        <family val="4"/>
        <charset val="136"/>
      </rPr>
      <t>大樓管理服務能力</t>
    </r>
    <r>
      <rPr>
        <sz val="10"/>
        <color rgb="FF000000"/>
        <rFont val="標楷體"/>
        <family val="4"/>
        <charset val="136"/>
      </rPr>
      <t>，逐步進化為</t>
    </r>
    <r>
      <rPr>
        <b/>
        <sz val="10"/>
        <color rgb="FF000000"/>
        <rFont val="標楷體"/>
        <family val="4"/>
        <charset val="136"/>
      </rPr>
      <t>社會工作服務</t>
    </r>
    <r>
      <rPr>
        <sz val="10"/>
        <color rgb="FF000000"/>
        <rFont val="標楷體"/>
        <family val="4"/>
        <charset val="136"/>
      </rPr>
      <t>能力，具備未來社區管理理念，導入部分社區營造概念培養服務人員具社會工作師（員）或居家服務員專業能力、並且由本司導入衛福部社區照護課程藉以維護社區居民的健康，透過政府的長照政策甚至可以達到以補助經費降低管理營運費用成本的效果。</t>
    </r>
  </si>
  <si>
    <t xml:space="preserve">        </t>
  </si>
  <si>
    <t>透過上述福利社區達到房價租金穩定成長的不動產增值不受人口負成長影響，讓你的不動產增值速度遠超會計的折舊速度。</t>
  </si>
  <si>
    <r>
      <t>一、</t>
    </r>
    <r>
      <rPr>
        <b/>
        <sz val="12"/>
        <color rgb="FF000000"/>
        <rFont val="標楷體"/>
        <family val="4"/>
        <charset val="136"/>
      </rPr>
      <t>成立社區安全管理中心，發展具社區安全網概念的物業管理業務</t>
    </r>
    <phoneticPr fontId="9" type="noConversion"/>
  </si>
  <si>
    <t>董事會營運局(社會、治理)</t>
    <phoneticPr fontId="9" type="noConversion"/>
  </si>
  <si>
    <t>商業資訊中心(治理G、社會S)</t>
    <phoneticPr fontId="9" type="noConversion"/>
  </si>
  <si>
    <t>社區安全中心 (社會S治理G)</t>
    <phoneticPr fontId="9" type="noConversion"/>
  </si>
  <si>
    <t>貳、計畫內容與實施方法</t>
  </si>
  <si>
    <t>一、目標市場需求</t>
  </si>
  <si>
    <t>仁義商圈商業現況</t>
  </si>
  <si>
    <t>本公司營業營業範圍內，商業約有90家，擁有店面並對外營業的有其中38家，有9家便利商店、1家金融機構1家醫療診所、書局1家、自助洗衣店2家、傳統洗衣店1家、電腦商行2家、電器行2家、彩券行2家、超市3家外其餘的18家餐飲業，仁義商圈就佔了12家，其中有8家早餐店。在這麼多的商業中，完成數位化的居然0家，僅有一家早餐店目前進行中。</t>
  </si>
  <si>
    <t>仁義重劃區物業管理維護業及保全業的現況</t>
  </si>
  <si>
    <t>在三重區公所目前報准的管理委員會位於五常社區內的共有32家，目前興建中的營建基地有8案，預計三年後可達到50家，使用無人保全系統0家，傳統物業管理一哨至少需3名保全，一名事務人員，為節省成本，甚至有社區日班以事務人員代替保全員，且保全員皆為12時制，據了解無一人按照勞動基準法發給1.33延長工時加班費。</t>
  </si>
  <si>
    <t>雲端銷售系統的導入及有規劃的營銷策略顧問及成本降低方案---商業服務需求</t>
  </si>
  <si>
    <t>以本公司持有營運權的直營商家，以營利所支持的雲端銷售系統服務及不到市場價格一半的超低外送費用服務專案，以創新的同業異地銷售、異業共同銷售、發揮商業組織的功能進而推動商業組織形成，及推廣數位化雲端銷售業務，以突破時空限制的手法開發潛在客戶，提高商業銷售額度，提升商業獲利能力。</t>
  </si>
  <si>
    <t>創新並能有效降低成本的新型物業管理模式，開發能降低物業保全業成本新型安全平台</t>
  </si>
  <si>
    <r>
      <t>以社區安全中心設置全方位菁英機動保全制度結合無人科技保全系統降低物業人事成本，以在地居民中高齡退休人員，輔導業務委託單位五常社區發展協會運用內政部社區發展綱中第12條第2項第3款第5目守望相助工作推動，籌組【社區專勤隊】，以專業的保全訓練項目組織社區居民協助保全業務，並由本司與該社區發展協會簽訂勞務合約，讓社區守望相助工作結合保全業務，健全中高齡人員生活規畫，以</t>
    </r>
    <r>
      <rPr>
        <b/>
        <u/>
        <sz val="12"/>
        <color rgb="FF000000"/>
        <rFont val="標楷體"/>
        <family val="4"/>
        <charset val="136"/>
      </rPr>
      <t>輕勞動</t>
    </r>
    <r>
      <rPr>
        <sz val="12"/>
        <color rgb="FF000000"/>
        <rFont val="標楷體"/>
        <family val="4"/>
        <charset val="136"/>
      </rPr>
      <t>、</t>
    </r>
    <r>
      <rPr>
        <b/>
        <u/>
        <sz val="12"/>
        <color rgb="FF000000"/>
        <rFont val="標楷體"/>
        <family val="4"/>
        <charset val="136"/>
      </rPr>
      <t>短工時</t>
    </r>
    <r>
      <rPr>
        <sz val="12"/>
        <color rgb="FF000000"/>
        <rFont val="標楷體"/>
        <family val="4"/>
        <charset val="136"/>
      </rPr>
      <t>、</t>
    </r>
    <r>
      <rPr>
        <b/>
        <u/>
        <sz val="12"/>
        <color rgb="FF000000"/>
        <rFont val="標楷體"/>
        <family val="4"/>
        <charset val="136"/>
      </rPr>
      <t>功能性</t>
    </r>
    <r>
      <rPr>
        <sz val="12"/>
        <color rgb="FF000000"/>
        <rFont val="標楷體"/>
        <family val="4"/>
        <charset val="136"/>
      </rPr>
      <t>、</t>
    </r>
    <r>
      <rPr>
        <b/>
        <u/>
        <sz val="12"/>
        <color rgb="FF000000"/>
        <rFont val="標楷體"/>
        <family val="4"/>
        <charset val="136"/>
      </rPr>
      <t>部分所得替代</t>
    </r>
    <r>
      <rPr>
        <sz val="12"/>
        <color rgb="FF000000"/>
        <rFont val="標楷體"/>
        <family val="4"/>
        <charset val="136"/>
      </rPr>
      <t>等要素協助社區中高齡及弱勢族群財務規畫、發揮社區發展協會社區照護及社會救助功能、在加上政府中高齡再就業推廣政策及弱勢族群救助資源。</t>
    </r>
  </si>
  <si>
    <r>
      <t>發展以【</t>
    </r>
    <r>
      <rPr>
        <b/>
        <u/>
        <sz val="12"/>
        <color rgb="FF000000"/>
        <rFont val="標楷體"/>
        <family val="4"/>
        <charset val="136"/>
      </rPr>
      <t>特勤保全員</t>
    </r>
    <r>
      <rPr>
        <b/>
        <sz val="12"/>
        <color rgb="FF000000"/>
        <rFont val="標楷體"/>
        <family val="4"/>
        <charset val="136"/>
      </rPr>
      <t>】、【</t>
    </r>
    <r>
      <rPr>
        <b/>
        <u/>
        <sz val="12"/>
        <color rgb="FF000000"/>
        <rFont val="標楷體"/>
        <family val="4"/>
        <charset val="136"/>
      </rPr>
      <t>機動專勤隊</t>
    </r>
    <r>
      <rPr>
        <b/>
        <sz val="12"/>
        <color rgb="FF000000"/>
        <rFont val="標楷體"/>
        <family val="4"/>
        <charset val="136"/>
      </rPr>
      <t>】</t>
    </r>
    <r>
      <rPr>
        <sz val="12"/>
        <color rgb="FF000000"/>
        <rFont val="標楷體"/>
        <family val="4"/>
        <charset val="136"/>
      </rPr>
      <t>、</t>
    </r>
    <r>
      <rPr>
        <b/>
        <sz val="12"/>
        <color rgb="FF000000"/>
        <rFont val="標楷體"/>
        <family val="4"/>
        <charset val="136"/>
      </rPr>
      <t>【</t>
    </r>
    <r>
      <rPr>
        <b/>
        <u/>
        <sz val="12"/>
        <color rgb="FF000000"/>
        <rFont val="標楷體"/>
        <family val="4"/>
        <charset val="136"/>
      </rPr>
      <t>無人保全系統</t>
    </r>
    <r>
      <rPr>
        <b/>
        <sz val="12"/>
        <color rgb="FF000000"/>
        <rFont val="標楷體"/>
        <family val="4"/>
        <charset val="136"/>
      </rPr>
      <t>】</t>
    </r>
    <r>
      <rPr>
        <sz val="12"/>
        <color rgb="FF000000"/>
        <rFont val="標楷體"/>
        <family val="4"/>
        <charset val="136"/>
      </rPr>
      <t>協助實踐改善業界血汗兩班制保全員制度，同時達到降低物業管理成本、終結保全血汗、中高齡弱勢族群高彈性輔助收入的多項目標。</t>
    </r>
  </si>
  <si>
    <r>
      <t>兼具物業商業保全業勞務需求及、中高齡再就業、提高社區產能的創新多功能公益勞務派遣制度------</t>
    </r>
    <r>
      <rPr>
        <b/>
        <sz val="12"/>
        <color rgb="FF000000"/>
        <rFont val="標楷體"/>
        <family val="4"/>
        <charset val="136"/>
      </rPr>
      <t>【社區專勤隊】</t>
    </r>
  </si>
  <si>
    <r>
      <t>未來發展趨勢</t>
    </r>
    <r>
      <rPr>
        <sz val="12"/>
        <color rgb="FF000000"/>
        <rFont val="標楷體"/>
        <family val="4"/>
        <charset val="136"/>
      </rPr>
      <t>：</t>
    </r>
  </si>
  <si>
    <t>無人保全系統問世及運用，因科技的日新月異，雲端技術應用範圍蔓延速度極快，在這種環境下物業管理維護及保全業競業因素壓縮利潤，遭壓縮利潤往往反映在基層勞工身上，未來科技進步帶來成本降低同時為了同時保有員工工作權及勞動條件，需積極發展物業管理維護的附加價值針對科技所辦不到的領域人力輔助業務，以促使產業升級轉型，因此我們設想以地域性來整合商業、物業、社區發展工作、中高齡的再就業及照護需求，無人保全系統的劣勢強化等工作需求、開發新型態的勞務提供制度【社區專勤隊】、創造友善、專業、公益價值的非主流就業機會。</t>
  </si>
  <si>
    <t>我司於社區長期蹲點觀察研究所開發出來【社區專勤隊】勞務派遣制度，同時兼具大樓管理維護業、保全業、商業聯合組織、社區發展營造組織需求的高效能勞動力運用制度，在結合社區照護功能，相信更能輔以我司創新的顧問業務，發展成為全方位區域總體發展服務業</t>
  </si>
  <si>
    <t>本計畫由商業及物業開始，當物業顧問業務及餐飲業同盟數量提高到一定數量時即可啟動環境永續及社區照護兩中心的後續營運計畫</t>
  </si>
  <si>
    <t>二、創新服務機制說明</t>
  </si>
  <si>
    <t>社區安全保全中心</t>
  </si>
  <si>
    <t>社區安全防護網</t>
  </si>
  <si>
    <t>【無人保全】系統：利用雲端科技的進步所研發的社區科技保全</t>
  </si>
  <si>
    <r>
      <t>優勢</t>
    </r>
    <r>
      <rPr>
        <sz val="12"/>
        <color rgb="FF000000"/>
        <rFont val="標楷體"/>
        <family val="4"/>
        <charset val="136"/>
      </rPr>
      <t>：較人力保全辨識精準，防護零死角、價格約為人工一半</t>
    </r>
  </si>
  <si>
    <r>
      <t>劣勢</t>
    </r>
    <r>
      <rPr>
        <sz val="12"/>
        <color rgb="FF000000"/>
        <rFont val="標楷體"/>
        <family val="4"/>
        <charset val="136"/>
      </rPr>
      <t>：無法提供立即型的服務，如收發貨品書信、協助住戶，無法立即反映處理安全事件</t>
    </r>
  </si>
  <si>
    <r>
      <t>機會</t>
    </r>
    <r>
      <rPr>
        <sz val="12"/>
        <color rgb="FF000000"/>
        <rFont val="標楷體"/>
        <family val="4"/>
        <charset val="136"/>
      </rPr>
      <t>：輔以本司其他保全勤務措施，如特勤保全制度及社區警衛室巡查保全制度，並且用於夜間可避免劣勢條件產生</t>
    </r>
  </si>
  <si>
    <r>
      <t>威脅</t>
    </r>
    <r>
      <rPr>
        <sz val="12"/>
        <color rgb="FF000000"/>
        <rFont val="標楷體"/>
        <family val="4"/>
        <charset val="136"/>
      </rPr>
      <t>：如無足夠之物業委託客戶，我司將營運成本大增</t>
    </r>
  </si>
  <si>
    <t>【區域安全中心】設置：利用機動巡邏及特勤保全成立的勤務服務單位</t>
  </si>
  <si>
    <r>
      <t>優勢</t>
    </r>
    <r>
      <rPr>
        <sz val="12"/>
        <color rgb="FF000000"/>
        <rFont val="標楷體"/>
        <family val="4"/>
        <charset val="136"/>
      </rPr>
      <t>：將保全單點物業維護功能升級為區域安全維護，移動式哨點對於犯罪嚇阻力高，特勤保全高危機處理能力及侵害阻絕能力對於住戶安全更有保障，並且特別針對婦孺開發緊急求援系統，只要在本司護衛範圍內，一鍵開啟通話並向安全中心發送定位資訊，本司安全中心立刻派出特勤保全，讓客戶安全更有保障</t>
    </r>
  </si>
  <si>
    <r>
      <t>劣勢</t>
    </r>
    <r>
      <rPr>
        <sz val="12"/>
        <color rgb="FF000000"/>
        <rFont val="標楷體"/>
        <family val="4"/>
        <charset val="136"/>
      </rPr>
      <t>：如無足夠委託業務，將會造成本司成本高漲、額外須提供處所進行人員及設備的安置初期建置成本較高</t>
    </r>
  </si>
  <si>
    <r>
      <t>機會</t>
    </r>
    <r>
      <rPr>
        <sz val="12"/>
        <color rgb="FF000000"/>
        <rFont val="標楷體"/>
        <family val="4"/>
        <charset val="136"/>
      </rPr>
      <t>：透過他行業業務所需合併業務降低成本，如停車場管理、商業外送服務</t>
    </r>
  </si>
  <si>
    <r>
      <t>威脅</t>
    </r>
    <r>
      <rPr>
        <sz val="12"/>
        <color rgb="FF000000"/>
        <rFont val="標楷體"/>
        <family val="4"/>
        <charset val="136"/>
      </rPr>
      <t>：中高齡體能較差、恐無法擔任長時間警衛工作</t>
    </r>
  </si>
  <si>
    <t>應向大樓社區加強宣導社區安全網架設的重要性，社區安全網，不只針對物業，後期也可發展針對孩童、婦女、長輩建置緊急協助需求服務，而且支持我們設立安全網工作不一定要將整個物業委託我們來管理，僅需夜間保全委託，即可將人力超勤的時間解決，亦可利用無人保全系統的特性協助日班保全工作。</t>
  </si>
  <si>
    <t>物業顧問服務</t>
  </si>
  <si>
    <r>
      <t>優勢</t>
    </r>
    <r>
      <rPr>
        <sz val="12"/>
        <color rgb="FF000000"/>
        <rFont val="標楷體"/>
        <family val="4"/>
        <charset val="136"/>
      </rPr>
      <t>：利用在地性多角化發展降低競業壓力；本司不只已大樓管理組織為客戶，大樓維護管理公司、保全公司都是我們瞄準的客戶群，可與本公司接洽提供專屬服務或是總幹事業務委任、臨時緊急狀況處理、夜間保全委託，特勤保全服務、本司秉持人人都是客戶、提供需求服務，盡量做到無競業對象，共同發展的目標，我們利用在地優勢發展多種跨領域及多樣性業務服務。</t>
    </r>
  </si>
  <si>
    <r>
      <t>機會</t>
    </r>
    <r>
      <rPr>
        <sz val="12"/>
        <color rgb="FF000000"/>
        <rFont val="標楷體"/>
        <family val="4"/>
        <charset val="136"/>
      </rPr>
      <t>：利用承攬發展協會業務，推動區域議題性建設，利用推動建設項目，發展並肩作戰的羈絆與革命情感，如高速公路隔音牆設置、環河北路跨堤單車道倡議、高速公路邊坡生態公園化</t>
    </r>
  </si>
  <si>
    <r>
      <t>威脅</t>
    </r>
    <r>
      <rPr>
        <sz val="12"/>
        <color rgb="FF000000"/>
        <rFont val="標楷體"/>
        <family val="4"/>
        <charset val="136"/>
      </rPr>
      <t>：物業是村里長及民意代表必爭之地，恐有民主選舉被迫站隊，須小心全體員工不得碰觸政治敏感議題</t>
    </r>
  </si>
  <si>
    <r>
      <t>優勢：</t>
    </r>
    <r>
      <rPr>
        <sz val="12"/>
        <color rgb="FF000000"/>
        <rFont val="標楷體"/>
        <family val="4"/>
        <charset val="136"/>
      </rPr>
      <t>提供具有管理費替代功能的業外收入項目的物業財務規劃顧問服務，有別於目前市場上僵化的單樣管理費收入，利用本司地域性優勢開發對社區財務結構進行整體性優化服務有多項開源節流措施，如大樓商業櫃台開設、公共設施營運活化、住戶家事服務、大樓商業櫃台開設、公共設施營運活化、住戶家事服務、區域機電業務聯合開標、因本司視客戶為夥伴關係的宗旨，故將部分獲利與管理組織共同經營共同分潤，充實管理組織財源，提升社區財務收入，顧客有錢我們才能賺錢。並且當區域機電業務到達一定程度時便可聯合開標降低維護成本。</t>
    </r>
  </si>
  <si>
    <r>
      <t>劣勢：</t>
    </r>
    <r>
      <rPr>
        <sz val="12"/>
        <color rgb="FF000000"/>
        <rFont val="標楷體"/>
        <family val="4"/>
        <charset val="136"/>
      </rPr>
      <t>物業管理服務人員的工作壓力提升、物業管理服務人員能力需再開發</t>
    </r>
  </si>
  <si>
    <r>
      <t>威脅：</t>
    </r>
    <r>
      <rPr>
        <sz val="12"/>
        <color rgb="FF000000"/>
        <rFont val="標楷體"/>
        <family val="4"/>
        <charset val="136"/>
      </rPr>
      <t>社區地方商業品質良莠不齊，需耗費時間及精力整合調整</t>
    </r>
  </si>
  <si>
    <r>
      <t>其他創新服務項目</t>
    </r>
    <r>
      <rPr>
        <sz val="12"/>
        <color rgb="FF000000"/>
        <rFont val="標楷體"/>
        <family val="4"/>
        <charset val="136"/>
      </rPr>
      <t>：</t>
    </r>
  </si>
  <si>
    <t>創新低收費或免收費的社區服務專案如成長教室，社區健康教練、公寓大廈管理技術法規研習、社安通報專線、病童臨托、婦女孩童安全預警等服務，諸多服務皆由社區發展協會於本司股份獲利支應，及各級政府機構補助專案導入</t>
  </si>
  <si>
    <t>商業資訊服務中心</t>
  </si>
  <si>
    <t>本司直營咖啡館聊閣社區咖啡仁義店為主體，發展聯合雲端銷售平台，開辦聯合行銷、結合社區專勤隊辦理聯合外送業務。</t>
  </si>
  <si>
    <t>【五常活力早餐】社區商業聯盟</t>
  </si>
  <si>
    <t>【五常柑仔店-結合區塊鍊的社區貨幣】挑戰超商系統的網路雲端便利商店</t>
  </si>
  <si>
    <t>結合大樓住戶的生活習慣進行採買進貨，並宣導一樣價格品質可由網路透過社區服務台，向我司商業服務體系進行訂購，比便利商店更低的價位、更近的距離、更熟悉的商店店員，更利己的回饋制度，向大樓住戶提供具備客製化服務特質的商業服務，此營業項目之營利由管委會及本司共同分潤，以便利商店多角化業務結合的營運模式結合社區商業服務提供相同或更低的價格，並且透過社區幣或指定品項之指定時段或使用方式地及商店之【五常樂活福利券】若於社區居民，每筆消費限用一張，會員商店或行號收到後可本司申請全額核銷，製造客戶系統忠誠度，當一樣的條件下本司回饋制度便成為大家選擇的重要依據了，以早餐業發行面額50元的離峰時間早餐抵用卷，按造目前餐飲業的客單價及本益比，約可創造面額200％的營業額及100%的成本回收，藉此創新制度進而發展可導引消費行為及提升客戶忠誠度的區塊鍊架構下的社區貨幣制度。</t>
  </si>
  <si>
    <t>由本司綜合物業管理及商業服務需求後，為配合在本司營運長設計規畫一系列的創新服務機制所委託開發專用社區服務系統，本系統透過AI核心技術整合了CRM及PRE兩套系統端點需求並串接國人使用率最高的LINE通訊軟體，經嚴謹的驗證機制審查後由本司架構的系統伺服器的提供所需的資訊及驅動元件開啟服務功能，並透過本系統的機能輔助所開發的創新服務，架構區域服務功能提供一套功能強大並集合在地、創新、智慧、安全、人性、消費、優惠、便利等多項元素的多功能區域服務系統</t>
  </si>
  <si>
    <r>
      <t>由本司向本司會務委託客戶</t>
    </r>
    <r>
      <rPr>
        <b/>
        <sz val="12"/>
        <color rgb="FF000000"/>
        <rFont val="標楷體"/>
        <family val="4"/>
        <charset val="136"/>
      </rPr>
      <t>新北市三重區五常社區發展協會</t>
    </r>
    <r>
      <rPr>
        <sz val="12"/>
        <color rgb="FF000000"/>
        <rFont val="標楷體"/>
        <family val="4"/>
        <charset val="136"/>
      </rPr>
      <t>提案，運用內政部社區發展綱中第12條第2項第3款第1目為依據提出【社區發展計畫】，籌組新型態的</t>
    </r>
    <r>
      <rPr>
        <b/>
        <sz val="12"/>
        <color rgb="FF000000"/>
        <rFont val="標楷體"/>
        <family val="4"/>
        <charset val="136"/>
      </rPr>
      <t>【社區專勤隊】</t>
    </r>
    <r>
      <rPr>
        <sz val="12"/>
        <color rgb="FF000000"/>
        <rFont val="標楷體"/>
        <family val="4"/>
        <charset val="136"/>
      </rPr>
      <t>從事該款第2目所規範的工作項目，並依社區發展綱要第13條，請求計畫中之各相關主管機關輔導執行，此派遣制度將會成為社區安全及社區商業及物業最大的支援勞動力。</t>
    </r>
  </si>
  <si>
    <r>
      <t>以仁義商圈早餐業各店限量品項的預售制度，在前一天晚上00時前接受仁義重劃區餐點預購，結合我司另一項的雲端商業業務【五常柑仔店】社區服務櫃台客製化商店做為營運據點取餐，直送大樓服務台，除了提高商圈早餐店的業績，也提高住戶的生活便利性，另外【五常活力早餐】也會有開發異地消費群定點取餐預約系統銷售的專案規畫，在周遭捷運站旁找尋適合的營業點以</t>
    </r>
    <r>
      <rPr>
        <u/>
        <sz val="12"/>
        <color rgb="FF000000"/>
        <rFont val="標楷體"/>
        <family val="4"/>
        <charset val="136"/>
      </rPr>
      <t>蝦皮店到店</t>
    </r>
    <r>
      <rPr>
        <sz val="12"/>
        <color rgb="FF000000"/>
        <rFont val="標楷體"/>
        <family val="4"/>
        <charset val="136"/>
      </rPr>
      <t>的概念做【五常活力早餐】區外聯合銷售點。</t>
    </r>
    <phoneticPr fontId="9" type="noConversion"/>
  </si>
  <si>
    <r>
      <rPr>
        <b/>
        <sz val="12"/>
        <color rgb="FF000000"/>
        <rFont val="標楷體"/>
        <family val="4"/>
        <charset val="136"/>
      </rPr>
      <t>【社區專勤隊】</t>
    </r>
    <r>
      <rPr>
        <sz val="12"/>
        <color rgb="FF000000"/>
        <rFont val="標楷體"/>
        <family val="4"/>
        <charset val="136"/>
      </rPr>
      <t>協助地方發展協會開發非營利友善人力派遣制度</t>
    </r>
    <phoneticPr fontId="9" type="noConversion"/>
  </si>
  <si>
    <t>專勤隊員</t>
    <phoneticPr fontId="9" type="noConversion"/>
  </si>
  <si>
    <t>系統驗證</t>
    <phoneticPr fontId="9" type="noConversion"/>
  </si>
  <si>
    <t>社區安全網-區域安全中心暨無人保全系統應用實驗計畫</t>
    <phoneticPr fontId="9" type="noConversion"/>
  </si>
  <si>
    <t>餐飲商家</t>
    <phoneticPr fontId="9" type="noConversion"/>
  </si>
  <si>
    <t>物業管理公司</t>
    <phoneticPr fontId="9" type="noConversion"/>
  </si>
  <si>
    <t>聊閣咖啡仁義店</t>
    <phoneticPr fontId="9" type="noConversion"/>
  </si>
  <si>
    <t>管委會</t>
    <phoneticPr fontId="9" type="noConversion"/>
  </si>
  <si>
    <t>1.以上午七點前將早餐送至社區服務台之聯合營運業務流程，說明如下</t>
    <phoneticPr fontId="9" type="noConversion"/>
  </si>
  <si>
    <t>住在重劃區內的居民</t>
    <phoneticPr fontId="9" type="noConversion"/>
  </si>
  <si>
    <t>於前一日晚間向</t>
    <phoneticPr fontId="9" type="noConversion"/>
  </si>
  <si>
    <t>及</t>
    <phoneticPr fontId="9" type="noConversion"/>
  </si>
  <si>
    <t>聊閣咖啡</t>
    <phoneticPr fontId="9" type="noConversion"/>
  </si>
  <si>
    <t>仁義店</t>
    <phoneticPr fontId="9" type="noConversion"/>
  </si>
  <si>
    <t>並以</t>
    <phoneticPr fontId="9" type="noConversion"/>
  </si>
  <si>
    <t>後再約定報到時間前向要派單位報到</t>
    <phoneticPr fontId="9" type="noConversion"/>
  </si>
  <si>
    <t>各管委會向本會提出需求後成立，首先本會將至社區公寓大廈內安裝由監視設備</t>
    <phoneticPr fontId="9" type="noConversion"/>
  </si>
  <si>
    <t>電子圍籬設備(動態感知警報器)、臉孔辨識設備、雙向影像通訊設備、網路</t>
    <phoneticPr fontId="9" type="noConversion"/>
  </si>
  <si>
    <t>訊號發射裝置等設備，由我方安全系統規劃師制定安全防護計畫後，通知</t>
    <phoneticPr fontId="9" type="noConversion"/>
  </si>
  <si>
    <t>社區安全中心    菁英保全員</t>
    <phoneticPr fontId="9" type="noConversion"/>
  </si>
  <si>
    <t>施工人員前往架設並與</t>
    <phoneticPr fontId="9" type="noConversion"/>
  </si>
  <si>
    <t>連線</t>
    <phoneticPr fontId="9" type="noConversion"/>
  </si>
  <si>
    <t>我方將開發</t>
    <phoneticPr fontId="9" type="noConversion"/>
  </si>
  <si>
    <t>之</t>
    <phoneticPr fontId="9" type="noConversion"/>
  </si>
  <si>
    <t>AI社區服務系統，透過LINE群組開放</t>
    <phoneticPr fontId="9" type="noConversion"/>
  </si>
  <si>
    <t>至物業住戶個人行動裝置</t>
  </si>
  <si>
    <t>，在平時物業住戶也能使用以次計價的</t>
    <phoneticPr fontId="9" type="noConversion"/>
  </si>
  <si>
    <t>社區安全網緊急救援功能，大大提升社區內保全安全防護業務的質，並且</t>
    <phoneticPr fontId="9" type="noConversion"/>
  </si>
  <si>
    <t>降低物業安全維護的成本支出，在我們承攬的防護時段我們也將由</t>
  </si>
  <si>
    <t>本司透</t>
    <phoneticPr fontId="9" type="noConversion"/>
  </si>
  <si>
    <t>過</t>
    <phoneticPr fontId="9" type="noConversion"/>
  </si>
  <si>
    <t>到委託物業簽到巡邏，打造由AI雲端</t>
    <phoneticPr fontId="9" type="noConversion"/>
  </si>
  <si>
    <t>科技、街坊鄰居守望相助、菁英保全專業人力所共同組成的社區安全防護網</t>
  </si>
  <si>
    <t>2.以顧問合約與</t>
    <phoneticPr fontId="9" type="noConversion"/>
  </si>
  <si>
    <t>簽訂安全規劃顧問規劃-夜間社區安全網</t>
    <phoneticPr fontId="9" type="noConversion"/>
  </si>
  <si>
    <t>訂早餐，收到訂單後系統將訂購項目傳至</t>
    <phoneticPr fontId="9" type="noConversion"/>
  </si>
  <si>
    <t>產出勞務訂單並通知系統內</t>
    <phoneticPr fontId="9" type="noConversion"/>
  </si>
  <si>
    <t>。</t>
    <phoneticPr fontId="9" type="noConversion"/>
  </si>
  <si>
    <t>符合條件之主動應派</t>
    <phoneticPr fontId="9" type="noConversion"/>
  </si>
  <si>
    <t>舊城區仁義商圈</t>
    <phoneticPr fontId="9" type="noConversion"/>
  </si>
  <si>
    <t>仁義重劃區</t>
    <phoneticPr fontId="9" type="noConversion"/>
  </si>
  <si>
    <t>搭載AI核心技術整合CRM、ERP、LINE 官方帳號之【AI社區服務系統】</t>
    <phoneticPr fontId="9" type="noConversion"/>
  </si>
  <si>
    <t>3.由承攬仁義重劃區物業管理的</t>
    <phoneticPr fontId="9" type="noConversion"/>
  </si>
  <si>
    <t>向本司提出勞務購買需求後</t>
    <phoneticPr fontId="9" type="noConversion"/>
  </si>
  <si>
    <t>再由</t>
    <phoneticPr fontId="9" type="noConversion"/>
  </si>
  <si>
    <t>透過</t>
    <phoneticPr fontId="9" type="noConversion"/>
  </si>
  <si>
    <t>向</t>
    <phoneticPr fontId="9" type="noConversion"/>
  </si>
  <si>
    <t>社區內符合條件之</t>
    <phoneticPr fontId="9" type="noConversion"/>
  </si>
  <si>
    <t>媒合雙方需求，由應派之隊員於約定時間向</t>
    <phoneticPr fontId="9" type="noConversion"/>
  </si>
  <si>
    <t>需求單位報到。</t>
    <phoneticPr fontId="9" type="noConversion"/>
  </si>
  <si>
    <t>7-8月完成工作內容之驗證項目</t>
  </si>
  <si>
    <r>
      <t>1.A1直營商店營運權取得或加盟合約、技術移交清冊、廠商移交清冊、設備點交清冊、店端工程進度紀錄簿</t>
    </r>
    <r>
      <rPr>
        <b/>
        <sz val="8"/>
        <color rgb="FFFFFFFF"/>
        <rFont val="標楷體"/>
        <family val="4"/>
        <charset val="136"/>
      </rPr>
      <t>07/10</t>
    </r>
  </si>
  <si>
    <r>
      <t>3.B1三家廠商合作訪談紀錄、物業顧問工作委託合約書</t>
    </r>
    <r>
      <rPr>
        <b/>
        <sz val="8"/>
        <color rgb="FFFFFFFF"/>
        <rFont val="標楷體"/>
        <family val="4"/>
        <charset val="136"/>
      </rPr>
      <t>08/01</t>
    </r>
  </si>
  <si>
    <r>
      <t>4.D1營運中心暨直營商店室內設計規劃立體圖(3D)</t>
    </r>
    <r>
      <rPr>
        <b/>
        <sz val="8"/>
        <color rgb="FFFFFFFF"/>
        <rFont val="標楷體"/>
        <family val="4"/>
        <charset val="136"/>
      </rPr>
      <t xml:space="preserve">08/01 </t>
    </r>
  </si>
  <si>
    <r>
      <t>5.A2公司財產管制清單、領據營業狀況記錄簿</t>
    </r>
    <r>
      <rPr>
        <b/>
        <sz val="8"/>
        <color rgb="FFFFFFFF"/>
        <rFont val="標楷體"/>
        <family val="4"/>
        <charset val="136"/>
      </rPr>
      <t>08/01</t>
    </r>
  </si>
  <si>
    <t>9-10月日完成工作之驗證項目</t>
  </si>
  <si>
    <r>
      <t>6.B2 10份轄內物業顧問企劃</t>
    </r>
    <r>
      <rPr>
        <b/>
        <sz val="8"/>
        <color rgb="FFFFFFFF"/>
        <rFont val="標楷體"/>
        <family val="4"/>
        <charset val="136"/>
      </rPr>
      <t>10/01</t>
    </r>
  </si>
  <si>
    <t>7.C2系統驗收報告書各、5份客戶使用評價調查、物業公司使用評價調查、改進項目表、工作紀錄簿</t>
  </si>
  <si>
    <t>8.E3錄取人員名冊、勞工安全教育教案、新北勢三重區五常社區發展協會【社區專勤隊】社區發展計畫書、訓練照片6張</t>
  </si>
  <si>
    <t>9.D3驗證工作評鑑項目成績紀錄表、客戶滿意度調查書</t>
  </si>
  <si>
    <t>12月底完成工作之驗證項目</t>
  </si>
  <si>
    <t>2月底完成工作之驗證項目</t>
  </si>
  <si>
    <t>4月底完成工作之驗證項目</t>
  </si>
  <si>
    <t>6月底完成工作之驗證項目</t>
  </si>
  <si>
    <t>直營商店啟用外送服務服務量能測試</t>
  </si>
  <si>
    <t>1.測試方式：直營商店現場線上作業測試日三次營業峰值。</t>
  </si>
  <si>
    <t>測試日峰值時段測試量能安排</t>
  </si>
  <si>
    <t>1.0800開業準備完成</t>
  </si>
  <si>
    <t>2.0900第一次峰值兩小時內現場訂單20外帶訂單10外送訂單10</t>
  </si>
  <si>
    <t>3.1100第二次峰值兩小時內現場訂單20外帶訂單10外送訂單10每種訂單需有5件以上含餐點</t>
  </si>
  <si>
    <t>4.1700第二次峰值兩小時內現場訂單20外帶訂單10外送訂單10每種訂單需有5件以上含餐點</t>
  </si>
  <si>
    <t>5.2100打烊清潔</t>
  </si>
  <si>
    <t>2.參與測試人員：本司直屬商業、社區居民、社區發展協會</t>
  </si>
  <si>
    <t>3.附加價值：利用服務測試機會置入策略行銷，以測試人員募集說明本司未來提供服務項目。</t>
  </si>
  <si>
    <t>聯合銷售服務量能測試</t>
  </si>
  <si>
    <t>4.合格標準：系統需具有下列功能並且使用者回饋滿意分數達80分以上。</t>
  </si>
  <si>
    <t>管理組織</t>
  </si>
  <si>
    <t>1.管理組織線上會議</t>
  </si>
  <si>
    <t>2.管理室通話</t>
  </si>
  <si>
    <t>3.社區佈告欄功能</t>
  </si>
  <si>
    <t>4.監視錄影設備串接</t>
  </si>
  <si>
    <t>5.包裹收發系統</t>
  </si>
  <si>
    <t>6.開放權限管理</t>
  </si>
  <si>
    <t>7.LINE群組串接</t>
  </si>
  <si>
    <t>物業公司及安全中心</t>
  </si>
  <si>
    <t>1.監視設備連線</t>
  </si>
  <si>
    <t>2.服務台警示功能</t>
  </si>
  <si>
    <t>3.移動式雲端音訊及視訊功能(巡邏車輛)</t>
  </si>
  <si>
    <t>4.火災、電子圍籬警報系統串接</t>
  </si>
  <si>
    <t>5.安全中心、機動設備與轄區警察機關警民連線機制</t>
  </si>
  <si>
    <t>6.用戶緊急求救系統</t>
  </si>
  <si>
    <t>10.保全派遣系統</t>
  </si>
  <si>
    <t>11.安全中心功能控制機制</t>
  </si>
  <si>
    <t>12.機電控制規劃及影像辨識功能</t>
  </si>
  <si>
    <t>13.無人機巡航預留</t>
  </si>
  <si>
    <t>14.氣溫、乾濕度、空氣品質資訊串流</t>
  </si>
  <si>
    <t>商業社照</t>
  </si>
  <si>
    <t>1.商業服務串接</t>
  </si>
  <si>
    <t>2.商業布告欄服務</t>
  </si>
  <si>
    <t>3.社區貨幣(區塊鍊)及消費折扣券系統</t>
  </si>
  <si>
    <t>4.資料庫串接</t>
  </si>
  <si>
    <t>5.勞務服務需求接收</t>
  </si>
  <si>
    <t>6.健康課程資訊</t>
  </si>
  <si>
    <t>7.商業系統客戶資料標籤功能及廠商聯絡</t>
  </si>
  <si>
    <t>8.商業客戶營銷費用記帳服務功能</t>
  </si>
  <si>
    <t>9.支付工具串接</t>
  </si>
  <si>
    <t>10.LINE官方串接</t>
  </si>
  <si>
    <t>住戶</t>
  </si>
  <si>
    <t>1.服務台功能</t>
  </si>
  <si>
    <t>2.及時氣溫乾濕度空品及紫外線資訊</t>
  </si>
  <si>
    <t>3.版面配置</t>
  </si>
  <si>
    <t>4.安全專線</t>
  </si>
  <si>
    <t>5.群組連繫功能</t>
  </si>
  <si>
    <t>6.商業餐飲服務項目</t>
  </si>
  <si>
    <t>7.包裹收發通知功能</t>
  </si>
  <si>
    <t>硬體</t>
  </si>
  <si>
    <t>1.資料庫備份地站伺服器架設完成</t>
  </si>
  <si>
    <t>2.安全中心客戶監視設備及預警系統串接</t>
  </si>
  <si>
    <t>3.個資保護機制符合法令要求</t>
  </si>
  <si>
    <t>三、實施方法</t>
  </si>
  <si>
    <t>物業服務系統上線功能驗證</t>
    <phoneticPr fontId="9" type="noConversion"/>
  </si>
  <si>
    <t>4.合格標準：安全中心通知警方及出動菁英保全員於5分鐘          到達現場對峙並拖延時間等待警力前往。</t>
    <phoneticPr fontId="9" type="noConversion"/>
  </si>
  <si>
    <t>3.附加價值：利用服務測試機會以社區發展協會邀請轄內各物             業管理組織，管理服務公司、保全公司一同參觀            ，解除其競業敵對觀感，強調區域安保服務及商              業服務是各產業的附加價值項目，產品，並非競             業對手。</t>
    <phoneticPr fontId="9" type="noConversion"/>
  </si>
  <si>
    <t>2.參與測試人員：本司直屬商業、社區居民、管委會住戶及社                區發展協會</t>
    <phoneticPr fontId="9" type="noConversion"/>
  </si>
  <si>
    <t>月</t>
    <phoneticPr fontId="9" type="noConversion"/>
  </si>
  <si>
    <t>千元</t>
    <phoneticPr fontId="9" type="noConversion"/>
  </si>
  <si>
    <t>B分項計畫 物業安全中心設置</t>
    <phoneticPr fontId="9" type="noConversion"/>
  </si>
  <si>
    <t>由本司董事長兼任直營咖啡店店長並前往做技術移交及廠商移交依目前市場上連鎖咖啡店最低加盟價格250萬，本司編列80萬元有仍有極高的難度，此計畫直營商店堪稱為核心中的核心，本司將準備各種備案，務求80萬內購得營運技術</t>
    <phoneticPr fontId="9" type="noConversion"/>
  </si>
  <si>
    <t>加盟費</t>
    <phoneticPr fontId="9" type="noConversion"/>
  </si>
  <si>
    <t>勞務委外</t>
    <phoneticPr fontId="9" type="noConversion"/>
  </si>
  <si>
    <t>一、以營運兩班制進行雇用每日4小時勞務委外1名，由本計畫負責人進行      運並且進行飲品開發工作                                      二、設計營運紀錄表</t>
    <phoneticPr fontId="9" type="noConversion"/>
  </si>
  <si>
    <t>一、商業現況訪查協談紀錄設計</t>
  </si>
  <si>
    <t>二、商業訪查記錄建檔列管</t>
  </si>
  <si>
    <t>三、進行轄內商業訪查</t>
  </si>
  <si>
    <t>四、直營商業客戶滿意度調查表設計</t>
  </si>
  <si>
    <t>五、進行客訪並記錄</t>
  </si>
  <si>
    <t>六、填寫營運狀況報表</t>
  </si>
  <si>
    <t>一、擬定聯合營運雲端銷售說明</t>
  </si>
  <si>
    <r>
      <t>A5完成全區域內商業分析報告及擬定顧問企劃，提高直營商業營業額至每月20萬元。</t>
    </r>
    <r>
      <rPr>
        <b/>
        <sz val="12"/>
        <color rgb="FFE8E8E8"/>
        <rFont val="標楷體"/>
        <family val="4"/>
        <charset val="136"/>
      </rPr>
      <t>4/1</t>
    </r>
    <phoneticPr fontId="9" type="noConversion"/>
  </si>
  <si>
    <t>三、改善事項實施並記錄成效</t>
  </si>
  <si>
    <t>四、為合作商家擬定營業顧問企劃</t>
  </si>
  <si>
    <t>二、進行轄內物業業務拜訪並填具紀錄冊</t>
  </si>
  <si>
    <t>三、向顧問匯報訪查內容、並記錄顧問建議事項</t>
  </si>
  <si>
    <t>二、確定委託大樓物業對象並簽屬委託測試合約書</t>
  </si>
  <si>
    <t>一、完成轄內物業公司及管委會資訊建置</t>
    <phoneticPr fontId="9" type="noConversion"/>
  </si>
  <si>
    <t>一、至少兩家以上管理委員會顧問委託</t>
    <phoneticPr fontId="9" type="noConversion"/>
  </si>
  <si>
    <t>二、至少三家夜間保全委託</t>
    <phoneticPr fontId="9" type="noConversion"/>
  </si>
  <si>
    <t>一、B分項計畫成果報告書</t>
    <phoneticPr fontId="9" type="noConversion"/>
  </si>
  <si>
    <t>二、提出加值計畫概念方向</t>
    <phoneticPr fontId="9" type="noConversion"/>
  </si>
  <si>
    <t>三、營運成效分析、缺失項目及對策提出</t>
    <phoneticPr fontId="9" type="noConversion"/>
  </si>
  <si>
    <t>四、改善事項實施並記錄成效</t>
    <phoneticPr fontId="9" type="noConversion"/>
  </si>
  <si>
    <t>一、會同其他分項計畫負責人召開需求會議</t>
  </si>
  <si>
    <t>三、邀標</t>
  </si>
  <si>
    <t>四、簽訂合作意向書或委託開發合約</t>
  </si>
  <si>
    <t>二、製作開發項目需求落地報告</t>
    <phoneticPr fontId="9" type="noConversion"/>
  </si>
  <si>
    <t>一、公司職務:董事局營運處營運長秘書</t>
    <phoneticPr fontId="9" type="noConversion"/>
  </si>
  <si>
    <t>二、研發任務:C分項計畫</t>
    <phoneticPr fontId="9" type="noConversion"/>
  </si>
  <si>
    <t>三、專長:日語、行銷企劃、美編</t>
    <phoneticPr fontId="9" type="noConversion"/>
  </si>
  <si>
    <t>四、學歷:日本別府大學文學部文化學科</t>
    <phoneticPr fontId="9" type="noConversion"/>
  </si>
  <si>
    <t>委託開發費</t>
    <phoneticPr fontId="9" type="noConversion"/>
  </si>
  <si>
    <t>驗證費</t>
    <phoneticPr fontId="9" type="noConversion"/>
  </si>
  <si>
    <t>顧問費</t>
    <phoneticPr fontId="9" type="noConversion"/>
  </si>
  <si>
    <t>內坎式冷藏庫</t>
    <phoneticPr fontId="9" type="noConversion"/>
  </si>
  <si>
    <t>商用磨豆機(計時)</t>
    <phoneticPr fontId="9" type="noConversion"/>
  </si>
  <si>
    <t>商用磨豆機(機械)</t>
    <phoneticPr fontId="9" type="noConversion"/>
  </si>
  <si>
    <t>商用製冰機</t>
    <phoneticPr fontId="9" type="noConversion"/>
  </si>
  <si>
    <t>POS機</t>
    <phoneticPr fontId="9" type="noConversion"/>
  </si>
  <si>
    <t>出單機</t>
    <phoneticPr fontId="9" type="noConversion"/>
  </si>
  <si>
    <t>品項</t>
    <phoneticPr fontId="9" type="noConversion"/>
  </si>
  <si>
    <t>單價</t>
    <phoneticPr fontId="9" type="noConversion"/>
  </si>
  <si>
    <t>資訊系統伺服器</t>
    <phoneticPr fontId="9" type="noConversion"/>
  </si>
  <si>
    <t>顯示器</t>
    <phoneticPr fontId="9" type="noConversion"/>
  </si>
  <si>
    <t>不斷電系統</t>
    <phoneticPr fontId="9" type="noConversion"/>
  </si>
  <si>
    <t>攤提為1年期設備使用金額</t>
    <phoneticPr fontId="9" type="noConversion"/>
  </si>
  <si>
    <t>姓名</t>
    <phoneticPr fontId="9" type="noConversion"/>
  </si>
  <si>
    <t>顧問種類</t>
    <phoneticPr fontId="9" type="noConversion"/>
  </si>
  <si>
    <t>物業管理</t>
    <phoneticPr fontId="9" type="noConversion"/>
  </si>
  <si>
    <t>費用額度</t>
    <phoneticPr fontId="9" type="noConversion"/>
  </si>
  <si>
    <t>專勤隊教育訓練費</t>
    <phoneticPr fontId="9" type="noConversion"/>
  </si>
  <si>
    <t>研發人月</t>
    <phoneticPr fontId="9" type="noConversion"/>
  </si>
  <si>
    <t>研發設備使用</t>
    <phoneticPr fontId="9" type="noConversion"/>
  </si>
  <si>
    <r>
      <t>E1本計畫各項新購設備</t>
    </r>
    <r>
      <rPr>
        <b/>
        <sz val="12"/>
        <rFont val="標楷體"/>
        <family val="4"/>
        <charset val="136"/>
      </rPr>
      <t>使用費7/1</t>
    </r>
    <phoneticPr fontId="9" type="noConversion"/>
  </si>
  <si>
    <t>新購研發設備</t>
    <phoneticPr fontId="9" type="noConversion"/>
  </si>
  <si>
    <t>110.01.30</t>
    <phoneticPr fontId="9" type="noConversion"/>
  </si>
  <si>
    <t>112.10.20</t>
    <phoneticPr fontId="9" type="noConversion"/>
  </si>
  <si>
    <t>110.07.25</t>
    <phoneticPr fontId="9" type="noConversion"/>
  </si>
  <si>
    <t>(2)1130006</t>
    <phoneticPr fontId="9" type="noConversion"/>
  </si>
  <si>
    <t>(1)1130002</t>
    <phoneticPr fontId="9" type="noConversion"/>
  </si>
  <si>
    <t>(2)1130003</t>
    <phoneticPr fontId="9" type="noConversion"/>
  </si>
  <si>
    <t>(2)1130009</t>
  </si>
  <si>
    <t>(2)1130010</t>
  </si>
  <si>
    <t>內崁式冰箱</t>
    <phoneticPr fontId="9" type="noConversion"/>
  </si>
  <si>
    <t>112.07.01</t>
  </si>
  <si>
    <t>筆記型電腦(詩)</t>
    <phoneticPr fontId="9" type="noConversion"/>
  </si>
  <si>
    <t>(2)1130011</t>
  </si>
  <si>
    <t>筆記型電腦(諺)</t>
    <phoneticPr fontId="9" type="noConversion"/>
  </si>
  <si>
    <t>設備使用費</t>
    <phoneticPr fontId="9" type="noConversion"/>
  </si>
  <si>
    <t>商訊中心7/1</t>
    <phoneticPr fontId="9" type="noConversion"/>
  </si>
  <si>
    <t>安全中心9/1</t>
    <phoneticPr fontId="9" type="noConversion"/>
  </si>
  <si>
    <r>
      <t>運用AI智能系統整合勞務產能有效降低物業(商業)安全維護(聯合雲端銷售)成本並提高服務品質開發計畫</t>
    </r>
    <r>
      <rPr>
        <b/>
        <sz val="20"/>
        <color rgb="FF000000"/>
        <rFont val="標楷體"/>
        <family val="4"/>
        <charset val="136"/>
      </rPr>
      <t>(草 案)</t>
    </r>
    <phoneticPr fontId="9" type="noConversion"/>
  </si>
  <si>
    <t>計畫期間：自113 年 7月 1日至 114年 7 月 1  日止</t>
  </si>
  <si>
    <r>
      <t>計畫管理單位：財團法人台灣中小企業聯合輔導基金會</t>
    </r>
    <r>
      <rPr>
        <sz val="20"/>
        <color rgb="FF000000"/>
        <rFont val="標楷體"/>
        <family val="4"/>
        <charset val="136"/>
      </rPr>
      <t xml:space="preserve"> </t>
    </r>
  </si>
  <si>
    <t>中 華 民 國113年 4月</t>
  </si>
  <si>
    <t>通訊地址：24151新北市三重區五常里28鄰仁義街161號1樓</t>
    <phoneticPr fontId="9" type="noConversion"/>
  </si>
  <si>
    <t>113年7月1日～114年7月1日 （共12個月）</t>
  </si>
  <si>
    <t>政  府</t>
  </si>
  <si>
    <t>公  司</t>
  </si>
  <si>
    <t>計  畫</t>
  </si>
  <si>
    <t>113年度</t>
  </si>
  <si>
    <t>(法人)</t>
  </si>
  <si>
    <t>114年度</t>
  </si>
  <si>
    <t>(公司)</t>
  </si>
  <si>
    <t>占 總 經</t>
  </si>
  <si>
    <t>費 比 重%</t>
  </si>
  <si>
    <t xml:space="preserve"> 周誼芬</t>
  </si>
  <si>
    <t>(一)公司名稱：五常物業管理規劃顧問股份有限公司</t>
  </si>
  <si>
    <t>(二)核准設立日期：113年　　月　　日</t>
  </si>
  <si>
    <t>(三)代表人：阮氏泉</t>
  </si>
  <si>
    <t>(四)主要營業項目：</t>
  </si>
  <si>
    <t>1.新建案因規模小戶數不多，需要新型態的公寓大廈管理維護承攬服務。</t>
  </si>
  <si>
    <t>2.仁義商圈餐飲業因巷弄狹小及人口大量移入交通癱瘓，需要新型態的商會服務。</t>
  </si>
  <si>
    <t>3.公益組織因都會化社區聯繫不易，無更多人力及資源辦理社區照護業務及會務，需資金及人力挹注進行會務行政協助。</t>
  </si>
  <si>
    <r>
      <t>綜合都會區社區商業、物業需求、社區組織的需求</t>
    </r>
    <r>
      <rPr>
        <vertAlign val="superscript"/>
        <sz val="12"/>
        <color rgb="FFFF0000"/>
        <rFont val="標楷體"/>
        <family val="4"/>
        <charset val="136"/>
      </rPr>
      <t>(服務客群)</t>
    </r>
    <r>
      <rPr>
        <sz val="12"/>
        <color rgb="FF000000"/>
        <rFont val="標楷體"/>
        <family val="4"/>
        <charset val="136"/>
      </rPr>
      <t xml:space="preserve"> ，以社區整體發展的高度及遠見，輔商業營運的組織及技術</t>
    </r>
    <r>
      <rPr>
        <vertAlign val="superscript"/>
        <sz val="12"/>
        <color rgb="FFFF0000"/>
        <rFont val="標楷體"/>
        <family val="4"/>
        <charset val="136"/>
      </rPr>
      <t>(技術優勢)</t>
    </r>
    <r>
      <rPr>
        <sz val="12"/>
        <color rgb="FF000000"/>
        <rFont val="標楷體"/>
        <family val="4"/>
        <charset val="136"/>
      </rPr>
      <t>，盤點各行業的營運需求，利用各產業提供的服務項目</t>
    </r>
    <r>
      <rPr>
        <vertAlign val="superscript"/>
        <sz val="12"/>
        <color rgb="FFFF0000"/>
        <rFont val="標楷體"/>
        <family val="4"/>
        <charset val="136"/>
      </rPr>
      <t>(盤點分析)</t>
    </r>
    <r>
      <rPr>
        <sz val="12"/>
        <color rgb="FF000000"/>
        <rFont val="標楷體"/>
        <family val="4"/>
        <charset val="136"/>
      </rPr>
      <t xml:space="preserve"> ，利用物業高密集度、商業高同質性、AI核心及雲端數位技術</t>
    </r>
    <r>
      <rPr>
        <vertAlign val="superscript"/>
        <sz val="12"/>
        <color rgb="FFFF0000"/>
        <rFont val="標楷體"/>
        <family val="4"/>
        <charset val="136"/>
      </rPr>
      <t>(環境優勢)</t>
    </r>
    <r>
      <rPr>
        <sz val="12"/>
        <color rgb="FF000000"/>
        <rFont val="標楷體"/>
        <family val="4"/>
        <charset val="136"/>
      </rPr>
      <t xml:space="preserve"> ，結合社區安全、商業資訊、環保永續、健康照護四大功能中心營運網絡</t>
    </r>
    <r>
      <rPr>
        <vertAlign val="superscript"/>
        <sz val="12"/>
        <color rgb="FFFF0000"/>
        <rFont val="標楷體"/>
        <family val="4"/>
        <charset val="136"/>
      </rPr>
      <t>(核心機構)</t>
    </r>
    <r>
      <rPr>
        <sz val="12"/>
        <color rgb="FF000000"/>
        <rFont val="標楷體"/>
        <family val="4"/>
        <charset val="136"/>
      </rPr>
      <t xml:space="preserve"> ，整合橫向業務、鏈結異業資源</t>
    </r>
    <r>
      <rPr>
        <vertAlign val="superscript"/>
        <sz val="12"/>
        <color rgb="FFFF0000"/>
        <rFont val="標楷體"/>
        <family val="4"/>
        <charset val="136"/>
      </rPr>
      <t>(新創方式)</t>
    </r>
    <r>
      <rPr>
        <sz val="12"/>
        <color rgb="FF000000"/>
        <rFont val="標楷體"/>
        <family val="4"/>
        <charset val="136"/>
      </rPr>
      <t>、研發創新制度</t>
    </r>
    <r>
      <rPr>
        <vertAlign val="superscript"/>
        <sz val="12"/>
        <color rgb="FFFF0000"/>
        <rFont val="標楷體"/>
        <family val="4"/>
        <charset val="136"/>
      </rPr>
      <t>(開發服務)</t>
    </r>
    <r>
      <rPr>
        <sz val="12"/>
        <color rgb="FF000000"/>
        <rFont val="標楷體"/>
        <family val="4"/>
        <charset val="136"/>
      </rPr>
      <t>，藉以達到降低營運成本</t>
    </r>
    <r>
      <rPr>
        <vertAlign val="subscript"/>
        <sz val="12"/>
        <color rgb="FFED7D31"/>
        <rFont val="標楷體"/>
        <family val="4"/>
        <charset val="136"/>
      </rPr>
      <t>【商業、物業、照護】</t>
    </r>
    <r>
      <rPr>
        <sz val="12"/>
        <color rgb="FF000000"/>
        <rFont val="標楷體"/>
        <family val="4"/>
        <charset val="136"/>
      </rPr>
      <t>、提高附加價值</t>
    </r>
    <r>
      <rPr>
        <vertAlign val="subscript"/>
        <sz val="12"/>
        <color rgb="FFED7D31"/>
        <rFont val="標楷體"/>
        <family val="4"/>
        <charset val="136"/>
      </rPr>
      <t>【環保、物業、照護】</t>
    </r>
    <r>
      <rPr>
        <sz val="12"/>
        <color rgb="FF000000"/>
        <rFont val="標楷體"/>
        <family val="4"/>
        <charset val="136"/>
      </rPr>
      <t>、延伸營運觸角</t>
    </r>
    <r>
      <rPr>
        <vertAlign val="subscript"/>
        <sz val="12"/>
        <color rgb="FFED7D31"/>
        <rFont val="標楷體"/>
        <family val="4"/>
        <charset val="136"/>
      </rPr>
      <t>【商業、照護、環保】</t>
    </r>
    <r>
      <rPr>
        <sz val="12"/>
        <color rgb="FF000000"/>
        <rFont val="標楷體"/>
        <family val="4"/>
        <charset val="136"/>
      </rPr>
      <t>、開發消費客群</t>
    </r>
    <r>
      <rPr>
        <vertAlign val="subscript"/>
        <sz val="12"/>
        <color rgb="FFED7D31"/>
        <rFont val="標楷體"/>
        <family val="4"/>
        <charset val="136"/>
      </rPr>
      <t>【商業、物業、照護】</t>
    </r>
    <r>
      <rPr>
        <vertAlign val="superscript"/>
        <sz val="12"/>
        <color rgb="FFFF0000"/>
        <rFont val="標楷體"/>
        <family val="4"/>
        <charset val="136"/>
      </rPr>
      <t>(計畫目的)</t>
    </r>
  </si>
  <si>
    <r>
      <t>五、</t>
    </r>
    <r>
      <rPr>
        <sz val="12"/>
        <color rgb="FF000000"/>
        <rFont val="標楷體"/>
        <family val="4"/>
        <charset val="136"/>
      </rPr>
      <t>計畫結案後2年內預期效益                                                                                  單位：千元</t>
    </r>
  </si>
  <si>
    <t>(一)</t>
  </si>
  <si>
    <t>(二) 主要股東及持股比例主要股東</t>
    <phoneticPr fontId="9" type="noConversion"/>
  </si>
  <si>
    <t>持有股份(每股10元)</t>
  </si>
  <si>
    <t>江政隆(113年公司成立股東會通過，此股份在新北市五常社區發展協會會員大會通過並社團法人化後，所有權人江政隆可將此股份贈與該會)</t>
  </si>
  <si>
    <t>(環保業務技術佔股，113年公司成立股東會通過此股份由所有權江政隆指定承購人)</t>
  </si>
  <si>
    <t>(三)營運現況：</t>
  </si>
  <si>
    <t xml:space="preserve">        新開設公司，目前正待依本計畫規劃時程開啟營運，目前已擁有五常社區發展協會會務委託合約、常勝江山A區物業維護管理顧問合約共計新台幣五十六萬元整，本計畫所載之內容於專利認證審查期中。</t>
    <phoneticPr fontId="9" type="noConversion"/>
  </si>
  <si>
    <t>(四)產品及服務銷售方式</t>
  </si>
  <si>
    <t>職    別</t>
  </si>
  <si>
    <r>
      <t>1</t>
    </r>
    <r>
      <rPr>
        <vertAlign val="superscript"/>
        <sz val="12"/>
        <color rgb="FFFF0000"/>
        <rFont val="標楷體"/>
        <family val="4"/>
        <charset val="136"/>
      </rPr>
      <t>(待聘)</t>
    </r>
  </si>
  <si>
    <r>
      <t>1.</t>
    </r>
    <r>
      <rPr>
        <sz val="7"/>
        <color rgb="FF000000"/>
        <rFont val="標楷體"/>
        <family val="4"/>
        <charset val="136"/>
      </rPr>
      <t xml:space="preserve">     </t>
    </r>
    <r>
      <rPr>
        <sz val="12"/>
        <color rgb="FF000000"/>
        <rFont val="標楷體"/>
        <family val="4"/>
        <charset val="136"/>
      </rPr>
      <t>研發部門組織圖</t>
    </r>
  </si>
  <si>
    <t>2.研發部門人員學歷說明</t>
  </si>
  <si>
    <t>(四)歷年研發成果、獲得獎項、專利、發表論文明細</t>
  </si>
  <si>
    <t>2023年3月</t>
  </si>
  <si>
    <t>2023年11月</t>
  </si>
  <si>
    <t>利用AI技術整合區域產能降低商業聯合(物業)雲端銷售(安全維護工作)營運成本並提高服務品質</t>
  </si>
  <si>
    <t>2024年5月</t>
  </si>
  <si>
    <t>2023年5月</t>
  </si>
  <si>
    <t>由本司董事長主持，營運長指導的文化局社區營造一般型社區營造計畫(置入性宣傳，家庭關係、社區參與、國際社會網路社群觸及刊物編譯技術)</t>
  </si>
  <si>
    <t>(註：專利清單請與申請計畫相關者為限）</t>
  </si>
  <si>
    <t>(一)公司經營理念</t>
  </si>
  <si>
    <t>(二)營造友善職場環境之規劃</t>
  </si>
  <si>
    <t>1.公司兩性平權政策及友善家庭之職場環境措施</t>
  </si>
  <si>
    <r>
      <t>(1)工作相關措施</t>
    </r>
    <r>
      <rPr>
        <sz val="12"/>
        <color rgb="FF000000"/>
        <rFont val="標楷體"/>
        <family val="4"/>
        <charset val="136"/>
      </rPr>
      <t>：</t>
    </r>
  </si>
  <si>
    <r>
      <t>(2)家庭相關措施</t>
    </r>
    <r>
      <rPr>
        <sz val="12"/>
        <color rgb="FF000000"/>
        <rFont val="標楷體"/>
        <family val="4"/>
        <charset val="136"/>
      </rPr>
      <t>：</t>
    </r>
  </si>
  <si>
    <r>
      <t>(3)創新家庭友善員工福利制度</t>
    </r>
    <r>
      <rPr>
        <sz val="12"/>
        <color rgb="FF000000"/>
        <rFont val="標楷體"/>
        <family val="4"/>
        <charset val="136"/>
      </rPr>
      <t>：</t>
    </r>
  </si>
  <si>
    <t>本公司運用稅後淨員工權益部分設立清寒(社會局核定)津貼、第三胎(或雙胞胎)扶養津貼凡當季考評無重大過失且未造成公司財務或名譽上損失之員工經董事長核定後皆可申請。</t>
  </si>
  <si>
    <r>
      <t>(4)已婚員工家庭友善假、未婚員工成家友善措施</t>
    </r>
    <r>
      <rPr>
        <sz val="12"/>
        <color rgb="FF000000"/>
        <rFont val="標楷體"/>
        <family val="4"/>
        <charset val="136"/>
      </rPr>
      <t>：</t>
    </r>
  </si>
  <si>
    <t>(5)勞工權益教育附帶勞工組織經費提撥：</t>
  </si>
  <si>
    <t>正確地勞工權益概念實施觀念正確的勞權教育，以專戶預先提撥勞工組織運作經費，明定專戶須由勞工自行籌組組織(勞資會議勞方委員、工會或職福會)運用，並提供勞工家人免費勞權諮詢或勞資爭議法務工作上的支持。</t>
  </si>
  <si>
    <t>2.公司具體「企業育才獎勵」、「建立專業認同」、「勞動權益促進」作法。</t>
  </si>
  <si>
    <t>(1)本司於公司章程中明訂淨利30%為勞工權益，初步規劃有集體績效獎勵50%、個人特殊貢獻獎勵10%、其餘40%為勞工家庭扶助津貼、勞工組織運作基金等項目，初期按照設計比例發放，未來本司如擴大招募員工達30人以上，將輔導所屬勞工成立工會並依工會法精神將盈餘規範此項勞工權益盈餘運用權力轉為勞工組織負責業務，並將基金交予組織運用。</t>
  </si>
  <si>
    <t>(三)公司其他特色說明</t>
  </si>
  <si>
    <t>本司草創之初無剩餘人力可在架設英文網站，不過本司卻有營運長越籍私人助理個人部落客阮碧書小姐(Vivian)在臉書及TIKTOK張貼營運長社造過程及社區刊物(中越文對照) )，在越南社群網路形成討論，另類國際台灣主權宣傳。</t>
  </si>
  <si>
    <t>(四)公司對於ESG(Environmental(環境)、Social(社會)、Governance(公司治理))及SDGs(永續發展)之規劃說明</t>
  </si>
  <si>
    <r>
      <t>·</t>
    </r>
    <r>
      <rPr>
        <sz val="7"/>
        <color rgb="FF000000"/>
        <rFont val="標楷體"/>
        <family val="4"/>
        <charset val="136"/>
      </rPr>
      <t xml:space="preserve">   </t>
    </r>
    <r>
      <rPr>
        <sz val="8"/>
        <color rgb="FF000000"/>
        <rFont val="標楷體"/>
        <family val="4"/>
        <charset val="136"/>
      </rPr>
      <t>公務機關承辦人員X1</t>
    </r>
  </si>
  <si>
    <r>
      <t>·</t>
    </r>
    <r>
      <rPr>
        <sz val="7"/>
        <color rgb="FF000000"/>
        <rFont val="標楷體"/>
        <family val="4"/>
        <charset val="136"/>
      </rPr>
      <t xml:space="preserve">   </t>
    </r>
    <r>
      <rPr>
        <sz val="8"/>
        <color rgb="FF000000"/>
        <rFont val="標楷體"/>
        <family val="4"/>
        <charset val="136"/>
      </rPr>
      <t>公寓大廈管理服務人員X2</t>
    </r>
  </si>
  <si>
    <r>
      <t>·</t>
    </r>
    <r>
      <rPr>
        <sz val="7"/>
        <color rgb="FF000000"/>
        <rFont val="標楷體"/>
        <family val="4"/>
        <charset val="136"/>
      </rPr>
      <t xml:space="preserve">   </t>
    </r>
    <r>
      <rPr>
        <sz val="8"/>
        <color rgb="FF000000"/>
        <rFont val="標楷體"/>
        <family val="4"/>
        <charset val="136"/>
      </rPr>
      <t>英文、日文、越文通譯X3</t>
    </r>
  </si>
  <si>
    <r>
      <t>·</t>
    </r>
    <r>
      <rPr>
        <sz val="7"/>
        <color rgb="FF000000"/>
        <rFont val="標楷體"/>
        <family val="4"/>
        <charset val="136"/>
      </rPr>
      <t xml:space="preserve">   </t>
    </r>
    <r>
      <rPr>
        <sz val="8"/>
        <color rgb="FF000000"/>
        <rFont val="標楷體"/>
        <family val="4"/>
        <charset val="136"/>
      </rPr>
      <t>防火管理人(區域防火)*1</t>
    </r>
  </si>
  <si>
    <r>
      <t>·</t>
    </r>
    <r>
      <rPr>
        <sz val="7"/>
        <color rgb="FF000000"/>
        <rFont val="標楷體"/>
        <family val="4"/>
        <charset val="136"/>
      </rPr>
      <t xml:space="preserve">   </t>
    </r>
    <r>
      <rPr>
        <sz val="8"/>
        <color rgb="FF000000"/>
        <rFont val="標楷體"/>
        <family val="4"/>
        <charset val="136"/>
      </rPr>
      <t>勞工安全衛生甲級主管*1</t>
    </r>
  </si>
  <si>
    <r>
      <t>·</t>
    </r>
    <r>
      <rPr>
        <sz val="7"/>
        <color rgb="FF000000"/>
        <rFont val="標楷體"/>
        <family val="4"/>
        <charset val="136"/>
      </rPr>
      <t xml:space="preserve">   </t>
    </r>
    <r>
      <rPr>
        <sz val="8"/>
        <color rgb="FF000000"/>
        <rFont val="標楷體"/>
        <family val="4"/>
        <charset val="136"/>
      </rPr>
      <t>事業性廢棄物乙級處理技術士 *1</t>
    </r>
  </si>
  <si>
    <r>
      <t>·</t>
    </r>
    <r>
      <rPr>
        <sz val="7"/>
        <color rgb="FF000000"/>
        <rFont val="標楷體"/>
        <family val="4"/>
        <charset val="136"/>
      </rPr>
      <t xml:space="preserve">   </t>
    </r>
    <r>
      <rPr>
        <sz val="8"/>
        <color rgb="FF000000"/>
        <rFont val="標楷體"/>
        <family val="4"/>
        <charset val="136"/>
      </rPr>
      <t>勞資關係事務工作實務人員 *1</t>
    </r>
  </si>
  <si>
    <r>
      <t>·</t>
    </r>
    <r>
      <rPr>
        <sz val="7"/>
        <color rgb="FF000000"/>
        <rFont val="標楷體"/>
        <family val="4"/>
        <charset val="136"/>
      </rPr>
      <t xml:space="preserve">   </t>
    </r>
    <r>
      <rPr>
        <sz val="8"/>
        <color rgb="FF000000"/>
        <rFont val="標楷體"/>
        <family val="4"/>
        <charset val="136"/>
      </rPr>
      <t>社區、勞動、外文刊物出版發行人X2</t>
    </r>
  </si>
  <si>
    <r>
      <t>·</t>
    </r>
    <r>
      <rPr>
        <sz val="7"/>
        <color rgb="FF000000"/>
        <rFont val="標楷體"/>
        <family val="4"/>
        <charset val="136"/>
      </rPr>
      <t xml:space="preserve">   </t>
    </r>
    <r>
      <rPr>
        <sz val="8"/>
        <color rgb="FF000000"/>
        <rFont val="標楷體"/>
        <family val="4"/>
        <charset val="136"/>
      </rPr>
      <t>相關法律工作從業人員(廢棄物清理法、噪音管制法、勞動基準法、職業安全衛生法、工會法、勞資爭議處理法) *1</t>
    </r>
  </si>
  <si>
    <r>
      <t>·</t>
    </r>
    <r>
      <rPr>
        <sz val="7"/>
        <color rgb="FF000000"/>
        <rFont val="標楷體"/>
        <family val="4"/>
        <charset val="136"/>
      </rPr>
      <t xml:space="preserve">   </t>
    </r>
    <r>
      <rPr>
        <sz val="8"/>
        <color rgb="FF000000"/>
        <rFont val="標楷體"/>
        <family val="4"/>
        <charset val="136"/>
      </rPr>
      <t>NPO組織運作實務人員 *2</t>
    </r>
  </si>
  <si>
    <r>
      <t>·</t>
    </r>
    <r>
      <rPr>
        <sz val="7"/>
        <color rgb="FF000000"/>
        <rFont val="標楷體"/>
        <family val="4"/>
        <charset val="136"/>
      </rPr>
      <t xml:space="preserve">   </t>
    </r>
    <r>
      <rPr>
        <sz val="8"/>
        <color rgb="FF000000"/>
        <rFont val="標楷體"/>
        <family val="4"/>
        <charset val="136"/>
      </rPr>
      <t>社會工作員 *1</t>
    </r>
  </si>
  <si>
    <r>
      <t>·</t>
    </r>
    <r>
      <rPr>
        <sz val="7"/>
        <color rgb="FF000000"/>
        <rFont val="標楷體"/>
        <family val="4"/>
        <charset val="136"/>
      </rPr>
      <t xml:space="preserve">   </t>
    </r>
    <r>
      <rPr>
        <sz val="8"/>
        <color rgb="FF000000"/>
        <rFont val="標楷體"/>
        <family val="4"/>
        <charset val="136"/>
      </rPr>
      <t>不動產仲介經紀人認可*1</t>
    </r>
  </si>
  <si>
    <r>
      <t>·</t>
    </r>
    <r>
      <rPr>
        <sz val="7"/>
        <color rgb="FF000000"/>
        <rFont val="標楷體"/>
        <family val="4"/>
        <charset val="136"/>
      </rPr>
      <t xml:space="preserve">   </t>
    </r>
    <r>
      <rPr>
        <sz val="8"/>
        <color rgb="FF000000"/>
        <rFont val="標楷體"/>
        <family val="4"/>
        <charset val="136"/>
      </rPr>
      <t>日本3D圖像及動畫製作相關科系應屆畢業生</t>
    </r>
  </si>
  <si>
    <r>
      <t>·</t>
    </r>
    <r>
      <rPr>
        <sz val="7"/>
        <color rgb="FF000000"/>
        <rFont val="標楷體"/>
        <family val="4"/>
        <charset val="136"/>
      </rPr>
      <t xml:space="preserve">   </t>
    </r>
    <r>
      <rPr>
        <sz val="8"/>
        <color rgb="FF000000"/>
        <rFont val="標楷體"/>
        <family val="4"/>
        <charset val="136"/>
      </rPr>
      <t>商業營運管理經驗*1</t>
    </r>
  </si>
  <si>
    <r>
      <t>·</t>
    </r>
    <r>
      <rPr>
        <sz val="7"/>
        <color rgb="FF000000"/>
        <rFont val="標楷體"/>
        <family val="4"/>
        <charset val="136"/>
      </rPr>
      <t xml:space="preserve">   </t>
    </r>
    <r>
      <rPr>
        <sz val="8"/>
        <color rgb="FF000000"/>
        <rFont val="標楷體"/>
        <family val="4"/>
        <charset val="136"/>
      </rPr>
      <t>商業會計丙級技術士X1</t>
    </r>
  </si>
  <si>
    <r>
      <t>·</t>
    </r>
    <r>
      <rPr>
        <sz val="7"/>
        <color rgb="FF000000"/>
        <rFont val="標楷體"/>
        <family val="4"/>
        <charset val="136"/>
      </rPr>
      <t xml:space="preserve">   </t>
    </r>
    <r>
      <rPr>
        <sz val="8"/>
        <color rgb="FF000000"/>
        <rFont val="標楷體"/>
        <family val="4"/>
        <charset val="136"/>
      </rPr>
      <t>室內裝修工程實務(全工種) *1</t>
    </r>
  </si>
  <si>
    <r>
      <t>·</t>
    </r>
    <r>
      <rPr>
        <sz val="7"/>
        <color rgb="FF000000"/>
        <rFont val="標楷體"/>
        <family val="4"/>
        <charset val="136"/>
      </rPr>
      <t xml:space="preserve">   </t>
    </r>
    <r>
      <rPr>
        <sz val="8"/>
        <color rgb="FF000000"/>
        <rFont val="標楷體"/>
        <family val="4"/>
        <charset val="136"/>
      </rPr>
      <t>室內設計3D繪圖技術人員*1</t>
    </r>
  </si>
  <si>
    <r>
      <t>1.</t>
    </r>
    <r>
      <rPr>
        <sz val="7"/>
        <color rgb="FF000000"/>
        <rFont val="標楷體"/>
        <family val="4"/>
        <charset val="136"/>
      </rPr>
      <t xml:space="preserve">   </t>
    </r>
    <r>
      <rPr>
        <b/>
        <sz val="9"/>
        <color rgb="FF000000"/>
        <rFont val="標楷體"/>
        <family val="4"/>
        <charset val="136"/>
      </rPr>
      <t>社會企業獲利分勞工友善分紅制度</t>
    </r>
    <r>
      <rPr>
        <sz val="9"/>
        <color rgb="FF000000"/>
        <rFont val="標楷體"/>
        <family val="4"/>
        <charset val="136"/>
      </rPr>
      <t>落實獎勵勞工追求自我實現</t>
    </r>
  </si>
  <si>
    <r>
      <t>2.</t>
    </r>
    <r>
      <rPr>
        <sz val="7"/>
        <color rgb="FF000000"/>
        <rFont val="標楷體"/>
        <family val="4"/>
        <charset val="136"/>
      </rPr>
      <t xml:space="preserve">   </t>
    </r>
    <r>
      <rPr>
        <sz val="9"/>
        <color rgb="FF000000"/>
        <rFont val="標楷體"/>
        <family val="4"/>
        <charset val="136"/>
      </rPr>
      <t>輔導在地社區發展協會以開發社區發展計畫專案以低收入戶及中高齡為主力的</t>
    </r>
    <r>
      <rPr>
        <b/>
        <sz val="9"/>
        <color rgb="FF000000"/>
        <rFont val="標楷體"/>
        <family val="4"/>
        <charset val="136"/>
      </rPr>
      <t>社區專勤隊，</t>
    </r>
    <r>
      <rPr>
        <sz val="9"/>
        <color rgb="FF000000"/>
        <rFont val="標楷體"/>
        <family val="4"/>
        <charset val="136"/>
      </rPr>
      <t>開發短工時高彈性的工作機會，並且以本司規範之淨利勞工分配制度，提高其勞動條件，開發中高齡工作機會。並擬向勞工主管機關申請特許使用2-3位外籍勞工協助</t>
    </r>
    <r>
      <rPr>
        <b/>
        <sz val="9"/>
        <color rgb="FF000000"/>
        <rFont val="標楷體"/>
        <family val="4"/>
        <charset val="136"/>
      </rPr>
      <t>社區專勤隊</t>
    </r>
    <r>
      <rPr>
        <sz val="9"/>
        <color rgb="FF000000"/>
        <rFont val="標楷體"/>
        <family val="4"/>
        <charset val="136"/>
      </rPr>
      <t>中重度勞動工作項目。</t>
    </r>
  </si>
  <si>
    <r>
      <t>3.</t>
    </r>
    <r>
      <rPr>
        <sz val="7"/>
        <color rgb="FF000000"/>
        <rFont val="標楷體"/>
        <family val="4"/>
        <charset val="136"/>
      </rPr>
      <t xml:space="preserve">   </t>
    </r>
    <r>
      <rPr>
        <sz val="9"/>
        <color rgb="FF000000"/>
        <rFont val="標楷體"/>
        <family val="4"/>
        <charset val="136"/>
      </rPr>
      <t>兼具功能及專業的不同混搭不同的制度，擬採高專業度的</t>
    </r>
    <r>
      <rPr>
        <b/>
        <sz val="9"/>
        <color rgb="FF000000"/>
        <rFont val="標楷體"/>
        <family val="4"/>
        <charset val="136"/>
      </rPr>
      <t>特勤保全</t>
    </r>
    <r>
      <rPr>
        <sz val="9"/>
        <color rgb="FF000000"/>
        <rFont val="標楷體"/>
        <family val="4"/>
        <charset val="136"/>
      </rPr>
      <t>長駐安全中心，負責維安及突發事件前期安全處理、搭配正職監視保全及中高齡短工時機動保全共同執行特殊時段或常態巡邏等保全勤務，使保全服務成本下降，保全工時正常化，開發中高齡就業機會，提高社區產能。</t>
    </r>
  </si>
  <si>
    <r>
      <t>4.</t>
    </r>
    <r>
      <rPr>
        <sz val="7"/>
        <color rgb="FF000000"/>
        <rFont val="標楷體"/>
        <family val="4"/>
        <charset val="136"/>
      </rPr>
      <t xml:space="preserve">   </t>
    </r>
    <r>
      <rPr>
        <b/>
        <sz val="9"/>
        <color rgb="FF000000"/>
        <rFont val="標楷體"/>
        <family val="4"/>
        <charset val="136"/>
      </rPr>
      <t>NPO會務承攬</t>
    </r>
    <r>
      <rPr>
        <sz val="9"/>
        <color rgb="FF000000"/>
        <rFont val="標楷體"/>
        <family val="4"/>
        <charset val="136"/>
      </rPr>
      <t>，承攬費用以辦理計畫時編列行政業務管理費，解決社區發展協會人力預算缺乏，有想法沒辦法行政效率低落的窘境</t>
    </r>
  </si>
  <si>
    <r>
      <t>5.</t>
    </r>
    <r>
      <rPr>
        <sz val="7"/>
        <color rgb="FF000000"/>
        <rFont val="標楷體"/>
        <family val="4"/>
        <charset val="136"/>
      </rPr>
      <t xml:space="preserve">   </t>
    </r>
    <r>
      <rPr>
        <b/>
        <sz val="9"/>
        <color rgb="FF000000"/>
        <rFont val="標楷體"/>
        <family val="4"/>
        <charset val="136"/>
      </rPr>
      <t>申請辦理各項公私專案補助申請</t>
    </r>
    <r>
      <rPr>
        <sz val="9"/>
        <color rgb="FF000000"/>
        <rFont val="標楷體"/>
        <family val="4"/>
        <charset val="136"/>
      </rPr>
      <t>，充實財源並且落實政府發展政策</t>
    </r>
  </si>
  <si>
    <r>
      <t>6.</t>
    </r>
    <r>
      <rPr>
        <sz val="7"/>
        <color rgb="FF000000"/>
        <rFont val="標楷體"/>
        <family val="4"/>
        <charset val="136"/>
      </rPr>
      <t xml:space="preserve">   </t>
    </r>
    <r>
      <rPr>
        <b/>
        <sz val="9"/>
        <color rgb="FF000000"/>
        <rFont val="標楷體"/>
        <family val="4"/>
        <charset val="136"/>
      </rPr>
      <t>共享營利的夥伴分配方式</t>
    </r>
    <r>
      <rPr>
        <sz val="9"/>
        <color rgb="FF000000"/>
        <rFont val="標楷體"/>
        <family val="4"/>
        <charset val="136"/>
      </rPr>
      <t>，給予物業及商業客戶部分盈餘額度使用權(限定方式)以支應在地公益活動或商業經濟作為居民福利為限，促使商業行為及公益種子活絡及萌芽促使在地形成消費多次循環消費的經濟生態。</t>
    </r>
  </si>
  <si>
    <r>
      <t>1.</t>
    </r>
    <r>
      <rPr>
        <sz val="7"/>
        <color rgb="FF000000"/>
        <rFont val="標楷體"/>
        <family val="4"/>
        <charset val="136"/>
      </rPr>
      <t xml:space="preserve">    </t>
    </r>
    <r>
      <rPr>
        <b/>
        <sz val="12"/>
        <color rgb="FF000000"/>
        <rFont val="標楷體"/>
        <family val="4"/>
        <charset val="136"/>
      </rPr>
      <t>運用及改良都市蚓農企業社（註）的專利廚餘處理設備—生物動力生態箱（Doitbox）</t>
    </r>
  </si>
  <si>
    <r>
      <t>2.</t>
    </r>
    <r>
      <rPr>
        <sz val="7"/>
        <color rgb="FF000000"/>
        <rFont val="標楷體"/>
        <family val="4"/>
        <charset val="136"/>
      </rPr>
      <t xml:space="preserve">    </t>
    </r>
    <r>
      <rPr>
        <b/>
        <sz val="12"/>
        <color rgb="FF000000"/>
        <rFont val="標楷體"/>
        <family val="4"/>
        <charset val="136"/>
      </rPr>
      <t>將部分營利用於舉辦資收比例競賽</t>
    </r>
  </si>
  <si>
    <r>
      <t>3.</t>
    </r>
    <r>
      <rPr>
        <sz val="7"/>
        <color rgb="FF000000"/>
        <rFont val="標楷體"/>
        <family val="4"/>
        <charset val="136"/>
      </rPr>
      <t xml:space="preserve">    </t>
    </r>
    <r>
      <rPr>
        <b/>
        <sz val="12"/>
        <color rgb="FF000000"/>
        <rFont val="標楷體"/>
        <family val="4"/>
        <charset val="136"/>
      </rPr>
      <t>發展適合都市環境的低碳循環有機農法</t>
    </r>
  </si>
  <si>
    <r>
      <t>4.</t>
    </r>
    <r>
      <rPr>
        <sz val="7"/>
        <color rgb="FF000000"/>
        <rFont val="標楷體"/>
        <family val="4"/>
        <charset val="136"/>
      </rPr>
      <t xml:space="preserve">    </t>
    </r>
    <r>
      <rPr>
        <b/>
        <sz val="12"/>
        <color rgb="FF000000"/>
        <rFont val="標楷體"/>
        <family val="4"/>
        <charset val="136"/>
      </rPr>
      <t>公私協力發展多元垃圾清運</t>
    </r>
  </si>
  <si>
    <r>
      <t>·</t>
    </r>
    <r>
      <rPr>
        <sz val="7"/>
        <color rgb="FF000000"/>
        <rFont val="標楷體"/>
        <family val="4"/>
        <charset val="136"/>
      </rPr>
      <t xml:space="preserve">           </t>
    </r>
    <r>
      <rPr>
        <sz val="10"/>
        <color rgb="FF000000"/>
        <rFont val="標楷體"/>
        <family val="4"/>
        <charset val="136"/>
      </rPr>
      <t>電話問安關懷</t>
    </r>
  </si>
  <si>
    <r>
      <t>·</t>
    </r>
    <r>
      <rPr>
        <sz val="7"/>
        <color rgb="FF000000"/>
        <rFont val="標楷體"/>
        <family val="4"/>
        <charset val="136"/>
      </rPr>
      <t xml:space="preserve">           </t>
    </r>
    <r>
      <rPr>
        <sz val="10"/>
        <color rgb="FF000000"/>
        <rFont val="標楷體"/>
        <family val="4"/>
        <charset val="136"/>
      </rPr>
      <t>獨居老人送餐</t>
    </r>
  </si>
  <si>
    <r>
      <t>·</t>
    </r>
    <r>
      <rPr>
        <sz val="7"/>
        <color rgb="FF000000"/>
        <rFont val="標楷體"/>
        <family val="4"/>
        <charset val="136"/>
      </rPr>
      <t xml:space="preserve">           </t>
    </r>
    <r>
      <rPr>
        <sz val="10"/>
        <color rgb="FF000000"/>
        <rFont val="標楷體"/>
        <family val="4"/>
        <charset val="136"/>
      </rPr>
      <t>健康管理服務</t>
    </r>
  </si>
  <si>
    <r>
      <t>·</t>
    </r>
    <r>
      <rPr>
        <sz val="7"/>
        <color rgb="FF000000"/>
        <rFont val="標楷體"/>
        <family val="4"/>
        <charset val="136"/>
      </rPr>
      <t xml:space="preserve">           </t>
    </r>
    <r>
      <rPr>
        <sz val="10"/>
        <color rgb="FF000000"/>
        <rFont val="標楷體"/>
        <family val="4"/>
        <charset val="136"/>
      </rPr>
      <t>銀髮族休閒安排</t>
    </r>
  </si>
  <si>
    <r>
      <t>·</t>
    </r>
    <r>
      <rPr>
        <sz val="7"/>
        <color rgb="FF000000"/>
        <rFont val="標楷體"/>
        <family val="4"/>
        <charset val="136"/>
      </rPr>
      <t xml:space="preserve">           </t>
    </r>
    <r>
      <rPr>
        <sz val="10"/>
        <color rgb="FF000000"/>
        <rFont val="標楷體"/>
        <family val="4"/>
        <charset val="136"/>
      </rPr>
      <t>中高齡彈性就業</t>
    </r>
  </si>
  <si>
    <r>
      <t>·</t>
    </r>
    <r>
      <rPr>
        <sz val="7"/>
        <color rgb="FF000000"/>
        <rFont val="標楷體"/>
        <family val="4"/>
        <charset val="136"/>
      </rPr>
      <t xml:space="preserve">           </t>
    </r>
    <r>
      <rPr>
        <sz val="10"/>
        <color rgb="FF000000"/>
        <rFont val="標楷體"/>
        <family val="4"/>
        <charset val="136"/>
      </rPr>
      <t>健康預防式課程</t>
    </r>
  </si>
  <si>
    <r>
      <t>·</t>
    </r>
    <r>
      <rPr>
        <sz val="7"/>
        <color rgb="FF000000"/>
        <rFont val="標楷體"/>
        <family val="4"/>
        <charset val="136"/>
      </rPr>
      <t xml:space="preserve">           </t>
    </r>
    <r>
      <rPr>
        <sz val="10"/>
        <color rgb="FF000000"/>
        <rFont val="標楷體"/>
        <family val="4"/>
        <charset val="136"/>
      </rPr>
      <t>共餐辦理</t>
    </r>
  </si>
  <si>
    <r>
      <t>·</t>
    </r>
    <r>
      <rPr>
        <sz val="7"/>
        <color rgb="FF000000"/>
        <rFont val="標楷體"/>
        <family val="4"/>
        <charset val="136"/>
      </rPr>
      <t xml:space="preserve">   </t>
    </r>
    <r>
      <rPr>
        <b/>
        <sz val="10"/>
        <color rgb="FF000000"/>
        <rFont val="標楷體"/>
        <family val="4"/>
        <charset val="136"/>
      </rPr>
      <t>善用政府補助導入並落實使用者付費概念，本司由營餘撥付不足部分，政、商、民共同擔起照顧責任。</t>
    </r>
  </si>
  <si>
    <r>
      <t>·</t>
    </r>
    <r>
      <rPr>
        <sz val="7"/>
        <color rgb="FF000000"/>
        <rFont val="標楷體"/>
        <family val="4"/>
        <charset val="136"/>
      </rPr>
      <t xml:space="preserve">   </t>
    </r>
    <r>
      <rPr>
        <b/>
        <sz val="10"/>
        <color rgb="FF000000"/>
        <rFont val="標楷體"/>
        <family val="4"/>
        <charset val="136"/>
      </rPr>
      <t>外籍看護工雇主合作社制度，節能減碳省加班</t>
    </r>
  </si>
  <si>
    <r>
      <t>·</t>
    </r>
    <r>
      <rPr>
        <sz val="7"/>
        <color rgb="FF000000"/>
        <rFont val="標楷體"/>
        <family val="4"/>
        <charset val="136"/>
      </rPr>
      <t xml:space="preserve">   </t>
    </r>
    <r>
      <rPr>
        <b/>
        <sz val="10"/>
        <color rgb="FF000000"/>
        <rFont val="標楷體"/>
        <family val="4"/>
        <charset val="136"/>
      </rPr>
      <t>移工權益我在乎，申訴管道及優良移工表揚</t>
    </r>
  </si>
  <si>
    <r>
      <t>·</t>
    </r>
    <r>
      <rPr>
        <sz val="7"/>
        <color rgb="FF000000"/>
        <rFont val="標楷體"/>
        <family val="4"/>
        <charset val="136"/>
      </rPr>
      <t xml:space="preserve">   </t>
    </r>
    <r>
      <rPr>
        <b/>
        <sz val="10"/>
        <color rgb="FF000000"/>
        <rFont val="標楷體"/>
        <family val="4"/>
        <charset val="136"/>
      </rPr>
      <t>發行(喝咖啡來聊聊咖啡券)溫暖主要照顧者的心</t>
    </r>
  </si>
  <si>
    <r>
      <t>·</t>
    </r>
    <r>
      <rPr>
        <sz val="7"/>
        <color rgb="FF000000"/>
        <rFont val="標楷體"/>
        <family val="4"/>
        <charset val="136"/>
      </rPr>
      <t xml:space="preserve">   </t>
    </r>
    <r>
      <rPr>
        <b/>
        <sz val="10"/>
        <color rgb="FF000000"/>
        <rFont val="標楷體"/>
        <family val="4"/>
        <charset val="136"/>
      </rPr>
      <t>食、</t>
    </r>
    <r>
      <rPr>
        <sz val="10"/>
        <color rgb="FF000000"/>
        <rFont val="標楷體"/>
        <family val="4"/>
        <charset val="136"/>
      </rPr>
      <t>餐點由商業資訊中心串接在地商家，供給老人與長者、因為是老街坊所以商家跟長輩們基本上都認識，藉由商業資訊中心的整合及社區照護中心的服務，讓長輩們有一個規劃好的露天共餐餐廳藉由點餐系統，讓長輩們可以試著體驗雲端點餐在同一個地方吃著整個商圈自己喜歡的餐點、這是一個跨三個中心的的合作議題</t>
    </r>
  </si>
  <si>
    <r>
      <t>·</t>
    </r>
    <r>
      <rPr>
        <sz val="7"/>
        <color rgb="FF000000"/>
        <rFont val="標楷體"/>
        <family val="4"/>
        <charset val="136"/>
      </rPr>
      <t xml:space="preserve">   </t>
    </r>
    <r>
      <rPr>
        <b/>
        <sz val="10"/>
        <color rgb="FF000000"/>
        <rFont val="標楷體"/>
        <family val="4"/>
        <charset val="136"/>
      </rPr>
      <t>衣、</t>
    </r>
    <r>
      <rPr>
        <sz val="10"/>
        <color rgb="FF000000"/>
        <rFont val="標楷體"/>
        <family val="4"/>
        <charset val="136"/>
      </rPr>
      <t>利用不同顏色的背心或服裝標示來註明長輩們的需求、以便照顧服務員可快速辨識並判斷長輩需求工作，並針對失智長輩籌集穿戴式安全設備，並增加本司社區安全中心聯絡方式，並且提供走失接送服務，由機動保全及照顧服務中心的社工員或照服員一同前往處置，協助社區內失智長輩照護家庭承擔照顧工作穿戴設備服務擬採月租制費用亦由三方分擔。另外穿戴裝置的開發也是我們未來的想像，具有定位及狀態偵測的長輩穿戴裝置，讓照護中心隨時能掌握長輩的安全狀態，提供全面性的照護。</t>
    </r>
  </si>
  <si>
    <r>
      <t>·</t>
    </r>
    <r>
      <rPr>
        <sz val="7"/>
        <color rgb="FF000000"/>
        <rFont val="標楷體"/>
        <family val="4"/>
        <charset val="136"/>
      </rPr>
      <t xml:space="preserve">   </t>
    </r>
    <r>
      <rPr>
        <b/>
        <sz val="10"/>
        <color rgb="FF000000"/>
        <rFont val="標楷體"/>
        <family val="4"/>
        <charset val="136"/>
      </rPr>
      <t>住、</t>
    </r>
    <r>
      <rPr>
        <sz val="10"/>
        <color rgb="FF000000"/>
        <rFont val="標楷體"/>
        <family val="4"/>
        <charset val="136"/>
      </rPr>
      <t>社區安全中心結合社區照護中心註記獨居、需高度關懷長輩、於保全巡邏時特別注意是否有異狀若營業額夠高人力許可，擬採【每日見到您】問安式訪查制度，並由商業資訊中心協助建置管制系統如使用穿戴設施感應簽到，由社區照護中心，值班社工員列管於每日固定時間清查，讓長輩感覺到社區的在乎及關懷。</t>
    </r>
  </si>
  <si>
    <r>
      <t>·</t>
    </r>
    <r>
      <rPr>
        <sz val="7"/>
        <color rgb="FF000000"/>
        <rFont val="標楷體"/>
        <family val="4"/>
        <charset val="136"/>
      </rPr>
      <t xml:space="preserve">   </t>
    </r>
    <r>
      <rPr>
        <b/>
        <sz val="10"/>
        <color rgb="FF000000"/>
        <rFont val="標楷體"/>
        <family val="4"/>
        <charset val="136"/>
      </rPr>
      <t>行、</t>
    </r>
    <r>
      <rPr>
        <sz val="10"/>
        <color rgb="FF000000"/>
        <rFont val="標楷體"/>
        <family val="4"/>
        <charset val="136"/>
      </rPr>
      <t>設置長輩小巴付費專車接送制，協助長輩行動不便的長輩日間前來社區照顧中心傍晚回家，透過低廉且可負擔的收費標準協助社區家庭不用一早忙上班送小孩還得送長輩。當經費足夠時，或可發展就醫專車，由照服員們協助長輩們整批就醫</t>
    </r>
  </si>
  <si>
    <r>
      <t>一、</t>
    </r>
    <r>
      <rPr>
        <sz val="7"/>
        <color rgb="FF000000"/>
        <rFont val="標楷體"/>
        <family val="4"/>
        <charset val="136"/>
      </rPr>
      <t xml:space="preserve">  </t>
    </r>
    <r>
      <rPr>
        <sz val="10"/>
        <color rgb="FF000000"/>
        <rFont val="標楷體"/>
        <family val="4"/>
        <charset val="136"/>
      </rPr>
      <t>設立直營商業營運開發商業共同銷售及異業合作的為範本，並且設立商業服務中心進行下列工作：</t>
    </r>
  </si>
  <si>
    <r>
      <t>二、</t>
    </r>
    <r>
      <rPr>
        <sz val="7"/>
        <color rgb="FF000000"/>
        <rFont val="標楷體"/>
        <family val="4"/>
        <charset val="136"/>
      </rPr>
      <t xml:space="preserve">  </t>
    </r>
    <r>
      <rPr>
        <b/>
        <sz val="10"/>
        <color rgb="FF000000"/>
        <rFont val="標楷體"/>
        <family val="4"/>
        <charset val="136"/>
      </rPr>
      <t>建構AI社區服務系統，將社區各類型使用端透過不同的LINE分眾系統給予不同的專屬使用介面</t>
    </r>
  </si>
  <si>
    <t>(一)市場需求評估</t>
  </si>
  <si>
    <t>(二)消費族群需求說明</t>
  </si>
  <si>
    <t>(三)具市場先導示範性說明</t>
  </si>
  <si>
    <t>以開發新型AI社區服務系統建構跨產業合作的機制，強化社區機能，降低各業成本</t>
  </si>
  <si>
    <r>
      <t>各產業數位化及科技化是本司認為不可逆的趨勢，我司各項規劃圍繞著建構跨產業的</t>
    </r>
    <r>
      <rPr>
        <b/>
        <sz val="12"/>
        <color rgb="FF000000"/>
        <rFont val="標楷體"/>
        <family val="4"/>
        <charset val="136"/>
      </rPr>
      <t>AI社區服務系統</t>
    </r>
    <r>
      <rPr>
        <sz val="12"/>
        <color rgb="FF000000"/>
        <rFont val="標楷體"/>
        <family val="4"/>
        <charset val="136"/>
      </rPr>
      <t>及</t>
    </r>
    <r>
      <rPr>
        <b/>
        <sz val="12"/>
        <color rgb="FF000000"/>
        <rFont val="標楷體"/>
        <family val="4"/>
        <charset val="136"/>
      </rPr>
      <t>營運中心</t>
    </r>
    <r>
      <rPr>
        <sz val="12"/>
        <color rgb="FF000000"/>
        <rFont val="標楷體"/>
        <family val="4"/>
        <charset val="136"/>
      </rPr>
      <t>進行，本次計畫中的無人科技保全搭配社區安全網，運用物聯網的發達，由整合新市鎮的夜間保全開始，降低物業的成本；商業聯合的發展透過雲端科技實現，但本司發現，現在的外送業務兩大公司及各家POS系統並未整合，過多疊層架屋的結構多出許多不必要的成本，於是透過本司將物業、保全業、餐飲業的業務整合，透過開發的服務系統及營運中心概念，將所產生的勞務，透過社區勞務派遣機制，將有效的降低各業成本及提升社區居民的產能，由本司直營商業的商業利益來支持並推動整個系統的運作，此舉雖然降低本司直營商店初期獲利能力可是卻能卻因為各業之前的合作，大幅提升本司營業客戶的數量，營利的再投入本就是社會企業的特色，一直以來，社區缺乏的就是公平公開透明的制度，尤其是都會型社區，更何況以較低的成本營運必能帶來更多的業務需求，以價開量，不見得獲利會差到哪去。</t>
    </r>
  </si>
  <si>
    <t>(一)各項創新服務說明</t>
  </si>
  <si>
    <r>
      <t>劣勢.</t>
    </r>
    <r>
      <rPr>
        <sz val="12"/>
        <color rgb="FF000000"/>
        <rFont val="標楷體"/>
        <family val="4"/>
        <charset val="136"/>
      </rPr>
      <t>：業務繁多，不易就某項業務專心經營，如非駐點總幹事，無專人經營關係，遭人情拔樁機會高</t>
    </r>
  </si>
  <si>
    <r>
      <t xml:space="preserve"> 機會：</t>
    </r>
    <r>
      <rPr>
        <sz val="12"/>
        <color rgb="FF000000"/>
        <rFont val="標楷體"/>
        <family val="4"/>
        <charset val="136"/>
      </rPr>
      <t>將社區商業導入物業發展新經濟模式，取代外來超商零售業</t>
    </r>
  </si>
  <si>
    <t>(二)關鍵技術或服務應用情境說明</t>
  </si>
  <si>
    <t>物業商業AI社區服務中心</t>
    <phoneticPr fontId="9" type="noConversion"/>
  </si>
  <si>
    <r>
      <t>社區發展計畫-</t>
    </r>
    <r>
      <rPr>
        <b/>
        <sz val="8"/>
        <color rgb="FF000000"/>
        <rFont val="標楷體"/>
        <family val="4"/>
        <charset val="136"/>
      </rPr>
      <t>社區專勤隊社區閒置勞動力開發暨各產業需求應用</t>
    </r>
    <phoneticPr fontId="9" type="noConversion"/>
  </si>
  <si>
    <t>社區專勤隊工作派遣平台</t>
    <phoneticPr fontId="9" type="noConversion"/>
  </si>
  <si>
    <t>(三)計畫執行前期所需完成工作項目</t>
  </si>
  <si>
    <t>(1)完成五常專勤隊社區發展計畫草案並送五常社區發展協會通過</t>
  </si>
  <si>
    <t>(2)完成人口結構調查分析報告</t>
  </si>
  <si>
    <t>(3)完成本司營業項目規劃及募資設立。</t>
  </si>
  <si>
    <t>(四)驗證</t>
  </si>
  <si>
    <t>(1)服務驗證(POS)項目及時間</t>
    <phoneticPr fontId="9" type="noConversion"/>
  </si>
  <si>
    <r>
      <t>2.</t>
    </r>
    <r>
      <rPr>
        <sz val="7"/>
        <color rgb="FF000000"/>
        <rFont val="標楷體"/>
        <family val="4"/>
        <charset val="136"/>
      </rPr>
      <t xml:space="preserve">  </t>
    </r>
    <r>
      <rPr>
        <sz val="12"/>
        <color rgb="FF000000"/>
        <rFont val="標楷體"/>
        <family val="4"/>
        <charset val="136"/>
      </rPr>
      <t>C1需求會議記錄、工作紀錄簿委託開發合約書或合作開發意向書、人事費用薪轉紀錄或勞務費用支付單據</t>
    </r>
    <r>
      <rPr>
        <b/>
        <sz val="8"/>
        <color rgb="FFFFFFFF"/>
        <rFont val="標楷體"/>
        <family val="4"/>
        <charset val="136"/>
      </rPr>
      <t>07/10</t>
    </r>
  </si>
  <si>
    <r>
      <t>11.</t>
    </r>
    <r>
      <rPr>
        <sz val="7"/>
        <color rgb="FF000000"/>
        <rFont val="標楷體"/>
        <family val="4"/>
        <charset val="136"/>
      </rPr>
      <t xml:space="preserve">    </t>
    </r>
    <r>
      <rPr>
        <sz val="12"/>
        <color rgb="FF000000"/>
        <rFont val="標楷體"/>
        <family val="4"/>
        <charset val="136"/>
      </rPr>
      <t>A3轄區商業檢索名冊、訪查工作紀錄冊、商業現況調查表(關鍵加密之影本)、營業狀況記錄簿、每周至少3名客訪紀錄</t>
    </r>
  </si>
  <si>
    <r>
      <t>12.</t>
    </r>
    <r>
      <rPr>
        <sz val="7"/>
        <color rgb="FF000000"/>
        <rFont val="標楷體"/>
        <family val="4"/>
        <charset val="136"/>
      </rPr>
      <t xml:space="preserve">    </t>
    </r>
    <r>
      <rPr>
        <b/>
        <sz val="12"/>
        <color rgb="FF000000"/>
        <rFont val="標楷體"/>
        <family val="4"/>
        <charset val="136"/>
      </rPr>
      <t>B3</t>
    </r>
    <r>
      <rPr>
        <sz val="12"/>
        <color rgb="FF000000"/>
        <rFont val="標楷體"/>
        <family val="4"/>
        <charset val="136"/>
      </rPr>
      <t>五家轄內委託測試參與合約測試工作須知</t>
    </r>
  </si>
  <si>
    <r>
      <t>13.</t>
    </r>
    <r>
      <rPr>
        <sz val="7"/>
        <color rgb="FF000000"/>
        <rFont val="標楷體"/>
        <family val="4"/>
        <charset val="136"/>
      </rPr>
      <t xml:space="preserve">    </t>
    </r>
    <r>
      <rPr>
        <sz val="12"/>
        <color rgb="FF000000"/>
        <rFont val="標楷體"/>
        <family val="4"/>
        <charset val="136"/>
      </rPr>
      <t>C3顧問聘書或顧問合約書、跨業務協調會議會議紀錄</t>
    </r>
  </si>
  <si>
    <r>
      <t>14.</t>
    </r>
    <r>
      <rPr>
        <sz val="7"/>
        <color rgb="FF000000"/>
        <rFont val="標楷體"/>
        <family val="4"/>
        <charset val="136"/>
      </rPr>
      <t xml:space="preserve">    </t>
    </r>
    <r>
      <rPr>
        <sz val="12"/>
        <color rgb="FF000000"/>
        <rFont val="標楷體"/>
        <family val="4"/>
        <charset val="136"/>
      </rPr>
      <t>A4五常活力早餐預購計畫書、廠商參與測試協力合作意向書</t>
    </r>
  </si>
  <si>
    <r>
      <t>15.</t>
    </r>
    <r>
      <rPr>
        <sz val="7"/>
        <color rgb="FF000000"/>
        <rFont val="標楷體"/>
        <family val="4"/>
        <charset val="136"/>
      </rPr>
      <t xml:space="preserve">    </t>
    </r>
    <r>
      <rPr>
        <sz val="12"/>
        <color rgb="FF000000"/>
        <rFont val="標楷體"/>
        <family val="4"/>
        <charset val="136"/>
      </rPr>
      <t>B4物業顧問案件委託概況紀錄</t>
    </r>
  </si>
  <si>
    <r>
      <t>16.</t>
    </r>
    <r>
      <rPr>
        <sz val="7"/>
        <color rgb="FF000000"/>
        <rFont val="標楷體"/>
        <family val="4"/>
        <charset val="136"/>
      </rPr>
      <t xml:space="preserve">    </t>
    </r>
    <r>
      <rPr>
        <sz val="12"/>
        <color rgb="FF000000"/>
        <rFont val="標楷體"/>
        <family val="4"/>
        <charset val="136"/>
      </rPr>
      <t>C4各端使用者介面、檢視項目稽核表、系統測試報告書廠商改善項目評估意見</t>
    </r>
  </si>
  <si>
    <r>
      <t>17.</t>
    </r>
    <r>
      <rPr>
        <sz val="7"/>
        <color rgb="FF000000"/>
        <rFont val="標楷體"/>
        <family val="4"/>
        <charset val="136"/>
      </rPr>
      <t xml:space="preserve">    </t>
    </r>
    <r>
      <rPr>
        <sz val="12"/>
        <color rgb="FF000000"/>
        <rFont val="標楷體"/>
        <family val="4"/>
        <charset val="136"/>
      </rPr>
      <t>D4驗證工作評鑑項目成績紀錄表、客戶滿意度調查書</t>
    </r>
  </si>
  <si>
    <r>
      <t>18.</t>
    </r>
    <r>
      <rPr>
        <sz val="7"/>
        <color rgb="FF000000"/>
        <rFont val="標楷體"/>
        <family val="4"/>
        <charset val="136"/>
      </rPr>
      <t xml:space="preserve">    </t>
    </r>
    <r>
      <rPr>
        <sz val="12"/>
        <color rgb="FF000000"/>
        <rFont val="標楷體"/>
        <family val="4"/>
        <charset val="136"/>
      </rPr>
      <t>A5、B5、C5分項計畫結案文書資料、檢討報告書、改善措施檢查表</t>
    </r>
  </si>
  <si>
    <r>
      <t>19.</t>
    </r>
    <r>
      <rPr>
        <sz val="7"/>
        <color rgb="FF000000"/>
        <rFont val="標楷體"/>
        <family val="4"/>
        <charset val="136"/>
      </rPr>
      <t xml:space="preserve">    </t>
    </r>
    <r>
      <rPr>
        <sz val="12"/>
        <color rgb="FF000000"/>
        <rFont val="標楷體"/>
        <family val="4"/>
        <charset val="136"/>
      </rPr>
      <t>D5各分項計畫缺失改善方針及改善進度</t>
    </r>
  </si>
  <si>
    <r>
      <t>20.</t>
    </r>
    <r>
      <rPr>
        <sz val="7"/>
        <color rgb="FF000000"/>
        <rFont val="標楷體"/>
        <family val="4"/>
        <charset val="136"/>
      </rPr>
      <t xml:space="preserve">    </t>
    </r>
    <r>
      <rPr>
        <sz val="12"/>
        <color rgb="FF000000"/>
        <rFont val="標楷體"/>
        <family val="4"/>
        <charset val="136"/>
      </rPr>
      <t>A6、B6、C6分項計畫缺失改善工作項目紀錄冊、協辦研討會</t>
    </r>
  </si>
  <si>
    <r>
      <t>21.</t>
    </r>
    <r>
      <rPr>
        <sz val="7"/>
        <color rgb="FF000000"/>
        <rFont val="標楷體"/>
        <family val="4"/>
        <charset val="136"/>
      </rPr>
      <t xml:space="preserve">    </t>
    </r>
    <r>
      <rPr>
        <sz val="12"/>
        <color rgb="FF000000"/>
        <rFont val="標楷體"/>
        <family val="4"/>
        <charset val="136"/>
      </rPr>
      <t>D6期末發表暨產學官民四方研討會邀請函</t>
    </r>
  </si>
  <si>
    <r>
      <t>22.</t>
    </r>
    <r>
      <rPr>
        <sz val="7"/>
        <color rgb="FF000000"/>
        <rFont val="標楷體"/>
        <family val="4"/>
        <charset val="136"/>
      </rPr>
      <t xml:space="preserve">   </t>
    </r>
    <r>
      <rPr>
        <sz val="12"/>
        <color rgb="FF000000"/>
        <rFont val="標楷體"/>
        <family val="4"/>
        <charset val="136"/>
      </rPr>
      <t xml:space="preserve">日常驗證簿冊  </t>
    </r>
  </si>
  <si>
    <r>
      <t>2.</t>
    </r>
    <r>
      <rPr>
        <sz val="7"/>
        <color rgb="FF000000"/>
        <rFont val="標楷體"/>
        <family val="4"/>
        <charset val="136"/>
      </rPr>
      <t xml:space="preserve">  </t>
    </r>
    <r>
      <rPr>
        <sz val="12"/>
        <color rgb="FF000000"/>
        <rFont val="標楷體"/>
        <family val="4"/>
        <charset val="136"/>
      </rPr>
      <t>研發人員工作紀錄冊</t>
    </r>
  </si>
  <si>
    <r>
      <t>3.</t>
    </r>
    <r>
      <rPr>
        <sz val="7"/>
        <color rgb="FF000000"/>
        <rFont val="標楷體"/>
        <family val="4"/>
        <charset val="136"/>
      </rPr>
      <t xml:space="preserve">  </t>
    </r>
    <r>
      <rPr>
        <sz val="12"/>
        <color rgb="FF000000"/>
        <rFont val="標楷體"/>
        <family val="4"/>
        <charset val="136"/>
      </rPr>
      <t>研發計畫週會議紀錄</t>
    </r>
  </si>
  <si>
    <r>
      <t>4.</t>
    </r>
    <r>
      <rPr>
        <sz val="7"/>
        <color rgb="FF000000"/>
        <rFont val="標楷體"/>
        <family val="4"/>
        <charset val="136"/>
      </rPr>
      <t xml:space="preserve">  </t>
    </r>
    <r>
      <rPr>
        <sz val="12"/>
        <color rgb="FF000000"/>
        <rFont val="標楷體"/>
        <family val="4"/>
        <charset val="136"/>
      </rPr>
      <t>專案計畫工時、財務、設備使用、領料、進貨、倉儲紀錄冊</t>
    </r>
  </si>
  <si>
    <r>
      <t>5.</t>
    </r>
    <r>
      <rPr>
        <sz val="7"/>
        <color rgb="FF000000"/>
        <rFont val="標楷體"/>
        <family val="4"/>
        <charset val="136"/>
      </rPr>
      <t xml:space="preserve">  </t>
    </r>
    <r>
      <rPr>
        <sz val="12"/>
        <color rgb="FF000000"/>
        <rFont val="標楷體"/>
        <family val="4"/>
        <charset val="136"/>
      </rPr>
      <t>效能、進度、數據驗證紀錄冊</t>
    </r>
  </si>
  <si>
    <t>(2) 系統及直營商店營運驗證規劃(POB)標準</t>
  </si>
  <si>
    <r>
      <t>測試</t>
    </r>
    <r>
      <rPr>
        <b/>
        <sz val="11"/>
        <color rgb="FF000000"/>
        <rFont val="標楷體"/>
        <family val="4"/>
        <charset val="136"/>
      </rPr>
      <t>單店</t>
    </r>
    <r>
      <rPr>
        <sz val="11"/>
        <color rgb="FF000000"/>
        <rFont val="標楷體"/>
        <family val="4"/>
        <charset val="136"/>
      </rPr>
      <t>營運系統穩定度及服務韌性採至少安排營運峰值三次於測試日</t>
    </r>
    <phoneticPr fontId="9" type="noConversion"/>
  </si>
  <si>
    <r>
      <t>1.</t>
    </r>
    <r>
      <rPr>
        <sz val="7"/>
        <color rgb="FF000000"/>
        <rFont val="標楷體"/>
        <family val="4"/>
        <charset val="136"/>
      </rPr>
      <t xml:space="preserve">  </t>
    </r>
    <r>
      <rPr>
        <sz val="11"/>
        <color rgb="FF000000"/>
        <rFont val="標楷體"/>
        <family val="4"/>
        <charset val="136"/>
      </rPr>
      <t>0100系統結束餐點預購</t>
    </r>
  </si>
  <si>
    <r>
      <t>2.</t>
    </r>
    <r>
      <rPr>
        <sz val="7"/>
        <color rgb="FF000000"/>
        <rFont val="標楷體"/>
        <family val="4"/>
        <charset val="136"/>
      </rPr>
      <t xml:space="preserve">  </t>
    </r>
    <r>
      <rPr>
        <sz val="11"/>
        <color rgb="FF000000"/>
        <rFont val="標楷體"/>
        <family val="4"/>
        <charset val="136"/>
      </rPr>
      <t>0200系統通知本司直營店及參測店家點餐 項目</t>
    </r>
  </si>
  <si>
    <r>
      <t>3.</t>
    </r>
    <r>
      <rPr>
        <sz val="7"/>
        <color rgb="FF000000"/>
        <rFont val="標楷體"/>
        <family val="4"/>
        <charset val="136"/>
      </rPr>
      <t xml:space="preserve">  </t>
    </r>
    <r>
      <rPr>
        <sz val="11"/>
        <color rgb="FF000000"/>
        <rFont val="標楷體"/>
        <family val="4"/>
        <charset val="136"/>
      </rPr>
      <t>0500將專用餐點紙袋貼上產品貼紙，分送參測店家</t>
    </r>
  </si>
  <si>
    <r>
      <t>4.</t>
    </r>
    <r>
      <rPr>
        <sz val="7"/>
        <color rgb="FF000000"/>
        <rFont val="標楷體"/>
        <family val="4"/>
        <charset val="136"/>
      </rPr>
      <t xml:space="preserve">  </t>
    </r>
    <r>
      <rPr>
        <sz val="11"/>
        <color rgb="FF000000"/>
        <rFont val="標楷體"/>
        <family val="4"/>
        <charset val="136"/>
      </rPr>
      <t>0600前將裝有產品之紙袋回收至直營店</t>
    </r>
  </si>
  <si>
    <r>
      <t>5.</t>
    </r>
    <r>
      <rPr>
        <sz val="7"/>
        <color rgb="FF000000"/>
        <rFont val="標楷體"/>
        <family val="4"/>
        <charset val="136"/>
      </rPr>
      <t xml:space="preserve">  </t>
    </r>
    <r>
      <rPr>
        <sz val="11"/>
        <color rgb="FF000000"/>
        <rFont val="標楷體"/>
        <family val="4"/>
        <charset val="136"/>
      </rPr>
      <t>0700前加入本司直營店產品後送達各社區服務櫃台</t>
    </r>
  </si>
  <si>
    <t xml:space="preserve">(一)計畫架構說明 </t>
  </si>
  <si>
    <t>專        長:公寓大廈管理服務人員、照顧服務員</t>
    <phoneticPr fontId="9" type="noConversion"/>
  </si>
  <si>
    <t>委託開發'</t>
    <phoneticPr fontId="9" type="noConversion"/>
  </si>
  <si>
    <t>1月</t>
    <phoneticPr fontId="9" type="noConversion"/>
  </si>
  <si>
    <r>
      <t xml:space="preserve">二、帶著物業管理改善建議案前往洽談，並試圖                       </t>
    </r>
    <r>
      <rPr>
        <sz val="12"/>
        <color theme="0"/>
        <rFont val="標楷體"/>
        <family val="4"/>
        <charset val="136"/>
      </rPr>
      <t>1234</t>
    </r>
    <r>
      <rPr>
        <sz val="12"/>
        <color rgb="FF000000"/>
        <rFont val="標楷體"/>
        <family val="4"/>
        <charset val="136"/>
      </rPr>
      <t xml:space="preserve">為客戶解決困境，爭取向管委會簡報承攬方                 </t>
    </r>
    <r>
      <rPr>
        <sz val="12"/>
        <color theme="0"/>
        <rFont val="標楷體"/>
        <family val="4"/>
        <charset val="136"/>
      </rPr>
      <t>1234</t>
    </r>
    <r>
      <rPr>
        <sz val="12"/>
        <color rgb="FF000000"/>
        <rFont val="標楷體"/>
        <family val="4"/>
        <charset val="136"/>
      </rPr>
      <t>案。</t>
    </r>
    <phoneticPr fontId="9" type="noConversion"/>
  </si>
  <si>
    <t>一、公司職務:專案聘用資訊研發人員</t>
    <phoneticPr fontId="9" type="noConversion"/>
  </si>
  <si>
    <t>四、學歷:Texas A&amp;M University(USA)</t>
    <phoneticPr fontId="9" type="noConversion"/>
  </si>
  <si>
    <t>三、專長:英文、資訊工程</t>
    <phoneticPr fontId="9" type="noConversion"/>
  </si>
  <si>
    <t>一、   出席研討會並做A分項計畫成果報告</t>
  </si>
  <si>
    <t>二、   提出下階段加值創新應用分項計畫</t>
  </si>
  <si>
    <t>五、身分別:海歸碩士，高資訊技術密集企業營運管理</t>
    <phoneticPr fontId="9" type="noConversion"/>
  </si>
  <si>
    <t>採購項目總計</t>
    <phoneticPr fontId="9" type="noConversion"/>
  </si>
  <si>
    <t>一、商業線上點餐系統及會員資訊庫</t>
  </si>
  <si>
    <t>二、物業包裹收發系統及住戶資訊庫</t>
  </si>
  <si>
    <t>三、需求協調工作</t>
  </si>
  <si>
    <t>經費概算</t>
  </si>
  <si>
    <t>一、勞務派遣系統及社區照護人員資訊庫</t>
  </si>
  <si>
    <t>二、需求協調工作</t>
  </si>
  <si>
    <t>二、發放及回收使用端意見回饋表</t>
  </si>
  <si>
    <t>三、改善項目表提出及對策提出</t>
  </si>
  <si>
    <t>二、提出下階段加值創新應用分項計畫</t>
  </si>
  <si>
    <t>三、經費概算</t>
  </si>
  <si>
    <t>一、出席研討會並做本分項計畫成果報告</t>
    <phoneticPr fontId="9" type="noConversion"/>
  </si>
  <si>
    <t>二、於導入場域中收集居民使用回饋，並予以分析</t>
    <phoneticPr fontId="9" type="noConversion"/>
  </si>
  <si>
    <t>二、營運中心空間發包及施工</t>
    <phoneticPr fontId="9" type="noConversion"/>
  </si>
  <si>
    <t>二、經費概算</t>
  </si>
  <si>
    <t>特勤保全員3000/日2人次=6000</t>
  </si>
  <si>
    <t>一、模擬各種保全可能面對情境</t>
    <phoneticPr fontId="9" type="noConversion"/>
  </si>
  <si>
    <t>1.民眾尋絆滋事</t>
    <phoneticPr fontId="9" type="noConversion"/>
  </si>
  <si>
    <t>2.酒醉住戶鬧事</t>
    <phoneticPr fontId="9" type="noConversion"/>
  </si>
  <si>
    <t>3.夜間宵小闖入科技保全系統</t>
    <phoneticPr fontId="9" type="noConversion"/>
  </si>
  <si>
    <t>4.歹徒尾隨夜歸婦女</t>
    <phoneticPr fontId="9" type="noConversion"/>
  </si>
  <si>
    <t>5.住戶夫妻吵架影響其他住戶</t>
  </si>
  <si>
    <t>提供驗證場域社區驗證用系統服務測試券200戶每戶120小計24000元，問券調查贈品80元200戶小計16,000元</t>
    <phoneticPr fontId="9" type="noConversion"/>
  </si>
  <si>
    <t>臨時應召專勤隊員2小時380元X10=3800元；任務分派為演練X2交管X4備勤X4</t>
    <phoneticPr fontId="9" type="noConversion"/>
  </si>
  <si>
    <r>
      <t>C1 AI智慧社區服務系統及及無人保全開發商</t>
    </r>
    <r>
      <rPr>
        <b/>
        <sz val="12"/>
        <color rgb="FF92D050"/>
        <rFont val="標楷體"/>
        <family val="4"/>
        <charset val="136"/>
      </rPr>
      <t>123</t>
    </r>
    <r>
      <rPr>
        <b/>
        <sz val="12"/>
        <color rgb="FF000000"/>
        <rFont val="標楷體"/>
        <family val="4"/>
        <charset val="136"/>
      </rPr>
      <t>招攬及合約簽訂</t>
    </r>
    <r>
      <rPr>
        <b/>
        <sz val="12"/>
        <color theme="0"/>
        <rFont val="標楷體"/>
        <family val="4"/>
        <charset val="136"/>
      </rPr>
      <t>7/30</t>
    </r>
    <phoneticPr fontId="9" type="noConversion"/>
  </si>
  <si>
    <t>營運峰值三次於測試日</t>
  </si>
  <si>
    <t>測試日峰值時段測是量能安排</t>
  </si>
  <si>
    <t>單場驗證費</t>
    <phoneticPr fontId="9" type="noConversion"/>
  </si>
  <si>
    <t>每場次經費概算【社區專勤隊】派遣人員工資190/h規劃外送員3人次4小時小計2,280元內外場營運人員2人次4小時小計1,520元，每場次和計3,800元，參與測試人員驗證費用300元/戶每場次120戶小計48,000元合計每場次花費51,800元</t>
    <phoneticPr fontId="9" type="noConversion"/>
  </si>
  <si>
    <r>
      <t>一、五常社區內全商家店面營業資訊建立並完成</t>
    </r>
    <r>
      <rPr>
        <sz val="12"/>
        <color theme="0"/>
        <rFont val="標楷體"/>
        <family val="4"/>
        <charset val="136"/>
      </rPr>
      <t>1234</t>
    </r>
    <r>
      <rPr>
        <sz val="12"/>
        <color rgb="FF000000"/>
        <rFont val="標楷體"/>
        <family val="4"/>
        <charset val="136"/>
      </rPr>
      <t>至少一次訪談</t>
    </r>
    <phoneticPr fontId="9" type="noConversion"/>
  </si>
  <si>
    <r>
      <t>二、拜訪店家，招募會員外並協調加入聯合營運</t>
    </r>
    <r>
      <rPr>
        <sz val="12"/>
        <color theme="0"/>
        <rFont val="標楷體"/>
        <family val="4"/>
        <charset val="136"/>
      </rPr>
      <t>1234</t>
    </r>
    <r>
      <rPr>
        <sz val="12"/>
        <color rgb="FF000000"/>
        <rFont val="標楷體"/>
        <family val="4"/>
        <charset val="136"/>
      </rPr>
      <t>計畫測試</t>
    </r>
    <phoneticPr fontId="9" type="noConversion"/>
  </si>
  <si>
    <r>
      <t>二、直營商業營運成效分析、缺失項目及對策提</t>
    </r>
    <r>
      <rPr>
        <sz val="12"/>
        <color theme="0"/>
        <rFont val="標楷體"/>
        <family val="4"/>
        <charset val="136"/>
      </rPr>
      <t>1234</t>
    </r>
    <r>
      <rPr>
        <sz val="12"/>
        <color rgb="FF000000"/>
        <rFont val="標楷體"/>
        <family val="4"/>
        <charset val="136"/>
      </rPr>
      <t>出並改善</t>
    </r>
    <phoneticPr fontId="9" type="noConversion"/>
  </si>
  <si>
    <r>
      <t>一、由顧問帶領拜訪業界物業及保全優良廠商至</t>
    </r>
    <r>
      <rPr>
        <sz val="12"/>
        <color theme="0"/>
        <rFont val="標楷體"/>
        <family val="4"/>
        <charset val="136"/>
      </rPr>
      <t>1234</t>
    </r>
    <r>
      <rPr>
        <sz val="12"/>
        <color rgb="FF000000"/>
        <rFont val="標楷體"/>
        <family val="4"/>
        <charset val="136"/>
      </rPr>
      <t>少三家，並簽訂以區域物業及保全業務委託</t>
    </r>
    <r>
      <rPr>
        <sz val="12"/>
        <color theme="0"/>
        <rFont val="標楷體"/>
        <family val="4"/>
        <charset val="136"/>
      </rPr>
      <t>1234</t>
    </r>
    <r>
      <rPr>
        <sz val="12"/>
        <color rgb="FF000000"/>
        <rFont val="標楷體"/>
        <family val="4"/>
        <charset val="136"/>
      </rPr>
      <t>規畫合約</t>
    </r>
    <phoneticPr fontId="9" type="noConversion"/>
  </si>
  <si>
    <r>
      <t>一、根據物業維護公司人員、管委會、保全人員</t>
    </r>
    <r>
      <rPr>
        <sz val="12"/>
        <color theme="0"/>
        <rFont val="標楷體"/>
        <family val="4"/>
        <charset val="136"/>
      </rPr>
      <t>1234</t>
    </r>
    <r>
      <rPr>
        <sz val="12"/>
        <color rgb="FF000000"/>
        <rFont val="標楷體"/>
        <family val="4"/>
        <charset val="136"/>
      </rPr>
      <t>訪查結果製作專案建議事項，並提由顧問檢視。</t>
    </r>
    <phoneticPr fontId="9" type="noConversion"/>
  </si>
  <si>
    <r>
      <t>一、選定後帶著物業管理改善建議案前往洽談</t>
    </r>
    <r>
      <rPr>
        <sz val="12"/>
        <color theme="0"/>
        <rFont val="標楷體"/>
        <family val="4"/>
        <charset val="136"/>
      </rPr>
      <t>1234</t>
    </r>
    <r>
      <rPr>
        <sz val="12"/>
        <color rgb="FF000000"/>
        <rFont val="標楷體"/>
        <family val="4"/>
        <charset val="136"/>
      </rPr>
      <t>，出發前由官顧問協助做訪談訓練，爭取向</t>
    </r>
    <r>
      <rPr>
        <sz val="12"/>
        <color theme="0"/>
        <rFont val="標楷體"/>
        <family val="4"/>
        <charset val="136"/>
      </rPr>
      <t>1234</t>
    </r>
    <r>
      <rPr>
        <sz val="12"/>
        <color rgb="FF000000"/>
        <rFont val="標楷體"/>
        <family val="4"/>
        <charset val="136"/>
      </rPr>
      <t>管委會簡報物業承攬機會</t>
    </r>
    <phoneticPr fontId="9" type="noConversion"/>
  </si>
  <si>
    <t>三、制定營運SOP</t>
    <phoneticPr fontId="9" type="noConversion"/>
  </si>
  <si>
    <r>
      <t>一、</t>
    </r>
    <r>
      <rPr>
        <sz val="12"/>
        <color rgb="FF000000"/>
        <rFont val="Times New Roman"/>
        <family val="1"/>
      </rPr>
      <t xml:space="preserve"> </t>
    </r>
    <r>
      <rPr>
        <sz val="12"/>
        <color rgb="FF000000"/>
        <rFont val="標楷體"/>
        <family val="4"/>
        <charset val="136"/>
      </rPr>
      <t>營運空間運用設計規劃</t>
    </r>
    <phoneticPr fontId="9" type="noConversion"/>
  </si>
  <si>
    <r>
      <t>三、</t>
    </r>
    <r>
      <rPr>
        <sz val="12"/>
        <color rgb="FF000000"/>
        <rFont val="標楷體"/>
        <family val="1"/>
        <charset val="136"/>
      </rPr>
      <t>  </t>
    </r>
    <r>
      <rPr>
        <sz val="12"/>
        <color rgb="FF000000"/>
        <rFont val="Times New Roman"/>
        <family val="1"/>
      </rPr>
      <t xml:space="preserve"> </t>
    </r>
    <r>
      <rPr>
        <sz val="12"/>
        <color rgb="FF000000"/>
        <rFont val="標楷體"/>
        <family val="4"/>
        <charset val="136"/>
      </rPr>
      <t>預計演練3場次=149,400</t>
    </r>
    <phoneticPr fontId="9" type="noConversion"/>
  </si>
  <si>
    <r>
      <t>一、</t>
    </r>
    <r>
      <rPr>
        <sz val="12"/>
        <color rgb="FF000000"/>
        <rFont val="Times New Roman"/>
        <family val="1"/>
      </rPr>
      <t xml:space="preserve">   </t>
    </r>
    <r>
      <rPr>
        <sz val="12"/>
        <color rgb="FF000000"/>
        <rFont val="標楷體"/>
        <family val="4"/>
        <charset val="136"/>
      </rPr>
      <t>測試方式：直營商店現場線上作業測試日三次營業峰值。</t>
    </r>
  </si>
  <si>
    <r>
      <t>二、</t>
    </r>
    <r>
      <rPr>
        <sz val="12"/>
        <color rgb="FF000000"/>
        <rFont val="Times New Roman"/>
        <family val="1"/>
      </rPr>
      <t xml:space="preserve">   </t>
    </r>
    <r>
      <rPr>
        <sz val="12"/>
        <color rgb="FF000000"/>
        <rFont val="標楷體"/>
        <family val="4"/>
        <charset val="136"/>
      </rPr>
      <t>試</t>
    </r>
    <r>
      <rPr>
        <b/>
        <sz val="12"/>
        <color rgb="FF000000"/>
        <rFont val="標楷體"/>
        <family val="4"/>
        <charset val="136"/>
      </rPr>
      <t>單店</t>
    </r>
    <r>
      <rPr>
        <sz val="12"/>
        <color rgb="FF000000"/>
        <rFont val="標楷體"/>
        <family val="4"/>
        <charset val="136"/>
      </rPr>
      <t>營運系統穩定度及服務韌性採至少安排</t>
    </r>
  </si>
  <si>
    <r>
      <t>三、</t>
    </r>
    <r>
      <rPr>
        <sz val="12"/>
        <color rgb="FF000000"/>
        <rFont val="Times New Roman"/>
        <family val="1"/>
      </rPr>
      <t xml:space="preserve">   </t>
    </r>
    <r>
      <rPr>
        <sz val="12"/>
        <color rgb="FF000000"/>
        <rFont val="標楷體"/>
        <family val="4"/>
        <charset val="136"/>
      </rPr>
      <t>經費概算</t>
    </r>
  </si>
  <si>
    <r>
      <t>2.0900第一次峰值兩小時內現場訂單20外帶</t>
    </r>
    <r>
      <rPr>
        <sz val="12"/>
        <color theme="0"/>
        <rFont val="標楷體"/>
        <family val="4"/>
        <charset val="136"/>
      </rPr>
      <t>12</t>
    </r>
    <r>
      <rPr>
        <sz val="12"/>
        <color rgb="FF000000"/>
        <rFont val="標楷體"/>
        <family val="4"/>
        <charset val="136"/>
      </rPr>
      <t>訂單10外送訂單10</t>
    </r>
    <phoneticPr fontId="9" type="noConversion"/>
  </si>
  <si>
    <r>
      <t>3.1100第二次峰值兩小時內現場訂單20外帶</t>
    </r>
    <r>
      <rPr>
        <sz val="12"/>
        <color theme="0"/>
        <rFont val="標楷體"/>
        <family val="4"/>
        <charset val="136"/>
      </rPr>
      <t>12</t>
    </r>
    <r>
      <rPr>
        <sz val="12"/>
        <color rgb="FF000000"/>
        <rFont val="標楷體"/>
        <family val="4"/>
        <charset val="136"/>
      </rPr>
      <t>訂單10外送訂單10每種訂單需有5件以上含</t>
    </r>
    <r>
      <rPr>
        <sz val="12"/>
        <color theme="0"/>
        <rFont val="標楷體"/>
        <family val="4"/>
        <charset val="136"/>
      </rPr>
      <t>12</t>
    </r>
    <r>
      <rPr>
        <sz val="12"/>
        <color rgb="FF000000"/>
        <rFont val="標楷體"/>
        <family val="4"/>
        <charset val="136"/>
      </rPr>
      <t>餐點</t>
    </r>
    <phoneticPr fontId="9" type="noConversion"/>
  </si>
  <si>
    <r>
      <t>4.1700第二次峰值兩小時內現場訂單20外帶</t>
    </r>
    <r>
      <rPr>
        <sz val="12"/>
        <color theme="0"/>
        <rFont val="標楷體"/>
        <family val="4"/>
        <charset val="136"/>
      </rPr>
      <t>11</t>
    </r>
    <r>
      <rPr>
        <sz val="12"/>
        <color rgb="FF000000"/>
        <rFont val="標楷體"/>
        <family val="4"/>
        <charset val="136"/>
      </rPr>
      <t>訂單外送</t>
    </r>
    <r>
      <rPr>
        <sz val="12"/>
        <color theme="0"/>
        <rFont val="標楷體"/>
        <family val="4"/>
        <charset val="136"/>
      </rPr>
      <t>12</t>
    </r>
    <r>
      <rPr>
        <sz val="12"/>
        <color rgb="FF000000"/>
        <rFont val="標楷體"/>
        <family val="4"/>
        <charset val="136"/>
      </rPr>
      <t>每種訂單需有5件以上含餐點</t>
    </r>
    <phoneticPr fontId="9" type="noConversion"/>
  </si>
  <si>
    <r>
      <t>D2 機動保全、特勤保全、定點保全狀況個突發狀態默契訓練及SOP制定及驗證</t>
    </r>
    <r>
      <rPr>
        <b/>
        <sz val="12"/>
        <color rgb="FFFFFFFF"/>
        <rFont val="標楷體"/>
        <family val="4"/>
        <charset val="136"/>
      </rPr>
      <t>9/10</t>
    </r>
    <r>
      <rPr>
        <b/>
        <sz val="12"/>
        <color rgb="FF000000"/>
        <rFont val="標楷體"/>
        <family val="4"/>
        <charset val="136"/>
      </rPr>
      <t>、</t>
    </r>
    <r>
      <rPr>
        <b/>
        <sz val="12"/>
        <color rgb="FFFFFFFF"/>
        <rFont val="標楷體"/>
        <family val="4"/>
        <charset val="136"/>
      </rPr>
      <t>12/10</t>
    </r>
    <r>
      <rPr>
        <b/>
        <sz val="12"/>
        <color rgb="FF000000"/>
        <rFont val="標楷體"/>
        <family val="4"/>
        <charset val="136"/>
      </rPr>
      <t>、</t>
    </r>
    <r>
      <rPr>
        <b/>
        <sz val="12"/>
        <color rgb="FFFFFFFF"/>
        <rFont val="標楷體"/>
        <family val="4"/>
        <charset val="136"/>
      </rPr>
      <t>6/10</t>
    </r>
  </si>
  <si>
    <t>五、身分別:社會新鮮人、新住民第二代、海歸學士</t>
    <phoneticPr fontId="9" type="noConversion"/>
  </si>
  <si>
    <t>一、測試前</t>
  </si>
  <si>
    <t xml:space="preserve">    尋求測試人員(由B分項計畫人員辦理)</t>
  </si>
  <si>
    <t xml:space="preserve">    尋求測試商家(由A分項計畫人員辦理)</t>
  </si>
  <si>
    <t>二、測試中</t>
  </si>
  <si>
    <t xml:space="preserve">    測試聯合營運系統穩定度及服務韌性採至少3家早餐店聯合營運於測試日</t>
  </si>
  <si>
    <t>0100系統結束餐點預購</t>
  </si>
  <si>
    <t>0200系統通知本司直營店及參測店家點餐 項目</t>
  </si>
  <si>
    <t>0500將專用餐點紙袋貼上產品貼紙，分送參測店家</t>
  </si>
  <si>
    <t>0600前將裝有產品之紙袋回收至直營店</t>
  </si>
  <si>
    <t>0700前加入本司直營店產品後送達各社區服務櫃台</t>
  </si>
  <si>
    <t>每場次150戶小計60,000元合計每場次花費63,800元</t>
  </si>
  <si>
    <t>每場次經費概算【社區專勤隊】派遣人員工資190/h規劃外送員3人次4小時小計2,280元內外場營運人員2人次4小時小計1,520元，每場次和計3,800元，參與測試人員測試費用300元/戶，完成測試報告可獲本司贈品抵用券100元</t>
    <phoneticPr fontId="9" type="noConversion"/>
  </si>
  <si>
    <t>每場驗證費用</t>
    <phoneticPr fontId="9" type="noConversion"/>
  </si>
  <si>
    <t>二、各端點檢視項目</t>
  </si>
  <si>
    <t>安管環保</t>
  </si>
  <si>
    <t>1.監視設備是否連線</t>
  </si>
  <si>
    <t>3.移動式雲端音訊及視訊功能</t>
  </si>
  <si>
    <t>5.警民連線系統</t>
  </si>
  <si>
    <t>3.社區貨幣系統</t>
  </si>
  <si>
    <t>7.標籤及廠商聯絡</t>
  </si>
  <si>
    <t>8.商業記帳服務</t>
  </si>
  <si>
    <t>11.安全中心功能</t>
  </si>
  <si>
    <t>12.機電控制及影像辨識功能</t>
  </si>
  <si>
    <t>13.無人機自動巡航</t>
  </si>
  <si>
    <t>14.氣溫、乾濕度、空氣品質資訊</t>
  </si>
  <si>
    <t>2.環境資訊</t>
  </si>
  <si>
    <t>6.商業購物項目</t>
  </si>
  <si>
    <t>7.包裹狀態</t>
  </si>
  <si>
    <t>8.使用後客訪問卷調查(送服務費抵用券)</t>
  </si>
  <si>
    <t>9.支付工具或區塊鍊串接</t>
    <phoneticPr fontId="9" type="noConversion"/>
  </si>
  <si>
    <t>一、系統使用者-管理委員會協測單位招募(提供社區每戶系統測試券進行測試，須完成為期一周新系統測試並繳交試用報告後可獲得本司消費抵用券贈品面額100元)</t>
    <phoneticPr fontId="9" type="noConversion"/>
  </si>
  <si>
    <r>
      <t>一、參與驗證管委會可享</t>
    </r>
    <r>
      <rPr>
        <sz val="12"/>
        <color theme="7"/>
        <rFont val="標楷體"/>
        <family val="4"/>
        <charset val="136"/>
      </rPr>
      <t>123</t>
    </r>
    <r>
      <rPr>
        <sz val="12"/>
        <color rgb="FF000000"/>
        <rFont val="標楷體"/>
        <family val="4"/>
        <charset val="136"/>
      </rPr>
      <t>本系統免費使用一年</t>
    </r>
    <phoneticPr fontId="9" type="noConversion"/>
  </si>
  <si>
    <r>
      <t>二、驗證期間，本系統開</t>
    </r>
    <r>
      <rPr>
        <sz val="12"/>
        <color theme="7"/>
        <rFont val="標楷體"/>
        <family val="4"/>
        <charset val="136"/>
      </rPr>
      <t>1234</t>
    </r>
    <r>
      <rPr>
        <sz val="12"/>
        <color rgb="FF000000"/>
        <rFont val="標楷體"/>
        <family val="4"/>
        <charset val="136"/>
      </rPr>
      <t>通帳號均有300元消費</t>
    </r>
    <r>
      <rPr>
        <sz val="12"/>
        <color theme="7"/>
        <rFont val="標楷體"/>
        <family val="4"/>
        <charset val="136"/>
      </rPr>
      <t>1234</t>
    </r>
    <r>
      <rPr>
        <sz val="12"/>
        <color rgb="FF000000"/>
        <rFont val="標楷體"/>
        <family val="4"/>
        <charset val="136"/>
      </rPr>
      <t>幣可做使用測試，試</t>
    </r>
    <r>
      <rPr>
        <sz val="12"/>
        <color theme="7"/>
        <rFont val="標楷體"/>
        <family val="4"/>
        <charset val="136"/>
      </rPr>
      <t>1234</t>
    </r>
    <r>
      <rPr>
        <sz val="12"/>
        <rFont val="標楷體"/>
        <family val="4"/>
        <charset val="136"/>
      </rPr>
      <t>用</t>
    </r>
    <r>
      <rPr>
        <sz val="12"/>
        <color rgb="FF000000"/>
        <rFont val="標楷體"/>
        <family val="4"/>
        <charset val="136"/>
      </rPr>
      <t>結束帳號直接轉為</t>
    </r>
    <r>
      <rPr>
        <sz val="12"/>
        <color theme="7"/>
        <rFont val="標楷體"/>
        <family val="4"/>
        <charset val="136"/>
      </rPr>
      <t>1234</t>
    </r>
    <r>
      <rPr>
        <sz val="12"/>
        <color rgb="FF000000"/>
        <rFont val="標楷體"/>
        <family val="4"/>
        <charset val="136"/>
      </rPr>
      <t>正式帳號</t>
    </r>
    <phoneticPr fontId="9" type="noConversion"/>
  </si>
  <si>
    <r>
      <t>三、填寫使用評分表並成</t>
    </r>
    <r>
      <rPr>
        <sz val="12"/>
        <color theme="7"/>
        <rFont val="標楷體"/>
        <family val="4"/>
        <charset val="136"/>
      </rPr>
      <t>1234</t>
    </r>
    <r>
      <rPr>
        <sz val="12"/>
        <color rgb="FF000000"/>
        <rFont val="標楷體"/>
        <family val="4"/>
        <charset val="136"/>
      </rPr>
      <t>功提交之住戶克額外</t>
    </r>
    <r>
      <rPr>
        <sz val="12"/>
        <color theme="7"/>
        <rFont val="標楷體"/>
        <family val="4"/>
        <charset val="136"/>
      </rPr>
      <t>1234</t>
    </r>
    <r>
      <rPr>
        <sz val="12"/>
        <color rgb="FF000000"/>
        <rFont val="標楷體"/>
        <family val="4"/>
        <charset val="136"/>
      </rPr>
      <t>得100原本司提供之抵</t>
    </r>
    <r>
      <rPr>
        <sz val="12"/>
        <color theme="7"/>
        <rFont val="標楷體"/>
        <family val="4"/>
        <charset val="136"/>
      </rPr>
      <t>1234</t>
    </r>
    <r>
      <rPr>
        <sz val="12"/>
        <color rgb="FF000000"/>
        <rFont val="標楷體"/>
        <family val="4"/>
        <charset val="136"/>
      </rPr>
      <t>用券</t>
    </r>
    <phoneticPr fontId="9" type="noConversion"/>
  </si>
  <si>
    <t>勞教費</t>
    <phoneticPr fontId="9" type="noConversion"/>
  </si>
  <si>
    <t>工作項目</t>
    <phoneticPr fontId="9" type="noConversion"/>
  </si>
  <si>
    <t>頻率</t>
    <phoneticPr fontId="9" type="noConversion"/>
  </si>
  <si>
    <t>紀錄冊種類</t>
    <phoneticPr fontId="9" type="noConversion"/>
  </si>
  <si>
    <t>研發工作紀錄</t>
    <phoneticPr fontId="9" type="noConversion"/>
  </si>
  <si>
    <t>每日批閱</t>
    <phoneticPr fontId="9" type="noConversion"/>
  </si>
  <si>
    <t>研發人員日記本</t>
    <phoneticPr fontId="9" type="noConversion"/>
  </si>
  <si>
    <t>研發週會</t>
    <phoneticPr fontId="9" type="noConversion"/>
  </si>
  <si>
    <t>每周1召開</t>
    <phoneticPr fontId="9" type="noConversion"/>
  </si>
  <si>
    <t>研發會議紀錄</t>
    <phoneticPr fontId="9" type="noConversion"/>
  </si>
  <si>
    <t>每日創作</t>
    <phoneticPr fontId="9" type="noConversion"/>
  </si>
  <si>
    <t>創新能力激發</t>
    <phoneticPr fontId="9" type="noConversion"/>
  </si>
  <si>
    <t>創意接龍佈告欄</t>
    <phoneticPr fontId="9" type="noConversion"/>
  </si>
  <si>
    <t>研發工作QC</t>
    <phoneticPr fontId="9" type="noConversion"/>
  </si>
  <si>
    <t>隨時</t>
    <phoneticPr fontId="9" type="noConversion"/>
  </si>
  <si>
    <t>營運長的小本本</t>
    <phoneticPr fontId="9" type="noConversion"/>
  </si>
  <si>
    <r>
      <rPr>
        <sz val="10"/>
        <color rgb="FF000000"/>
        <rFont val="標楷體"/>
        <family val="4"/>
        <charset val="136"/>
      </rPr>
      <t>公</t>
    </r>
    <r>
      <rPr>
        <sz val="10"/>
        <color rgb="FF000000"/>
        <rFont val="MS Sans Serif"/>
        <family val="2"/>
      </rPr>
      <t xml:space="preserve"> </t>
    </r>
    <r>
      <rPr>
        <sz val="10"/>
        <color rgb="FF000000"/>
        <rFont val="標楷體"/>
        <family val="4"/>
        <charset val="136"/>
      </rPr>
      <t>司</t>
    </r>
    <r>
      <rPr>
        <sz val="10"/>
        <color rgb="FF000000"/>
        <rFont val="MS Sans Serif"/>
        <family val="2"/>
      </rPr>
      <t xml:space="preserve">  </t>
    </r>
    <r>
      <rPr>
        <sz val="10"/>
        <color rgb="FF000000"/>
        <rFont val="標楷體"/>
        <family val="4"/>
        <charset val="136"/>
      </rPr>
      <t>職</t>
    </r>
    <r>
      <rPr>
        <sz val="10"/>
        <color rgb="FF000000"/>
        <rFont val="MS Sans Serif"/>
        <family val="2"/>
      </rPr>
      <t xml:space="preserve"> </t>
    </r>
    <r>
      <rPr>
        <sz val="10"/>
        <color rgb="FF000000"/>
        <rFont val="標楷體"/>
        <family val="4"/>
        <charset val="136"/>
      </rPr>
      <t>務</t>
    </r>
    <r>
      <rPr>
        <sz val="10"/>
        <color rgb="FF000000"/>
        <rFont val="MS Sans Serif"/>
        <family val="2"/>
      </rPr>
      <t>:</t>
    </r>
    <r>
      <rPr>
        <sz val="10"/>
        <color rgb="FF000000"/>
        <rFont val="標楷體"/>
        <family val="4"/>
        <charset val="136"/>
      </rPr>
      <t>董事會營運局營運長</t>
    </r>
    <phoneticPr fontId="9" type="noConversion"/>
  </si>
  <si>
    <r>
      <rPr>
        <sz val="10"/>
        <color rgb="FF000000"/>
        <rFont val="標楷體"/>
        <family val="4"/>
        <charset val="136"/>
      </rPr>
      <t>專</t>
    </r>
    <r>
      <rPr>
        <sz val="10"/>
        <color rgb="FF000000"/>
        <rFont val="MS Sans Serif"/>
        <family val="2"/>
      </rPr>
      <t xml:space="preserve">            </t>
    </r>
    <r>
      <rPr>
        <sz val="10"/>
        <color rgb="FF000000"/>
        <rFont val="標楷體"/>
        <family val="4"/>
        <charset val="136"/>
      </rPr>
      <t>長</t>
    </r>
    <r>
      <rPr>
        <sz val="10"/>
        <color rgb="FF000000"/>
        <rFont val="MS Sans Serif"/>
        <family val="2"/>
      </rPr>
      <t>:</t>
    </r>
    <r>
      <rPr>
        <sz val="10"/>
        <color rgb="FF000000"/>
        <rFont val="標楷體"/>
        <family val="4"/>
        <charset val="136"/>
      </rPr>
      <t>設計規劃、物業管理、一般刑、民、勞動及環保法令</t>
    </r>
    <phoneticPr fontId="9" type="noConversion"/>
  </si>
  <si>
    <r>
      <rPr>
        <sz val="10"/>
        <color rgb="FF000000"/>
        <rFont val="標楷體"/>
        <family val="4"/>
        <charset val="136"/>
      </rPr>
      <t>學</t>
    </r>
    <r>
      <rPr>
        <sz val="10"/>
        <color rgb="FF000000"/>
        <rFont val="MS Sans Serif"/>
        <family val="2"/>
      </rPr>
      <t xml:space="preserve">            </t>
    </r>
    <r>
      <rPr>
        <sz val="10"/>
        <color rgb="FF000000"/>
        <rFont val="標楷體"/>
        <family val="4"/>
        <charset val="136"/>
      </rPr>
      <t>歷</t>
    </r>
    <r>
      <rPr>
        <sz val="10"/>
        <color rgb="FF000000"/>
        <rFont val="MS Sans Serif"/>
        <family val="2"/>
      </rPr>
      <t>:</t>
    </r>
    <r>
      <rPr>
        <sz val="10"/>
        <color rgb="FF000000"/>
        <rFont val="標楷體"/>
        <family val="4"/>
        <charset val="136"/>
      </rPr>
      <t>政大社科院社會心理學系、空大社科院社會工作學系</t>
    </r>
    <phoneticPr fontId="9" type="noConversion"/>
  </si>
  <si>
    <r>
      <rPr>
        <sz val="10"/>
        <color rgb="FF000000"/>
        <rFont val="標楷體"/>
        <family val="4"/>
        <charset val="136"/>
      </rPr>
      <t>身</t>
    </r>
    <r>
      <rPr>
        <sz val="10"/>
        <color rgb="FF000000"/>
        <rFont val="MS Sans Serif"/>
        <family val="2"/>
      </rPr>
      <t xml:space="preserve">    </t>
    </r>
    <r>
      <rPr>
        <sz val="10"/>
        <color rgb="FF000000"/>
        <rFont val="標楷體"/>
        <family val="4"/>
        <charset val="136"/>
      </rPr>
      <t>分</t>
    </r>
    <r>
      <rPr>
        <sz val="10"/>
        <color rgb="FF000000"/>
        <rFont val="MS Sans Serif"/>
        <family val="2"/>
      </rPr>
      <t xml:space="preserve">    </t>
    </r>
    <r>
      <rPr>
        <sz val="10"/>
        <color rgb="FF000000"/>
        <rFont val="標楷體"/>
        <family val="4"/>
        <charset val="136"/>
      </rPr>
      <t>別</t>
    </r>
    <r>
      <rPr>
        <sz val="10"/>
        <color rgb="FF000000"/>
        <rFont val="MS Sans Serif"/>
        <family val="2"/>
      </rPr>
      <t>:</t>
    </r>
    <r>
      <rPr>
        <sz val="10"/>
        <color rgb="FF000000"/>
        <rFont val="標楷體"/>
        <family val="4"/>
        <charset val="136"/>
      </rPr>
      <t>社工員、商業組織負責人、管委會總幹事</t>
    </r>
    <phoneticPr fontId="9" type="noConversion"/>
  </si>
  <si>
    <r>
      <t xml:space="preserve">                      </t>
    </r>
    <r>
      <rPr>
        <sz val="10"/>
        <color rgb="FF000000"/>
        <rFont val="標楷體"/>
        <family val="4"/>
        <charset val="136"/>
      </rPr>
      <t>資源鏈接、輿論風控、社會工作技巧</t>
    </r>
    <phoneticPr fontId="9" type="noConversion"/>
  </si>
  <si>
    <r>
      <t>一、</t>
    </r>
    <r>
      <rPr>
        <sz val="12"/>
        <color rgb="FF000000"/>
        <rFont val="Times New Roman"/>
        <family val="1"/>
      </rPr>
      <t xml:space="preserve"> </t>
    </r>
    <r>
      <rPr>
        <sz val="12"/>
        <color rgb="FF000000"/>
        <rFont val="標楷體"/>
        <family val="1"/>
        <charset val="136"/>
      </rPr>
      <t>選定一公寓大廈做為場域，導入本系統社區管理功能</t>
    </r>
    <phoneticPr fontId="9" type="noConversion"/>
  </si>
  <si>
    <r>
      <t>一、</t>
    </r>
    <r>
      <rPr>
        <sz val="12"/>
        <color rgb="FF000000"/>
        <rFont val="Times New Roman"/>
        <family val="1"/>
      </rPr>
      <t xml:space="preserve"> </t>
    </r>
    <r>
      <rPr>
        <sz val="12"/>
        <color rgb="FF000000"/>
        <rFont val="標楷體"/>
        <family val="4"/>
        <charset val="136"/>
      </rPr>
      <t>意見回饋表設計</t>
    </r>
  </si>
  <si>
    <t>身   分   別:更生人、靈糧堂受洗教友</t>
    <phoneticPr fontId="9" type="noConversion"/>
  </si>
  <si>
    <t xml:space="preserve">研 發  任 務:B分項計畫 </t>
    <phoneticPr fontId="9" type="noConversion"/>
  </si>
  <si>
    <t>公 司  職 務:安全中心經理</t>
    <phoneticPr fontId="9" type="noConversion"/>
  </si>
  <si>
    <t>產   業   別:營建工程</t>
    <phoneticPr fontId="9" type="noConversion"/>
  </si>
  <si>
    <t>研發任務:A分項</t>
  </si>
  <si>
    <t>學    歷:</t>
    <phoneticPr fontId="9" type="noConversion"/>
  </si>
  <si>
    <t>專    長:飲品製作、品鑑及餐飲業營運。</t>
    <phoneticPr fontId="9" type="noConversion"/>
  </si>
  <si>
    <t>公司職稱:董事會營運局董事長</t>
    <phoneticPr fontId="9" type="noConversion"/>
  </si>
  <si>
    <r>
      <t>身 分 別:新住民、新住民倡議組織負責人、社區發展協會</t>
    </r>
    <r>
      <rPr>
        <sz val="12"/>
        <color theme="0"/>
        <rFont val="標楷體"/>
        <family val="4"/>
        <charset val="136"/>
      </rPr>
      <t>123456789</t>
    </r>
    <r>
      <rPr>
        <sz val="12"/>
        <color rgb="FF000000"/>
        <rFont val="標楷體"/>
        <family val="4"/>
        <charset val="136"/>
      </rPr>
      <t>常務理事</t>
    </r>
    <phoneticPr fontId="9" type="noConversion"/>
  </si>
  <si>
    <t>一、D分項計畫成果報告書</t>
    <phoneticPr fontId="9" type="noConversion"/>
  </si>
  <si>
    <r>
      <t>1.</t>
    </r>
    <r>
      <rPr>
        <sz val="12"/>
        <color rgb="FF000000"/>
        <rFont val="標楷體"/>
        <family val="4"/>
        <charset val="136"/>
      </rPr>
      <t>無形資產引進（含技術引進）</t>
    </r>
  </si>
  <si>
    <t>項目</t>
  </si>
  <si>
    <t>內容</t>
  </si>
  <si>
    <t>引進對象</t>
  </si>
  <si>
    <t>上品食品行</t>
  </si>
  <si>
    <t>預計引進名稱</t>
  </si>
  <si>
    <t>聊國咖啡商標使用權及技術授權</t>
  </si>
  <si>
    <t>起迄期間</t>
  </si>
  <si>
    <r>
      <t>至少</t>
    </r>
    <r>
      <rPr>
        <sz val="12"/>
        <color rgb="FF000000"/>
        <rFont val="Times New Roman"/>
        <family val="1"/>
      </rPr>
      <t>5</t>
    </r>
    <r>
      <rPr>
        <sz val="12"/>
        <color rgb="FF000000"/>
        <rFont val="標楷體"/>
        <family val="4"/>
        <charset val="136"/>
      </rPr>
      <t>年期授權</t>
    </r>
  </si>
  <si>
    <t>引進對象之必要性，其背景與技術能力分析</t>
  </si>
  <si>
    <r>
      <t xml:space="preserve">        </t>
    </r>
    <r>
      <rPr>
        <sz val="12"/>
        <color rgb="FF000000"/>
        <rFont val="標楷體"/>
        <family val="4"/>
        <charset val="136"/>
      </rPr>
      <t>因</t>
    </r>
    <r>
      <rPr>
        <b/>
        <sz val="12"/>
        <color rgb="FF000000"/>
        <rFont val="標楷體"/>
        <family val="4"/>
        <charset val="136"/>
      </rPr>
      <t>整合仁義商圈</t>
    </r>
    <r>
      <rPr>
        <sz val="12"/>
        <color rgb="FF000000"/>
        <rFont val="標楷體"/>
        <family val="4"/>
        <charset val="136"/>
      </rPr>
      <t>餐飲業</t>
    </r>
    <r>
      <rPr>
        <b/>
        <vertAlign val="subscript"/>
        <sz val="12"/>
        <color rgb="FFFF0000"/>
        <rFont val="Times New Roman"/>
        <family val="1"/>
      </rPr>
      <t>(</t>
    </r>
    <r>
      <rPr>
        <b/>
        <vertAlign val="subscript"/>
        <sz val="12"/>
        <color rgb="FFFF0000"/>
        <rFont val="標楷體"/>
        <family val="4"/>
        <charset val="136"/>
      </rPr>
      <t>商業需求</t>
    </r>
    <r>
      <rPr>
        <b/>
        <vertAlign val="subscript"/>
        <sz val="12"/>
        <color rgb="FFFF0000"/>
        <rFont val="Times New Roman"/>
        <family val="1"/>
      </rPr>
      <t>)</t>
    </r>
    <r>
      <rPr>
        <sz val="12"/>
        <color rgb="FF000000"/>
        <rFont val="標楷體"/>
        <family val="4"/>
        <charset val="136"/>
      </rPr>
      <t>及本司</t>
    </r>
    <r>
      <rPr>
        <b/>
        <sz val="12"/>
        <color rgb="FF000000"/>
        <rFont val="標楷體"/>
        <family val="4"/>
        <charset val="136"/>
      </rPr>
      <t>開業初期資金支持</t>
    </r>
    <r>
      <rPr>
        <b/>
        <vertAlign val="subscript"/>
        <sz val="12"/>
        <color rgb="FFFF0000"/>
        <rFont val="標楷體"/>
        <family val="4"/>
        <charset val="136"/>
      </rPr>
      <t>(營運需求)</t>
    </r>
    <r>
      <rPr>
        <sz val="12"/>
        <color rgb="FF000000"/>
        <rFont val="標楷體"/>
        <family val="4"/>
        <charset val="136"/>
      </rPr>
      <t>皆需要</t>
    </r>
    <r>
      <rPr>
        <b/>
        <sz val="12"/>
        <color rgb="FF000000"/>
        <rFont val="標楷體"/>
        <family val="4"/>
        <charset val="136"/>
      </rPr>
      <t>商業利潤高產值</t>
    </r>
    <r>
      <rPr>
        <b/>
        <vertAlign val="subscript"/>
        <sz val="12"/>
        <color rgb="FFFF0000"/>
        <rFont val="Times New Roman"/>
        <family val="1"/>
      </rPr>
      <t>(</t>
    </r>
    <r>
      <rPr>
        <b/>
        <vertAlign val="subscript"/>
        <sz val="12"/>
        <color rgb="FFFF0000"/>
        <rFont val="標楷體"/>
        <family val="4"/>
        <charset val="136"/>
      </rPr>
      <t>產業特性</t>
    </r>
    <r>
      <rPr>
        <b/>
        <vertAlign val="subscript"/>
        <sz val="12"/>
        <color rgb="FFFF0000"/>
        <rFont val="Times New Roman"/>
        <family val="1"/>
      </rPr>
      <t>)</t>
    </r>
    <r>
      <rPr>
        <sz val="12"/>
        <color rgb="FF000000"/>
        <rFont val="標楷體"/>
        <family val="4"/>
        <charset val="136"/>
      </rPr>
      <t>支持本司其他業務產生的開發費用及人事成本，聊國咖啡具有營運低成本、產品高獲利商業特性，只要客單數提高即可快速稀釋固定成本，且仁義商圈商業同質性極高，皆為早餐店，咖啡飲品</t>
    </r>
    <r>
      <rPr>
        <b/>
        <sz val="12"/>
        <color rgb="FF000000"/>
        <rFont val="標楷體"/>
        <family val="4"/>
        <charset val="136"/>
      </rPr>
      <t>與早餐業有聯合銷售配對的獨特性</t>
    </r>
    <r>
      <rPr>
        <b/>
        <vertAlign val="subscript"/>
        <sz val="12"/>
        <color rgb="FFFF0000"/>
        <rFont val="Times New Roman"/>
        <family val="1"/>
      </rPr>
      <t>(</t>
    </r>
    <r>
      <rPr>
        <b/>
        <vertAlign val="subscript"/>
        <sz val="12"/>
        <color rgb="FFFF0000"/>
        <rFont val="標楷體"/>
        <family val="4"/>
        <charset val="136"/>
      </rPr>
      <t>無法取代特性</t>
    </r>
    <r>
      <rPr>
        <b/>
        <vertAlign val="subscript"/>
        <sz val="12"/>
        <color rgb="FFFF0000"/>
        <rFont val="Times New Roman"/>
        <family val="1"/>
      </rPr>
      <t>)</t>
    </r>
    <r>
      <rPr>
        <sz val="12"/>
        <color rgb="FF000000"/>
        <rFont val="標楷體"/>
        <family val="4"/>
        <charset val="136"/>
      </rPr>
      <t>，且本計畫內涵為異業合作開發市場端可大幅提升客單數，本司亦有發想未來可在早餐店午後打烊後利用其營業場地經營如無人咖啡座、</t>
    </r>
    <r>
      <rPr>
        <sz val="12"/>
        <color rgb="FF000000"/>
        <rFont val="Times New Roman"/>
        <family val="1"/>
      </rPr>
      <t>K</t>
    </r>
    <r>
      <rPr>
        <sz val="12"/>
        <color rgb="FF000000"/>
        <rFont val="標楷體"/>
        <family val="4"/>
        <charset val="136"/>
      </rPr>
      <t>書中心</t>
    </r>
    <r>
      <rPr>
        <vertAlign val="subscript"/>
        <sz val="12"/>
        <color rgb="FFFF0000"/>
        <rFont val="Times New Roman"/>
        <family val="1"/>
      </rPr>
      <t>(</t>
    </r>
    <r>
      <rPr>
        <vertAlign val="subscript"/>
        <sz val="12"/>
        <color rgb="FFFF0000"/>
        <rFont val="標楷體"/>
        <family val="4"/>
        <charset val="136"/>
      </rPr>
      <t>後續創新開發項目</t>
    </r>
    <r>
      <rPr>
        <vertAlign val="subscript"/>
        <sz val="12"/>
        <color rgb="FFFF0000"/>
        <rFont val="Times New Roman"/>
        <family val="1"/>
      </rPr>
      <t>)</t>
    </r>
    <r>
      <rPr>
        <sz val="12"/>
        <color rgb="FF000000"/>
        <rFont val="標楷體"/>
        <family val="4"/>
        <charset val="136"/>
      </rPr>
      <t>，由此可知咖啡廳與早餐店合作關係遠大於利益競爭、咖啡或飲料產品的</t>
    </r>
    <r>
      <rPr>
        <b/>
        <sz val="12"/>
        <color rgb="FF000000"/>
        <rFont val="標楷體"/>
        <family val="4"/>
        <charset val="136"/>
      </rPr>
      <t>食材成本約佔售價的</t>
    </r>
    <r>
      <rPr>
        <b/>
        <sz val="12"/>
        <color rgb="FF000000"/>
        <rFont val="Times New Roman"/>
        <family val="1"/>
      </rPr>
      <t>25%</t>
    </r>
    <r>
      <rPr>
        <b/>
        <sz val="12"/>
        <color rgb="FF000000"/>
        <rFont val="標楷體"/>
        <family val="4"/>
        <charset val="136"/>
      </rPr>
      <t>不到</t>
    </r>
    <r>
      <rPr>
        <sz val="12"/>
        <color rgb="FF000000"/>
        <rFont val="標楷體"/>
        <family val="4"/>
        <charset val="136"/>
      </rPr>
      <t>，產業韌性高</t>
    </r>
    <r>
      <rPr>
        <b/>
        <vertAlign val="subscript"/>
        <sz val="12"/>
        <color rgb="FFFF0000"/>
        <rFont val="Times New Roman"/>
        <family val="1"/>
      </rPr>
      <t>(</t>
    </r>
    <r>
      <rPr>
        <b/>
        <vertAlign val="subscript"/>
        <sz val="12"/>
        <color rgb="FFFF0000"/>
        <rFont val="標楷體"/>
        <family val="4"/>
        <charset val="136"/>
      </rPr>
      <t>淡季抗性強</t>
    </r>
    <r>
      <rPr>
        <b/>
        <vertAlign val="subscript"/>
        <sz val="12"/>
        <color rgb="FFFF0000"/>
        <rFont val="Times New Roman"/>
        <family val="1"/>
      </rPr>
      <t>)</t>
    </r>
    <r>
      <rPr>
        <sz val="12"/>
        <color rgb="FF000000"/>
        <rFont val="標楷體"/>
        <family val="4"/>
        <charset val="136"/>
      </rPr>
      <t>，因計劃本身將開啟獨特本司無法運用連鎖咖啡店加盟，並且市面上如聊國咖啡獨資經營型態咖啡店開業後歷經十數年仍屹立不搖，</t>
    </r>
    <r>
      <rPr>
        <b/>
        <sz val="12"/>
        <color rgb="FF000000"/>
        <rFont val="標楷體"/>
        <family val="4"/>
        <charset val="136"/>
      </rPr>
      <t>不受連鎖咖啡業及新冠疫情夾殺</t>
    </r>
    <r>
      <rPr>
        <sz val="12"/>
        <color rgb="FF000000"/>
        <rFont val="標楷體"/>
        <family val="4"/>
        <charset val="136"/>
      </rPr>
      <t>而歇業倒閉，具有高度的產業韌性，更加重要的是</t>
    </r>
    <r>
      <rPr>
        <b/>
        <sz val="12"/>
        <color rgb="FF000000"/>
        <rFont val="標楷體"/>
        <family val="4"/>
        <charset val="136"/>
      </rPr>
      <t>非連鎖品牌</t>
    </r>
    <r>
      <rPr>
        <sz val="12"/>
        <color rgb="FF000000"/>
        <rFont val="標楷體"/>
        <family val="4"/>
        <charset val="136"/>
      </rPr>
      <t>，具營運靈活度，該商行經營模式傳統，我司加盟亦可導入雲端銷售方案互利互惠，本司亦曾購買其咖啡產品請專業咖啡師品鑒，屬中上層級咖啡，目前其定價偏低，是最佳也是唯一的選擇。</t>
    </r>
  </si>
  <si>
    <r>
      <t>經費(單位：千元</t>
    </r>
    <r>
      <rPr>
        <sz val="12"/>
        <color rgb="FF000000"/>
        <rFont val="Times New Roman"/>
        <family val="1"/>
      </rPr>
      <t>)</t>
    </r>
  </si>
  <si>
    <r>
      <t>1,000(</t>
    </r>
    <r>
      <rPr>
        <sz val="12"/>
        <color rgb="FF000000"/>
        <rFont val="標楷體"/>
        <family val="4"/>
        <charset val="136"/>
      </rPr>
      <t>加盟金</t>
    </r>
    <r>
      <rPr>
        <sz val="12"/>
        <color rgb="FF000000"/>
        <rFont val="Times New Roman"/>
        <family val="1"/>
      </rPr>
      <t>)</t>
    </r>
  </si>
  <si>
    <t>無法引進時之因應策略</t>
  </si>
  <si>
    <r>
      <t>本司因資本額限制擬規劃最高</t>
    </r>
    <r>
      <rPr>
        <sz val="12"/>
        <color rgb="FF000000"/>
        <rFont val="Times New Roman"/>
        <family val="1"/>
      </rPr>
      <t>1,000,000</t>
    </r>
    <r>
      <rPr>
        <sz val="12"/>
        <color rgb="FF000000"/>
        <rFont val="標楷體"/>
        <family val="4"/>
        <charset val="136"/>
      </rPr>
      <t>元加盟金，據悉該店目前業主因罹癌故有意將店頂讓，依據目前市場價格，連鎖咖啡加盟金最低</t>
    </r>
    <r>
      <rPr>
        <sz val="12"/>
        <color rgb="FF000000"/>
        <rFont val="Times New Roman"/>
        <family val="1"/>
      </rPr>
      <t>200</t>
    </r>
    <r>
      <rPr>
        <sz val="12"/>
        <color rgb="FF000000"/>
        <rFont val="標楷體"/>
        <family val="4"/>
        <charset val="136"/>
      </rPr>
      <t>萬高標至</t>
    </r>
    <r>
      <rPr>
        <sz val="12"/>
        <color rgb="FF000000"/>
        <rFont val="Times New Roman"/>
        <family val="1"/>
      </rPr>
      <t>400</t>
    </r>
    <r>
      <rPr>
        <sz val="12"/>
        <color rgb="FF000000"/>
        <rFont val="標楷體"/>
        <family val="4"/>
        <charset val="136"/>
      </rPr>
      <t>萬元，故本司僅一百萬預算恐難達成，經本司內部討論，確認此咖啡店確實為最佳選擇，其他替代方案皆可能無法達到本計畫所需條件，故決議如高於</t>
    </r>
    <r>
      <rPr>
        <sz val="12"/>
        <color rgb="FF000000"/>
        <rFont val="Times New Roman"/>
        <family val="1"/>
      </rPr>
      <t>100</t>
    </r>
    <r>
      <rPr>
        <sz val="12"/>
        <color rgb="FF000000"/>
        <rFont val="標楷體"/>
        <family val="4"/>
        <charset val="136"/>
      </rPr>
      <t>萬，營運長願出面與其協商，由本司營運長私人出資或募集資本將其買下或購得股份掌握營運權力，本司再以一百萬以內加盟並執行本計畫</t>
    </r>
  </si>
  <si>
    <r>
      <t>2.</t>
    </r>
    <r>
      <rPr>
        <sz val="12"/>
        <color rgb="FF000000"/>
        <rFont val="標楷體"/>
        <family val="4"/>
        <charset val="136"/>
      </rPr>
      <t>委託研究</t>
    </r>
  </si>
  <si>
    <r>
      <t>AI</t>
    </r>
    <r>
      <rPr>
        <sz val="12"/>
        <color rgb="FF000000"/>
        <rFont val="標楷體"/>
        <family val="4"/>
        <charset val="136"/>
      </rPr>
      <t>社區服務系統開發</t>
    </r>
  </si>
  <si>
    <t>委託對象</t>
  </si>
  <si>
    <t>預計委託名稱</t>
  </si>
  <si>
    <r>
      <t>LINE</t>
    </r>
    <r>
      <rPr>
        <sz val="12"/>
        <color rgb="FF000000"/>
        <rFont val="標楷體"/>
        <family val="4"/>
        <charset val="136"/>
      </rPr>
      <t>串接</t>
    </r>
    <r>
      <rPr>
        <sz val="12"/>
        <color rgb="FF000000"/>
        <rFont val="Times New Roman"/>
        <family val="1"/>
      </rPr>
      <t>AI</t>
    </r>
    <r>
      <rPr>
        <sz val="12"/>
        <color rgb="FF000000"/>
        <rFont val="標楷體"/>
        <family val="4"/>
        <charset val="136"/>
      </rPr>
      <t>多功能管理服務系統開發</t>
    </r>
  </si>
  <si>
    <r>
      <t>開發及各使用端功能設計包含</t>
    </r>
    <r>
      <rPr>
        <sz val="12"/>
        <color rgb="FFFF0000"/>
        <rFont val="Times New Roman"/>
        <family val="1"/>
      </rPr>
      <t>(</t>
    </r>
    <r>
      <rPr>
        <sz val="12"/>
        <color rgb="FFFF0000"/>
        <rFont val="標楷體"/>
        <family val="4"/>
        <charset val="136"/>
      </rPr>
      <t>居民使用端，物業管理端，保全系統端、商業中心端，照護中心端</t>
    </r>
    <r>
      <rPr>
        <sz val="12"/>
        <color rgb="FFFF0000"/>
        <rFont val="Times New Roman"/>
        <family val="1"/>
      </rPr>
      <t>)</t>
    </r>
    <r>
      <rPr>
        <sz val="12"/>
        <color rgb="FF000000"/>
        <rFont val="標楷體"/>
        <family val="4"/>
        <charset val="136"/>
      </rPr>
      <t>及各種功能服務平台功能如</t>
    </r>
    <r>
      <rPr>
        <sz val="12"/>
        <color rgb="FF92D050"/>
        <rFont val="Times New Roman"/>
        <family val="1"/>
      </rPr>
      <t>(</t>
    </r>
    <r>
      <rPr>
        <sz val="12"/>
        <color rgb="FF92D050"/>
        <rFont val="標楷體"/>
        <family val="4"/>
        <charset val="136"/>
      </rPr>
      <t>商業服務、社區服務、公司客訴興革建議暨營運資訊公開平台、社區組織平台、即時保全服務連繫平台、各社團聊天平台</t>
    </r>
    <r>
      <rPr>
        <sz val="12"/>
        <color rgb="FF92D050"/>
        <rFont val="Times New Roman"/>
        <family val="1"/>
      </rPr>
      <t>)</t>
    </r>
    <r>
      <rPr>
        <sz val="12"/>
        <color rgb="FF000000"/>
        <rFont val="標楷體"/>
        <family val="4"/>
        <charset val="136"/>
      </rPr>
      <t>還得有幾個營運功能系統，如</t>
    </r>
    <r>
      <rPr>
        <sz val="12"/>
        <color rgb="FFFFC000"/>
        <rFont val="Times New Roman"/>
        <family val="1"/>
      </rPr>
      <t>(</t>
    </r>
    <r>
      <rPr>
        <sz val="12"/>
        <color rgb="FFFFC000"/>
        <rFont val="標楷體"/>
        <family val="4"/>
        <charset val="136"/>
      </rPr>
      <t>差勤管理系統、安全巡查簽到系統、財務狀況公開查詢系統、公益健康課程報名系統、獨居老人警示系統、專勤隊勤務發送及應派系統、緊急呼救系統</t>
    </r>
    <r>
      <rPr>
        <sz val="12"/>
        <color rgb="FF000000"/>
        <rFont val="Times New Roman"/>
        <family val="1"/>
      </rPr>
      <t>)</t>
    </r>
    <r>
      <rPr>
        <sz val="12"/>
        <color rgb="FF000000"/>
        <rFont val="標楷體"/>
        <family val="4"/>
        <charset val="136"/>
      </rPr>
      <t>，我司之研發經費一定沒辦法讓系統一次到位，必須得找一家或一位，認為這系統有極大的發揮空間願意以我們為開發標的公司或工程師以較低廉的價格或專利轄區外的專利權作為開發條件，這系統經費才能足夠。</t>
    </r>
  </si>
  <si>
    <t>委託對象之必要性，其背景與技術能力分析</t>
  </si>
  <si>
    <r>
      <t>需具備</t>
    </r>
    <r>
      <rPr>
        <sz val="12"/>
        <color rgb="FF000000"/>
        <rFont val="Times New Roman"/>
        <family val="1"/>
      </rPr>
      <t xml:space="preserve">AI </t>
    </r>
    <r>
      <rPr>
        <sz val="12"/>
        <color rgb="FF000000"/>
        <rFont val="標楷體"/>
        <family val="4"/>
        <charset val="136"/>
      </rPr>
      <t>核心技術且能整合</t>
    </r>
    <r>
      <rPr>
        <sz val="12"/>
        <color rgb="FF000000"/>
        <rFont val="Times New Roman"/>
        <family val="1"/>
      </rPr>
      <t>CMP</t>
    </r>
    <r>
      <rPr>
        <sz val="12"/>
        <color rgb="FF000000"/>
        <rFont val="標楷體"/>
        <family val="4"/>
        <charset val="136"/>
      </rPr>
      <t>及</t>
    </r>
    <r>
      <rPr>
        <sz val="12"/>
        <color rgb="FF000000"/>
        <rFont val="Times New Roman"/>
        <family val="1"/>
      </rPr>
      <t>ERP</t>
    </r>
    <r>
      <rPr>
        <sz val="12"/>
        <color rgb="FF000000"/>
        <rFont val="標楷體"/>
        <family val="4"/>
        <charset val="136"/>
      </rPr>
      <t>，社區</t>
    </r>
    <r>
      <rPr>
        <sz val="12"/>
        <color rgb="FF000000"/>
        <rFont val="Times New Roman"/>
        <family val="1"/>
      </rPr>
      <t>ERP</t>
    </r>
    <r>
      <rPr>
        <sz val="12"/>
        <color rgb="FF000000"/>
        <rFont val="標楷體"/>
        <family val="4"/>
        <charset val="136"/>
      </rPr>
      <t>及商業</t>
    </r>
    <r>
      <rPr>
        <sz val="12"/>
        <color rgb="FF000000"/>
        <rFont val="Times New Roman"/>
        <family val="1"/>
      </rPr>
      <t>ERP</t>
    </r>
    <r>
      <rPr>
        <sz val="12"/>
        <color rgb="FF000000"/>
        <rFont val="標楷體"/>
        <family val="4"/>
        <charset val="136"/>
      </rPr>
      <t>經驗尤佳</t>
    </r>
  </si>
  <si>
    <t>無法委託時之因應策略</t>
  </si>
  <si>
    <t>雇用系統開發專業人員進行開發</t>
  </si>
  <si>
    <r>
      <t>3.</t>
    </r>
    <r>
      <rPr>
        <sz val="12"/>
        <color rgb="FF000000"/>
        <rFont val="標楷體"/>
        <family val="4"/>
        <charset val="136"/>
      </rPr>
      <t>驗證（含委外測試）</t>
    </r>
  </si>
  <si>
    <t>驗證單位</t>
  </si>
  <si>
    <t>五常物業管理規劃股份有限公司</t>
  </si>
  <si>
    <t>驗證名稱</t>
  </si>
  <si>
    <t>聯合營運系統效能峰值及安全系統反映時間效能</t>
  </si>
  <si>
    <r>
      <t>1.</t>
    </r>
    <r>
      <rPr>
        <sz val="7"/>
        <color rgb="FF000000"/>
        <rFont val="Times New Roman"/>
        <family val="1"/>
      </rPr>
      <t xml:space="preserve">         </t>
    </r>
    <r>
      <rPr>
        <sz val="12"/>
        <color rgb="FF000000"/>
        <rFont val="標楷體"/>
        <family val="4"/>
        <charset val="136"/>
      </rPr>
      <t>驗證本計畫商業聯合銷售系統、訂餐系統物業客戶端、勞務派遣機制聯合運作時是否順暢，當達到一定業務峰期時，系統及人力可否能夠負荷</t>
    </r>
  </si>
  <si>
    <r>
      <t>2.</t>
    </r>
    <r>
      <rPr>
        <sz val="7"/>
        <color rgb="FF000000"/>
        <rFont val="Times New Roman"/>
        <family val="1"/>
      </rPr>
      <t xml:space="preserve">         </t>
    </r>
    <r>
      <rPr>
        <sz val="12"/>
        <color rgb="FF000000"/>
        <rFont val="標楷體"/>
        <family val="4"/>
        <charset val="136"/>
      </rPr>
      <t>安全中心硬體設備及各項功能保全搭配效能，反應時間及危機應變能力</t>
    </r>
  </si>
  <si>
    <t>驗證單位之必要性，其背景與技術能力分析</t>
  </si>
  <si>
    <r>
      <t>1.</t>
    </r>
    <r>
      <rPr>
        <sz val="7"/>
        <color rgb="FF000000"/>
        <rFont val="Times New Roman"/>
        <family val="1"/>
      </rPr>
      <t xml:space="preserve">         </t>
    </r>
    <r>
      <rPr>
        <sz val="12"/>
        <color rgb="FF000000"/>
        <rFont val="標楷體"/>
        <family val="4"/>
        <charset val="136"/>
      </rPr>
      <t>本司營運長具有商業經營經驗且營運餐飲業數年經驗，且制定本司所有</t>
    </r>
    <r>
      <rPr>
        <sz val="12"/>
        <color rgb="FF000000"/>
        <rFont val="Times New Roman"/>
        <family val="1"/>
      </rPr>
      <t>SOP</t>
    </r>
    <r>
      <rPr>
        <sz val="12"/>
        <color rgb="FF000000"/>
        <rFont val="標楷體"/>
        <family val="4"/>
        <charset val="136"/>
      </rPr>
      <t>程序及設計自動檢查表。</t>
    </r>
  </si>
  <si>
    <r>
      <t>2.</t>
    </r>
    <r>
      <rPr>
        <sz val="7"/>
        <color rgb="FF000000"/>
        <rFont val="Times New Roman"/>
        <family val="1"/>
      </rPr>
      <t xml:space="preserve">         </t>
    </r>
    <r>
      <rPr>
        <sz val="12"/>
        <color rgb="FF000000"/>
        <rFont val="標楷體"/>
        <family val="4"/>
        <charset val="136"/>
      </rPr>
      <t>本司營運長軍事資歷為海軍陸戰隊基地警衛旅壽山守備營上士士官長退伍，曾歷任海軍彈總庫大門管制哨哨長、壽山要塞堡壘區大門管制哨哨長、海軍明德訓練班大門哨哨長、恆春保力雷達站一分鐘待命班指揮官、新加坡恆春訓練基地大門哨哨長、後九團團作戰計畫作戰士，戰鬥佈防經驗豐富，足以指揮及設計保全驗證機制。</t>
    </r>
  </si>
  <si>
    <t>無法驗證時之因應策略</t>
  </si>
  <si>
    <t>本司自辦無法驗證之概率無須列入考慮</t>
  </si>
  <si>
    <r>
      <t>(三</t>
    </r>
    <r>
      <rPr>
        <sz val="12"/>
        <color rgb="FF000000"/>
        <rFont val="標楷體"/>
        <family val="1"/>
        <charset val="136"/>
      </rPr>
      <t>)</t>
    </r>
    <r>
      <rPr>
        <sz val="12"/>
        <color rgb="FF000000"/>
        <rFont val="標楷體"/>
        <family val="4"/>
        <charset val="136"/>
      </rPr>
      <t>無形資產引進、委託研究或驗證或聘請顧問專家情形：</t>
    </r>
    <phoneticPr fontId="9" type="noConversion"/>
  </si>
  <si>
    <r>
      <t>4.</t>
    </r>
    <r>
      <rPr>
        <sz val="12"/>
        <color rgb="FF000000"/>
        <rFont val="標楷體"/>
        <family val="4"/>
        <charset val="136"/>
      </rPr>
      <t>顧問專家</t>
    </r>
  </si>
  <si>
    <t>顧問專家</t>
  </si>
  <si>
    <t>官釗鈱</t>
  </si>
  <si>
    <t>年資</t>
  </si>
  <si>
    <t>目前任職單位及職稱</t>
  </si>
  <si>
    <t>齊家物業林口區經理、中華物業協會教育長</t>
  </si>
  <si>
    <t>聘請之必要性，其對本計畫指導項目</t>
  </si>
  <si>
    <r>
      <t>顧問費</t>
    </r>
    <r>
      <rPr>
        <sz val="12"/>
        <color rgb="FF000000"/>
        <rFont val="Times New Roman"/>
        <family val="1"/>
      </rPr>
      <t>(</t>
    </r>
    <r>
      <rPr>
        <sz val="12"/>
        <color rgb="FF000000"/>
        <rFont val="標楷體"/>
        <family val="4"/>
        <charset val="136"/>
      </rPr>
      <t>單位：千元</t>
    </r>
    <r>
      <rPr>
        <sz val="12"/>
        <color rgb="FF000000"/>
        <rFont val="Times New Roman"/>
        <family val="1"/>
      </rPr>
      <t>)</t>
    </r>
  </si>
  <si>
    <t>指導期間</t>
  </si>
  <si>
    <t>企劃籌備期至本企劃結束</t>
  </si>
  <si>
    <r>
      <t>為引導企業建立資安防護機制，以保障企業重要生產資訊，並提升企業資安防護能量，若計畫標的屬資訊及數位產業、物聯網科技、</t>
    </r>
    <r>
      <rPr>
        <b/>
        <u/>
        <sz val="12"/>
        <color rgb="FF000000"/>
        <rFont val="Times New Roman"/>
        <family val="1"/>
      </rPr>
      <t>AI</t>
    </r>
    <r>
      <rPr>
        <b/>
        <u/>
        <sz val="12"/>
        <color rgb="FF000000"/>
        <rFont val="標楷體"/>
        <family val="4"/>
        <charset val="136"/>
      </rPr>
      <t>應用、半導體等，請進行資安說明。</t>
    </r>
  </si>
  <si>
    <r>
      <t>1.</t>
    </r>
    <r>
      <rPr>
        <sz val="7"/>
        <color rgb="FF000000"/>
        <rFont val="Times New Roman"/>
        <family val="1"/>
      </rPr>
      <t xml:space="preserve">  </t>
    </r>
    <r>
      <rPr>
        <sz val="12"/>
        <color rgb="FF000000"/>
        <rFont val="標楷體"/>
        <family val="4"/>
        <charset val="136"/>
      </rPr>
      <t>規劃內容：</t>
    </r>
  </si>
  <si>
    <t>由合約廠商規劃。</t>
  </si>
  <si>
    <r>
      <t>2.</t>
    </r>
    <r>
      <rPr>
        <sz val="7"/>
        <color rgb="FF000000"/>
        <rFont val="Times New Roman"/>
        <family val="1"/>
      </rPr>
      <t xml:space="preserve">  </t>
    </r>
    <r>
      <rPr>
        <sz val="12"/>
        <color rgb="FF000000"/>
        <rFont val="標楷體"/>
        <family val="4"/>
        <charset val="136"/>
      </rPr>
      <t>委外，資訊安全相關項目經費：待估。</t>
    </r>
  </si>
  <si>
    <t>四、競爭分析及行銷策略規劃</t>
  </si>
  <si>
    <r>
      <t>(</t>
    </r>
    <r>
      <rPr>
        <sz val="12"/>
        <color rgb="FF000000"/>
        <rFont val="標楷體"/>
        <family val="4"/>
        <charset val="136"/>
      </rPr>
      <t>一</t>
    </r>
    <r>
      <rPr>
        <sz val="12"/>
        <color rgb="FF000000"/>
        <rFont val="Times New Roman"/>
        <family val="1"/>
      </rPr>
      <t>)</t>
    </r>
    <r>
      <rPr>
        <sz val="12"/>
        <color rgb="FF000000"/>
        <rFont val="標楷體"/>
        <family val="4"/>
        <charset val="136"/>
      </rPr>
      <t>競爭分析比較</t>
    </r>
  </si>
  <si>
    <r>
      <t>1.</t>
    </r>
    <r>
      <rPr>
        <sz val="12"/>
        <color rgb="FF000000"/>
        <rFont val="標楷體"/>
        <family val="4"/>
        <charset val="136"/>
      </rPr>
      <t>物業</t>
    </r>
  </si>
  <si>
    <t>　　　　　　　　　　　　　公司</t>
  </si>
  <si>
    <t>比較項目</t>
  </si>
  <si>
    <t>本公司</t>
  </si>
  <si>
    <r>
      <t>境外</t>
    </r>
    <r>
      <rPr>
        <sz val="12"/>
        <color rgb="FF000000"/>
        <rFont val="Times New Roman"/>
        <family val="1"/>
      </rPr>
      <t>A</t>
    </r>
    <r>
      <rPr>
        <sz val="12"/>
        <color rgb="FF000000"/>
        <rFont val="標楷體"/>
        <family val="4"/>
        <charset val="136"/>
      </rPr>
      <t>公司</t>
    </r>
  </si>
  <si>
    <r>
      <t>國內</t>
    </r>
    <r>
      <rPr>
        <sz val="12"/>
        <color rgb="FF000000"/>
        <rFont val="Times New Roman"/>
        <family val="1"/>
      </rPr>
      <t>E</t>
    </r>
    <r>
      <rPr>
        <sz val="12"/>
        <color rgb="FF000000"/>
        <rFont val="標楷體"/>
        <family val="4"/>
        <charset val="136"/>
      </rPr>
      <t>公司</t>
    </r>
  </si>
  <si>
    <r>
      <t>1.</t>
    </r>
    <r>
      <rPr>
        <sz val="7"/>
        <color rgb="FF000000"/>
        <rFont val="Times New Roman"/>
        <family val="1"/>
      </rPr>
      <t xml:space="preserve">         </t>
    </r>
    <r>
      <rPr>
        <sz val="12"/>
        <color rgb="FF000000"/>
        <rFont val="標楷體"/>
        <family val="4"/>
        <charset val="136"/>
      </rPr>
      <t>價格</t>
    </r>
    <r>
      <rPr>
        <sz val="12"/>
        <color rgb="FF000000"/>
        <rFont val="Times New Roman"/>
        <family val="1"/>
      </rPr>
      <t>(</t>
    </r>
    <r>
      <rPr>
        <sz val="12"/>
        <color rgb="FF000000"/>
        <rFont val="標楷體"/>
        <family val="4"/>
        <charset val="136"/>
      </rPr>
      <t>單位：</t>
    </r>
    <r>
      <rPr>
        <sz val="12"/>
        <color rgb="FF000000"/>
        <rFont val="Times New Roman"/>
        <family val="1"/>
      </rPr>
      <t xml:space="preserve">  )</t>
    </r>
  </si>
  <si>
    <r>
      <t>2.</t>
    </r>
    <r>
      <rPr>
        <sz val="7"/>
        <color rgb="FF000000"/>
        <rFont val="Times New Roman"/>
        <family val="1"/>
      </rPr>
      <t xml:space="preserve">         </t>
    </r>
    <r>
      <rPr>
        <sz val="12"/>
        <color rgb="FF000000"/>
        <rFont val="標楷體"/>
        <family val="4"/>
        <charset val="136"/>
      </rPr>
      <t>上市時間</t>
    </r>
  </si>
  <si>
    <t>規劃中</t>
  </si>
  <si>
    <r>
      <t>3.</t>
    </r>
    <r>
      <rPr>
        <sz val="7"/>
        <color rgb="FF000000"/>
        <rFont val="Times New Roman"/>
        <family val="1"/>
      </rPr>
      <t xml:space="preserve">         </t>
    </r>
    <r>
      <rPr>
        <sz val="12"/>
        <color rgb="FF000000"/>
        <rFont val="標楷體"/>
        <family val="4"/>
        <charset val="136"/>
      </rPr>
      <t>技術比較／服務比較</t>
    </r>
  </si>
  <si>
    <t>壓縮人事成本，血汗保全員，此價格業界幾乎無公司可完全按勞基法最低道德標準</t>
  </si>
  <si>
    <r>
      <t>(1)</t>
    </r>
    <r>
      <rPr>
        <sz val="12"/>
        <color rgb="FF000000"/>
        <rFont val="標楷體"/>
        <family val="4"/>
        <charset val="136"/>
      </rPr>
      <t>總幹事服務</t>
    </r>
  </si>
  <si>
    <r>
      <t>8</t>
    </r>
    <r>
      <rPr>
        <sz val="12"/>
        <color rgb="FF000000"/>
        <rFont val="標楷體"/>
        <family val="4"/>
        <charset val="136"/>
      </rPr>
      <t>小時駐點，有狀況能隨傳稍晚到</t>
    </r>
  </si>
  <si>
    <r>
      <t>秘書</t>
    </r>
    <r>
      <rPr>
        <sz val="12"/>
        <color rgb="FF000000"/>
        <rFont val="Times New Roman"/>
        <family val="1"/>
      </rPr>
      <t>8</t>
    </r>
    <r>
      <rPr>
        <sz val="12"/>
        <color rgb="FF000000"/>
        <rFont val="標楷體"/>
        <family val="4"/>
        <charset val="136"/>
      </rPr>
      <t>小時駐點</t>
    </r>
  </si>
  <si>
    <r>
      <t>(2)</t>
    </r>
    <r>
      <rPr>
        <sz val="12"/>
        <color rgb="FF000000"/>
        <rFont val="標楷體"/>
        <family val="4"/>
        <charset val="136"/>
      </rPr>
      <t>保全服務方案</t>
    </r>
  </si>
  <si>
    <r>
      <t>66%</t>
    </r>
    <r>
      <rPr>
        <sz val="12"/>
        <color rgb="FF000000"/>
        <rFont val="標楷體"/>
        <family val="4"/>
        <charset val="136"/>
      </rPr>
      <t>或</t>
    </r>
    <r>
      <rPr>
        <sz val="12"/>
        <color rgb="FF000000"/>
        <rFont val="Times New Roman"/>
        <family val="1"/>
      </rPr>
      <t>33%</t>
    </r>
    <r>
      <rPr>
        <sz val="12"/>
        <color rgb="FF000000"/>
        <rFont val="標楷體"/>
        <family val="4"/>
        <charset val="136"/>
      </rPr>
      <t>駐點人力成本其餘時間由無人保全系統搭配巡邏哨簽到如有需要</t>
    </r>
    <r>
      <rPr>
        <sz val="12"/>
        <color rgb="FF000000"/>
        <rFont val="Times New Roman"/>
        <family val="1"/>
      </rPr>
      <t>5</t>
    </r>
    <r>
      <rPr>
        <sz val="12"/>
        <color rgb="FF000000"/>
        <rFont val="標楷體"/>
        <family val="4"/>
        <charset val="136"/>
      </rPr>
      <t>分鐘內到場，系統加上機動巡邏的社區安全網約降低</t>
    </r>
    <r>
      <rPr>
        <sz val="12"/>
        <color rgb="FF000000"/>
        <rFont val="Times New Roman"/>
        <family val="1"/>
      </rPr>
      <t>20%</t>
    </r>
    <r>
      <rPr>
        <sz val="12"/>
        <color rgb="FF000000"/>
        <rFont val="標楷體"/>
        <family val="4"/>
        <charset val="136"/>
      </rPr>
      <t>管理維護成本，也可加購上下班車道指揮保全員</t>
    </r>
  </si>
  <si>
    <r>
      <t>100%</t>
    </r>
    <r>
      <rPr>
        <sz val="12"/>
        <color rgb="FF000000"/>
        <rFont val="標楷體"/>
        <family val="4"/>
        <charset val="136"/>
      </rPr>
      <t>人事成本及</t>
    </r>
    <r>
      <rPr>
        <sz val="12"/>
        <color rgb="FF000000"/>
        <rFont val="Times New Roman"/>
        <family val="1"/>
      </rPr>
      <t>24</t>
    </r>
    <r>
      <rPr>
        <sz val="12"/>
        <color rgb="FF000000"/>
        <rFont val="標楷體"/>
        <family val="4"/>
        <charset val="136"/>
      </rPr>
      <t>小時保全員駐點</t>
    </r>
  </si>
  <si>
    <r>
      <t>80%</t>
    </r>
    <r>
      <rPr>
        <sz val="12"/>
        <color rgb="FF000000"/>
        <rFont val="標楷體"/>
        <family val="4"/>
        <charset val="136"/>
      </rPr>
      <t>管理維護成本需延長工時貼班，遊走在違反勞基法周邊地帶，對保全員及社區秘書工作條件血汗且每況愈下</t>
    </r>
  </si>
  <si>
    <r>
      <t>(3)</t>
    </r>
    <r>
      <rPr>
        <sz val="12"/>
        <color rgb="FF000000"/>
        <rFont val="標楷體"/>
        <family val="4"/>
        <charset val="136"/>
      </rPr>
      <t>附加項目</t>
    </r>
  </si>
  <si>
    <t>物業管理公司</t>
  </si>
  <si>
    <t>代班保全員，事務人員夜間狀態排除、功能性保全(車道指揮)，其他物業管理功能</t>
  </si>
  <si>
    <t>管委會：</t>
  </si>
  <si>
    <t>督考社區事務、提出專業規、創造社區收入、統辦社區活動、提供社工服務、社區照護孩童臨托服務、勞務需求服務。</t>
  </si>
  <si>
    <t>住  戶：</t>
  </si>
  <si>
    <r>
      <t>每月可領</t>
    </r>
    <r>
      <rPr>
        <b/>
        <sz val="10"/>
        <color rgb="FF000000"/>
        <rFont val="標楷體"/>
        <family val="4"/>
        <charset val="136"/>
      </rPr>
      <t>&lt;五常樂活消費券&gt;</t>
    </r>
    <r>
      <rPr>
        <sz val="10"/>
        <color rgb="FF000000"/>
        <rFont val="標楷體"/>
        <family val="4"/>
        <charset val="136"/>
      </rPr>
      <t>、網路商店</t>
    </r>
    <r>
      <rPr>
        <b/>
        <sz val="10"/>
        <color rgb="FF000000"/>
        <rFont val="標楷體"/>
        <family val="4"/>
        <charset val="136"/>
      </rPr>
      <t>&lt;五常柑仔店&gt;</t>
    </r>
    <r>
      <rPr>
        <sz val="10"/>
        <color rgb="FF000000"/>
        <rFont val="標楷體"/>
        <family val="4"/>
        <charset val="136"/>
      </rPr>
      <t>VIP會員。本公司營業收入依總合約金額高低議定</t>
    </r>
  </si>
  <si>
    <t>豪宅式服務，口碑保全員秘書外型及談吐禮節都有極高水準，收費及高</t>
  </si>
  <si>
    <t>價格與本司專案相差無幾，但卻極少附加項目，服務水準稱差不齊</t>
  </si>
  <si>
    <t>未推出</t>
  </si>
  <si>
    <t>網路、業務員</t>
  </si>
  <si>
    <r>
      <t>6.</t>
    </r>
    <r>
      <rPr>
        <sz val="7"/>
        <color rgb="FF000000"/>
        <rFont val="Times New Roman"/>
        <family val="1"/>
      </rPr>
      <t xml:space="preserve">         </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</si>
  <si>
    <t>三重區五常、五順、仁忠三里</t>
  </si>
  <si>
    <t>1.掌握社區發展協會，整府補助經費優勢，可提供具有公費補助之社區服務項目。</t>
  </si>
  <si>
    <t>高專業度，高服務費但品質也高，民眾認同度高</t>
  </si>
  <si>
    <t>價格低廉，經費節約</t>
  </si>
  <si>
    <r>
      <t>(1)</t>
    </r>
    <r>
      <rPr>
        <sz val="12"/>
        <color rgb="FF000000"/>
        <rFont val="標楷體"/>
        <family val="4"/>
        <charset val="136"/>
      </rPr>
      <t>品牌知名度</t>
    </r>
  </si>
  <si>
    <t>公益性品牌及在地服務</t>
  </si>
  <si>
    <t>口碑及市場認同度高</t>
  </si>
  <si>
    <t>低</t>
  </si>
  <si>
    <r>
      <t>(2)</t>
    </r>
    <r>
      <rPr>
        <sz val="12"/>
        <color rgb="FF000000"/>
        <rFont val="標楷體"/>
        <family val="4"/>
        <charset val="136"/>
      </rPr>
      <t>法令及政府特許及其他優勢</t>
    </r>
  </si>
  <si>
    <r>
      <t>1.</t>
    </r>
    <r>
      <rPr>
        <sz val="12"/>
        <color rgb="FF000000"/>
        <rFont val="標楷體"/>
        <family val="4"/>
        <charset val="136"/>
      </rPr>
      <t>內政部社區發展綱要特許社區發展協會(股東及業務客戶)合法收集調查記錄社區人文及地理地理資訊並用於社區發展工作(受託業務)</t>
    </r>
  </si>
  <si>
    <t>2.社區發展協會委託本司來自各局處室年度近百萬銀髮照護、社會福利、日照工作費用，可進入客戶社區辦理</t>
  </si>
  <si>
    <t>3.可加購服務項目(上下班車道管制、社區設施使用教練)，高度客製化。</t>
  </si>
  <si>
    <t>可直接辦理承攬業務、傭有豪宅服務經驗、機電、清潔、強大一條龍服務的產業後盾</t>
  </si>
  <si>
    <t>可直接辦理承攬業務、價格低廉</t>
  </si>
  <si>
    <r>
      <t>(3)</t>
    </r>
    <r>
      <rPr>
        <sz val="12"/>
        <color rgb="FF000000"/>
        <rFont val="標楷體"/>
        <family val="4"/>
        <charset val="136"/>
      </rPr>
      <t>劣勢</t>
    </r>
  </si>
  <si>
    <t>資本額不足，無法直接辦理承攬合約，只能透過委託合約營運，需分潤其他公司。</t>
  </si>
  <si>
    <t>價格昂貴</t>
  </si>
  <si>
    <t>違反法令易遭員工及同行檢舉保全員良莠不齊</t>
  </si>
  <si>
    <r>
      <t>(4)</t>
    </r>
    <r>
      <rPr>
        <sz val="12"/>
        <color rgb="FF000000"/>
        <rFont val="標楷體"/>
        <family val="4"/>
        <charset val="136"/>
      </rPr>
      <t>化劣為優</t>
    </r>
  </si>
  <si>
    <t>1.善用社區在的人力，評估體適能及個性，受予適合的工作項目及時間，在絕不違法血汗勞動的前提下，顧及勞工身心健康</t>
  </si>
  <si>
    <t>本司所管理之務業利用多舉辦各類福利活動及商業促銷優惠來凸顯價格高於品質</t>
  </si>
  <si>
    <r>
      <t>(</t>
    </r>
    <r>
      <rPr>
        <sz val="12"/>
        <color rgb="FF000000"/>
        <rFont val="標楷體"/>
        <family val="4"/>
        <charset val="136"/>
      </rPr>
      <t>低</t>
    </r>
    <r>
      <rPr>
        <sz val="12"/>
        <color rgb="FF000000"/>
        <rFont val="Times New Roman"/>
        <family val="1"/>
      </rPr>
      <t xml:space="preserve"> CP)</t>
    </r>
  </si>
  <si>
    <t>贈送其保全員免費的勞權教育，及救濟管道，免費的起訴狀繕寫服務，及事後的工作機會共同抵制血汗保全市場</t>
  </si>
  <si>
    <r>
      <t>2.</t>
    </r>
    <r>
      <rPr>
        <sz val="12"/>
        <color rgb="FF000000"/>
        <rFont val="標楷體"/>
        <family val="4"/>
        <charset val="136"/>
      </rPr>
      <t>商業</t>
    </r>
  </si>
  <si>
    <r>
      <t>E</t>
    </r>
    <r>
      <rPr>
        <sz val="12"/>
        <color rgb="FF000000"/>
        <rFont val="標楷體"/>
        <family val="4"/>
        <charset val="136"/>
      </rPr>
      <t>牌</t>
    </r>
  </si>
  <si>
    <t>快牌</t>
  </si>
  <si>
    <r>
      <t>系統月費</t>
    </r>
    <r>
      <rPr>
        <sz val="12"/>
        <color rgb="FF000000"/>
        <rFont val="Times New Roman"/>
        <family val="1"/>
      </rPr>
      <t>2 ,000</t>
    </r>
    <r>
      <rPr>
        <sz val="12"/>
        <color rgb="FF000000"/>
        <rFont val="標楷體"/>
        <family val="4"/>
        <charset val="136"/>
      </rPr>
      <t>可轉為離峰時間營業額或五常活力早餐預購餐點及社區幣核銷</t>
    </r>
  </si>
  <si>
    <r>
      <t>系統</t>
    </r>
    <r>
      <rPr>
        <sz val="12"/>
        <color rgb="FF000000"/>
        <rFont val="Times New Roman"/>
        <family val="1"/>
      </rPr>
      <t>30,000/</t>
    </r>
    <r>
      <rPr>
        <sz val="12"/>
        <color rgb="FF000000"/>
        <rFont val="標楷體"/>
        <family val="4"/>
        <charset val="136"/>
      </rPr>
      <t>年</t>
    </r>
  </si>
  <si>
    <t>內含機器費用</t>
  </si>
  <si>
    <t>系統2年合約價16,000</t>
  </si>
  <si>
    <t>機器耗材另計約10,000元</t>
  </si>
  <si>
    <t>1.數位發展部新創社會企業平台社會企業認定</t>
  </si>
  <si>
    <t>2.運用本司特別訓練之【社區專勤隊】銷售專員按造本司銷售企劃進行。</t>
  </si>
  <si>
    <t>全國各地</t>
  </si>
  <si>
    <t>引進AI智能管理系統串接兩產業客群及服務提供單位，形成新的消費族群及引導消費方向</t>
  </si>
  <si>
    <t>1. 社區專勤隊社區人力外送路況熟悉且應派時間短，其收入可再次形成社區內消費金流</t>
  </si>
  <si>
    <t>2.收費低廉，不到其他品牌一半，另有免成本促銷方案，吸引消費行為能力高</t>
  </si>
  <si>
    <t>3.透過物業整合訂單外送成本大幅降低</t>
  </si>
  <si>
    <t>可直接於知名餐飲平台上架，觸擊率高</t>
  </si>
  <si>
    <t>較少游離散客，透過本平台無法販售飲品。</t>
  </si>
  <si>
    <t>外送員較少無時間優勢</t>
  </si>
  <si>
    <t>1.未來可將單點交貨預購推至交通設施如捷運站，開發異地客群。</t>
  </si>
  <si>
    <t>收費昂貴，外送高抽成，利潤極低，我司之方案在價格上有絕對優施</t>
  </si>
  <si>
    <r>
      <t>(</t>
    </r>
    <r>
      <rPr>
        <sz val="12"/>
        <color rgb="FF000000"/>
        <rFont val="標楷體"/>
        <family val="4"/>
        <charset val="136"/>
      </rPr>
      <t>二</t>
    </r>
    <r>
      <rPr>
        <sz val="12"/>
        <color rgb="FF000000"/>
        <rFont val="Times New Roman"/>
        <family val="1"/>
      </rPr>
      <t>)</t>
    </r>
    <r>
      <rPr>
        <sz val="12"/>
        <color rgb="FF000000"/>
        <rFont val="標楷體"/>
        <family val="4"/>
        <charset val="136"/>
      </rPr>
      <t>行銷策略規劃</t>
    </r>
  </si>
  <si>
    <r>
      <t>1.</t>
    </r>
    <r>
      <rPr>
        <sz val="12"/>
        <color rgb="FF000000"/>
        <rFont val="標楷體"/>
        <family val="4"/>
        <charset val="136"/>
      </rPr>
      <t>產品策略</t>
    </r>
  </si>
  <si>
    <t>A以簡易的比較表來說明我司的優勢</t>
  </si>
  <si>
    <t>物業</t>
  </si>
  <si>
    <t>本司</t>
  </si>
  <si>
    <t>豪宅管理公司</t>
  </si>
  <si>
    <t>低價物業公司</t>
  </si>
  <si>
    <t>價格</t>
  </si>
  <si>
    <t>便宜</t>
  </si>
  <si>
    <t>較高</t>
  </si>
  <si>
    <t>持平</t>
  </si>
  <si>
    <t>服務項目</t>
  </si>
  <si>
    <t>項目多</t>
  </si>
  <si>
    <t>品質高</t>
  </si>
  <si>
    <t>無特殊服務</t>
  </si>
  <si>
    <t>服務品質</t>
  </si>
  <si>
    <t>佳</t>
  </si>
  <si>
    <t>極佳</t>
  </si>
  <si>
    <t>差</t>
  </si>
  <si>
    <t>功能比較</t>
  </si>
  <si>
    <t>高</t>
  </si>
  <si>
    <t>回饋項目</t>
  </si>
  <si>
    <t>超高</t>
  </si>
  <si>
    <t>業主財務進項</t>
  </si>
  <si>
    <t>有</t>
  </si>
  <si>
    <t>無</t>
  </si>
  <si>
    <t>防護能力</t>
  </si>
  <si>
    <t>B誘導式問答</t>
  </si>
  <si>
    <r>
      <t>虛擬通路以物業服務台作為營業點的雲端便利商店</t>
    </r>
    <r>
      <rPr>
        <b/>
        <sz val="12"/>
        <color rgb="FF000000"/>
        <rFont val="標楷體"/>
        <family val="4"/>
        <charset val="136"/>
      </rPr>
      <t>【五常柑仔店】</t>
    </r>
  </si>
  <si>
    <r>
      <t>委任社區客戶住戶回饋方案</t>
    </r>
    <r>
      <rPr>
        <b/>
        <sz val="12"/>
        <color rgb="FF000000"/>
        <rFont val="標楷體"/>
        <family val="4"/>
        <charset val="136"/>
      </rPr>
      <t>【五常樂活福利券】</t>
    </r>
  </si>
  <si>
    <r>
      <t>特殊置入性宣傳手法業務專員</t>
    </r>
    <r>
      <rPr>
        <b/>
        <sz val="12"/>
        <color rgb="FF000000"/>
        <rFont val="標楷體"/>
        <family val="4"/>
        <charset val="136"/>
      </rPr>
      <t>【社區專勤隊】</t>
    </r>
  </si>
  <si>
    <r>
      <t>3.</t>
    </r>
    <r>
      <rPr>
        <sz val="12"/>
        <color rgb="FF000000"/>
        <rFont val="標楷體"/>
        <family val="4"/>
        <charset val="136"/>
      </rPr>
      <t>推廣策略（請說明推廣方式如</t>
    </r>
    <r>
      <rPr>
        <sz val="12"/>
        <rFont val="標楷體"/>
        <family val="4"/>
        <charset val="136"/>
      </rPr>
      <t>廣告</t>
    </r>
    <r>
      <rPr>
        <sz val="12"/>
        <color rgb="FF000000"/>
        <rFont val="標楷體"/>
        <family val="4"/>
        <charset val="136"/>
      </rPr>
      <t>、</t>
    </r>
    <r>
      <rPr>
        <sz val="12"/>
        <rFont val="標楷體"/>
        <family val="4"/>
        <charset val="136"/>
      </rPr>
      <t>促銷</t>
    </r>
    <r>
      <rPr>
        <sz val="12"/>
        <color rgb="FF000000"/>
        <rFont val="標楷體"/>
        <family val="4"/>
        <charset val="136"/>
      </rPr>
      <t>、公關等）</t>
    </r>
  </si>
  <si>
    <t>計畫初期</t>
  </si>
  <si>
    <t>我們會先以社區發展需求名義接觸社區主委或總幹事，了解物業需求了解需求後回本司討論解決方案，藉由解決一些管委會或物業公司的問題來打開知名度。</t>
  </si>
  <si>
    <r>
      <t>計畫中期直營商店測試機會做置入性行銷</t>
    </r>
    <r>
      <rPr>
        <sz val="12"/>
        <color rgb="FF000000"/>
        <rFont val="Times New Roman"/>
        <family val="1"/>
      </rPr>
      <t xml:space="preserve">  </t>
    </r>
  </si>
  <si>
    <r>
      <t>計畫末期拿出專業創新服務項目主動出擊</t>
    </r>
    <r>
      <rPr>
        <sz val="12"/>
        <color rgb="FF000000"/>
        <rFont val="Times New Roman"/>
        <family val="1"/>
      </rPr>
      <t xml:space="preserve"> </t>
    </r>
  </si>
  <si>
    <r>
      <t>藉由當初調查的內容主動向管委會或物業管理公司主動提供服務項目報價，發揮我們的優勢及陳述我們的物業管理改善方案，並強調本司視所有對象為服務客戶，不管今天是住戶、管委會、物業公司、保全公司、我們都有適合您的服務，並不是來搶生意的，並且我們所提供的服務會是大家需要的，</t>
    </r>
    <r>
      <rPr>
        <b/>
        <u/>
        <sz val="12"/>
        <color rgb="FF000000"/>
        <rFont val="標楷體"/>
        <family val="4"/>
        <charset val="136"/>
      </rPr>
      <t>保全公司找代班、物業公司辦活動、導入商業系統的管委會分潤、營利回饋的方案、警報系統誤觸復歸、突發狀況處理、我們都可服務</t>
    </r>
    <r>
      <rPr>
        <sz val="12"/>
        <color rgb="FF000000"/>
        <rFont val="標楷體"/>
        <family val="4"/>
        <charset val="136"/>
      </rPr>
      <t>，共同</t>
    </r>
    <r>
      <rPr>
        <b/>
        <u/>
        <sz val="12"/>
        <color rgb="FF000000"/>
        <rFont val="標楷體"/>
        <family val="4"/>
        <charset val="136"/>
      </rPr>
      <t>提高產業的附加價值，共榮共生</t>
    </r>
    <r>
      <rPr>
        <sz val="12"/>
        <color rgb="FF000000"/>
        <rFont val="標楷體"/>
        <family val="4"/>
        <charset val="136"/>
      </rPr>
      <t>，當然，我們也有協力廠商可直接承攬，也可只使用我們的夜間無人保全系統加上，安全中心社區巡邏網社區內所有的對象都可以是我們服務的客戶，我們的系統保障的不再只有物業，</t>
    </r>
    <r>
      <rPr>
        <b/>
        <u/>
        <sz val="12"/>
        <color rgb="FF000000"/>
        <rFont val="標楷體"/>
        <family val="4"/>
        <charset val="136"/>
      </rPr>
      <t>只要您是本公司的委託客戶，踏進五常社區後，都是我們安全服務的個體。</t>
    </r>
  </si>
  <si>
    <t>透過使用大量的個人社交網轉化為專案行銷方案</t>
  </si>
  <si>
    <r>
      <t>透過【</t>
    </r>
    <r>
      <rPr>
        <b/>
        <sz val="12"/>
        <color rgb="FF000000"/>
        <rFont val="標楷體"/>
        <family val="4"/>
        <charset val="136"/>
      </rPr>
      <t>社區專勤隊】</t>
    </r>
    <r>
      <rPr>
        <sz val="12"/>
        <color rgb="FF000000"/>
        <rFont val="標楷體"/>
        <family val="4"/>
        <charset val="136"/>
      </rPr>
      <t>實施職業訓練找出適合的銷售專員進行業務推廣及族群客戶開發，每個人都有自己的社會關係網，尤其是中高齡的長輩們，都有寬廣的社交網絡，藉由了解個人社交網絡，找出族群內的隱性客戶族群，如</t>
    </r>
    <r>
      <rPr>
        <b/>
        <sz val="12"/>
        <color rgb="FF000000"/>
        <rFont val="標楷體"/>
        <family val="4"/>
        <charset val="136"/>
      </rPr>
      <t>好賭的有賭場飲品市場、補習班老師有學生餐飲需求、學生有早餐及外送需求、公司行號可發展單次高金額折扣策略、團體可戶可開發活動桶裝飲品及工作人員簡餐</t>
    </r>
    <r>
      <rPr>
        <sz val="12"/>
        <color rgb="FF000000"/>
        <rFont val="標楷體"/>
        <family val="4"/>
        <charset val="136"/>
      </rPr>
      <t>，</t>
    </r>
    <r>
      <rPr>
        <b/>
        <u/>
        <sz val="12"/>
        <color rgb="FF000000"/>
        <rFont val="標楷體"/>
        <family val="4"/>
        <charset val="136"/>
      </rPr>
      <t>利用個人的社會關係轉化為客製化銷售專案方案</t>
    </r>
    <r>
      <rPr>
        <sz val="12"/>
        <color rgb="FF000000"/>
        <rFont val="標楷體"/>
        <family val="4"/>
        <charset val="136"/>
      </rPr>
      <t>。</t>
    </r>
  </si>
  <si>
    <t xml:space="preserve">    計畫內容QA</t>
  </si>
  <si>
    <t xml:space="preserve">   雲端銷售方案價格如此低廉，是否合於成本?</t>
  </si>
  <si>
    <t>A:依據本司估算，這樣的不收費的標準當然不符成本，於是本司採雲端飲品獨佔銷售策略，餐飲銷售飲品不予上架販售，利用飲品低成本高收益的特性，支應部分服務衍生成本，藉以提供超低服務費點餐及服務平台招攬商業客戶，至於稅金負擔，對於一家資本利得限制低於10%的公益企業來說，捐的永遠比賺的多，不會有任何營業所得稅的問題，並且本公司認為，依法繳納稅金是本司的重要工作之一，唯有誠實納稅。</t>
  </si>
  <si>
    <t>營運中心的設置成本是否符合成本效益，如安全中心計畫內需有兩名勤務人員，需要有多少物業管理案委託合約金額才能損益兩平?</t>
  </si>
  <si>
    <t>A: 如試算正常狀況，至少需要委任顧問費達到45,000元三倍才能維持損益兩平，已社區全業務委託方案來說至少要三家以上，但本司仍有直營商店營利，及本司全面將總幹事公費送訓照服員並配合政府政策辦理社區關懷據點進入公寓大廈業務，將獲得政府部門薪資補助每月34,000元，協助政府開設照護據點藉以落實政府政策又可降低人事成本，以此方式，約兩個委託案即可兩平，如在獲得政府創新服務補助挹注，我們便可在加快發展腳步，因本司限制因資本獲利的額度用以增加勞工及弱勢族群的支出，又可獲得稅務的減免，且本司營利壓力較低，採閉鎖型公司維持股東單純性，藉以維持公益性，較一般商業組織較無資本獲利壓力，應可勉持。</t>
  </si>
  <si>
    <t>公司獲利如何分配，收益額度使用於公益的對象及額度如何決定?</t>
  </si>
  <si>
    <t xml:space="preserve">A:為使產自社區的營收獲利可以合理使用，符合取之於社區用之於社區的原則，我司設有盈餘運用審查委員會之獨立運作第三方單位，由我司擬定盈餘分配運用計畫後送審通過後實施，盈餘使用計畫須依據我司在章程中有訂定盈餘使用前必須先完成繳納稅金及償債後依據下列對象及比例分配1.勞工權益使用30%、2.再投入研發或回饋客戶30%、法定公積10%、股東權益10%、盈餘運用委員會20%，唯股東權益當年度累積超過持有股票票面價值10%時，超出部分不予分配，改交由委員會統籌使用，本司盈餘未經盈餘運用委員會審議通過不可動支使用。 </t>
  </si>
  <si>
    <t>五、預期效益說明</t>
  </si>
  <si>
    <r>
      <t>(</t>
    </r>
    <r>
      <rPr>
        <sz val="12"/>
        <color rgb="FF000000"/>
        <rFont val="標楷體"/>
        <family val="4"/>
        <charset val="136"/>
      </rPr>
      <t>一</t>
    </r>
    <r>
      <rPr>
        <sz val="12"/>
        <color rgb="FF000000"/>
        <rFont val="Times New Roman"/>
        <family val="1"/>
      </rPr>
      <t>)</t>
    </r>
    <r>
      <rPr>
        <sz val="12"/>
        <color rgb="FF000000"/>
        <rFont val="標楷體"/>
        <family val="4"/>
        <charset val="136"/>
      </rPr>
      <t>獲利模式說明</t>
    </r>
  </si>
  <si>
    <t>我司乃重視公益價值的社會企業，故獲利模式或計算應以公司利益與群眾利益來分別說明</t>
  </si>
  <si>
    <r>
      <t>1.</t>
    </r>
    <r>
      <rPr>
        <sz val="7"/>
        <color rgb="FF000000"/>
        <rFont val="Times New Roman"/>
        <family val="1"/>
      </rPr>
      <t xml:space="preserve">  </t>
    </r>
    <r>
      <rPr>
        <sz val="12"/>
        <color rgb="FF000000"/>
        <rFont val="標楷體"/>
        <family val="4"/>
        <charset val="136"/>
      </rPr>
      <t>轄內各族群、組織利益</t>
    </r>
  </si>
  <si>
    <t>中高齡或弱勢族群</t>
  </si>
  <si>
    <t>獲得高彈性低勞動強度的工作機會，提高社區產能，擴大內需消費力</t>
  </si>
  <si>
    <t>物業管理組織</t>
  </si>
  <si>
    <t>安全度提升，價格降低，收入增加</t>
  </si>
  <si>
    <t>新式公寓大廈居民</t>
  </si>
  <si>
    <t>物業服務機能大幅提升，提高生活便利度，進而對不動產產生保值作用</t>
  </si>
  <si>
    <t>政府單位</t>
  </si>
  <si>
    <t>有本司做為基層第一線的政策推手，落實政府政策，不管是環保還是社區照護上都能有長足的進步</t>
  </si>
  <si>
    <t>由社會弱勢族群翻轉人生所經營的社會企業，有隱惡揚善的功能，讓這些原本社會上的問題，不僅自助，還可助人，是身為社工員的創辦人，事業上的最大成就。</t>
  </si>
  <si>
    <r>
      <t>2.</t>
    </r>
    <r>
      <rPr>
        <sz val="12"/>
        <color rgb="FF000000"/>
        <rFont val="標楷體"/>
        <family val="4"/>
        <charset val="136"/>
      </rPr>
      <t>本司營業上的利益</t>
    </r>
  </si>
  <si>
    <t>物業安全</t>
  </si>
  <si>
    <r>
      <t>(1)</t>
    </r>
    <r>
      <rPr>
        <sz val="7"/>
        <color rgb="FF000000"/>
        <rFont val="Times New Roman"/>
        <family val="1"/>
      </rPr>
      <t xml:space="preserve">      </t>
    </r>
    <r>
      <rPr>
        <sz val="12"/>
        <color rgb="FF000000"/>
        <rFont val="標楷體"/>
        <family val="4"/>
        <charset val="136"/>
      </rPr>
      <t>運用社區安全中心區域安全功能設計加上無人科技保全，降低人力成本</t>
    </r>
  </si>
  <si>
    <r>
      <t>(2)</t>
    </r>
    <r>
      <rPr>
        <sz val="7"/>
        <color rgb="FF000000"/>
        <rFont val="Times New Roman"/>
        <family val="1"/>
      </rPr>
      <t xml:space="preserve">      </t>
    </r>
    <r>
      <rPr>
        <sz val="12"/>
        <color rgb="FF000000"/>
        <rFont val="標楷體"/>
        <family val="4"/>
        <charset val="136"/>
      </rPr>
      <t>利用團隊總幹事服務機制降低總幹事配置，降低人力成本</t>
    </r>
  </si>
  <si>
    <r>
      <t>(3)</t>
    </r>
    <r>
      <rPr>
        <sz val="7"/>
        <color rgb="FF000000"/>
        <rFont val="Times New Roman"/>
        <family val="1"/>
      </rPr>
      <t xml:space="preserve">      </t>
    </r>
    <r>
      <rPr>
        <sz val="12"/>
        <color rgb="FF000000"/>
        <rFont val="標楷體"/>
        <family val="4"/>
        <charset val="136"/>
      </rPr>
      <t>利用社區關懷據點政策獲取政府補助人力，降低人力成本</t>
    </r>
  </si>
  <si>
    <r>
      <t>(4)</t>
    </r>
    <r>
      <rPr>
        <sz val="7"/>
        <color rgb="FF000000"/>
        <rFont val="Times New Roman"/>
        <family val="1"/>
      </rPr>
      <t xml:space="preserve">      </t>
    </r>
    <r>
      <rPr>
        <sz val="12"/>
        <color rgb="FF000000"/>
        <rFont val="標楷體"/>
        <family val="4"/>
        <charset val="136"/>
      </rPr>
      <t>鏈接社區發展協會社區福利補助計畫增加業務服務項目</t>
    </r>
  </si>
  <si>
    <r>
      <t>(5)</t>
    </r>
    <r>
      <rPr>
        <sz val="7"/>
        <color rgb="FF000000"/>
        <rFont val="Times New Roman"/>
        <family val="1"/>
      </rPr>
      <t xml:space="preserve">      </t>
    </r>
    <r>
      <rPr>
        <sz val="12"/>
        <color rgb="FF000000"/>
        <rFont val="標楷體"/>
        <family val="4"/>
        <charset val="136"/>
      </rPr>
      <t>串接商業服務提高生活機能為物業管理組織及居民開創新收益項目及提高生活便利性</t>
    </r>
  </si>
  <si>
    <t>商業利益</t>
  </si>
  <si>
    <r>
      <t>(1)</t>
    </r>
    <r>
      <rPr>
        <sz val="7"/>
        <color rgb="FF000000"/>
        <rFont val="Times New Roman"/>
        <family val="1"/>
      </rPr>
      <t xml:space="preserve">      </t>
    </r>
    <r>
      <rPr>
        <sz val="12"/>
        <color rgb="FF000000"/>
        <rFont val="標楷體"/>
        <family val="4"/>
        <charset val="136"/>
      </rPr>
      <t>利用直營商業飲料業營業項目特性及早餐商圈高密度特性及時間壓縮選擇空間特性，開發預購型制度結合雲端點餐及外送服務，壟斷早餐業飲品市場</t>
    </r>
  </si>
  <si>
    <r>
      <t>(2)</t>
    </r>
    <r>
      <rPr>
        <sz val="7"/>
        <color rgb="FF000000"/>
        <rFont val="Times New Roman"/>
        <family val="1"/>
      </rPr>
      <t xml:space="preserve">      </t>
    </r>
    <r>
      <rPr>
        <sz val="12"/>
        <color rgb="FF000000"/>
        <rFont val="標楷體"/>
        <family val="4"/>
        <charset val="136"/>
      </rPr>
      <t>限量商品消費制度，有平衡店家收入及飢餓行銷的雙重公用，結合商家會員發揮</t>
    </r>
    <r>
      <rPr>
        <sz val="12"/>
        <color rgb="FF000000"/>
        <rFont val="Times New Roman"/>
        <family val="1"/>
      </rPr>
      <t>1+1&gt;2</t>
    </r>
    <r>
      <rPr>
        <sz val="12"/>
        <color rgb="FF000000"/>
        <rFont val="標楷體"/>
        <family val="4"/>
        <charset val="136"/>
      </rPr>
      <t>的經濟效益</t>
    </r>
  </si>
  <si>
    <r>
      <t>(3)</t>
    </r>
    <r>
      <rPr>
        <sz val="7"/>
        <color rgb="FF000000"/>
        <rFont val="Times New Roman"/>
        <family val="1"/>
      </rPr>
      <t xml:space="preserve">      </t>
    </r>
    <r>
      <rPr>
        <sz val="12"/>
        <color rgb="FF000000"/>
        <rFont val="標楷體"/>
        <family val="4"/>
        <charset val="136"/>
      </rPr>
      <t>社區貨幣及條件優惠券的行銷手法製造出離峰時間消費、套餐式優惠消費滿足商家跟消費者的需要，並且製造再次消費的動機，提高消費者的聯營體制的品牌忠誠度</t>
    </r>
  </si>
  <si>
    <r>
      <t>(4)</t>
    </r>
    <r>
      <rPr>
        <sz val="7"/>
        <color rgb="FF000000"/>
        <rFont val="Times New Roman"/>
        <family val="1"/>
      </rPr>
      <t xml:space="preserve">      </t>
    </r>
    <r>
      <rPr>
        <sz val="12"/>
        <color rgb="FF000000"/>
        <rFont val="標楷體"/>
        <family val="4"/>
        <charset val="136"/>
      </rPr>
      <t>多角化經營物業及照護業，開發餐飲業的客群</t>
    </r>
  </si>
  <si>
    <t>勞務開發</t>
  </si>
  <si>
    <r>
      <t>(1)</t>
    </r>
    <r>
      <rPr>
        <sz val="7"/>
        <color rgb="FF000000"/>
        <rFont val="Times New Roman"/>
        <family val="1"/>
      </rPr>
      <t xml:space="preserve">         </t>
    </r>
    <r>
      <rPr>
        <sz val="12"/>
        <color rgb="FF000000"/>
        <rFont val="標楷體"/>
        <family val="4"/>
        <charset val="136"/>
      </rPr>
      <t>利用中高齡開發社區產能</t>
    </r>
  </si>
  <si>
    <r>
      <t>(2)</t>
    </r>
    <r>
      <rPr>
        <sz val="7"/>
        <color rgb="FF000000"/>
        <rFont val="Times New Roman"/>
        <family val="1"/>
      </rPr>
      <t xml:space="preserve">         </t>
    </r>
    <r>
      <rPr>
        <sz val="12"/>
        <color rgb="FF000000"/>
        <rFont val="標楷體"/>
        <family val="4"/>
        <charset val="136"/>
      </rPr>
      <t>開發弱勢族群高彈性短工時之額外收入</t>
    </r>
  </si>
  <si>
    <r>
      <t>(3)</t>
    </r>
    <r>
      <rPr>
        <sz val="7"/>
        <color rgb="FF000000"/>
        <rFont val="Times New Roman"/>
        <family val="1"/>
      </rPr>
      <t xml:space="preserve">         </t>
    </r>
    <r>
      <rPr>
        <sz val="12"/>
        <color rgb="FF000000"/>
        <rFont val="標楷體"/>
        <family val="4"/>
        <charset val="136"/>
      </rPr>
      <t>運用政府政策降低勞務成本，降低成本在以社區貨幣方式投入消費行為開發</t>
    </r>
  </si>
  <si>
    <r>
      <t>(</t>
    </r>
    <r>
      <rPr>
        <sz val="12"/>
        <color rgb="FF000000"/>
        <rFont val="標楷體"/>
        <family val="4"/>
        <charset val="136"/>
      </rPr>
      <t>二</t>
    </r>
    <r>
      <rPr>
        <sz val="12"/>
        <color rgb="FF000000"/>
        <rFont val="Times New Roman"/>
        <family val="1"/>
      </rPr>
      <t>)</t>
    </r>
    <r>
      <rPr>
        <sz val="12"/>
        <color rgb="FF000000"/>
        <rFont val="標楷體"/>
        <family val="4"/>
        <charset val="136"/>
      </rPr>
      <t>計畫結案後</t>
    </r>
    <r>
      <rPr>
        <sz val="12"/>
        <color rgb="FF000000"/>
        <rFont val="Times New Roman"/>
        <family val="1"/>
      </rPr>
      <t>3</t>
    </r>
    <r>
      <rPr>
        <sz val="12"/>
        <color rgb="FF000000"/>
        <rFont val="標楷體"/>
        <family val="4"/>
        <charset val="136"/>
      </rPr>
      <t>年內預期效益</t>
    </r>
  </si>
  <si>
    <r>
      <t>(1)</t>
    </r>
    <r>
      <rPr>
        <sz val="12"/>
        <color rgb="FF000000"/>
        <rFont val="標楷體"/>
        <family val="4"/>
        <charset val="136"/>
      </rPr>
      <t>量化效益</t>
    </r>
  </si>
  <si>
    <t>N+2年</t>
  </si>
  <si>
    <t>照護OEM、環保OEM</t>
  </si>
  <si>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t>
    </r>
  </si>
  <si>
    <t>整合區域組織合作開發互助、導引消費方向提振區域經濟、創造服務需求媒介弱勢居民、共享共有共好宜居樂活社區</t>
  </si>
  <si>
    <t>(四)資安執行說明</t>
    <phoneticPr fontId="9" type="noConversion"/>
  </si>
  <si>
    <t>高價格帶來客製化服務，尊榮感十足，如果預算不限的確是不錯的選擇</t>
    <phoneticPr fontId="9" type="noConversion"/>
  </si>
  <si>
    <t>可附加各種生活服務，但需額外收取費用</t>
    <phoneticPr fontId="9" type="noConversion"/>
  </si>
  <si>
    <t>各種社區社團及成長課程辦理，</t>
    <phoneticPr fontId="9" type="noConversion"/>
  </si>
  <si>
    <r>
      <t>以AI科技整合ERP、CRM、LINE、雲端銷售四種強大的功能，但不放棄傳統人力能夠帶來的感受特質，並藉此新創服務系統提高服務的質量</t>
    </r>
    <r>
      <rPr>
        <sz val="12"/>
        <color rgb="FF000000"/>
        <rFont val="Times New Roman"/>
        <family val="1"/>
      </rPr>
      <t>/</t>
    </r>
    <r>
      <rPr>
        <sz val="12"/>
        <color rgb="FF000000"/>
        <rFont val="標楷體"/>
        <family val="4"/>
        <charset val="136"/>
      </rPr>
      <t>最大幅度的成本降低是</t>
    </r>
    <r>
      <rPr>
        <sz val="12"/>
        <color rgb="FF000000"/>
        <rFont val="Times New Roman"/>
        <family val="1"/>
      </rPr>
      <t>CP</t>
    </r>
    <r>
      <rPr>
        <sz val="12"/>
        <color rgb="FF000000"/>
        <rFont val="標楷體"/>
        <family val="4"/>
        <charset val="136"/>
      </rPr>
      <t>值大幅超前的服務</t>
    </r>
    <phoneticPr fontId="9" type="noConversion"/>
  </si>
  <si>
    <r>
      <t>全時段總幹事團隊隨傳隨到，</t>
    </r>
    <r>
      <rPr>
        <sz val="12"/>
        <color rgb="FF000000"/>
        <rFont val="Times New Roman"/>
        <family val="1"/>
      </rPr>
      <t>24H</t>
    </r>
    <r>
      <rPr>
        <u/>
        <sz val="12"/>
        <color rgb="FFFF0000"/>
        <rFont val="標楷體"/>
        <family val="4"/>
        <charset val="136"/>
      </rPr>
      <t>多功能安全</t>
    </r>
    <r>
      <rPr>
        <u/>
        <sz val="12"/>
        <color rgb="FF008080"/>
        <rFont val="標楷體"/>
        <family val="4"/>
        <charset val="136"/>
      </rPr>
      <t>勤務服務</t>
    </r>
    <r>
      <rPr>
        <u/>
        <sz val="12"/>
        <color rgb="FFFF0000"/>
        <rFont val="標楷體"/>
        <family val="4"/>
        <charset val="136"/>
      </rPr>
      <t>中心</t>
    </r>
    <r>
      <rPr>
        <sz val="12"/>
        <color rgb="FF000000"/>
        <rFont val="標楷體"/>
        <family val="4"/>
        <charset val="136"/>
      </rPr>
      <t>就在周邊</t>
    </r>
    <r>
      <rPr>
        <sz val="12"/>
        <color rgb="FF000000"/>
        <rFont val="Times New Roman"/>
        <family val="1"/>
      </rPr>
      <t>500</t>
    </r>
    <r>
      <rPr>
        <sz val="12"/>
        <color rgb="FF000000"/>
        <rFont val="標楷體"/>
        <family val="4"/>
        <charset val="136"/>
      </rPr>
      <t>公尺內</t>
    </r>
    <phoneticPr fontId="9" type="noConversion"/>
  </si>
  <si>
    <t>1.數位發展部新創社會企業平台社會企業認定2.運用本司特別訓練之【社區專勤隊】銷售專員按造本司銷售企劃進行。</t>
    <phoneticPr fontId="9" type="noConversion"/>
  </si>
  <si>
    <t>5.配銷通路</t>
    <phoneticPr fontId="9" type="noConversion"/>
  </si>
  <si>
    <r>
      <t>4.</t>
    </r>
    <r>
      <rPr>
        <sz val="12"/>
        <color rgb="FF000000"/>
        <rFont val="標楷體"/>
        <family val="4"/>
        <charset val="136"/>
      </rPr>
      <t>市場占有率</t>
    </r>
    <r>
      <rPr>
        <sz val="12"/>
        <color rgb="FF000000"/>
        <rFont val="Times New Roman"/>
        <family val="1"/>
      </rPr>
      <t>(%)</t>
    </r>
    <phoneticPr fontId="9" type="noConversion"/>
  </si>
  <si>
    <r>
      <t>6.</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phoneticPr fontId="9" type="noConversion"/>
  </si>
  <si>
    <r>
      <t>7.</t>
    </r>
    <r>
      <rPr>
        <sz val="12"/>
        <color rgb="FF000000"/>
        <rFont val="標楷體"/>
        <family val="4"/>
        <charset val="136"/>
      </rPr>
      <t>其他優勢</t>
    </r>
    <r>
      <rPr>
        <sz val="12"/>
        <color rgb="FF000000"/>
        <rFont val="Times New Roman"/>
        <family val="1"/>
      </rPr>
      <t>(</t>
    </r>
    <r>
      <rPr>
        <sz val="12"/>
        <color rgb="FF000000"/>
        <rFont val="標楷體"/>
        <family val="4"/>
        <charset val="136"/>
      </rPr>
      <t>如關鍵零組件掌握、品</t>
    </r>
    <r>
      <rPr>
        <sz val="12"/>
        <color rgb="FF000000"/>
        <rFont val="Times New Roman"/>
        <family val="1"/>
      </rPr>
      <t xml:space="preserve">  </t>
    </r>
    <r>
      <rPr>
        <sz val="12"/>
        <color rgb="FF000000"/>
        <rFont val="標楷體"/>
        <family val="4"/>
        <charset val="136"/>
      </rPr>
      <t>牌知名度、政府法令、特許</t>
    </r>
    <r>
      <rPr>
        <sz val="12"/>
        <color rgb="FF000000"/>
        <rFont val="Times New Roman"/>
        <family val="1"/>
      </rPr>
      <t>...</t>
    </r>
    <r>
      <rPr>
        <sz val="12"/>
        <color rgb="FF000000"/>
        <rFont val="標楷體"/>
        <family val="4"/>
        <charset val="136"/>
      </rPr>
      <t>等</t>
    </r>
    <r>
      <rPr>
        <sz val="12"/>
        <color rgb="FF000000"/>
        <rFont val="Times New Roman"/>
        <family val="1"/>
      </rPr>
      <t>)</t>
    </r>
    <phoneticPr fontId="9" type="noConversion"/>
  </si>
  <si>
    <t>2.地方關係良好及來自社區發展協會140名會員的支持、總幹事超過200件的住民社工服務案件、及社會企業公益品牌的正面形象</t>
    <phoneticPr fontId="9" type="noConversion"/>
  </si>
  <si>
    <t>2.爭取優質物業管理服務公司及保全公司進駐中心共同營運，不以管理維護或保全業務為限，路線寬廣，並且社會企業特性將盈餘再投入發展顧客附加價值。</t>
    <phoneticPr fontId="9" type="noConversion"/>
  </si>
  <si>
    <r>
      <t>5.</t>
    </r>
    <r>
      <rPr>
        <sz val="12"/>
        <color rgb="FF000000"/>
        <rFont val="標楷體"/>
        <family val="4"/>
        <charset val="136"/>
      </rPr>
      <t>配銷通路</t>
    </r>
    <phoneticPr fontId="9" type="noConversion"/>
  </si>
  <si>
    <r>
      <t>7.</t>
    </r>
    <r>
      <rPr>
        <sz val="12"/>
        <color rgb="FF000000"/>
        <rFont val="標楷體"/>
        <family val="4"/>
        <charset val="136"/>
      </rPr>
      <t>其他優勢</t>
    </r>
    <phoneticPr fontId="9" type="noConversion"/>
  </si>
  <si>
    <t>網路、業務員、外送員</t>
    <phoneticPr fontId="9" type="noConversion"/>
  </si>
  <si>
    <r>
      <t>3.</t>
    </r>
    <r>
      <rPr>
        <sz val="12"/>
        <color rgb="FF000000"/>
        <rFont val="標楷體"/>
        <family val="4"/>
        <charset val="136"/>
      </rPr>
      <t>通路策略（請說明通路之管道、地點、物流等）</t>
    </r>
    <phoneticPr fontId="9" type="noConversion"/>
  </si>
  <si>
    <r>
      <t>我們擬採用商業聯合營運早餐服務的機會，向大樓管委會尋求參測的住戶，以參測名義邀集住戶加入我方開發之植入</t>
    </r>
    <r>
      <rPr>
        <sz val="12"/>
        <color rgb="FF000000"/>
        <rFont val="Times New Roman"/>
        <family val="1"/>
      </rPr>
      <t>AI</t>
    </r>
    <r>
      <rPr>
        <sz val="12"/>
        <color rgb="FF000000"/>
        <rFont val="標楷體"/>
        <family val="4"/>
        <charset val="136"/>
      </rPr>
      <t>社區服務系統之</t>
    </r>
    <r>
      <rPr>
        <sz val="12"/>
        <color rgb="FF000000"/>
        <rFont val="Times New Roman"/>
        <family val="1"/>
      </rPr>
      <t>LINE</t>
    </r>
    <r>
      <rPr>
        <sz val="12"/>
        <color rgb="FF000000"/>
        <rFont val="標楷體"/>
        <family val="4"/>
        <charset val="136"/>
      </rPr>
      <t>官方群組程式，並參測者將得到測試用的餐券，及離峰時間餐券，藉由贈品測試餐券的使用使用教學及本司開發之功能體驗來獲取直接向住戶行銷我方創新的物業管理規劃及公益社會企業的品牌的機會，讓住戶對管委會形成壓力，與本司訂定顧問合約</t>
    </r>
    <phoneticPr fontId="9" type="noConversion"/>
  </si>
  <si>
    <t>社會福利價值</t>
    <phoneticPr fontId="9" type="noConversion"/>
  </si>
  <si>
    <t>六、計畫關鍵字：區域服務中心、區域發展、同業共同發展、異業聯合銷售、創新物業服務</t>
    <phoneticPr fontId="9" type="noConversion"/>
  </si>
  <si>
    <t>營業毛利(單位：千/月)</t>
    <phoneticPr fontId="9" type="noConversion"/>
  </si>
  <si>
    <t>月營業額(單位：千)</t>
    <phoneticPr fontId="9" type="noConversion"/>
  </si>
  <si>
    <t>量化效益</t>
    <phoneticPr fontId="9" type="noConversion"/>
  </si>
  <si>
    <r>
      <t>五、</t>
    </r>
    <r>
      <rPr>
        <sz val="12"/>
        <color rgb="FF000000"/>
        <rFont val="標楷體"/>
        <family val="4"/>
        <charset val="136"/>
      </rPr>
      <t>計畫結案後</t>
    </r>
    <r>
      <rPr>
        <sz val="12"/>
        <color rgb="FF000000"/>
        <rFont val="標楷體"/>
        <family val="1"/>
        <charset val="136"/>
      </rPr>
      <t>2</t>
    </r>
    <r>
      <rPr>
        <sz val="12"/>
        <color rgb="FF000000"/>
        <rFont val="標楷體"/>
        <family val="4"/>
        <charset val="136"/>
      </rPr>
      <t>年內預期效益</t>
    </r>
    <r>
      <rPr>
        <sz val="12"/>
        <color rgb="FF000000"/>
        <rFont val="標楷體"/>
        <family val="1"/>
        <charset val="136"/>
      </rPr>
      <t xml:space="preserve">                                       </t>
    </r>
    <r>
      <rPr>
        <sz val="12"/>
        <color rgb="FF000000"/>
        <rFont val="標楷體"/>
        <family val="4"/>
        <charset val="136"/>
      </rPr>
      <t>單位：千元</t>
    </r>
    <phoneticPr fontId="9" type="noConversion"/>
  </si>
  <si>
    <t>1項</t>
    <phoneticPr fontId="9" type="noConversion"/>
  </si>
  <si>
    <t>六、風險評估與因應對策</t>
  </si>
  <si>
    <r>
      <t>(</t>
    </r>
    <r>
      <rPr>
        <sz val="12"/>
        <color rgb="FF000000"/>
        <rFont val="標楷體"/>
        <family val="4"/>
        <charset val="136"/>
      </rPr>
      <t>一</t>
    </r>
    <r>
      <rPr>
        <sz val="12"/>
        <color rgb="FF000000"/>
        <rFont val="Times New Roman"/>
        <family val="1"/>
      </rPr>
      <t>)</t>
    </r>
    <r>
      <rPr>
        <sz val="12"/>
        <color rgb="FF000000"/>
        <rFont val="標楷體"/>
        <family val="4"/>
        <charset val="136"/>
      </rPr>
      <t>風險與對策</t>
    </r>
  </si>
  <si>
    <r>
      <t>(</t>
    </r>
    <r>
      <rPr>
        <sz val="12"/>
        <color rgb="FF000000"/>
        <rFont val="標楷體"/>
        <family val="4"/>
        <charset val="136"/>
      </rPr>
      <t>二</t>
    </r>
    <r>
      <rPr>
        <sz val="12"/>
        <color rgb="FF000000"/>
        <rFont val="Times New Roman"/>
        <family val="1"/>
      </rPr>
      <t>)</t>
    </r>
    <r>
      <rPr>
        <sz val="12"/>
        <color rgb="FF000000"/>
        <rFont val="標楷體"/>
        <family val="4"/>
        <charset val="136"/>
      </rPr>
      <t>智慧財產權說明與布局</t>
    </r>
  </si>
  <si>
    <t>七、計畫執行時程及查核點</t>
  </si>
  <si>
    <r>
      <t>(</t>
    </r>
    <r>
      <rPr>
        <sz val="12"/>
        <color rgb="FF000000"/>
        <rFont val="標楷體"/>
        <family val="4"/>
        <charset val="136"/>
      </rPr>
      <t>一</t>
    </r>
    <r>
      <rPr>
        <sz val="12"/>
        <color rgb="FF000000"/>
        <rFont val="Times New Roman"/>
        <family val="1"/>
      </rPr>
      <t>)</t>
    </r>
    <r>
      <rPr>
        <sz val="12"/>
        <color rgb="FF000000"/>
        <rFont val="標楷體"/>
        <family val="4"/>
        <charset val="136"/>
      </rPr>
      <t>時程</t>
    </r>
  </si>
  <si>
    <r>
      <rPr>
        <u/>
        <sz val="12"/>
        <color theme="10"/>
        <rFont val="標楷體"/>
        <family val="4"/>
        <charset val="136"/>
      </rPr>
      <t>詳見計畫架構表</t>
    </r>
    <phoneticPr fontId="9" type="noConversion"/>
  </si>
  <si>
    <r>
      <t xml:space="preserve"> (</t>
    </r>
    <r>
      <rPr>
        <sz val="12"/>
        <color rgb="FF000000"/>
        <rFont val="標楷體"/>
        <family val="4"/>
        <charset val="136"/>
      </rPr>
      <t>二</t>
    </r>
    <r>
      <rPr>
        <sz val="12"/>
        <color rgb="FF000000"/>
        <rFont val="Times New Roman"/>
        <family val="1"/>
      </rPr>
      <t>)</t>
    </r>
    <r>
      <rPr>
        <sz val="12"/>
        <color rgb="FF000000"/>
        <rFont val="標楷體"/>
        <family val="4"/>
        <charset val="136"/>
      </rPr>
      <t>預定查核點說明</t>
    </r>
  </si>
  <si>
    <t>詳見計畫詳細內容說明項</t>
    <phoneticPr fontId="9" type="noConversion"/>
  </si>
  <si>
    <t>查核點編號</t>
  </si>
  <si>
    <r>
      <t>預定完成時間</t>
    </r>
    <r>
      <rPr>
        <sz val="10"/>
        <color rgb="FF000000"/>
        <rFont val="Times New Roman"/>
        <family val="1"/>
      </rPr>
      <t xml:space="preserve"> </t>
    </r>
  </si>
  <si>
    <t>查核點內容</t>
  </si>
  <si>
    <r>
      <t>(</t>
    </r>
    <r>
      <rPr>
        <sz val="10"/>
        <color rgb="FF000000"/>
        <rFont val="標楷體"/>
        <family val="4"/>
        <charset val="136"/>
      </rPr>
      <t>技術指標</t>
    </r>
    <r>
      <rPr>
        <sz val="10"/>
        <color rgb="FF000000"/>
        <rFont val="Times New Roman"/>
        <family val="1"/>
      </rPr>
      <t>/</t>
    </r>
    <r>
      <rPr>
        <sz val="10"/>
        <color rgb="FF000000"/>
        <rFont val="標楷體"/>
        <family val="4"/>
        <charset val="136"/>
      </rPr>
      <t>產品規格</t>
    </r>
    <r>
      <rPr>
        <sz val="10"/>
        <color rgb="FF000000"/>
        <rFont val="Times New Roman"/>
        <family val="1"/>
      </rPr>
      <t>/</t>
    </r>
  </si>
  <si>
    <r>
      <t>品質指標</t>
    </r>
    <r>
      <rPr>
        <sz val="10"/>
        <color rgb="FF000000"/>
        <rFont val="Times New Roman"/>
        <family val="1"/>
      </rPr>
      <t>/</t>
    </r>
    <r>
      <rPr>
        <sz val="10"/>
        <color rgb="FF000000"/>
        <rFont val="標楷體"/>
        <family val="4"/>
        <charset val="136"/>
      </rPr>
      <t>市場測試指標</t>
    </r>
    <r>
      <rPr>
        <sz val="10"/>
        <color rgb="FF000000"/>
        <rFont val="Times New Roman"/>
        <family val="1"/>
      </rPr>
      <t>)</t>
    </r>
  </si>
  <si>
    <t>參與人員編號</t>
  </si>
  <si>
    <t>113年9月30</t>
  </si>
  <si>
    <t>113年12月30日</t>
  </si>
  <si>
    <t>114年3月30日</t>
  </si>
  <si>
    <t>114年6月20日</t>
  </si>
  <si>
    <r>
      <t>1.</t>
    </r>
    <r>
      <rPr>
        <sz val="7"/>
        <color rgb="FF000000"/>
        <rFont val="Times New Roman"/>
        <family val="1"/>
      </rPr>
      <t xml:space="preserve">       </t>
    </r>
    <r>
      <rPr>
        <sz val="10"/>
        <color rgb="FF000000"/>
        <rFont val="標楷體"/>
        <family val="4"/>
        <charset val="136"/>
      </rPr>
      <t>完成直營商店加盟合約取得營運權</t>
    </r>
  </si>
  <si>
    <r>
      <t>2.</t>
    </r>
    <r>
      <rPr>
        <sz val="7"/>
        <color rgb="FF000000"/>
        <rFont val="Times New Roman"/>
        <family val="1"/>
      </rPr>
      <t xml:space="preserve">       </t>
    </r>
    <r>
      <rPr>
        <sz val="10"/>
        <color rgb="FF000000"/>
        <rFont val="標楷體"/>
        <family val="4"/>
        <charset val="136"/>
      </rPr>
      <t>營運中心規劃</t>
    </r>
    <r>
      <rPr>
        <sz val="10"/>
        <color rgb="FF000000"/>
        <rFont val="Times New Roman"/>
        <family val="1"/>
      </rPr>
      <t xml:space="preserve">3D </t>
    </r>
    <r>
      <rPr>
        <sz val="10"/>
        <color rgb="FF000000"/>
        <rFont val="標楷體"/>
        <family val="4"/>
        <charset val="136"/>
      </rPr>
      <t>設計圖</t>
    </r>
  </si>
  <si>
    <r>
      <t>3.</t>
    </r>
    <r>
      <rPr>
        <sz val="7"/>
        <color rgb="FF000000"/>
        <rFont val="Times New Roman"/>
        <family val="1"/>
      </rPr>
      <t xml:space="preserve">       </t>
    </r>
    <r>
      <rPr>
        <sz val="10"/>
        <color rgb="FF000000"/>
        <rFont val="標楷體"/>
        <family val="4"/>
        <charset val="136"/>
      </rPr>
      <t>研發工作紀錄冊、研發小組會議</t>
    </r>
  </si>
  <si>
    <r>
      <t>4.</t>
    </r>
    <r>
      <rPr>
        <sz val="7"/>
        <color rgb="FF000000"/>
        <rFont val="Times New Roman"/>
        <family val="1"/>
      </rPr>
      <t xml:space="preserve">       </t>
    </r>
    <r>
      <rPr>
        <sz val="10"/>
        <color rgb="FF000000"/>
        <rFont val="標楷體"/>
        <family val="4"/>
        <charset val="136"/>
      </rPr>
      <t>社區專勤隊啟動隊員達</t>
    </r>
    <r>
      <rPr>
        <sz val="10"/>
        <color rgb="FF000000"/>
        <rFont val="Times New Roman"/>
        <family val="1"/>
      </rPr>
      <t>15</t>
    </r>
    <r>
      <rPr>
        <sz val="10"/>
        <color rgb="FF000000"/>
        <rFont val="標楷體"/>
        <family val="4"/>
        <charset val="136"/>
      </rPr>
      <t>人</t>
    </r>
  </si>
  <si>
    <r>
      <t>5.</t>
    </r>
    <r>
      <rPr>
        <sz val="7"/>
        <color rgb="FF000000"/>
        <rFont val="Times New Roman"/>
        <family val="1"/>
      </rPr>
      <t xml:space="preserve">       </t>
    </r>
    <r>
      <rPr>
        <sz val="10"/>
        <color rgb="FF000000"/>
        <rFont val="標楷體"/>
        <family val="4"/>
        <charset val="136"/>
      </rPr>
      <t>進行第一次單店營運量能驗證</t>
    </r>
  </si>
  <si>
    <r>
      <t>6.</t>
    </r>
    <r>
      <rPr>
        <sz val="7"/>
        <color rgb="FF000000"/>
        <rFont val="Times New Roman"/>
        <family val="1"/>
      </rPr>
      <t xml:space="preserve">       </t>
    </r>
    <r>
      <rPr>
        <sz val="10"/>
        <color rgb="FF000000"/>
        <rFont val="標楷體"/>
        <family val="4"/>
        <charset val="136"/>
      </rPr>
      <t>五常專勤隊辦理職前訓練</t>
    </r>
  </si>
  <si>
    <r>
      <t>7.</t>
    </r>
    <r>
      <rPr>
        <sz val="7"/>
        <color rgb="FF000000"/>
        <rFont val="Times New Roman"/>
        <family val="1"/>
      </rPr>
      <t xml:space="preserve">       </t>
    </r>
    <r>
      <rPr>
        <sz val="10"/>
        <color rgb="FF000000"/>
        <rFont val="標楷體"/>
        <family val="4"/>
        <charset val="136"/>
      </rPr>
      <t>直營商店營業達兩個月，營業額到達每月</t>
    </r>
    <r>
      <rPr>
        <sz val="10"/>
        <color rgb="FF000000"/>
        <rFont val="Times New Roman"/>
        <family val="1"/>
      </rPr>
      <t>19</t>
    </r>
    <r>
      <rPr>
        <sz val="10"/>
        <color rgb="FF000000"/>
        <rFont val="標楷體"/>
        <family val="4"/>
        <charset val="136"/>
      </rPr>
      <t>萬以上，客單價</t>
    </r>
    <r>
      <rPr>
        <sz val="10"/>
        <color rgb="FF000000"/>
        <rFont val="Times New Roman"/>
        <family val="1"/>
      </rPr>
      <t>65</t>
    </r>
    <r>
      <rPr>
        <sz val="10"/>
        <color rgb="FF000000"/>
        <rFont val="標楷體"/>
        <family val="4"/>
        <charset val="136"/>
      </rPr>
      <t>元以上</t>
    </r>
  </si>
  <si>
    <r>
      <t>1.</t>
    </r>
    <r>
      <rPr>
        <sz val="7"/>
        <color rgb="FF000000"/>
        <rFont val="Times New Roman"/>
        <family val="1"/>
      </rPr>
      <t xml:space="preserve">       </t>
    </r>
    <r>
      <rPr>
        <sz val="10"/>
        <color rgb="FF000000"/>
        <rFont val="標楷體"/>
        <family val="4"/>
        <charset val="136"/>
      </rPr>
      <t>完成第二次單店運作量能驗證</t>
    </r>
  </si>
  <si>
    <r>
      <t>2.</t>
    </r>
    <r>
      <rPr>
        <sz val="7"/>
        <color rgb="FF000000"/>
        <rFont val="Times New Roman"/>
        <family val="1"/>
      </rPr>
      <t xml:space="preserve">       </t>
    </r>
    <r>
      <rPr>
        <sz val="10"/>
        <color rgb="FF000000"/>
        <rFont val="標楷體"/>
        <family val="4"/>
        <charset val="136"/>
      </rPr>
      <t>完成第一次聯合營運量能驗證</t>
    </r>
  </si>
  <si>
    <r>
      <t>3.</t>
    </r>
    <r>
      <rPr>
        <sz val="7"/>
        <color rgb="FF000000"/>
        <rFont val="Times New Roman"/>
        <family val="1"/>
      </rPr>
      <t xml:space="preserve">       </t>
    </r>
    <r>
      <rPr>
        <sz val="10"/>
        <color rgb="FF000000"/>
        <rFont val="標楷體"/>
        <family val="4"/>
        <charset val="136"/>
      </rPr>
      <t>直營商店營業額達</t>
    </r>
    <r>
      <rPr>
        <sz val="10"/>
        <color rgb="FF000000"/>
        <rFont val="Times New Roman"/>
        <family val="1"/>
      </rPr>
      <t>20</t>
    </r>
    <r>
      <rPr>
        <sz val="10"/>
        <color rgb="FF000000"/>
        <rFont val="標楷體"/>
        <family val="4"/>
        <charset val="136"/>
      </rPr>
      <t>萬客單價</t>
    </r>
    <r>
      <rPr>
        <sz val="10"/>
        <color rgb="FF000000"/>
        <rFont val="Times New Roman"/>
        <family val="1"/>
      </rPr>
      <t>65</t>
    </r>
    <r>
      <rPr>
        <sz val="10"/>
        <color rgb="FF000000"/>
        <rFont val="標楷體"/>
        <family val="4"/>
        <charset val="136"/>
      </rPr>
      <t>元</t>
    </r>
  </si>
  <si>
    <r>
      <t>4.</t>
    </r>
    <r>
      <rPr>
        <sz val="7"/>
        <color rgb="FF000000"/>
        <rFont val="Times New Roman"/>
        <family val="1"/>
      </rPr>
      <t xml:space="preserve">       </t>
    </r>
    <r>
      <rPr>
        <sz val="10"/>
        <color rgb="FF000000"/>
        <rFont val="Times New Roman"/>
        <family val="1"/>
      </rPr>
      <t xml:space="preserve"> </t>
    </r>
    <r>
      <rPr>
        <sz val="10"/>
        <color rgb="FF000000"/>
        <rFont val="標楷體"/>
        <family val="4"/>
        <charset val="136"/>
      </rPr>
      <t>物業及商業客戶檔案建立完成，並至少需有一次的訪談記錄及營運長的專案發展策略指示</t>
    </r>
  </si>
  <si>
    <r>
      <t>5.</t>
    </r>
    <r>
      <rPr>
        <sz val="7"/>
        <color rgb="FF000000"/>
        <rFont val="Times New Roman"/>
        <family val="1"/>
      </rPr>
      <t xml:space="preserve">       </t>
    </r>
    <r>
      <rPr>
        <sz val="10"/>
        <color rgb="FF000000"/>
        <rFont val="Times New Roman"/>
        <family val="1"/>
      </rPr>
      <t>AI</t>
    </r>
    <r>
      <rPr>
        <sz val="10"/>
        <color rgb="FF000000"/>
        <rFont val="標楷體"/>
        <family val="4"/>
        <charset val="136"/>
      </rPr>
      <t>社區服務系統公開測試，物業功能串接商業功能完成並具有社區居民、物業居民、商業會員、專勤隊員、營運中心、</t>
    </r>
    <r>
      <rPr>
        <sz val="10"/>
        <color rgb="FF000000"/>
        <rFont val="Times New Roman"/>
        <family val="1"/>
      </rPr>
      <t>Master</t>
    </r>
    <r>
      <rPr>
        <sz val="10"/>
        <color rgb="FF000000"/>
        <rFont val="標楷體"/>
        <family val="4"/>
        <charset val="136"/>
      </rPr>
      <t>等專屬操作介面</t>
    </r>
  </si>
  <si>
    <r>
      <t>6.</t>
    </r>
    <r>
      <rPr>
        <sz val="7"/>
        <color rgb="FF000000"/>
        <rFont val="Times New Roman"/>
        <family val="1"/>
      </rPr>
      <t xml:space="preserve">       </t>
    </r>
    <r>
      <rPr>
        <sz val="10"/>
        <color rgb="FF000000"/>
        <rFont val="標楷體"/>
        <family val="4"/>
        <charset val="136"/>
      </rPr>
      <t>第三次單店營運驗證相關驗證資訊，客戶滿意度達</t>
    </r>
    <r>
      <rPr>
        <sz val="10"/>
        <color rgb="FF000000"/>
        <rFont val="Times New Roman"/>
        <family val="1"/>
      </rPr>
      <t>85%</t>
    </r>
    <r>
      <rPr>
        <sz val="10"/>
        <color rgb="FF000000"/>
        <rFont val="標楷體"/>
        <family val="4"/>
        <charset val="136"/>
      </rPr>
      <t>以上</t>
    </r>
  </si>
  <si>
    <r>
      <t>7.</t>
    </r>
    <r>
      <rPr>
        <sz val="7"/>
        <color rgb="FF000000"/>
        <rFont val="Times New Roman"/>
        <family val="1"/>
      </rPr>
      <t xml:space="preserve">       </t>
    </r>
    <r>
      <rPr>
        <sz val="10"/>
        <color rgb="FF000000"/>
        <rFont val="標楷體"/>
        <family val="4"/>
        <charset val="136"/>
      </rPr>
      <t>第一次社區安全中心功能驗證及狀況演練驗證</t>
    </r>
  </si>
  <si>
    <r>
      <t>1.</t>
    </r>
    <r>
      <rPr>
        <sz val="7"/>
        <color rgb="FF000000"/>
        <rFont val="Times New Roman"/>
        <family val="1"/>
      </rPr>
      <t xml:space="preserve">       </t>
    </r>
    <r>
      <rPr>
        <sz val="10"/>
        <color rgb="FF000000"/>
        <rFont val="標楷體"/>
        <family val="4"/>
        <charset val="136"/>
      </rPr>
      <t>三家商業會員聯合營運、兩家物業管理顧問合約</t>
    </r>
  </si>
  <si>
    <r>
      <t>2.</t>
    </r>
    <r>
      <rPr>
        <sz val="7"/>
        <color rgb="FF000000"/>
        <rFont val="Times New Roman"/>
        <family val="1"/>
      </rPr>
      <t xml:space="preserve">       </t>
    </r>
    <r>
      <rPr>
        <sz val="10"/>
        <color rgb="FF000000"/>
        <rFont val="標楷體"/>
        <family val="4"/>
        <charset val="136"/>
      </rPr>
      <t>第二次商業聯合營運驗證</t>
    </r>
  </si>
  <si>
    <r>
      <t>3.</t>
    </r>
    <r>
      <rPr>
        <sz val="7"/>
        <color rgb="FF000000"/>
        <rFont val="Times New Roman"/>
        <family val="1"/>
      </rPr>
      <t xml:space="preserve">       </t>
    </r>
    <r>
      <rPr>
        <sz val="10"/>
        <color rgb="FF000000"/>
        <rFont val="標楷體"/>
        <family val="4"/>
        <charset val="136"/>
      </rPr>
      <t>社區安全網功能驗證第次二驗證工作相關紀錄</t>
    </r>
  </si>
  <si>
    <r>
      <t>4.</t>
    </r>
    <r>
      <rPr>
        <sz val="7"/>
        <color rgb="FF000000"/>
        <rFont val="Times New Roman"/>
        <family val="1"/>
      </rPr>
      <t xml:space="preserve">       </t>
    </r>
    <r>
      <rPr>
        <sz val="10"/>
        <color rgb="FF000000"/>
        <rFont val="標楷體"/>
        <family val="4"/>
        <charset val="136"/>
      </rPr>
      <t>直營咖啡店月營業額達</t>
    </r>
    <r>
      <rPr>
        <sz val="10"/>
        <color rgb="FF000000"/>
        <rFont val="Times New Roman"/>
        <family val="1"/>
      </rPr>
      <t>22</t>
    </r>
    <r>
      <rPr>
        <sz val="10"/>
        <color rgb="FF000000"/>
        <rFont val="標楷體"/>
        <family val="4"/>
        <charset val="136"/>
      </rPr>
      <t>萬客單價</t>
    </r>
    <r>
      <rPr>
        <sz val="10"/>
        <color rgb="FF000000"/>
        <rFont val="Times New Roman"/>
        <family val="1"/>
      </rPr>
      <t>70</t>
    </r>
    <r>
      <rPr>
        <sz val="10"/>
        <color rgb="FF000000"/>
        <rFont val="標楷體"/>
        <family val="4"/>
        <charset val="136"/>
      </rPr>
      <t>元以上</t>
    </r>
  </si>
  <si>
    <r>
      <t>1.</t>
    </r>
    <r>
      <rPr>
        <sz val="7"/>
        <color rgb="FF000000"/>
        <rFont val="Times New Roman"/>
        <family val="1"/>
      </rPr>
      <t xml:space="preserve">       </t>
    </r>
    <r>
      <rPr>
        <sz val="10"/>
        <color rgb="FF000000"/>
        <rFont val="標楷體"/>
        <family val="4"/>
        <charset val="136"/>
      </rPr>
      <t>產學官民四方研討會</t>
    </r>
  </si>
  <si>
    <r>
      <t>(</t>
    </r>
    <r>
      <rPr>
        <sz val="10"/>
        <color rgb="FF000000"/>
        <rFont val="標楷體"/>
        <family val="4"/>
        <charset val="136"/>
      </rPr>
      <t>第三次商業聯合營運驗證及社區安全網第三次聯合驗證</t>
    </r>
    <r>
      <rPr>
        <sz val="10"/>
        <color rgb="FF000000"/>
        <rFont val="Times New Roman"/>
        <family val="1"/>
      </rPr>
      <t>)</t>
    </r>
  </si>
  <si>
    <r>
      <t>2.</t>
    </r>
    <r>
      <rPr>
        <sz val="7"/>
        <color rgb="FF000000"/>
        <rFont val="Times New Roman"/>
        <family val="1"/>
      </rPr>
      <t xml:space="preserve">       </t>
    </r>
    <r>
      <rPr>
        <sz val="10"/>
        <color rgb="FF000000"/>
        <rFont val="標楷體"/>
        <family val="4"/>
        <charset val="136"/>
      </rPr>
      <t>直營商店月營業額達</t>
    </r>
    <r>
      <rPr>
        <sz val="10"/>
        <color rgb="FF000000"/>
        <rFont val="Times New Roman"/>
        <family val="1"/>
      </rPr>
      <t>24</t>
    </r>
    <r>
      <rPr>
        <sz val="10"/>
        <color rgb="FF000000"/>
        <rFont val="標楷體"/>
        <family val="4"/>
        <charset val="136"/>
      </rPr>
      <t>萬</t>
    </r>
  </si>
  <si>
    <r>
      <t>3.</t>
    </r>
    <r>
      <rPr>
        <sz val="7"/>
        <color rgb="FF000000"/>
        <rFont val="Times New Roman"/>
        <family val="1"/>
      </rPr>
      <t xml:space="preserve">       </t>
    </r>
    <r>
      <rPr>
        <sz val="10"/>
        <color rgb="FF000000"/>
        <rFont val="標楷體"/>
        <family val="4"/>
        <charset val="136"/>
      </rPr>
      <t>商業聯合營運達三家、物業委託案件達</t>
    </r>
    <r>
      <rPr>
        <sz val="10"/>
        <color rgb="FF000000"/>
        <rFont val="Times New Roman"/>
        <family val="1"/>
      </rPr>
      <t>2</t>
    </r>
    <r>
      <rPr>
        <sz val="10"/>
        <color rgb="FF000000"/>
        <rFont val="標楷體"/>
        <family val="4"/>
        <charset val="136"/>
      </rPr>
      <t>案</t>
    </r>
  </si>
  <si>
    <t>AB</t>
  </si>
  <si>
    <t>ABCDE</t>
  </si>
  <si>
    <t>AC</t>
  </si>
  <si>
    <t>113年6月30</t>
  </si>
  <si>
    <t>結案</t>
  </si>
  <si>
    <t>ABCDE</t>
    <phoneticPr fontId="9" type="noConversion"/>
  </si>
  <si>
    <t>CDE</t>
    <phoneticPr fontId="9" type="noConversion"/>
  </si>
  <si>
    <t>ADE</t>
    <phoneticPr fontId="9" type="noConversion"/>
  </si>
  <si>
    <t>BDE</t>
    <phoneticPr fontId="9" type="noConversion"/>
  </si>
  <si>
    <t>AD</t>
    <phoneticPr fontId="9" type="noConversion"/>
  </si>
  <si>
    <t>二、參與計畫人力統計</t>
  </si>
  <si>
    <r>
      <t>(</t>
    </r>
    <r>
      <rPr>
        <sz val="12"/>
        <color rgb="FF000000"/>
        <rFont val="標楷體"/>
        <family val="4"/>
        <charset val="136"/>
      </rPr>
      <t>一</t>
    </r>
    <r>
      <rPr>
        <sz val="12"/>
        <color rgb="FF000000"/>
        <rFont val="Times New Roman"/>
        <family val="1"/>
      </rPr>
      <t>)</t>
    </r>
    <r>
      <rPr>
        <sz val="12"/>
        <color rgb="FF000000"/>
        <rFont val="標楷體"/>
        <family val="4"/>
        <charset val="136"/>
      </rPr>
      <t>學歷分析說明</t>
    </r>
  </si>
  <si>
    <t>單位：人</t>
  </si>
  <si>
    <t>公司名稱 五常物業規劃股份有限公司</t>
  </si>
  <si>
    <t>計畫人力</t>
  </si>
  <si>
    <t>學歷</t>
  </si>
  <si>
    <r>
      <t>平均年資</t>
    </r>
    <r>
      <rPr>
        <sz val="12"/>
        <color rgb="FF000000"/>
        <rFont val="Times New Roman"/>
        <family val="1"/>
      </rPr>
      <t>1</t>
    </r>
  </si>
  <si>
    <t>博士</t>
  </si>
  <si>
    <r>
      <t>專科</t>
    </r>
    <r>
      <rPr>
        <sz val="12"/>
        <color rgb="FF000000"/>
        <rFont val="Times New Roman"/>
        <family val="1"/>
      </rPr>
      <t>(</t>
    </r>
    <r>
      <rPr>
        <sz val="12"/>
        <color rgb="FF000000"/>
        <rFont val="標楷體"/>
        <family val="4"/>
        <charset val="136"/>
      </rPr>
      <t>含</t>
    </r>
    <r>
      <rPr>
        <sz val="12"/>
        <color rgb="FF000000"/>
        <rFont val="Times New Roman"/>
        <family val="1"/>
      </rPr>
      <t>)</t>
    </r>
    <r>
      <rPr>
        <sz val="12"/>
        <color rgb="FF000000"/>
        <rFont val="標楷體"/>
        <family val="4"/>
        <charset val="136"/>
      </rPr>
      <t>以下</t>
    </r>
  </si>
  <si>
    <t>男性</t>
  </si>
  <si>
    <t>女性</t>
  </si>
  <si>
    <t>五常物業規劃有限公司</t>
  </si>
  <si>
    <r>
      <t>○○</t>
    </r>
    <r>
      <rPr>
        <sz val="12"/>
        <color rgb="FF000000"/>
        <rFont val="標楷體"/>
        <family val="4"/>
        <charset val="136"/>
      </rPr>
      <t>公司</t>
    </r>
  </si>
  <si>
    <t>總計</t>
  </si>
  <si>
    <r>
      <t>註</t>
    </r>
    <r>
      <rPr>
        <sz val="10"/>
        <color rgb="FF000000"/>
        <rFont val="Times New Roman"/>
        <family val="1"/>
      </rPr>
      <t>:</t>
    </r>
    <r>
      <rPr>
        <sz val="10"/>
        <color rgb="FF000000"/>
        <rFont val="標楷體"/>
        <family val="4"/>
        <charset val="136"/>
      </rPr>
      <t>學歷人力合計應等於性別加上待聘人數合計。</t>
    </r>
  </si>
  <si>
    <r>
      <t>(</t>
    </r>
    <r>
      <rPr>
        <sz val="12"/>
        <color rgb="FF000000"/>
        <rFont val="標楷體"/>
        <family val="4"/>
        <charset val="136"/>
      </rPr>
      <t>二</t>
    </r>
    <r>
      <rPr>
        <sz val="12"/>
        <color rgb="FF000000"/>
        <rFont val="Times New Roman"/>
        <family val="1"/>
      </rPr>
      <t>)</t>
    </r>
    <r>
      <rPr>
        <sz val="12"/>
        <color rgb="FF000000"/>
        <rFont val="標楷體"/>
        <family val="4"/>
        <charset val="136"/>
      </rPr>
      <t>參與部門人力統計</t>
    </r>
  </si>
  <si>
    <t>單位：人／百分比</t>
  </si>
  <si>
    <t>管理部</t>
  </si>
  <si>
    <t>研發部</t>
  </si>
  <si>
    <t>行銷企劃部</t>
  </si>
  <si>
    <t>○○公司</t>
  </si>
  <si>
    <t>○○%</t>
  </si>
  <si>
    <t>最高學歷</t>
  </si>
  <si>
    <r>
      <t>(</t>
    </r>
    <r>
      <rPr>
        <sz val="12"/>
        <color rgb="FF000000"/>
        <rFont val="標楷體"/>
        <family val="4"/>
        <charset val="136"/>
      </rPr>
      <t>學校系所</t>
    </r>
    <r>
      <rPr>
        <sz val="12"/>
        <color rgb="FF000000"/>
        <rFont val="Times New Roman"/>
        <family val="1"/>
      </rPr>
      <t>)</t>
    </r>
  </si>
  <si>
    <t>經歷</t>
  </si>
  <si>
    <t>本業經驗</t>
  </si>
  <si>
    <t>重大技術成就</t>
  </si>
  <si>
    <r>
      <t>(</t>
    </r>
    <r>
      <rPr>
        <sz val="12"/>
        <color rgb="FF000000"/>
        <rFont val="標楷體"/>
        <family val="4"/>
        <charset val="136"/>
      </rPr>
      <t>或曾執行計畫經驗</t>
    </r>
    <r>
      <rPr>
        <sz val="12"/>
        <color rgb="FF000000"/>
        <rFont val="Times New Roman"/>
        <family val="1"/>
      </rPr>
      <t>)</t>
    </r>
  </si>
  <si>
    <r>
      <t xml:space="preserve">  (</t>
    </r>
    <r>
      <rPr>
        <sz val="12"/>
        <color rgb="FF000000"/>
        <rFont val="標楷體"/>
        <family val="4"/>
        <charset val="136"/>
      </rPr>
      <t>多家聯合申請請分別表列</t>
    </r>
    <r>
      <rPr>
        <sz val="12"/>
        <color rgb="FF000000"/>
        <rFont val="Times New Roman"/>
        <family val="1"/>
      </rPr>
      <t>)</t>
    </r>
  </si>
  <si>
    <t>一般人力</t>
  </si>
  <si>
    <t>主要經歷</t>
  </si>
  <si>
    <t>參與分項計畫及工作項目</t>
  </si>
  <si>
    <t>預期對本計畫之貢獻（新聘國際研發人員增填）</t>
  </si>
  <si>
    <t>阮氏泉</t>
  </si>
  <si>
    <r>
      <t>A</t>
    </r>
    <r>
      <rPr>
        <sz val="12"/>
        <color rgb="FF000000"/>
        <rFont val="標楷體"/>
        <family val="4"/>
        <charset val="136"/>
      </rPr>
      <t>分項計畫負責人直營商業營運、對餐點及飲品的製作技術精湛</t>
    </r>
  </si>
  <si>
    <t>林詩紜</t>
  </si>
  <si>
    <t>日本別府大學文學部文化學科</t>
  </si>
  <si>
    <t>新聘碩博士、國際研發人力</t>
  </si>
  <si>
    <t>小　　計</t>
  </si>
  <si>
    <t>李道翔</t>
  </si>
  <si>
    <t>新聘國際研發人員</t>
  </si>
  <si>
    <r>
      <t>合</t>
    </r>
    <r>
      <rPr>
        <sz val="12"/>
        <color rgb="FF000000"/>
        <rFont val="Times New Roman"/>
        <family val="1"/>
      </rPr>
      <t xml:space="preserve"> </t>
    </r>
    <r>
      <rPr>
        <sz val="12"/>
        <color rgb="FF000000"/>
        <rFont val="標楷體"/>
        <family val="4"/>
        <charset val="136"/>
      </rPr>
      <t>計</t>
    </r>
  </si>
  <si>
    <r>
      <t>註</t>
    </r>
    <r>
      <rPr>
        <sz val="10"/>
        <color rgb="FF000000"/>
        <rFont val="Times New Roman"/>
        <family val="1"/>
      </rPr>
      <t>: 1.</t>
    </r>
    <r>
      <rPr>
        <sz val="10"/>
        <color rgb="FF000000"/>
        <rFont val="標楷體"/>
        <family val="4"/>
        <charset val="136"/>
      </rPr>
      <t>如為多家公司聯合申請，各公司應分別填列。</t>
    </r>
  </si>
  <si>
    <r>
      <t>2.</t>
    </r>
    <r>
      <rPr>
        <sz val="10"/>
        <color rgb="FF000000"/>
        <rFont val="標楷體"/>
        <family val="4"/>
        <charset val="136"/>
      </rPr>
      <t>每家公司之待聘人員以不超過投入總創新研發人數之</t>
    </r>
    <r>
      <rPr>
        <sz val="10"/>
        <color rgb="FF000000"/>
        <rFont val="Times New Roman"/>
        <family val="1"/>
      </rPr>
      <t>30%</t>
    </r>
    <r>
      <rPr>
        <sz val="10"/>
        <color rgb="FF000000"/>
        <rFont val="標楷體"/>
        <family val="4"/>
        <charset val="136"/>
      </rPr>
      <t>為原則。</t>
    </r>
  </si>
  <si>
    <r>
      <t>3.</t>
    </r>
    <r>
      <rPr>
        <sz val="10"/>
        <color rgb="FF000000"/>
        <rFont val="標楷體"/>
        <family val="4"/>
        <charset val="136"/>
      </rPr>
      <t>參與分項計畫及工作項目應與預定進度表一致。</t>
    </r>
  </si>
  <si>
    <r>
      <t>4.</t>
    </r>
    <r>
      <rPr>
        <sz val="10"/>
        <color rgb="FF000000"/>
        <rFont val="標楷體"/>
        <family val="4"/>
        <charset val="136"/>
      </rPr>
      <t>本計畫全部投入研究發展人員應列明。</t>
    </r>
  </si>
  <si>
    <r>
      <t>5.</t>
    </r>
    <r>
      <rPr>
        <sz val="10"/>
        <color rgb="FF000000"/>
        <rFont val="標楷體"/>
        <family val="4"/>
        <charset val="136"/>
      </rPr>
      <t>為加強高階研發人才晉用，經審查同意編列新聘碩博士級人力並列入查核點者，人事費將提供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</si>
  <si>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6.</t>
    </r>
    <r>
      <rPr>
        <sz val="10"/>
        <color rgb="FF000000"/>
        <rFont val="標楷體"/>
        <family val="4"/>
        <charset val="136"/>
      </rPr>
      <t>新聘國際高階研發人員條件：</t>
    </r>
  </si>
  <si>
    <r>
      <t>(1)</t>
    </r>
    <r>
      <rPr>
        <sz val="10"/>
        <color rgb="FF000000"/>
        <rFont val="標楷體"/>
        <family val="4"/>
        <charset val="136"/>
      </rPr>
      <t>申請單位如</t>
    </r>
    <r>
      <rPr>
        <u/>
        <sz val="10"/>
        <color rgb="FF000000"/>
        <rFont val="標楷體"/>
        <family val="4"/>
        <charset val="136"/>
      </rPr>
      <t>屬中小企業</t>
    </r>
    <r>
      <rPr>
        <sz val="10"/>
        <color rgb="FF000000"/>
        <rFont val="標楷體"/>
        <family val="4"/>
        <charset val="136"/>
      </rPr>
      <t>且擬新聘國際高階研發人才，經審查同意並列入查核點者，人事費將提供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</si>
  <si>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(2)</t>
    </r>
    <r>
      <rPr>
        <sz val="10"/>
        <color rgb="FF000000"/>
        <rFont val="標楷體"/>
        <family val="4"/>
        <charset val="136"/>
      </rPr>
      <t>國際研發人員，其定義為具備國外資深研發經歷背景者，其國籍可為中華民國國民或外籍人士（惟不包含大陸地區人民）。</t>
    </r>
  </si>
  <si>
    <r>
      <t>(3)</t>
    </r>
    <r>
      <rPr>
        <sz val="10"/>
        <color rgb="FF000000"/>
        <rFont val="標楷體"/>
        <family val="4"/>
        <charset val="136"/>
      </rPr>
      <t>參考準則：具備與計畫相關之國外資深研發資歷與研發實績，並經審查委員認定能對計畫研發內容具貢獻者</t>
    </r>
    <r>
      <rPr>
        <sz val="10"/>
        <color rgb="FF000000"/>
        <rFont val="Times New Roman"/>
        <family val="1"/>
      </rPr>
      <t>(</t>
    </r>
    <r>
      <rPr>
        <sz val="10"/>
        <color rgb="FF000000"/>
        <rFont val="標楷體"/>
        <family val="4"/>
        <charset val="136"/>
      </rPr>
      <t>表格內增填預期對本計畫之貢獻）。</t>
    </r>
  </si>
  <si>
    <t>五常物業規股份有限公司</t>
    <phoneticPr fontId="9" type="noConversion"/>
  </si>
  <si>
    <t>待聘人數1人</t>
    <phoneticPr fontId="9" type="noConversion"/>
  </si>
  <si>
    <t>商業實驗室</t>
    <phoneticPr fontId="9" type="noConversion"/>
  </si>
  <si>
    <t>政大社科院社會學系</t>
    <phoneticPr fontId="9" type="noConversion"/>
  </si>
  <si>
    <r>
      <rPr>
        <b/>
        <sz val="16"/>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6"/>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</si>
  <si>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本計畫之物業及商業兩項新型專利發明人領有TTQS訓練品質管理認證、公寓大廈管理服務人員認可、甲級勞工主管認可、建築製圖丙級、商業會計乙級、社工員修業科目，曾任職新北市政府多局處、具有勞工行政、環保法規、社區發展、社區營造、社會工作、維權工作、糾紛調處、組織運作、新聞採訪撰稿、媒體攻防、商業規劃經營等多領域從業經驗</t>
    <phoneticPr fontId="9" type="noConversion"/>
  </si>
  <si>
    <t>社區安全中心</t>
    <phoneticPr fontId="9" type="noConversion"/>
  </si>
  <si>
    <r>
      <rPr>
        <u/>
        <sz val="12"/>
        <color theme="10"/>
        <rFont val="標楷體"/>
        <family val="4"/>
        <charset val="136"/>
      </rPr>
      <t>略以</t>
    </r>
    <r>
      <rPr>
        <u/>
        <sz val="12"/>
        <color theme="10"/>
        <rFont val="Times New Roman"/>
        <family val="1"/>
      </rPr>
      <t>(</t>
    </r>
    <r>
      <rPr>
        <u/>
        <sz val="12"/>
        <color theme="10"/>
        <rFont val="標楷體"/>
        <family val="4"/>
        <charset val="136"/>
      </rPr>
      <t>連結</t>
    </r>
    <r>
      <rPr>
        <u/>
        <sz val="12"/>
        <color theme="10"/>
        <rFont val="Times New Roman"/>
        <family val="1"/>
      </rPr>
      <t>)</t>
    </r>
    <phoneticPr fontId="9" type="noConversion"/>
  </si>
  <si>
    <t>D分項計畫負責人，一絲不苟的個性適合本分項驗證工作</t>
    <phoneticPr fontId="9" type="noConversion"/>
  </si>
  <si>
    <t>部門職稱</t>
    <phoneticPr fontId="9" type="noConversion"/>
  </si>
  <si>
    <t>董事營運局營運長</t>
    <phoneticPr fontId="9" type="noConversion"/>
  </si>
  <si>
    <t>董事營運局董事長</t>
    <phoneticPr fontId="9" type="noConversion"/>
  </si>
  <si>
    <t>董事會營運局行政祕書</t>
    <phoneticPr fontId="9" type="noConversion"/>
  </si>
  <si>
    <t>新北市三重區五常社區發展協會常務理事、五常社區新住民文化推廣社社長、五常季刊發行人、越南歸化我國新住民</t>
    <phoneticPr fontId="9" type="noConversion"/>
  </si>
  <si>
    <t>五常社區季刊美術編輯、新住民第二代</t>
    <phoneticPr fontId="9" type="noConversion"/>
  </si>
  <si>
    <t>商業資訊中心協理</t>
    <phoneticPr fontId="9" type="noConversion"/>
  </si>
  <si>
    <t>TexasA&amp;M University (USA)</t>
  </si>
  <si>
    <t>C分項計畫負責人為本司資訊工程技術總監</t>
    <phoneticPr fontId="9" type="noConversion"/>
  </si>
  <si>
    <r>
      <t xml:space="preserve"> B</t>
    </r>
    <r>
      <rPr>
        <sz val="12"/>
        <color rgb="FF000000"/>
        <rFont val="標楷體"/>
        <family val="4"/>
        <charset val="136"/>
      </rPr>
      <t>分項計畫負責人，虔誠的受洗基督徒、真摯誠懇的工作態度、適合物業管理、認真負責、充滿學習熱誠</t>
    </r>
    <phoneticPr fontId="9" type="noConversion"/>
  </si>
  <si>
    <t>計畫主持人，本計畫所應用專利技術之發明者</t>
    <phoneticPr fontId="9" type="noConversion"/>
  </si>
  <si>
    <t>三、關鍵人員能力分析表</t>
    <phoneticPr fontId="9" type="noConversion"/>
  </si>
  <si>
    <t>三、參與計畫人員簡歷表暨能力分析表</t>
    <phoneticPr fontId="9" type="noConversion"/>
  </si>
  <si>
    <r>
      <rPr>
        <b/>
        <sz val="12"/>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2"/>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</si>
  <si>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因失業求助於社區發展協會，為協會社工工作個管案輔導對象、對於食物有特別敏銳的感知能力、有嚐過即可複製食品的驚人天賦、正義感十足、厭惡種族歧視發言、與營運長合作開設本公司、誓言扭轉台灣人對越南新住民的形象、籌組新住民文化發展社為社區營造精銳人才</t>
    <phoneticPr fontId="9" type="noConversion"/>
  </si>
  <si>
    <t>新北市三重區五常社區發展協會幹事、更生人、曾從事多種工種工程人員</t>
    <phoneticPr fontId="9" type="noConversion"/>
  </si>
  <si>
    <t>本為油漆工，因沉默寡言其父擔心不已找上協會總幹事，希望總幹事能夠與明諺談談化解心結，為社區社工個管案，總幹事為化解受明諺身為更生人自卑感，帶著從事社區工作，現為五常社區發展協會幹事，期間受洗成為虔誠的基督徒，具有多項工程從業經驗，一雙巧手能修百物，不善與人交際，但為人真摯、熱誠且善良，具有強大的公益性格，工作上從不與人計較得失，是個行動派的好夥伴，與創辦人共同創立本公司，最大的願望是在溫飽之餘，可以對社會有所貢獻。</t>
    <phoneticPr fontId="9" type="noConversion"/>
  </si>
  <si>
    <t>留學於日本別府大學，受本司創辦人邀請回國共同創業，因沉默寡言個性清冷令其母擔心是否為社交障礙，語言及美術天賦奇佳，獨立且沉默的個性令旁人很難發現其內心世界色彩繽紛絢麗，其工作態度嚴守紀律及規定，是本司的地下風紀股長，對於董事長及營運長起監督作用，故為營運局秘書，實為營運長欲傳授一身本領之愛徒</t>
    <phoneticPr fontId="9" type="noConversion"/>
  </si>
  <si>
    <t>經歷</t>
    <phoneticPr fontId="9" type="noConversion"/>
  </si>
  <si>
    <t>100/07</t>
  </si>
  <si>
    <t>Hardware Infrastructure</t>
  </si>
  <si>
    <t>Product Development Engineer 2</t>
  </si>
  <si>
    <t>Qualcomm (USA)</t>
  </si>
  <si>
    <t>102/01</t>
  </si>
  <si>
    <t>CoreBSP System</t>
  </si>
  <si>
    <t>Software Engineer</t>
  </si>
  <si>
    <t>Truebox LLC</t>
  </si>
  <si>
    <t>105/02</t>
  </si>
  <si>
    <t>Web Development</t>
  </si>
  <si>
    <t>Co-Founder</t>
  </si>
  <si>
    <t>博遠智能科技股份有限公司</t>
  </si>
  <si>
    <t>105/09</t>
  </si>
  <si>
    <t>Streaming</t>
  </si>
  <si>
    <t>軟體工程師</t>
  </si>
  <si>
    <t>一動數據</t>
  </si>
  <si>
    <t>106/08</t>
  </si>
  <si>
    <t>QA</t>
  </si>
  <si>
    <t>Senior QA</t>
  </si>
  <si>
    <t>亞旭電腦</t>
  </si>
  <si>
    <t>107/03</t>
  </si>
  <si>
    <t>智誠科技服務股份有限公司</t>
  </si>
  <si>
    <t>108/09</t>
  </si>
  <si>
    <t>Belkin International</t>
  </si>
  <si>
    <t>109/09</t>
  </si>
  <si>
    <t>Conning</t>
  </si>
  <si>
    <t>111/11</t>
  </si>
  <si>
    <t>Advanced Micro Devices (USA)</t>
    <phoneticPr fontId="9" type="noConversion"/>
  </si>
  <si>
    <r>
      <t>研</t>
    </r>
    <r>
      <rPr>
        <sz val="12"/>
        <color rgb="FF000000"/>
        <rFont val="Times New Roman"/>
        <family val="1"/>
      </rPr>
      <t>15 Modem SW</t>
    </r>
    <r>
      <rPr>
        <sz val="12"/>
        <color rgb="FF000000"/>
        <rFont val="標楷體"/>
        <family val="4"/>
        <charset val="136"/>
      </rPr>
      <t xml:space="preserve"> 主任工程師</t>
    </r>
    <phoneticPr fontId="9" type="noConversion"/>
  </si>
  <si>
    <r>
      <t>惠普</t>
    </r>
    <r>
      <rPr>
        <sz val="12"/>
        <color rgb="FF000000"/>
        <rFont val="Times New Roman"/>
        <family val="1"/>
      </rPr>
      <t>(HPI)</t>
    </r>
    <r>
      <rPr>
        <sz val="12"/>
        <color rgb="FF000000"/>
        <rFont val="標楷體"/>
        <family val="4"/>
        <charset val="136"/>
      </rPr>
      <t>測試自動化 Test Lead</t>
    </r>
    <phoneticPr fontId="9" type="noConversion"/>
  </si>
  <si>
    <t>5G Group Technical Manager</t>
    <phoneticPr fontId="9" type="noConversion"/>
  </si>
  <si>
    <t>Risk Solution Technical Director</t>
    <phoneticPr fontId="9" type="noConversion"/>
  </si>
  <si>
    <t>與營運長於新北市文化局社造人才交流中相識，並且兩人有著英雄惜英雄的相見恨晚的友誼，驚人的學經歷及高收入令人瞠目結舌，但對於公益事務有著匪夷所思的熱情，擁有不一樣的國際眼界，這次能夠延攬到道翔幫忙令全體人員至今為止都還在懷疑是不是作夢，如何能將道翔留在公司留在社區…是最近營運長思考最多的問題</t>
    <phoneticPr fontId="9" type="noConversion"/>
  </si>
  <si>
    <r>
      <t>運用AI智能系統整合勞務產能有效降低物業(商業)安全維護(聯合雲端銷售)成本並提高服務品質開發計畫</t>
    </r>
    <r>
      <rPr>
        <b/>
        <sz val="10"/>
        <color rgb="FF000000"/>
        <rFont val="標楷體"/>
        <family val="4"/>
        <charset val="136"/>
      </rPr>
      <t>︵草案︶                      公司名稱 五常物業規劃顧問股份有限公司</t>
    </r>
    <phoneticPr fontId="9" type="noConversion"/>
  </si>
  <si>
    <t>計劃書摘要表</t>
    <phoneticPr fontId="9" type="noConversion"/>
  </si>
  <si>
    <r>
      <t>商業ODM、物業</t>
    </r>
    <r>
      <rPr>
        <sz val="6"/>
        <color rgb="FF000000"/>
        <rFont val="標楷體"/>
        <family val="4"/>
        <charset val="136"/>
      </rPr>
      <t xml:space="preserve">自有        </t>
    </r>
    <r>
      <rPr>
        <sz val="8"/>
        <color rgb="FF000000"/>
        <rFont val="標楷體"/>
        <family val="4"/>
        <charset val="136"/>
      </rPr>
      <t>照護OEM、環保</t>
    </r>
    <r>
      <rPr>
        <sz val="6"/>
        <color rgb="FF000000"/>
        <rFont val="標楷體"/>
        <family val="4"/>
        <charset val="136"/>
      </rPr>
      <t>自有</t>
    </r>
    <phoneticPr fontId="9" type="noConversion"/>
  </si>
  <si>
    <t>100000江政隆勞務出資</t>
    <phoneticPr fontId="9" type="noConversion"/>
  </si>
  <si>
    <t>227.000(100,000為勞務出資股)</t>
    <phoneticPr fontId="9" type="noConversion"/>
  </si>
  <si>
    <t>(二)全公司人力分析</t>
    <phoneticPr fontId="9" type="noConversion"/>
  </si>
  <si>
    <r>
      <t>物業財務規劃</t>
    </r>
    <r>
      <rPr>
        <sz val="16"/>
        <color rgb="FF000000"/>
        <rFont val="標楷體"/>
        <family val="4"/>
        <charset val="136"/>
      </rPr>
      <t>：</t>
    </r>
  </si>
  <si>
    <r>
      <t>商業實驗計畫---直營數位化咖啡店</t>
    </r>
    <r>
      <rPr>
        <sz val="12"/>
        <color rgb="FF000000"/>
        <rFont val="標楷體"/>
        <family val="4"/>
        <charset val="136"/>
      </rPr>
      <t>設立</t>
    </r>
    <phoneticPr fontId="9" type="noConversion"/>
  </si>
  <si>
    <t>常備驗證簿冊</t>
    <phoneticPr fontId="9" type="noConversion"/>
  </si>
  <si>
    <t>1. 商業實驗計畫直營店營運狀況記錄冊</t>
    <phoneticPr fontId="9" type="noConversion"/>
  </si>
  <si>
    <r>
      <rPr>
        <b/>
        <sz val="12"/>
        <color rgb="FF000000"/>
        <rFont val="標楷體"/>
        <family val="4"/>
        <charset val="136"/>
      </rPr>
      <t>4.合格標準：</t>
    </r>
    <r>
      <rPr>
        <sz val="12"/>
        <color rgb="FF000000"/>
        <rFont val="標楷體"/>
        <family val="4"/>
        <charset val="136"/>
      </rPr>
      <t>餐點正確率95%以上、客戶滿意度85分以上，測試後一個月內餐券使用率80%以上、贈品餐券消費使用之平均客單價達面額210%以上、1個月內參測民眾系統使用回客單價達面額210%以上、1個月內參測民眾系統使用回頭率60%以上，營運工作95%符合SOP流程</t>
    </r>
    <phoneticPr fontId="9" type="noConversion"/>
  </si>
  <si>
    <r>
      <rPr>
        <b/>
        <sz val="12"/>
        <color rgb="FF000000"/>
        <rFont val="標楷體"/>
        <family val="4"/>
        <charset val="136"/>
      </rPr>
      <t>1.測試方式：</t>
    </r>
    <r>
      <rPr>
        <sz val="12"/>
        <color rgb="FF000000"/>
        <rFont val="標楷體"/>
        <family val="4"/>
        <charset val="136"/>
      </rPr>
      <t>直營商店早餐聯合銷售早餐店家3家向5社區櫃台在早上7點前送達單一社區30份餐點共150份聯合餐點</t>
    </r>
    <phoneticPr fontId="9" type="noConversion"/>
  </si>
  <si>
    <r>
      <rPr>
        <b/>
        <sz val="12"/>
        <color rgb="FF000000"/>
        <rFont val="標楷體"/>
        <family val="4"/>
        <charset val="136"/>
      </rPr>
      <t>2.參與測試人員：</t>
    </r>
    <r>
      <rPr>
        <sz val="12"/>
        <color rgb="FF000000"/>
        <rFont val="標楷體"/>
        <family val="4"/>
        <charset val="136"/>
      </rPr>
      <t>本司直屬商業、社區居民、管委會住戶及社區發展協會</t>
    </r>
    <phoneticPr fontId="9" type="noConversion"/>
  </si>
  <si>
    <r>
      <rPr>
        <b/>
        <sz val="12"/>
        <color rgb="FF000000"/>
        <rFont val="標楷體"/>
        <family val="4"/>
        <charset val="136"/>
      </rPr>
      <t>3.附加價值：</t>
    </r>
    <r>
      <rPr>
        <sz val="12"/>
        <color rgb="FF000000"/>
        <rFont val="標楷體"/>
        <family val="4"/>
        <charset val="136"/>
      </rPr>
      <t>利用服務測試機會以社區發展協會邀請轄內各物業管組織，管理服務公司、保全公司一同參觀，解除其競業敵對觀感，強調區域安保服務及商業服務是各產業的附加價值項目，成本降低產品，並非競業對手。</t>
    </r>
    <phoneticPr fontId="9" type="noConversion"/>
  </si>
  <si>
    <r>
      <rPr>
        <b/>
        <sz val="12"/>
        <color rgb="FF000000"/>
        <rFont val="標楷體"/>
        <family val="4"/>
        <charset val="136"/>
      </rPr>
      <t>4.合格標準：</t>
    </r>
    <r>
      <rPr>
        <sz val="12"/>
        <color rgb="FF000000"/>
        <rFont val="標楷體"/>
        <family val="4"/>
        <charset val="136"/>
      </rPr>
      <t>餐點正確率95%以上、客戶滿意度85分以上，贈品餐券使用率80%以上、贈品餐券消費使用之平均客單價達面額210%以上、1個月內參測民眾系統使用回頭率60%以上。由社區發展協會理事長抽出於配合測試社區值班台發出狀況社區安全網絡反應速度及安全張力驗證。</t>
    </r>
    <phoneticPr fontId="9" type="noConversion"/>
  </si>
  <si>
    <t>社區安全網安全維護功能測試</t>
    <phoneticPr fontId="9" type="noConversion"/>
  </si>
  <si>
    <t>1.測試方式：實際演練下列各項突發狀況。</t>
    <phoneticPr fontId="9" type="noConversion"/>
  </si>
  <si>
    <r>
      <rPr>
        <b/>
        <sz val="12"/>
        <color rgb="FF000000"/>
        <rFont val="標楷體"/>
        <family val="4"/>
        <charset val="136"/>
      </rPr>
      <t>1.驗證方式：</t>
    </r>
    <r>
      <rPr>
        <sz val="12"/>
        <color rgb="FF000000"/>
        <rFont val="標楷體"/>
        <family val="4"/>
        <charset val="136"/>
      </rPr>
      <t>導入AI社區服務系統於本社區委託顧問業務客戶，並以本計畫中所開發之社區管理系統進行協助物業公司進行管委會或區權人會議，使受冊住戶能夠協助進行為期一周的測試各項系統使用項目，並且於驗證工結束後填寫詳盡的試用報告</t>
    </r>
    <phoneticPr fontId="9" type="noConversion"/>
  </si>
  <si>
    <r>
      <rPr>
        <b/>
        <sz val="12"/>
        <color rgb="FF000000"/>
        <rFont val="標楷體"/>
        <family val="4"/>
        <charset val="136"/>
      </rPr>
      <t>3.附加價值：</t>
    </r>
    <r>
      <rPr>
        <sz val="12"/>
        <color rgb="FF000000"/>
        <rFont val="標楷體"/>
        <family val="4"/>
        <charset val="136"/>
      </rPr>
      <t>利用服務測試機會以社區發展協會邀請轄內各物業管理組織，管理服務公司、保全公司一同參與，解除其競業敵對觀感，開發服務將於驗證後提供測試單位免費使用一年，做為系統改版及功能強化的重要依據。</t>
    </r>
    <phoneticPr fontId="9" type="noConversion"/>
  </si>
  <si>
    <t>預計申請補助額度</t>
    <phoneticPr fontId="9" type="noConversion"/>
  </si>
  <si>
    <t>總研發費用</t>
    <phoneticPr fontId="9" type="noConversion"/>
  </si>
  <si>
    <t>研發計畫所需費用</t>
    <phoneticPr fontId="9" type="noConversion"/>
  </si>
  <si>
    <t>各分項計畫權重</t>
    <phoneticPr fontId="9" type="noConversion"/>
  </si>
  <si>
    <t>總經費</t>
    <phoneticPr fontId="9" type="noConversion"/>
  </si>
  <si>
    <t>經費使用年度</t>
    <phoneticPr fontId="9" type="noConversion"/>
  </si>
  <si>
    <t>SIIR計畫114年度餘額加上3.4萬X15=51萬元；及銀髮、婦女各10萬元業務費用</t>
    <phoneticPr fontId="9" type="noConversion"/>
  </si>
  <si>
    <t>代尋</t>
    <phoneticPr fontId="9" type="noConversion"/>
  </si>
  <si>
    <t>在社區營造及物業管理有豐富的從業經驗，為內政部、勞動部、文化部社區營造及物業管理講師，對國內物業及保全業市場擁有獨到的見解及從業經驗，本身又為齊家物業區經理，中華物業協會教育長，其結合物業從業經驗及社區營造理論專長為一身的官先生實為本計畫顧問人選中的首選</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</si>
</sst>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176" formatCode="&quot; &quot;#,##0.00&quot; &quot;;&quot; (&quot;#,##0.00&quot;)&quot;;&quot; -&quot;00&quot; &quot;;&quot; &quot;@&quot; &quot;"/>
    <numFmt numFmtId="177" formatCode="&quot; &quot;#,##0&quot; &quot;;&quot; (&quot;#,##0&quot;)&quot;;&quot; - &quot;;&quot; &quot;@&quot; &quot;"/>
    <numFmt numFmtId="178" formatCode="&quot;NT$&quot;#,##0;[Red]&quot;-NT$&quot;#,##0"/>
    <numFmt numFmtId="179" formatCode="&quot; &quot;#,##0&quot; &quot;;&quot;-&quot;#,##0&quot; &quot;;&quot; - &quot;;&quot; &quot;@&quot; &quot;"/>
    <numFmt numFmtId="180" formatCode="0.0%"/>
    <numFmt numFmtId="181" formatCode="#,##0&quot; &quot;"/>
    <numFmt numFmtId="182" formatCode="#,##0;[Red]&quot;-&quot;#,##0"/>
    <numFmt numFmtId="183" formatCode="0.00&quot; &quot;;[Red]&quot;(&quot;0.00&quot;)&quot;"/>
    <numFmt numFmtId="184" formatCode="0.00_);[Red]\(0.00\)"/>
    <numFmt numFmtId="185" formatCode="#,##0.00_);[Red]\(#,##0.00\)"/>
    <numFmt numFmtId="186" formatCode="0.00_ "/>
    <numFmt numFmtId="187" formatCode="_-&quot;$&quot;* #,##0.0_-;\-&quot;$&quot;* #,##0.0_-;_-&quot;$&quot;* &quot;-&quot;??_-;_-@_-"/>
    <numFmt numFmtId="188" formatCode="0.000_ "/>
    <numFmt numFmtId="189" formatCode="0.0_ "/>
  </numFmts>
  <fonts count="137">
    <font>
      <sz val="12"/>
      <color rgb="FF000000"/>
      <name val="Times New Roman"/>
      <family val="1"/>
    </font>
    <font>
      <sz val="12"/>
      <color rgb="FF000000"/>
      <name val="Times New Roman"/>
      <family val="1"/>
    </font>
    <font>
      <sz val="10"/>
      <color rgb="FF000000"/>
      <name val="MS Sans Serif"/>
      <family val="2"/>
    </font>
    <font>
      <b/>
      <sz val="16"/>
      <color rgb="FF000000"/>
      <name val="標楷體"/>
      <family val="4"/>
      <charset val="136"/>
    </font>
    <font>
      <sz val="10"/>
      <color rgb="FF000000"/>
      <name val="標楷體"/>
      <family val="4"/>
      <charset val="136"/>
    </font>
    <font>
      <b/>
      <sz val="12"/>
      <color rgb="FF000000"/>
      <name val="標楷體"/>
      <family val="4"/>
      <charset val="136"/>
    </font>
    <font>
      <sz val="12"/>
      <color rgb="FF000000"/>
      <name val="標楷體"/>
      <family val="4"/>
      <charset val="136"/>
    </font>
    <font>
      <b/>
      <sz val="10"/>
      <color rgb="FF000000"/>
      <name val="標楷體"/>
      <family val="4"/>
      <charset val="136"/>
    </font>
    <font>
      <sz val="13"/>
      <color rgb="FF000000"/>
      <name val="標楷體"/>
      <family val="4"/>
      <charset val="136"/>
    </font>
    <font>
      <sz val="9"/>
      <name val="細明體"/>
      <family val="3"/>
      <charset val="136"/>
    </font>
    <font>
      <b/>
      <sz val="18"/>
      <color rgb="FF000000"/>
      <name val="標楷體"/>
      <family val="4"/>
      <charset val="136"/>
    </font>
    <font>
      <sz val="18"/>
      <color rgb="FF000000"/>
      <name val="Times New Roman"/>
      <family val="1"/>
    </font>
    <font>
      <sz val="18"/>
      <color rgb="FF000000"/>
      <name val="標楷體"/>
      <family val="4"/>
      <charset val="136"/>
    </font>
    <font>
      <b/>
      <sz val="18"/>
      <color rgb="FF000000"/>
      <name val="Times New Roman"/>
      <family val="1"/>
    </font>
    <font>
      <sz val="16"/>
      <color rgb="FF000000"/>
      <name val="標楷體"/>
      <family val="4"/>
      <charset val="136"/>
    </font>
    <font>
      <sz val="18"/>
      <color rgb="FFFF0000"/>
      <name val="標楷體"/>
      <family val="4"/>
      <charset val="136"/>
    </font>
    <font>
      <sz val="14"/>
      <color rgb="FF000000"/>
      <name val="標楷體"/>
      <family val="4"/>
      <charset val="136"/>
    </font>
    <font>
      <b/>
      <sz val="12"/>
      <color rgb="FF000000"/>
      <name val="細明體"/>
      <family val="3"/>
      <charset val="136"/>
    </font>
    <font>
      <b/>
      <sz val="12"/>
      <color rgb="FF000000"/>
      <name val="Times New Roman"/>
      <family val="1"/>
    </font>
    <font>
      <b/>
      <sz val="12"/>
      <color rgb="FFFF0000"/>
      <name val="標楷體"/>
      <family val="4"/>
      <charset val="136"/>
    </font>
    <font>
      <sz val="10"/>
      <color rgb="FF000000"/>
      <name val="Times New Roman"/>
      <family val="1"/>
    </font>
    <font>
      <sz val="13"/>
      <color rgb="FF000000"/>
      <name val="Times New Roman"/>
      <family val="1"/>
    </font>
    <font>
      <b/>
      <sz val="14"/>
      <color rgb="FF000000"/>
      <name val="標楷體"/>
      <family val="4"/>
      <charset val="136"/>
    </font>
    <font>
      <sz val="8"/>
      <color rgb="FF000000"/>
      <name val="標楷體"/>
      <family val="4"/>
      <charset val="136"/>
    </font>
    <font>
      <sz val="10"/>
      <color rgb="FFFF0000"/>
      <name val="標楷體"/>
      <family val="4"/>
      <charset val="136"/>
    </font>
    <font>
      <b/>
      <sz val="10"/>
      <color rgb="FF000000"/>
      <name val="Times New Roman"/>
      <family val="1"/>
    </font>
    <font>
      <sz val="8"/>
      <color rgb="FF000000"/>
      <name val="Times New Roman"/>
      <family val="1"/>
    </font>
    <font>
      <sz val="10"/>
      <color rgb="FFFF0000"/>
      <name val="Times New Roman"/>
      <family val="1"/>
    </font>
    <font>
      <b/>
      <sz val="14"/>
      <color rgb="FF000000"/>
      <name val="細明體"/>
      <family val="3"/>
      <charset val="136"/>
    </font>
    <font>
      <b/>
      <sz val="9"/>
      <color rgb="FF000000"/>
      <name val="標楷體"/>
      <family val="4"/>
      <charset val="136"/>
    </font>
    <font>
      <b/>
      <sz val="9"/>
      <color rgb="FF000000"/>
      <name val="Times New Roman"/>
      <family val="1"/>
    </font>
    <font>
      <b/>
      <sz val="12"/>
      <color rgb="FF0000FF"/>
      <name val="標楷體"/>
      <family val="4"/>
      <charset val="136"/>
    </font>
    <font>
      <sz val="9"/>
      <color indexed="81"/>
      <name val="Tahoma"/>
      <family val="2"/>
    </font>
    <font>
      <b/>
      <sz val="9"/>
      <color indexed="81"/>
      <name val="Tahoma"/>
      <family val="2"/>
    </font>
    <font>
      <b/>
      <sz val="9"/>
      <color indexed="81"/>
      <name val="細明體"/>
      <family val="3"/>
      <charset val="136"/>
    </font>
    <font>
      <sz val="9"/>
      <color indexed="81"/>
      <name val="細明體"/>
      <family val="3"/>
      <charset val="136"/>
    </font>
    <font>
      <b/>
      <sz val="12"/>
      <color indexed="81"/>
      <name val="細明體"/>
      <family val="3"/>
      <charset val="136"/>
    </font>
    <font>
      <b/>
      <sz val="12"/>
      <color indexed="81"/>
      <name val="Tahoma"/>
      <family val="2"/>
    </font>
    <font>
      <sz val="12"/>
      <color indexed="81"/>
      <name val="Tahoma"/>
      <family val="2"/>
    </font>
    <font>
      <sz val="12"/>
      <color indexed="81"/>
      <name val="細明體"/>
      <family val="3"/>
      <charset val="136"/>
    </font>
    <font>
      <sz val="12"/>
      <color rgb="FF000000"/>
      <name val="Microsoft JhengHei"/>
      <family val="1"/>
    </font>
    <font>
      <sz val="22"/>
      <color rgb="FF000000"/>
      <name val="Times New Roman"/>
      <family val="1"/>
    </font>
    <font>
      <sz val="12"/>
      <color rgb="FFFFC000"/>
      <name val="Times New Roman"/>
      <family val="1"/>
    </font>
    <font>
      <sz val="12"/>
      <color rgb="FFFF0000"/>
      <name val="Times New Roman"/>
      <family val="1"/>
    </font>
    <font>
      <sz val="12"/>
      <color rgb="FFFF0000"/>
      <name val="Microsoft JhengHei"/>
      <family val="1"/>
    </font>
    <font>
      <sz val="36"/>
      <color rgb="FF000000"/>
      <name val="851tegakizatsu"/>
      <family val="3"/>
      <charset val="136"/>
    </font>
    <font>
      <sz val="36"/>
      <color rgb="FF000000"/>
      <name val="新細明體"/>
      <family val="1"/>
      <charset val="136"/>
    </font>
    <font>
      <b/>
      <sz val="12"/>
      <color rgb="FFFFFFFF"/>
      <name val="標楷體"/>
      <family val="4"/>
      <charset val="136"/>
    </font>
    <font>
      <b/>
      <sz val="12"/>
      <color rgb="FFE8E8E8"/>
      <name val="標楷體"/>
      <family val="4"/>
      <charset val="136"/>
    </font>
    <font>
      <b/>
      <sz val="12"/>
      <name val="標楷體"/>
      <family val="4"/>
      <charset val="136"/>
    </font>
    <font>
      <b/>
      <sz val="12"/>
      <color theme="0"/>
      <name val="標楷體"/>
      <family val="4"/>
      <charset val="136"/>
    </font>
    <font>
      <sz val="12"/>
      <color rgb="FF000000"/>
      <name val="王漢宗中行書繁"/>
      <family val="3"/>
      <charset val="136"/>
    </font>
    <font>
      <sz val="22"/>
      <color rgb="FF000000"/>
      <name val="Microsoft JhengHei"/>
      <family val="1"/>
    </font>
    <font>
      <sz val="24"/>
      <color rgb="FF000000"/>
      <name val="Times New Roman"/>
      <family val="1"/>
    </font>
    <font>
      <b/>
      <sz val="24"/>
      <color rgb="FF000000"/>
      <name val="Times New Roman"/>
      <family val="1"/>
    </font>
    <font>
      <b/>
      <sz val="12"/>
      <color rgb="FF000000"/>
      <name val="王漢宗中行書繁"/>
      <family val="3"/>
      <charset val="136"/>
    </font>
    <font>
      <b/>
      <sz val="12"/>
      <color rgb="FF000000"/>
      <name val="Microsoft JhengHei"/>
      <family val="1"/>
    </font>
    <font>
      <sz val="22"/>
      <color rgb="FF000000"/>
      <name val="王漢宗中行書繁"/>
      <family val="3"/>
      <charset val="136"/>
    </font>
    <font>
      <b/>
      <sz val="16"/>
      <color rgb="FF000000"/>
      <name val="王漢宗中行書繁"/>
      <family val="3"/>
      <charset val="136"/>
    </font>
    <font>
      <sz val="8"/>
      <color rgb="FF000000"/>
      <name val="Microsoft JhengHei"/>
      <family val="1"/>
    </font>
    <font>
      <sz val="18"/>
      <color rgb="FF000000"/>
      <name val="王漢宗中行書繁"/>
      <family val="3"/>
      <charset val="136"/>
    </font>
    <font>
      <sz val="24"/>
      <color theme="1"/>
      <name val="標楷體"/>
      <family val="4"/>
      <charset val="136"/>
    </font>
    <font>
      <sz val="9"/>
      <name val="新細明體"/>
      <family val="2"/>
      <charset val="136"/>
      <scheme val="minor"/>
    </font>
    <font>
      <sz val="12"/>
      <color theme="1"/>
      <name val="標楷體"/>
      <family val="4"/>
      <charset val="136"/>
    </font>
    <font>
      <b/>
      <sz val="12"/>
      <color theme="1"/>
      <name val="標楷體"/>
      <family val="4"/>
      <charset val="136"/>
    </font>
    <font>
      <b/>
      <sz val="12"/>
      <color rgb="FF0070C0"/>
      <name val="標楷體"/>
      <family val="4"/>
      <charset val="136"/>
    </font>
    <font>
      <b/>
      <sz val="24"/>
      <color rgb="FF000000"/>
      <name val="標楷體"/>
      <family val="4"/>
      <charset val="136"/>
    </font>
    <font>
      <b/>
      <sz val="28"/>
      <color rgb="FF000000"/>
      <name val="標楷體"/>
      <family val="4"/>
      <charset val="136"/>
    </font>
    <font>
      <b/>
      <sz val="20"/>
      <color rgb="FF000000"/>
      <name val="標楷體"/>
      <family val="4"/>
      <charset val="136"/>
    </font>
    <font>
      <sz val="20"/>
      <color rgb="FF000000"/>
      <name val="標楷體"/>
      <family val="4"/>
      <charset val="136"/>
    </font>
    <font>
      <sz val="6"/>
      <color rgb="FF000000"/>
      <name val="標楷體"/>
      <family val="4"/>
      <charset val="136"/>
    </font>
    <font>
      <sz val="9"/>
      <color rgb="FF000000"/>
      <name val="標楷體"/>
      <family val="4"/>
      <charset val="136"/>
    </font>
    <font>
      <sz val="17"/>
      <color rgb="FF000000"/>
      <name val="標楷體"/>
      <family val="4"/>
      <charset val="136"/>
    </font>
    <font>
      <sz val="11"/>
      <color rgb="FF000000"/>
      <name val="標楷體"/>
      <family val="4"/>
      <charset val="136"/>
    </font>
    <font>
      <vertAlign val="superscript"/>
      <sz val="12"/>
      <color rgb="FFFF0000"/>
      <name val="標楷體"/>
      <family val="4"/>
      <charset val="136"/>
    </font>
    <font>
      <vertAlign val="subscript"/>
      <sz val="12"/>
      <color rgb="FFED7D31"/>
      <name val="標楷體"/>
      <family val="4"/>
      <charset val="136"/>
    </font>
    <font>
      <sz val="12"/>
      <color rgb="FFFF0000"/>
      <name val="標楷體"/>
      <family val="4"/>
      <charset val="136"/>
    </font>
    <font>
      <sz val="12"/>
      <color rgb="FF833C0B"/>
      <name val="標楷體"/>
      <family val="4"/>
      <charset val="136"/>
    </font>
    <font>
      <b/>
      <sz val="11"/>
      <color rgb="FF000000"/>
      <name val="標楷體"/>
      <family val="4"/>
      <charset val="136"/>
    </font>
    <font>
      <b/>
      <sz val="12"/>
      <color theme="1"/>
      <name val="新細明體"/>
      <family val="2"/>
      <charset val="136"/>
      <scheme val="minor"/>
    </font>
    <font>
      <b/>
      <sz val="12"/>
      <color theme="1"/>
      <name val="新細明體"/>
      <family val="1"/>
      <charset val="136"/>
      <scheme val="minor"/>
    </font>
    <font>
      <b/>
      <sz val="15"/>
      <color rgb="FF000000"/>
      <name val="標楷體"/>
      <family val="4"/>
      <charset val="136"/>
    </font>
    <font>
      <sz val="7"/>
      <color rgb="FF000000"/>
      <name val="Times New Roman"/>
      <family val="1"/>
    </font>
    <font>
      <sz val="8"/>
      <color rgb="FFFFFFFF"/>
      <name val="標楷體"/>
      <family val="4"/>
      <charset val="136"/>
    </font>
    <font>
      <sz val="12"/>
      <color rgb="FF000000"/>
      <name val="Microsoft JhengHei"/>
      <family val="1"/>
      <charset val="136"/>
    </font>
    <font>
      <sz val="12"/>
      <color rgb="FF000000"/>
      <name val="標楷體"/>
      <family val="1"/>
      <charset val="136"/>
    </font>
    <font>
      <b/>
      <u/>
      <sz val="12"/>
      <color rgb="FF000000"/>
      <name val="標楷體"/>
      <family val="4"/>
      <charset val="136"/>
    </font>
    <font>
      <b/>
      <u/>
      <sz val="10"/>
      <color rgb="FF000000"/>
      <name val="標楷體"/>
      <family val="4"/>
      <charset val="136"/>
    </font>
    <font>
      <b/>
      <i/>
      <sz val="10"/>
      <color rgb="FF000000"/>
      <name val="標楷體"/>
      <family val="4"/>
      <charset val="136"/>
    </font>
    <font>
      <u/>
      <sz val="12"/>
      <color rgb="FF000000"/>
      <name val="標楷體"/>
      <family val="4"/>
      <charset val="136"/>
    </font>
    <font>
      <b/>
      <sz val="22"/>
      <color rgb="FF000000"/>
      <name val="王漢宗中行書繁"/>
      <family val="3"/>
      <charset val="136"/>
    </font>
    <font>
      <b/>
      <sz val="8"/>
      <color rgb="FF000000"/>
      <name val="Microsoft JhengHei"/>
      <family val="1"/>
    </font>
    <font>
      <b/>
      <sz val="12"/>
      <color rgb="FFFF0000"/>
      <name val="Times New Roman"/>
      <family val="1"/>
    </font>
    <font>
      <sz val="12"/>
      <color theme="0"/>
      <name val="標楷體"/>
      <family val="4"/>
      <charset val="136"/>
    </font>
    <font>
      <sz val="10"/>
      <color theme="0"/>
      <name val="標楷體"/>
      <family val="4"/>
      <charset val="136"/>
    </font>
    <font>
      <b/>
      <sz val="12"/>
      <color theme="2"/>
      <name val="標楷體"/>
      <family val="4"/>
      <charset val="136"/>
    </font>
    <font>
      <b/>
      <sz val="10"/>
      <color theme="2"/>
      <name val="標楷體"/>
      <family val="4"/>
      <charset val="136"/>
    </font>
    <font>
      <sz val="12"/>
      <color theme="2"/>
      <name val="標楷體"/>
      <family val="4"/>
      <charset val="136"/>
    </font>
    <font>
      <b/>
      <sz val="18"/>
      <color theme="2"/>
      <name val="王漢宗中行書繁"/>
      <family val="3"/>
      <charset val="136"/>
    </font>
    <font>
      <b/>
      <sz val="8"/>
      <color rgb="FFFFFFFF"/>
      <name val="標楷體"/>
      <family val="4"/>
      <charset val="136"/>
    </font>
    <font>
      <b/>
      <sz val="8"/>
      <color rgb="FF000000"/>
      <name val="標楷體"/>
      <family val="4"/>
      <charset val="136"/>
    </font>
    <font>
      <sz val="10"/>
      <color rgb="FF000000"/>
      <name val="Microsoft JhengHei"/>
      <family val="1"/>
    </font>
    <font>
      <sz val="12"/>
      <color rgb="FF000000"/>
      <name val="851tegakizatsu"/>
      <family val="3"/>
      <charset val="136"/>
    </font>
    <font>
      <sz val="7"/>
      <color rgb="FF000000"/>
      <name val="標楷體"/>
      <family val="4"/>
      <charset val="136"/>
    </font>
    <font>
      <sz val="8"/>
      <name val="標楷體"/>
      <family val="4"/>
      <charset val="136"/>
    </font>
    <font>
      <sz val="6"/>
      <color theme="0"/>
      <name val="標楷體"/>
      <family val="4"/>
      <charset val="136"/>
    </font>
    <font>
      <sz val="9"/>
      <color theme="0"/>
      <name val="標楷體"/>
      <family val="4"/>
      <charset val="136"/>
    </font>
    <font>
      <sz val="6"/>
      <name val="標楷體"/>
      <family val="4"/>
      <charset val="136"/>
    </font>
    <font>
      <sz val="8"/>
      <color theme="0"/>
      <name val="標楷體"/>
      <family val="4"/>
      <charset val="136"/>
    </font>
    <font>
      <b/>
      <sz val="9"/>
      <color theme="2"/>
      <name val="標楷體"/>
      <family val="4"/>
      <charset val="136"/>
    </font>
    <font>
      <sz val="9"/>
      <color theme="2"/>
      <name val="標楷體"/>
      <family val="4"/>
      <charset val="136"/>
    </font>
    <font>
      <sz val="12"/>
      <color theme="5" tint="-0.499984740745262"/>
      <name val="標楷體"/>
      <family val="4"/>
      <charset val="136"/>
    </font>
    <font>
      <b/>
      <sz val="10"/>
      <color theme="1"/>
      <name val="標楷體"/>
      <family val="4"/>
      <charset val="136"/>
    </font>
    <font>
      <sz val="12"/>
      <name val="標楷體"/>
      <family val="4"/>
      <charset val="136"/>
    </font>
    <font>
      <b/>
      <sz val="12"/>
      <color rgb="FF92D050"/>
      <name val="標楷體"/>
      <family val="4"/>
      <charset val="136"/>
    </font>
    <font>
      <sz val="12"/>
      <color theme="7"/>
      <name val="標楷體"/>
      <family val="4"/>
      <charset val="136"/>
    </font>
    <font>
      <sz val="10"/>
      <color rgb="FF000000"/>
      <name val="MS Sans Serif"/>
      <family val="4"/>
      <charset val="136"/>
    </font>
    <font>
      <sz val="20"/>
      <color rgb="FF000000"/>
      <name val="王漢宗中行書繁"/>
      <family val="3"/>
      <charset val="136"/>
    </font>
    <font>
      <sz val="15"/>
      <color rgb="FF000000"/>
      <name val="標楷體"/>
      <family val="4"/>
      <charset val="136"/>
    </font>
    <font>
      <b/>
      <vertAlign val="subscript"/>
      <sz val="12"/>
      <color rgb="FFFF0000"/>
      <name val="Times New Roman"/>
      <family val="1"/>
    </font>
    <font>
      <b/>
      <vertAlign val="subscript"/>
      <sz val="12"/>
      <color rgb="FFFF0000"/>
      <name val="標楷體"/>
      <family val="4"/>
      <charset val="136"/>
    </font>
    <font>
      <vertAlign val="subscript"/>
      <sz val="12"/>
      <color rgb="FFFF0000"/>
      <name val="Times New Roman"/>
      <family val="1"/>
    </font>
    <font>
      <vertAlign val="subscript"/>
      <sz val="12"/>
      <color rgb="FFFF0000"/>
      <name val="標楷體"/>
      <family val="4"/>
      <charset val="136"/>
    </font>
    <font>
      <sz val="12"/>
      <color rgb="FF92D050"/>
      <name val="Times New Roman"/>
      <family val="1"/>
    </font>
    <font>
      <sz val="12"/>
      <color rgb="FF92D050"/>
      <name val="標楷體"/>
      <family val="4"/>
      <charset val="136"/>
    </font>
    <font>
      <sz val="12"/>
      <color rgb="FFFFC000"/>
      <name val="標楷體"/>
      <family val="4"/>
      <charset val="136"/>
    </font>
    <font>
      <b/>
      <u/>
      <sz val="12"/>
      <color rgb="FF000000"/>
      <name val="Times New Roman"/>
      <family val="1"/>
    </font>
    <font>
      <sz val="14"/>
      <color rgb="FF000000"/>
      <name val="Times New Roman"/>
      <family val="1"/>
    </font>
    <font>
      <u/>
      <sz val="12"/>
      <color rgb="FFFF0000"/>
      <name val="標楷體"/>
      <family val="4"/>
      <charset val="136"/>
    </font>
    <font>
      <u/>
      <sz val="12"/>
      <color rgb="FF008080"/>
      <name val="標楷體"/>
      <family val="4"/>
      <charset val="136"/>
    </font>
    <font>
      <sz val="18"/>
      <color rgb="FF000000"/>
      <name val="HYMyeongJo-Extra"/>
      <family val="1"/>
      <charset val="129"/>
    </font>
    <font>
      <b/>
      <sz val="20"/>
      <color rgb="FFFFFFFF"/>
      <name val="851tegakizatsu"/>
      <family val="3"/>
      <charset val="136"/>
    </font>
    <font>
      <u/>
      <sz val="12"/>
      <color theme="10"/>
      <name val="Times New Roman"/>
      <family val="1"/>
    </font>
    <font>
      <u/>
      <sz val="12"/>
      <color theme="10"/>
      <name val="標楷體"/>
      <family val="4"/>
      <charset val="136"/>
    </font>
    <font>
      <u/>
      <sz val="10"/>
      <color rgb="FF000000"/>
      <name val="標楷體"/>
      <family val="4"/>
      <charset val="136"/>
    </font>
    <font>
      <b/>
      <sz val="10"/>
      <color rgb="FF000000"/>
      <name val="Microsoft JhengHei"/>
      <family val="2"/>
      <charset val="136"/>
    </font>
    <font>
      <b/>
      <sz val="22"/>
      <color rgb="FF000000"/>
      <name val="Times New Roman"/>
      <family val="1"/>
    </font>
  </fonts>
  <fills count="37">
    <fill>
      <patternFill patternType="none"/>
    </fill>
    <fill>
      <patternFill patternType="gray125"/>
    </fill>
    <fill>
      <patternFill patternType="solid">
        <fgColor rgb="FFCCFFCC"/>
        <bgColor rgb="FFCCFFCC"/>
      </patternFill>
    </fill>
    <fill>
      <patternFill patternType="solid">
        <fgColor rgb="FFCCFFCC"/>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7"/>
        <bgColor indexed="64"/>
      </patternFill>
    </fill>
    <fill>
      <patternFill patternType="solid">
        <fgColor theme="9"/>
        <bgColor indexed="64"/>
      </patternFill>
    </fill>
    <fill>
      <patternFill patternType="solid">
        <fgColor rgb="FFFFFFFF"/>
        <bgColor indexed="64"/>
      </patternFill>
    </fill>
    <fill>
      <patternFill patternType="solid">
        <fgColor rgb="FF6699FF"/>
        <bgColor indexed="64"/>
      </patternFill>
    </fill>
    <fill>
      <patternFill patternType="solid">
        <fgColor rgb="FFFF0000"/>
        <bgColor indexed="64"/>
      </patternFill>
    </fill>
    <fill>
      <patternFill patternType="solid">
        <fgColor theme="5" tint="0.59999389629810485"/>
        <bgColor indexed="64"/>
      </patternFill>
    </fill>
    <fill>
      <patternFill patternType="solid">
        <fgColor theme="1"/>
        <bgColor indexed="64"/>
      </patternFill>
    </fill>
    <fill>
      <patternFill patternType="solid">
        <fgColor theme="5" tint="-0.499984740745262"/>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bgColor indexed="64"/>
      </patternFill>
    </fill>
  </fills>
  <borders count="18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diagonal/>
    </border>
    <border>
      <left style="medium">
        <color indexed="64"/>
      </left>
      <right style="thin">
        <color indexed="64"/>
      </right>
      <top/>
      <bottom/>
      <diagonal/>
    </border>
    <border>
      <left/>
      <right style="thin">
        <color indexed="64"/>
      </right>
      <top style="thin">
        <color indexed="64"/>
      </top>
      <bottom/>
      <diagonal/>
    </border>
    <border>
      <left style="medium">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op>
      <bottom style="double">
        <color theme="4"/>
      </bottom>
      <diagonal/>
    </border>
    <border>
      <left style="thin">
        <color indexed="64"/>
      </left>
      <right/>
      <top style="medium">
        <color rgb="FF000000"/>
      </top>
      <bottom style="medium">
        <color rgb="FF000000"/>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style="thick">
        <color rgb="FF000000"/>
      </left>
      <right style="medium">
        <color rgb="FF000000"/>
      </right>
      <top/>
      <bottom/>
      <diagonal/>
    </border>
    <border>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right style="thick">
        <color rgb="FF000000"/>
      </right>
      <top/>
      <bottom style="thick">
        <color rgb="FF000000"/>
      </bottom>
      <diagonal/>
    </border>
    <border>
      <left style="thick">
        <color rgb="FF000000"/>
      </left>
      <right style="medium">
        <color rgb="FF000000"/>
      </right>
      <top style="medium">
        <color rgb="FF000000"/>
      </top>
      <bottom/>
      <diagonal/>
    </border>
    <border>
      <left style="thick">
        <color rgb="FF000000"/>
      </left>
      <right/>
      <top style="thick">
        <color rgb="FF000000"/>
      </top>
      <bottom style="medium">
        <color rgb="FF000000"/>
      </bottom>
      <diagonal/>
    </border>
    <border>
      <left style="thick">
        <color rgb="FF000000"/>
      </left>
      <right style="medium">
        <color rgb="FF000000"/>
      </right>
      <top/>
      <bottom style="medium">
        <color indexed="64"/>
      </bottom>
      <diagonal/>
    </border>
    <border>
      <left style="medium">
        <color rgb="FF000000"/>
      </left>
      <right/>
      <top style="thick">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indexed="64"/>
      </top>
      <bottom/>
      <diagonal/>
    </border>
    <border>
      <left style="thick">
        <color rgb="FF000000"/>
      </left>
      <right/>
      <top style="medium">
        <color rgb="FF000000"/>
      </top>
      <bottom style="thick">
        <color rgb="FF000000"/>
      </bottom>
      <diagonal/>
    </border>
    <border>
      <left/>
      <right style="medium">
        <color rgb="FF000000"/>
      </right>
      <top style="medium">
        <color rgb="FF000000"/>
      </top>
      <bottom style="thick">
        <color rgb="FF000000"/>
      </bottom>
      <diagonal/>
    </border>
    <border>
      <left style="thick">
        <color rgb="FF000000"/>
      </left>
      <right/>
      <top/>
      <bottom/>
      <diagonal/>
    </border>
    <border>
      <left style="medium">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ck">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ouble">
        <color indexed="64"/>
      </bottom>
      <diagonal/>
    </border>
    <border>
      <left/>
      <right style="double">
        <color indexed="64"/>
      </right>
      <top/>
      <bottom/>
      <diagonal/>
    </border>
    <border>
      <left style="medium">
        <color indexed="64"/>
      </left>
      <right/>
      <top/>
      <bottom style="double">
        <color indexed="64"/>
      </bottom>
      <diagonal/>
    </border>
    <border>
      <left style="double">
        <color indexed="64"/>
      </left>
      <right style="double">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top style="medium">
        <color indexed="64"/>
      </top>
      <bottom style="thin">
        <color indexed="64"/>
      </bottom>
      <diagonal/>
    </border>
    <border>
      <left style="double">
        <color indexed="64"/>
      </left>
      <right style="double">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style="double">
        <color indexed="64"/>
      </top>
      <bottom style="double">
        <color indexed="64"/>
      </bottom>
      <diagonal/>
    </border>
    <border>
      <left/>
      <right/>
      <top style="medium">
        <color indexed="64"/>
      </top>
      <bottom style="double">
        <color theme="4"/>
      </bottom>
      <diagonal/>
    </border>
    <border>
      <left/>
      <right/>
      <top/>
      <bottom style="thick">
        <color indexed="64"/>
      </bottom>
      <diagonal/>
    </border>
    <border>
      <left/>
      <right/>
      <top style="thick">
        <color indexed="64"/>
      </top>
      <bottom/>
      <diagonal/>
    </border>
    <border>
      <left/>
      <right/>
      <top style="thick">
        <color indexed="64"/>
      </top>
      <bottom style="double">
        <color theme="4"/>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style="thick">
        <color indexed="64"/>
      </right>
      <top style="medium">
        <color indexed="64"/>
      </top>
      <bottom/>
      <diagonal/>
    </border>
    <border>
      <left style="thick">
        <color indexed="64"/>
      </left>
      <right style="thick">
        <color indexed="64"/>
      </right>
      <top/>
      <bottom style="medium">
        <color indexed="64"/>
      </bottom>
      <diagonal/>
    </border>
    <border>
      <left style="double">
        <color indexed="64"/>
      </left>
      <right style="dashed">
        <color indexed="64"/>
      </right>
      <top/>
      <bottom style="double">
        <color indexed="64"/>
      </bottom>
      <diagonal/>
    </border>
    <border>
      <left style="dashed">
        <color indexed="64"/>
      </left>
      <right style="dashed">
        <color indexed="64"/>
      </right>
      <top/>
      <bottom style="medium">
        <color indexed="64"/>
      </bottom>
      <diagonal/>
    </border>
    <border>
      <left style="dashed">
        <color indexed="64"/>
      </left>
      <right style="double">
        <color indexed="64"/>
      </right>
      <top/>
      <bottom style="dashed">
        <color indexed="64"/>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style="medium">
        <color indexed="64"/>
      </left>
      <right style="mediumDashed">
        <color auto="1"/>
      </right>
      <top style="medium">
        <color indexed="64"/>
      </top>
      <bottom style="medium">
        <color indexed="64"/>
      </bottom>
      <diagonal/>
    </border>
    <border>
      <left/>
      <right style="mediumDashed">
        <color auto="1"/>
      </right>
      <top/>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thick">
        <color indexed="64"/>
      </top>
      <bottom style="medium">
        <color indexed="64"/>
      </bottom>
      <diagonal/>
    </border>
    <border>
      <left style="thick">
        <color theme="7" tint="-0.24994659260841701"/>
      </left>
      <right/>
      <top style="thick">
        <color theme="7" tint="-0.24994659260841701"/>
      </top>
      <bottom/>
      <diagonal/>
    </border>
    <border>
      <left/>
      <right/>
      <top style="thick">
        <color theme="7" tint="-0.24994659260841701"/>
      </top>
      <bottom/>
      <diagonal/>
    </border>
    <border>
      <left/>
      <right style="thick">
        <color theme="7" tint="-0.24994659260841701"/>
      </right>
      <top style="thick">
        <color theme="7" tint="-0.24994659260841701"/>
      </top>
      <bottom/>
      <diagonal/>
    </border>
    <border>
      <left style="thick">
        <color theme="7" tint="-0.24994659260841701"/>
      </left>
      <right/>
      <top/>
      <bottom/>
      <diagonal/>
    </border>
    <border>
      <left/>
      <right style="thick">
        <color theme="7" tint="-0.24994659260841701"/>
      </right>
      <top/>
      <bottom/>
      <diagonal/>
    </border>
    <border>
      <left style="thick">
        <color theme="7" tint="-0.24994659260841701"/>
      </left>
      <right/>
      <top/>
      <bottom style="thick">
        <color theme="7" tint="-0.24994659260841701"/>
      </bottom>
      <diagonal/>
    </border>
    <border>
      <left/>
      <right/>
      <top/>
      <bottom style="thick">
        <color theme="7" tint="-0.24994659260841701"/>
      </bottom>
      <diagonal/>
    </border>
    <border>
      <left/>
      <right style="thick">
        <color theme="7" tint="-0.24994659260841701"/>
      </right>
      <top/>
      <bottom style="thick">
        <color theme="7" tint="-0.24994659260841701"/>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style="medium">
        <color indexed="64"/>
      </top>
      <bottom style="medium">
        <color indexed="64"/>
      </bottom>
      <diagonal/>
    </border>
    <border>
      <left style="medium">
        <color rgb="FF000000"/>
      </left>
      <right/>
      <top style="double">
        <color indexed="64"/>
      </top>
      <bottom style="double">
        <color indexed="64"/>
      </bottom>
      <diagonal/>
    </border>
    <border>
      <left style="medium">
        <color rgb="FF000000"/>
      </left>
      <right style="medium">
        <color rgb="FF000000"/>
      </right>
      <top style="medium">
        <color rgb="FF000000"/>
      </top>
      <bottom/>
      <diagonal/>
    </border>
    <border>
      <left/>
      <right style="medium">
        <color indexed="64"/>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top style="medium">
        <color indexed="64"/>
      </top>
      <bottom/>
      <diagonal/>
    </border>
    <border>
      <left style="medium">
        <color indexed="64"/>
      </left>
      <right style="medium">
        <color rgb="FF000000"/>
      </right>
      <top/>
      <bottom/>
      <diagonal/>
    </border>
    <border>
      <left/>
      <right style="medium">
        <color indexed="64"/>
      </right>
      <top style="medium">
        <color rgb="FF000000"/>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rgb="FF000000"/>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s>
  <cellStyleXfs count="13">
    <xf numFmtId="0" fontId="0" fillId="0" borderId="0"/>
    <xf numFmtId="0" fontId="18" fillId="0" borderId="0" applyNumberFormat="0" applyFill="0" applyBorder="0" applyAlignment="0" applyProtection="0"/>
    <xf numFmtId="0" fontId="18" fillId="0" borderId="0" applyNumberForma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178" fontId="1" fillId="0" borderId="0" applyFont="0" applyFill="0" applyBorder="0" applyAlignment="0" applyProtection="0"/>
    <xf numFmtId="9" fontId="1" fillId="0" borderId="0" applyFont="0" applyFill="0" applyBorder="0" applyAlignment="0" applyProtection="0">
      <alignment vertical="center"/>
    </xf>
    <xf numFmtId="44" fontId="1" fillId="0" borderId="0" applyFont="0" applyFill="0" applyBorder="0" applyAlignment="0" applyProtection="0">
      <alignment vertical="center"/>
    </xf>
    <xf numFmtId="0" fontId="79" fillId="0" borderId="76" applyNumberFormat="0" applyFill="0" applyAlignment="0" applyProtection="0">
      <alignment vertical="center"/>
    </xf>
    <xf numFmtId="0" fontId="132" fillId="0" borderId="0" applyNumberFormat="0" applyFill="0" applyBorder="0" applyAlignment="0" applyProtection="0"/>
  </cellStyleXfs>
  <cellXfs count="1432">
    <xf numFmtId="0" fontId="0" fillId="0" borderId="0" xfId="0"/>
    <xf numFmtId="0" fontId="3" fillId="0" borderId="0" xfId="0" applyFont="1" applyAlignment="1">
      <alignment horizontal="center"/>
    </xf>
    <xf numFmtId="0" fontId="3" fillId="3" borderId="0" xfId="0" applyFont="1" applyFill="1" applyAlignment="1" applyProtection="1">
      <alignment horizontal="center"/>
      <protection locked="0"/>
    </xf>
    <xf numFmtId="0" fontId="3" fillId="3" borderId="0" xfId="0" applyFont="1" applyFill="1" applyAlignment="1" applyProtection="1">
      <alignment horizontal="center"/>
      <protection locked="0"/>
    </xf>
    <xf numFmtId="0" fontId="4" fillId="0" borderId="0" xfId="0" applyFont="1"/>
    <xf numFmtId="0" fontId="5" fillId="0" borderId="0" xfId="0" applyFont="1"/>
    <xf numFmtId="0" fontId="6" fillId="0" borderId="0" xfId="0" applyFont="1"/>
    <xf numFmtId="0" fontId="4" fillId="0" borderId="0" xfId="0" applyFont="1" applyAlignment="1">
      <alignment vertical="center"/>
    </xf>
    <xf numFmtId="0" fontId="0" fillId="0" borderId="5" xfId="0" applyBorder="1"/>
    <xf numFmtId="0" fontId="6" fillId="0" borderId="5" xfId="0" applyFont="1" applyBorder="1" applyAlignment="1">
      <alignment horizontal="right"/>
    </xf>
    <xf numFmtId="0" fontId="5" fillId="0" borderId="1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justify"/>
    </xf>
    <xf numFmtId="0" fontId="5" fillId="0" borderId="26"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0" xfId="0" applyFont="1" applyProtection="1">
      <protection locked="0"/>
    </xf>
    <xf numFmtId="0" fontId="6" fillId="0" borderId="0" xfId="0" applyFont="1" applyProtection="1">
      <protection locked="0"/>
    </xf>
    <xf numFmtId="0" fontId="4" fillId="0" borderId="0" xfId="0" applyFont="1" applyAlignment="1" applyProtection="1">
      <alignment vertical="center"/>
      <protection locked="0"/>
    </xf>
    <xf numFmtId="177" fontId="4" fillId="0" borderId="0" xfId="4" applyFont="1" applyBorder="1" applyProtection="1">
      <protection locked="0"/>
    </xf>
    <xf numFmtId="0" fontId="8" fillId="0" borderId="0" xfId="5" applyFont="1" applyProtection="1">
      <protection locked="0"/>
    </xf>
    <xf numFmtId="0" fontId="5" fillId="0" borderId="0" xfId="6" applyFont="1" applyAlignment="1" applyProtection="1">
      <alignment horizontal="left"/>
    </xf>
    <xf numFmtId="177" fontId="4" fillId="0" borderId="0" xfId="4" applyFont="1" applyProtection="1"/>
    <xf numFmtId="0" fontId="5" fillId="0" borderId="0" xfId="7" applyFont="1" applyAlignment="1" applyProtection="1">
      <alignment horizontal="right"/>
    </xf>
    <xf numFmtId="0" fontId="6" fillId="0" borderId="1" xfId="0" applyFont="1" applyBorder="1" applyAlignment="1">
      <alignment horizontal="center" vertical="center"/>
    </xf>
    <xf numFmtId="0" fontId="5" fillId="0" borderId="1" xfId="0" applyFont="1" applyBorder="1" applyAlignment="1">
      <alignment horizontal="center" vertical="center"/>
    </xf>
    <xf numFmtId="177" fontId="5" fillId="0" borderId="2" xfId="4" applyFont="1" applyBorder="1" applyAlignment="1" applyProtection="1">
      <alignment horizontal="center" vertical="center"/>
    </xf>
    <xf numFmtId="0" fontId="6" fillId="0" borderId="1" xfId="0" applyFont="1" applyBorder="1" applyAlignment="1">
      <alignment horizontal="left" vertical="center"/>
    </xf>
    <xf numFmtId="179" fontId="5" fillId="0" borderId="1" xfId="4" applyNumberFormat="1" applyFont="1" applyFill="1" applyBorder="1" applyAlignment="1" applyProtection="1">
      <alignment vertical="center"/>
    </xf>
    <xf numFmtId="177" fontId="5" fillId="0" borderId="1" xfId="4" applyFont="1" applyFill="1" applyBorder="1" applyAlignment="1" applyProtection="1">
      <alignment vertical="center"/>
    </xf>
    <xf numFmtId="182" fontId="5" fillId="0" borderId="1" xfId="4" applyNumberFormat="1" applyFont="1" applyBorder="1" applyAlignment="1" applyProtection="1">
      <alignment vertical="center"/>
    </xf>
    <xf numFmtId="177" fontId="5" fillId="0" borderId="1" xfId="0" applyNumberFormat="1" applyFont="1" applyBorder="1" applyAlignment="1">
      <alignment vertical="center"/>
    </xf>
    <xf numFmtId="177" fontId="6" fillId="0" borderId="1" xfId="4" applyFont="1" applyFill="1" applyBorder="1" applyAlignment="1" applyProtection="1">
      <alignment vertical="center"/>
    </xf>
    <xf numFmtId="0" fontId="6" fillId="0" borderId="3" xfId="0" applyFont="1" applyBorder="1" applyAlignment="1">
      <alignment vertical="center"/>
    </xf>
    <xf numFmtId="179" fontId="6" fillId="0" borderId="1" xfId="4" applyNumberFormat="1" applyFont="1" applyFill="1" applyBorder="1" applyAlignment="1" applyProtection="1">
      <alignment vertical="center"/>
    </xf>
    <xf numFmtId="0" fontId="8" fillId="0" borderId="0" xfId="5" applyFont="1" applyProtection="1"/>
    <xf numFmtId="177" fontId="4" fillId="0" borderId="0" xfId="4" applyFont="1" applyBorder="1" applyProtection="1"/>
    <xf numFmtId="179" fontId="6" fillId="2" borderId="1" xfId="4" applyNumberFormat="1" applyFont="1" applyFill="1" applyBorder="1" applyAlignment="1" applyProtection="1">
      <alignment vertical="center"/>
      <protection locked="0"/>
    </xf>
    <xf numFmtId="182" fontId="6" fillId="2" borderId="1" xfId="4" applyNumberFormat="1" applyFont="1" applyFill="1" applyBorder="1" applyAlignment="1" applyProtection="1">
      <alignment vertical="center"/>
      <protection locked="0"/>
    </xf>
    <xf numFmtId="177" fontId="4" fillId="0" borderId="0" xfId="4" applyFont="1" applyProtection="1">
      <protection locked="0"/>
    </xf>
    <xf numFmtId="177" fontId="6" fillId="4" borderId="1" xfId="4" applyFont="1" applyFill="1" applyBorder="1" applyAlignment="1" applyProtection="1">
      <alignment vertical="center"/>
      <protection locked="0"/>
    </xf>
    <xf numFmtId="182" fontId="6" fillId="0" borderId="0" xfId="4" applyNumberFormat="1" applyFont="1" applyAlignment="1" applyProtection="1">
      <alignment vertical="center"/>
      <protection locked="0"/>
    </xf>
    <xf numFmtId="0" fontId="8" fillId="3" borderId="0" xfId="7" applyFont="1" applyFill="1" applyProtection="1">
      <protection locked="0"/>
    </xf>
    <xf numFmtId="0" fontId="8" fillId="3" borderId="0" xfId="5" applyFont="1" applyFill="1" applyProtection="1">
      <protection locked="0"/>
    </xf>
    <xf numFmtId="0" fontId="8" fillId="3" borderId="0" xfId="7" applyFont="1" applyFill="1" applyAlignment="1" applyProtection="1">
      <alignment horizontal="right"/>
      <protection locked="0"/>
    </xf>
    <xf numFmtId="180" fontId="8" fillId="3" borderId="0" xfId="7" applyNumberFormat="1" applyFont="1" applyFill="1" applyProtection="1">
      <protection locked="0"/>
    </xf>
    <xf numFmtId="177" fontId="4" fillId="0" borderId="0" xfId="0" applyNumberFormat="1" applyFont="1" applyAlignment="1" applyProtection="1">
      <alignment vertical="center"/>
      <protection locked="0"/>
    </xf>
    <xf numFmtId="179" fontId="4" fillId="0" borderId="0" xfId="0" applyNumberFormat="1" applyFont="1" applyAlignment="1" applyProtection="1">
      <alignment vertical="center"/>
      <protection locked="0"/>
    </xf>
    <xf numFmtId="182" fontId="5" fillId="0" borderId="1" xfId="4" applyNumberFormat="1" applyFont="1" applyFill="1" applyBorder="1" applyAlignment="1" applyProtection="1">
      <alignment vertical="center"/>
    </xf>
    <xf numFmtId="182" fontId="6" fillId="0" borderId="1" xfId="4" applyNumberFormat="1" applyFont="1" applyFill="1" applyBorder="1" applyAlignment="1" applyProtection="1">
      <alignment vertical="center"/>
    </xf>
    <xf numFmtId="0" fontId="6" fillId="0" borderId="0" xfId="0" applyFont="1" applyAlignment="1" applyProtection="1">
      <alignment vertical="center"/>
      <protection locked="0"/>
    </xf>
    <xf numFmtId="177" fontId="6" fillId="0" borderId="1" xfId="4" applyFont="1" applyFill="1" applyBorder="1" applyAlignment="1" applyProtection="1">
      <alignment vertical="center"/>
      <protection locked="0"/>
    </xf>
    <xf numFmtId="0" fontId="10" fillId="0" borderId="0" xfId="0" applyFont="1" applyAlignment="1" applyProtection="1">
      <alignment horizontal="center"/>
      <protection locked="0"/>
    </xf>
    <xf numFmtId="0" fontId="11" fillId="0" borderId="0" xfId="0" applyFont="1" applyProtection="1">
      <protection locked="0"/>
    </xf>
    <xf numFmtId="0" fontId="11" fillId="0" borderId="5" xfId="0" applyFont="1" applyBorder="1" applyProtection="1">
      <protection locked="0"/>
    </xf>
    <xf numFmtId="0" fontId="12" fillId="0" borderId="5" xfId="0" applyFont="1" applyBorder="1" applyProtection="1">
      <protection locked="0"/>
    </xf>
    <xf numFmtId="0" fontId="10"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Protection="1">
      <protection locked="0"/>
    </xf>
    <xf numFmtId="179" fontId="11" fillId="2" borderId="16" xfId="0" applyNumberFormat="1" applyFont="1" applyFill="1" applyBorder="1" applyProtection="1">
      <protection locked="0"/>
    </xf>
    <xf numFmtId="179" fontId="11" fillId="0" borderId="16" xfId="0" applyNumberFormat="1" applyFont="1" applyBorder="1" applyProtection="1">
      <protection locked="0"/>
    </xf>
    <xf numFmtId="176" fontId="11" fillId="2" borderId="16" xfId="3" applyFont="1" applyFill="1" applyBorder="1" applyProtection="1">
      <protection locked="0"/>
    </xf>
    <xf numFmtId="179" fontId="11" fillId="0" borderId="17" xfId="0" applyNumberFormat="1" applyFont="1" applyBorder="1" applyProtection="1">
      <protection locked="0"/>
    </xf>
    <xf numFmtId="179" fontId="11" fillId="2" borderId="1" xfId="0" applyNumberFormat="1" applyFont="1" applyFill="1" applyBorder="1" applyProtection="1">
      <protection locked="0"/>
    </xf>
    <xf numFmtId="179" fontId="11" fillId="0" borderId="1" xfId="0" applyNumberFormat="1" applyFont="1" applyBorder="1" applyProtection="1">
      <protection locked="0"/>
    </xf>
    <xf numFmtId="179" fontId="11" fillId="0" borderId="19" xfId="0" applyNumberFormat="1" applyFont="1" applyBorder="1" applyAlignment="1" applyProtection="1">
      <alignment horizontal="left"/>
      <protection locked="0"/>
    </xf>
    <xf numFmtId="179" fontId="11" fillId="0" borderId="20" xfId="0" applyNumberFormat="1" applyFont="1" applyBorder="1" applyAlignment="1" applyProtection="1">
      <alignment horizontal="right"/>
      <protection locked="0"/>
    </xf>
    <xf numFmtId="179" fontId="11" fillId="0" borderId="0" xfId="0" applyNumberFormat="1" applyFont="1" applyAlignment="1" applyProtection="1">
      <alignment horizontal="left"/>
      <protection locked="0"/>
    </xf>
    <xf numFmtId="0" fontId="14" fillId="0" borderId="0" xfId="0" applyFont="1" applyProtection="1">
      <protection locked="0"/>
    </xf>
    <xf numFmtId="179" fontId="14" fillId="0" borderId="0" xfId="0" applyNumberFormat="1" applyFont="1" applyProtection="1">
      <protection locked="0"/>
    </xf>
    <xf numFmtId="0" fontId="15" fillId="0" borderId="0" xfId="0" applyFont="1" applyAlignment="1" applyProtection="1">
      <alignment horizontal="left" vertical="top" wrapText="1"/>
      <protection locked="0"/>
    </xf>
    <xf numFmtId="0" fontId="16" fillId="0" borderId="0" xfId="5" applyFont="1" applyProtection="1">
      <protection locked="0"/>
    </xf>
    <xf numFmtId="0" fontId="11" fillId="0" borderId="0" xfId="7" applyFont="1" applyAlignment="1" applyProtection="1">
      <alignment horizontal="right"/>
      <protection locked="0"/>
    </xf>
    <xf numFmtId="0" fontId="11" fillId="0" borderId="0" xfId="5" applyFont="1" applyProtection="1">
      <protection locked="0"/>
    </xf>
    <xf numFmtId="179" fontId="11" fillId="0" borderId="0" xfId="0" applyNumberFormat="1" applyFont="1" applyProtection="1">
      <protection locked="0"/>
    </xf>
    <xf numFmtId="179" fontId="11" fillId="0" borderId="0" xfId="5" applyNumberFormat="1" applyFont="1" applyProtection="1">
      <protection locked="0"/>
    </xf>
    <xf numFmtId="0" fontId="10" fillId="0" borderId="6" xfId="0" applyFont="1" applyBorder="1"/>
    <xf numFmtId="0" fontId="10" fillId="0" borderId="7" xfId="0" applyFont="1" applyBorder="1"/>
    <xf numFmtId="0" fontId="10"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2" fillId="0" borderId="0" xfId="0" applyFont="1" applyProtection="1">
      <protection locked="0"/>
    </xf>
    <xf numFmtId="0" fontId="10" fillId="0" borderId="0" xfId="0" applyFont="1" applyAlignment="1" applyProtection="1">
      <alignment horizontal="center" vertical="center" wrapText="1"/>
      <protection locked="0"/>
    </xf>
    <xf numFmtId="0" fontId="12" fillId="0" borderId="17" xfId="0" applyFont="1" applyBorder="1" applyProtection="1">
      <protection locked="0"/>
    </xf>
    <xf numFmtId="179" fontId="12" fillId="0" borderId="19" xfId="0" applyNumberFormat="1" applyFont="1" applyBorder="1" applyAlignment="1" applyProtection="1">
      <alignment horizontal="left"/>
      <protection locked="0"/>
    </xf>
    <xf numFmtId="179" fontId="12" fillId="0" borderId="19" xfId="0" applyNumberFormat="1" applyFont="1" applyBorder="1" applyAlignment="1" applyProtection="1">
      <alignment horizontal="right"/>
      <protection locked="0"/>
    </xf>
    <xf numFmtId="0" fontId="12" fillId="0" borderId="20" xfId="0" applyFont="1" applyBorder="1" applyProtection="1">
      <protection locked="0"/>
    </xf>
    <xf numFmtId="179" fontId="12" fillId="0" borderId="0" xfId="0" applyNumberFormat="1" applyFont="1" applyAlignment="1" applyProtection="1">
      <alignment horizontal="left"/>
      <protection locked="0"/>
    </xf>
    <xf numFmtId="0" fontId="8" fillId="0" borderId="0" xfId="7" applyFont="1" applyAlignment="1" applyProtection="1">
      <alignment horizontal="right"/>
      <protection locked="0"/>
    </xf>
    <xf numFmtId="180" fontId="8" fillId="0" borderId="0" xfId="7" applyNumberFormat="1" applyFont="1" applyProtection="1">
      <protection locked="0"/>
    </xf>
    <xf numFmtId="179" fontId="12" fillId="0" borderId="0" xfId="0" applyNumberFormat="1" applyFont="1" applyProtection="1">
      <protection locked="0"/>
    </xf>
    <xf numFmtId="0" fontId="12" fillId="0" borderId="0" xfId="7" applyFont="1" applyAlignment="1" applyProtection="1">
      <alignment horizontal="right"/>
      <protection locked="0"/>
    </xf>
    <xf numFmtId="0" fontId="12" fillId="0" borderId="0" xfId="5" applyFont="1" applyProtection="1">
      <protection locked="0"/>
    </xf>
    <xf numFmtId="179" fontId="12" fillId="0" borderId="0" xfId="5" applyNumberFormat="1" applyFont="1" applyProtection="1">
      <protection locked="0"/>
    </xf>
    <xf numFmtId="180" fontId="12" fillId="0" borderId="0" xfId="7" applyNumberFormat="1" applyFont="1" applyProtection="1">
      <protection locked="0"/>
    </xf>
    <xf numFmtId="0" fontId="12" fillId="0" borderId="0" xfId="0" applyFont="1"/>
    <xf numFmtId="0" fontId="10" fillId="0" borderId="21"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horizontal="center" vertical="center" wrapText="1"/>
    </xf>
    <xf numFmtId="0" fontId="0" fillId="0" borderId="0" xfId="0" applyProtection="1">
      <protection locked="0"/>
    </xf>
    <xf numFmtId="0" fontId="0" fillId="0" borderId="0" xfId="0" applyAlignment="1" applyProtection="1">
      <alignment vertical="center"/>
      <protection locked="0"/>
    </xf>
    <xf numFmtId="181" fontId="0" fillId="0" borderId="19" xfId="0" applyNumberFormat="1" applyBorder="1" applyProtection="1">
      <protection locked="0"/>
    </xf>
    <xf numFmtId="181" fontId="0" fillId="0" borderId="20" xfId="0" applyNumberFormat="1" applyBorder="1" applyProtection="1">
      <protection locked="0"/>
    </xf>
    <xf numFmtId="0" fontId="20" fillId="0" borderId="0" xfId="0" applyFont="1" applyProtection="1">
      <protection locked="0"/>
    </xf>
    <xf numFmtId="0" fontId="16" fillId="0" borderId="0" xfId="0" applyFont="1" applyProtection="1">
      <protection locked="0"/>
    </xf>
    <xf numFmtId="0" fontId="21" fillId="0" borderId="0" xfId="7" applyFont="1" applyAlignment="1" applyProtection="1">
      <alignment horizontal="right"/>
      <protection locked="0"/>
    </xf>
    <xf numFmtId="0" fontId="21" fillId="0" borderId="0" xfId="5" applyFont="1" applyProtection="1">
      <protection locked="0"/>
    </xf>
    <xf numFmtId="0" fontId="17" fillId="0" borderId="7" xfId="0" applyFont="1" applyBorder="1" applyAlignment="1">
      <alignment horizontal="center" vertical="center"/>
    </xf>
    <xf numFmtId="0" fontId="19" fillId="0" borderId="15" xfId="0" applyFont="1" applyBorder="1" applyAlignment="1">
      <alignment horizontal="center"/>
    </xf>
    <xf numFmtId="0" fontId="0" fillId="0" borderId="1" xfId="0" applyBorder="1"/>
    <xf numFmtId="0" fontId="0" fillId="0" borderId="17" xfId="0" applyBorder="1"/>
    <xf numFmtId="0" fontId="23" fillId="0" borderId="1"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26" fillId="0" borderId="1" xfId="0" applyFont="1" applyBorder="1" applyAlignment="1" applyProtection="1">
      <alignment horizontal="left"/>
      <protection locked="0"/>
    </xf>
    <xf numFmtId="0" fontId="0" fillId="0" borderId="0" xfId="0" applyAlignment="1" applyProtection="1">
      <alignment horizontal="left"/>
      <protection locked="0"/>
    </xf>
    <xf numFmtId="0" fontId="20" fillId="2" borderId="1" xfId="0" applyFont="1" applyFill="1" applyBorder="1" applyProtection="1">
      <protection locked="0"/>
    </xf>
    <xf numFmtId="0" fontId="20" fillId="0" borderId="1" xfId="0" applyFont="1" applyBorder="1" applyProtection="1">
      <protection locked="0"/>
    </xf>
    <xf numFmtId="2" fontId="20" fillId="0" borderId="1" xfId="0" applyNumberFormat="1" applyFont="1" applyBorder="1" applyProtection="1">
      <protection locked="0"/>
    </xf>
    <xf numFmtId="0" fontId="0" fillId="0" borderId="16" xfId="0" applyBorder="1" applyProtection="1">
      <protection locked="0"/>
    </xf>
    <xf numFmtId="0" fontId="24" fillId="0" borderId="0" xfId="0" applyFont="1" applyProtection="1">
      <protection locked="0"/>
    </xf>
    <xf numFmtId="0" fontId="21" fillId="0" borderId="0" xfId="7" applyFont="1" applyProtection="1">
      <protection locked="0"/>
    </xf>
    <xf numFmtId="180" fontId="21" fillId="0" borderId="0" xfId="7" applyNumberFormat="1" applyFont="1" applyProtection="1">
      <protection locked="0"/>
    </xf>
    <xf numFmtId="0" fontId="8" fillId="0" borderId="0" xfId="7" applyFont="1" applyProtection="1">
      <protection locked="0"/>
    </xf>
    <xf numFmtId="0" fontId="8" fillId="0" borderId="0" xfId="5" applyFont="1" applyBorder="1" applyProtection="1">
      <protection locked="0"/>
    </xf>
    <xf numFmtId="0" fontId="0" fillId="0" borderId="0" xfId="0" applyAlignment="1" applyProtection="1">
      <alignment horizontal="center"/>
      <protection locked="0"/>
    </xf>
    <xf numFmtId="0" fontId="23" fillId="0" borderId="1" xfId="0" applyFont="1" applyBorder="1" applyAlignment="1">
      <alignment horizontal="center" vertical="center"/>
    </xf>
    <xf numFmtId="0" fontId="25" fillId="0" borderId="1" xfId="0" applyFont="1" applyBorder="1" applyAlignment="1">
      <alignment horizontal="center"/>
    </xf>
    <xf numFmtId="0" fontId="26" fillId="0" borderId="1" xfId="0" applyFont="1" applyBorder="1" applyAlignment="1">
      <alignment horizontal="left"/>
    </xf>
    <xf numFmtId="0" fontId="4" fillId="0" borderId="1" xfId="0" applyFont="1" applyBorder="1" applyAlignment="1">
      <alignment horizontal="center" vertical="center" wrapText="1"/>
    </xf>
    <xf numFmtId="0" fontId="24" fillId="0" borderId="16" xfId="0" applyFont="1" applyBorder="1" applyAlignment="1">
      <alignment horizontal="center" vertical="center"/>
    </xf>
    <xf numFmtId="0" fontId="20" fillId="0" borderId="1" xfId="0" applyFont="1" applyBorder="1" applyAlignment="1">
      <alignment horizontal="right"/>
    </xf>
    <xf numFmtId="0" fontId="20" fillId="0" borderId="1" xfId="0" applyFont="1" applyBorder="1" applyAlignment="1">
      <alignment horizontal="center" wrapText="1"/>
    </xf>
    <xf numFmtId="0" fontId="0" fillId="0" borderId="16" xfId="0" applyBorder="1" applyAlignment="1">
      <alignment horizontal="left"/>
    </xf>
    <xf numFmtId="0" fontId="18" fillId="0" borderId="0" xfId="0" applyFont="1" applyAlignment="1" applyProtection="1">
      <alignment vertical="center"/>
      <protection locked="0"/>
    </xf>
    <xf numFmtId="0" fontId="18" fillId="0" borderId="27" xfId="0" applyFont="1" applyBorder="1" applyAlignment="1" applyProtection="1">
      <alignment horizontal="left"/>
      <protection locked="0"/>
    </xf>
    <xf numFmtId="0" fontId="0" fillId="0" borderId="28" xfId="0" applyBorder="1" applyProtection="1">
      <protection locked="0"/>
    </xf>
    <xf numFmtId="0" fontId="6" fillId="0" borderId="28" xfId="0" applyFont="1" applyBorder="1" applyProtection="1">
      <protection locked="0"/>
    </xf>
    <xf numFmtId="0" fontId="0" fillId="0" borderId="28" xfId="0" applyBorder="1" applyAlignment="1" applyProtection="1">
      <alignment horizontal="center"/>
      <protection locked="0"/>
    </xf>
    <xf numFmtId="0" fontId="0" fillId="0" borderId="29" xfId="0" applyBorder="1" applyProtection="1">
      <protection locked="0"/>
    </xf>
    <xf numFmtId="0" fontId="6" fillId="0" borderId="28" xfId="0" applyFont="1" applyBorder="1" applyAlignment="1" applyProtection="1">
      <alignment horizontal="center"/>
      <protection locked="0"/>
    </xf>
    <xf numFmtId="0" fontId="6" fillId="0" borderId="30" xfId="0" applyFont="1" applyBorder="1" applyProtection="1">
      <protection locked="0"/>
    </xf>
    <xf numFmtId="0" fontId="0" fillId="0" borderId="30" xfId="0" applyBorder="1" applyAlignment="1" applyProtection="1">
      <alignment horizontal="center"/>
      <protection locked="0"/>
    </xf>
    <xf numFmtId="0" fontId="0" fillId="0" borderId="30" xfId="0" applyBorder="1" applyAlignment="1" applyProtection="1">
      <alignment horizontal="left"/>
      <protection locked="0"/>
    </xf>
    <xf numFmtId="0" fontId="6" fillId="0" borderId="30" xfId="0" applyFont="1" applyBorder="1" applyAlignment="1" applyProtection="1">
      <alignment horizontal="left"/>
      <protection locked="0"/>
    </xf>
    <xf numFmtId="179" fontId="0" fillId="0" borderId="32" xfId="0" applyNumberFormat="1" applyBorder="1" applyProtection="1">
      <protection locked="0"/>
    </xf>
    <xf numFmtId="0" fontId="5" fillId="0" borderId="0" xfId="0" applyFont="1" applyAlignment="1" applyProtection="1">
      <alignment horizontal="left"/>
      <protection locked="0"/>
    </xf>
    <xf numFmtId="0" fontId="6" fillId="0" borderId="0" xfId="0" applyFont="1" applyAlignment="1" applyProtection="1">
      <alignment horizontal="left"/>
      <protection locked="0"/>
    </xf>
    <xf numFmtId="179" fontId="0" fillId="0" borderId="0" xfId="0" applyNumberFormat="1" applyProtection="1">
      <protection locked="0"/>
    </xf>
    <xf numFmtId="0" fontId="4" fillId="0" borderId="0" xfId="0" applyFont="1" applyAlignment="1" applyProtection="1">
      <alignment horizontal="left"/>
      <protection locked="0"/>
    </xf>
    <xf numFmtId="0" fontId="20" fillId="0" borderId="0" xfId="0" applyFont="1" applyAlignment="1" applyProtection="1">
      <alignment horizontal="center"/>
      <protection locked="0"/>
    </xf>
    <xf numFmtId="0" fontId="8" fillId="0" borderId="0" xfId="7" applyFont="1" applyAlignment="1" applyProtection="1">
      <alignment horizontal="center"/>
      <protection locked="0"/>
    </xf>
    <xf numFmtId="180" fontId="8" fillId="0" borderId="0" xfId="7" applyNumberFormat="1" applyFont="1" applyAlignment="1" applyProtection="1">
      <alignment horizontal="right"/>
      <protection locked="0"/>
    </xf>
    <xf numFmtId="0" fontId="7" fillId="0" borderId="0" xfId="0" applyFont="1" applyAlignment="1" applyProtection="1">
      <alignment vertical="center"/>
      <protection locked="0"/>
    </xf>
    <xf numFmtId="0" fontId="18" fillId="0" borderId="0" xfId="0" applyFont="1" applyProtection="1">
      <protection locked="0"/>
    </xf>
    <xf numFmtId="0" fontId="0" fillId="2" borderId="15" xfId="0" applyFill="1" applyBorder="1" applyAlignment="1" applyProtection="1">
      <alignment horizontal="left"/>
      <protection locked="0"/>
    </xf>
    <xf numFmtId="0" fontId="6" fillId="2" borderId="16" xfId="0" applyFont="1" applyFill="1" applyBorder="1" applyProtection="1">
      <protection locked="0"/>
    </xf>
    <xf numFmtId="179" fontId="0" fillId="2" borderId="16" xfId="0" applyNumberFormat="1" applyFill="1" applyBorder="1" applyProtection="1">
      <protection locked="0"/>
    </xf>
    <xf numFmtId="0" fontId="0" fillId="2" borderId="16" xfId="0" applyFill="1" applyBorder="1" applyProtection="1">
      <protection locked="0"/>
    </xf>
    <xf numFmtId="2" fontId="0" fillId="0" borderId="16" xfId="0" applyNumberFormat="1" applyBorder="1" applyProtection="1">
      <protection locked="0"/>
    </xf>
    <xf numFmtId="179" fontId="0" fillId="0" borderId="17" xfId="0" applyNumberFormat="1" applyBorder="1" applyProtection="1">
      <protection locked="0"/>
    </xf>
    <xf numFmtId="0" fontId="6" fillId="2" borderId="1" xfId="0" applyFont="1" applyFill="1" applyBorder="1" applyProtection="1">
      <protection locked="0"/>
    </xf>
    <xf numFmtId="0" fontId="0" fillId="2" borderId="1" xfId="0" applyFill="1" applyBorder="1" applyAlignment="1" applyProtection="1">
      <alignment horizontal="center"/>
      <protection locked="0"/>
    </xf>
    <xf numFmtId="179" fontId="0" fillId="2" borderId="1" xfId="0" applyNumberFormat="1" applyFill="1" applyBorder="1" applyProtection="1">
      <protection locked="0"/>
    </xf>
    <xf numFmtId="179" fontId="0" fillId="0" borderId="30" xfId="0" applyNumberFormat="1" applyBorder="1" applyProtection="1">
      <protection locked="0"/>
    </xf>
    <xf numFmtId="2" fontId="0" fillId="0" borderId="30" xfId="0" applyNumberFormat="1" applyBorder="1" applyProtection="1">
      <protection locked="0"/>
    </xf>
    <xf numFmtId="2" fontId="0" fillId="0" borderId="0" xfId="0" applyNumberFormat="1" applyProtection="1">
      <protection locked="0"/>
    </xf>
    <xf numFmtId="179" fontId="0" fillId="0" borderId="16" xfId="0" applyNumberFormat="1" applyBorder="1" applyProtection="1">
      <protection locked="0"/>
    </xf>
    <xf numFmtId="183" fontId="0" fillId="0" borderId="16" xfId="0" applyNumberFormat="1" applyBorder="1" applyProtection="1">
      <protection locked="0"/>
    </xf>
    <xf numFmtId="183" fontId="0" fillId="0" borderId="30" xfId="0" applyNumberFormat="1" applyBorder="1" applyProtection="1">
      <protection locked="0"/>
    </xf>
    <xf numFmtId="179" fontId="0" fillId="0" borderId="0" xfId="0" applyNumberFormat="1" applyAlignment="1" applyProtection="1">
      <alignment horizontal="center"/>
      <protection locked="0"/>
    </xf>
    <xf numFmtId="183" fontId="0" fillId="0" borderId="0" xfId="0" applyNumberFormat="1" applyProtection="1">
      <protection locked="0"/>
    </xf>
    <xf numFmtId="0" fontId="7" fillId="0" borderId="6" xfId="0" applyFont="1" applyBorder="1" applyAlignment="1">
      <alignment vertical="center"/>
    </xf>
    <xf numFmtId="0" fontId="7" fillId="0" borderId="7" xfId="0" applyFont="1" applyBorder="1" applyAlignment="1">
      <alignment vertical="center"/>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29"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21" xfId="0" applyBorder="1"/>
    <xf numFmtId="0" fontId="0" fillId="0" borderId="33" xfId="0" applyBorder="1"/>
    <xf numFmtId="0" fontId="0" fillId="0" borderId="23" xfId="0" applyBorder="1"/>
    <xf numFmtId="183" fontId="0" fillId="0" borderId="33" xfId="0" applyNumberFormat="1" applyBorder="1"/>
    <xf numFmtId="0" fontId="4" fillId="0" borderId="1"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34"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applyAlignment="1" applyProtection="1">
      <alignment horizontal="right"/>
      <protection locked="0"/>
    </xf>
    <xf numFmtId="0" fontId="4" fillId="0" borderId="16" xfId="0" applyFont="1" applyBorder="1" applyAlignment="1" applyProtection="1">
      <alignment horizontal="center" wrapText="1"/>
      <protection locked="0"/>
    </xf>
    <xf numFmtId="0" fontId="4" fillId="0" borderId="28" xfId="0" applyFont="1" applyBorder="1" applyProtection="1">
      <protection locked="0"/>
    </xf>
    <xf numFmtId="0" fontId="4" fillId="0" borderId="16" xfId="0" applyFont="1" applyBorder="1" applyProtection="1">
      <protection locked="0"/>
    </xf>
    <xf numFmtId="0" fontId="4" fillId="0" borderId="34" xfId="0" applyFont="1" applyBorder="1" applyProtection="1">
      <protection locked="0"/>
    </xf>
    <xf numFmtId="0" fontId="4" fillId="2" borderId="1" xfId="0" applyFont="1" applyFill="1" applyBorder="1" applyProtection="1">
      <protection locked="0"/>
    </xf>
    <xf numFmtId="0" fontId="4" fillId="0" borderId="1" xfId="0" applyFont="1" applyBorder="1" applyProtection="1">
      <protection locked="0"/>
    </xf>
    <xf numFmtId="2" fontId="4" fillId="0" borderId="16" xfId="0" applyNumberFormat="1" applyFont="1" applyBorder="1" applyProtection="1">
      <protection locked="0"/>
    </xf>
    <xf numFmtId="0" fontId="4" fillId="0" borderId="4" xfId="0" applyFont="1" applyBorder="1" applyProtection="1">
      <protection locked="0"/>
    </xf>
    <xf numFmtId="2" fontId="4" fillId="0" borderId="0" xfId="0" applyNumberFormat="1" applyFont="1" applyProtection="1">
      <protection locked="0"/>
    </xf>
    <xf numFmtId="0" fontId="4" fillId="0" borderId="1" xfId="0" applyFont="1" applyBorder="1" applyAlignment="1">
      <alignment horizontal="right"/>
    </xf>
    <xf numFmtId="0" fontId="4" fillId="0" borderId="16" xfId="0" applyFont="1" applyBorder="1" applyAlignment="1">
      <alignment horizontal="center" wrapText="1"/>
    </xf>
    <xf numFmtId="0" fontId="7" fillId="0" borderId="16" xfId="0" applyFont="1" applyBorder="1" applyAlignment="1">
      <alignment horizontal="left"/>
    </xf>
    <xf numFmtId="0" fontId="4" fillId="0" borderId="34" xfId="0" applyFont="1" applyBorder="1" applyAlignment="1">
      <alignment horizontal="left"/>
    </xf>
    <xf numFmtId="0" fontId="4" fillId="0" borderId="1" xfId="0" applyFont="1" applyBorder="1" applyAlignment="1">
      <alignment horizontal="left"/>
    </xf>
    <xf numFmtId="0" fontId="4" fillId="0" borderId="16" xfId="0" applyFont="1" applyBorder="1" applyAlignment="1">
      <alignment horizontal="center" vertical="center" wrapText="1"/>
    </xf>
    <xf numFmtId="0" fontId="4" fillId="0" borderId="16" xfId="0" applyFont="1" applyBorder="1" applyAlignment="1">
      <alignment horizontal="center" vertical="center"/>
    </xf>
    <xf numFmtId="0" fontId="4" fillId="0" borderId="34" xfId="0" applyFont="1" applyBorder="1" applyAlignment="1">
      <alignment horizontal="center" vertical="center"/>
    </xf>
    <xf numFmtId="0" fontId="5" fillId="0" borderId="35" xfId="0" applyFont="1" applyBorder="1" applyProtection="1">
      <protection locked="0"/>
    </xf>
    <xf numFmtId="0" fontId="6" fillId="0" borderId="36" xfId="0" applyFont="1" applyBorder="1" applyProtection="1">
      <protection locked="0"/>
    </xf>
    <xf numFmtId="0" fontId="6" fillId="0" borderId="33" xfId="0" applyFont="1" applyBorder="1" applyProtection="1">
      <protection locked="0"/>
    </xf>
    <xf numFmtId="0" fontId="6" fillId="0" borderId="23" xfId="0" applyFont="1" applyBorder="1" applyProtection="1">
      <protection locked="0"/>
    </xf>
    <xf numFmtId="0" fontId="6" fillId="0" borderId="37" xfId="0" applyFont="1" applyBorder="1" applyProtection="1">
      <protection locked="0"/>
    </xf>
    <xf numFmtId="0" fontId="5" fillId="0" borderId="37" xfId="0" applyFont="1" applyBorder="1" applyProtection="1">
      <protection locked="0"/>
    </xf>
    <xf numFmtId="0" fontId="6" fillId="0" borderId="39" xfId="0" applyFont="1" applyBorder="1" applyProtection="1">
      <protection locked="0"/>
    </xf>
    <xf numFmtId="0" fontId="5" fillId="0" borderId="5" xfId="0" applyFont="1" applyBorder="1" applyAlignment="1" applyProtection="1">
      <alignment horizontal="left"/>
      <protection locked="0"/>
    </xf>
    <xf numFmtId="0" fontId="5" fillId="0" borderId="30" xfId="0" applyFont="1" applyBorder="1" applyAlignment="1" applyProtection="1">
      <alignment horizontal="left"/>
      <protection locked="0"/>
    </xf>
    <xf numFmtId="179" fontId="6" fillId="0" borderId="30" xfId="0" applyNumberFormat="1" applyFont="1" applyBorder="1" applyProtection="1">
      <protection locked="0"/>
    </xf>
    <xf numFmtId="179" fontId="6" fillId="0" borderId="32" xfId="0" applyNumberFormat="1" applyFont="1" applyBorder="1" applyProtection="1">
      <protection locked="0"/>
    </xf>
    <xf numFmtId="0" fontId="18" fillId="0" borderId="0" xfId="0" applyFont="1" applyAlignment="1" applyProtection="1">
      <alignment horizontal="left"/>
      <protection locked="0"/>
    </xf>
    <xf numFmtId="0" fontId="6" fillId="0" borderId="0" xfId="0" applyFont="1" applyAlignment="1" applyProtection="1">
      <alignment horizont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center" vertical="center" wrapText="1"/>
      <protection locked="0"/>
    </xf>
    <xf numFmtId="179" fontId="6" fillId="0" borderId="0" xfId="0" applyNumberFormat="1" applyFont="1" applyProtection="1">
      <protection locked="0"/>
    </xf>
    <xf numFmtId="0" fontId="5" fillId="0" borderId="26" xfId="0" applyFont="1" applyBorder="1" applyAlignment="1">
      <alignment horizontal="center" vertical="center" wrapText="1"/>
    </xf>
    <xf numFmtId="0" fontId="6" fillId="0" borderId="0" xfId="0" applyFont="1" applyAlignment="1" applyProtection="1">
      <alignment horizontal="left" vertical="top"/>
      <protection locked="0"/>
    </xf>
    <xf numFmtId="0" fontId="7" fillId="0" borderId="35" xfId="0" applyFont="1" applyBorder="1" applyAlignment="1" applyProtection="1">
      <alignment horizontal="center" vertical="center"/>
      <protection locked="0"/>
    </xf>
    <xf numFmtId="0" fontId="4" fillId="0" borderId="33" xfId="0" applyFont="1" applyBorder="1" applyAlignment="1" applyProtection="1">
      <alignment horizontal="center" vertical="center"/>
      <protection locked="0"/>
    </xf>
    <xf numFmtId="0" fontId="4" fillId="0" borderId="33" xfId="0" applyFont="1" applyBorder="1" applyAlignment="1" applyProtection="1">
      <alignment horizontal="left"/>
      <protection locked="0"/>
    </xf>
    <xf numFmtId="0" fontId="4" fillId="0" borderId="33" xfId="0" applyFont="1" applyBorder="1" applyProtection="1">
      <protection locked="0"/>
    </xf>
    <xf numFmtId="179" fontId="4" fillId="0" borderId="33" xfId="0" applyNumberFormat="1" applyFont="1" applyBorder="1" applyProtection="1">
      <protection locked="0"/>
    </xf>
    <xf numFmtId="179" fontId="4" fillId="0" borderId="23" xfId="0" applyNumberFormat="1" applyFont="1" applyBorder="1" applyProtection="1">
      <protection locked="0"/>
    </xf>
    <xf numFmtId="179" fontId="4" fillId="0" borderId="17" xfId="0" applyNumberFormat="1" applyFont="1" applyBorder="1" applyProtection="1">
      <protection locked="0"/>
    </xf>
    <xf numFmtId="0" fontId="7" fillId="0" borderId="30" xfId="0" applyFont="1" applyBorder="1" applyAlignment="1" applyProtection="1">
      <alignment horizontal="center" vertical="center"/>
      <protection locked="0"/>
    </xf>
    <xf numFmtId="0" fontId="7" fillId="0" borderId="30" xfId="0" applyFont="1" applyBorder="1" applyAlignment="1" applyProtection="1">
      <alignment horizontal="left"/>
      <protection locked="0"/>
    </xf>
    <xf numFmtId="0" fontId="7" fillId="0" borderId="7" xfId="0" applyFont="1" applyBorder="1" applyAlignment="1" applyProtection="1">
      <alignment horizontal="left"/>
      <protection locked="0"/>
    </xf>
    <xf numFmtId="179" fontId="4" fillId="0" borderId="7" xfId="0" applyNumberFormat="1" applyFont="1" applyBorder="1" applyProtection="1">
      <protection locked="0"/>
    </xf>
    <xf numFmtId="179" fontId="4" fillId="0" borderId="9" xfId="0" applyNumberFormat="1" applyFont="1" applyBorder="1" applyProtection="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left" vertical="top"/>
      <protection locked="0"/>
    </xf>
    <xf numFmtId="0" fontId="31" fillId="0" borderId="0" xfId="0" applyFont="1" applyProtection="1">
      <protection locked="0"/>
    </xf>
    <xf numFmtId="0" fontId="4" fillId="0" borderId="0" xfId="0" applyFont="1" applyAlignment="1">
      <alignment horizontal="center" vertical="center"/>
    </xf>
    <xf numFmtId="0" fontId="4" fillId="0" borderId="0" xfId="0" applyFont="1" applyAlignment="1">
      <alignment horizontal="right"/>
    </xf>
    <xf numFmtId="0" fontId="5" fillId="0" borderId="0" xfId="0" applyFont="1" applyAlignment="1" applyProtection="1">
      <alignment vertical="center"/>
      <protection locked="0"/>
    </xf>
    <xf numFmtId="0" fontId="5" fillId="0" borderId="27" xfId="0" applyFont="1" applyBorder="1" applyAlignment="1" applyProtection="1">
      <alignment horizontal="left"/>
      <protection locked="0"/>
    </xf>
    <xf numFmtId="0" fontId="6" fillId="0" borderId="29" xfId="0" applyFont="1" applyBorder="1" applyProtection="1">
      <protection locked="0"/>
    </xf>
    <xf numFmtId="0" fontId="6" fillId="0" borderId="30" xfId="0" applyFont="1" applyBorder="1" applyAlignment="1" applyProtection="1">
      <alignment horizontal="center"/>
      <protection locked="0"/>
    </xf>
    <xf numFmtId="0" fontId="6" fillId="0" borderId="5" xfId="0" applyFont="1" applyBorder="1"/>
    <xf numFmtId="0" fontId="16" fillId="0" borderId="0" xfId="7" applyFont="1" applyAlignment="1" applyProtection="1">
      <alignment horizontal="right"/>
      <protection locked="0"/>
    </xf>
    <xf numFmtId="180" fontId="16" fillId="0" borderId="0" xfId="7" applyNumberFormat="1" applyFont="1" applyProtection="1">
      <protection locked="0"/>
    </xf>
    <xf numFmtId="0" fontId="0" fillId="3" borderId="0" xfId="0" applyFill="1" applyProtection="1">
      <protection locked="0"/>
    </xf>
    <xf numFmtId="0" fontId="20" fillId="3" borderId="1" xfId="0" applyFont="1" applyFill="1" applyBorder="1" applyAlignment="1" applyProtection="1">
      <alignment horizontal="center"/>
      <protection locked="0"/>
    </xf>
    <xf numFmtId="0" fontId="11" fillId="3" borderId="15" xfId="0" applyFont="1" applyFill="1" applyBorder="1" applyAlignment="1" applyProtection="1">
      <alignment horizontal="left"/>
      <protection locked="0"/>
    </xf>
    <xf numFmtId="2" fontId="12" fillId="3" borderId="1" xfId="0" applyNumberFormat="1" applyFont="1" applyFill="1" applyBorder="1" applyProtection="1">
      <protection locked="0"/>
    </xf>
    <xf numFmtId="179" fontId="12" fillId="3" borderId="1" xfId="0" applyNumberFormat="1" applyFont="1" applyFill="1" applyBorder="1" applyProtection="1">
      <protection locked="0"/>
    </xf>
    <xf numFmtId="0" fontId="0" fillId="3" borderId="15" xfId="0" applyFill="1" applyBorder="1" applyAlignment="1" applyProtection="1">
      <alignment horizontal="left"/>
      <protection locked="0"/>
    </xf>
    <xf numFmtId="181" fontId="0" fillId="3" borderId="1" xfId="0" applyNumberFormat="1" applyFill="1" applyBorder="1" applyProtection="1">
      <protection locked="0"/>
    </xf>
    <xf numFmtId="181" fontId="0" fillId="3" borderId="17" xfId="0" applyNumberFormat="1" applyFill="1" applyBorder="1" applyProtection="1">
      <protection locked="0"/>
    </xf>
    <xf numFmtId="0" fontId="12" fillId="3" borderId="15" xfId="0" applyFont="1" applyFill="1" applyBorder="1" applyAlignment="1" applyProtection="1">
      <alignment horizontal="left"/>
      <protection locked="0"/>
    </xf>
    <xf numFmtId="0" fontId="12" fillId="3" borderId="15" xfId="0" applyFont="1" applyFill="1" applyBorder="1" applyProtection="1">
      <protection locked="0"/>
    </xf>
    <xf numFmtId="0" fontId="0" fillId="3" borderId="27" xfId="0" applyFill="1" applyBorder="1" applyAlignment="1" applyProtection="1">
      <alignment horizontal="right"/>
      <protection locked="0"/>
    </xf>
    <xf numFmtId="0" fontId="0" fillId="3" borderId="28" xfId="0" applyFill="1" applyBorder="1" applyProtection="1">
      <protection locked="0"/>
    </xf>
    <xf numFmtId="0" fontId="6" fillId="3" borderId="28" xfId="0" applyFont="1" applyFill="1" applyBorder="1" applyAlignment="1" applyProtection="1">
      <alignment horizontal="center"/>
      <protection locked="0"/>
    </xf>
    <xf numFmtId="0" fontId="6" fillId="3" borderId="28" xfId="0" applyFont="1" applyFill="1" applyBorder="1" applyAlignment="1" applyProtection="1">
      <alignment horizontal="left"/>
      <protection locked="0"/>
    </xf>
    <xf numFmtId="0" fontId="0" fillId="3" borderId="28" xfId="0" applyFill="1" applyBorder="1" applyAlignment="1" applyProtection="1">
      <alignment horizontal="center"/>
      <protection locked="0"/>
    </xf>
    <xf numFmtId="179" fontId="0" fillId="3" borderId="29" xfId="0" applyNumberFormat="1" applyFill="1" applyBorder="1" applyProtection="1">
      <protection locked="0"/>
    </xf>
    <xf numFmtId="0" fontId="6" fillId="3" borderId="28" xfId="0" applyFont="1" applyFill="1" applyBorder="1" applyProtection="1">
      <protection locked="0"/>
    </xf>
    <xf numFmtId="0" fontId="6" fillId="3" borderId="27" xfId="0" applyFont="1" applyFill="1" applyBorder="1" applyAlignment="1" applyProtection="1">
      <alignment horizontal="center"/>
      <protection locked="0"/>
    </xf>
    <xf numFmtId="0" fontId="18" fillId="3" borderId="27" xfId="0" applyFont="1" applyFill="1" applyBorder="1" applyAlignment="1" applyProtection="1">
      <alignment horizontal="left"/>
      <protection locked="0"/>
    </xf>
    <xf numFmtId="0" fontId="6" fillId="3" borderId="27" xfId="0" applyFont="1" applyFill="1" applyBorder="1" applyAlignment="1" applyProtection="1">
      <alignment horizontal="right"/>
      <protection locked="0"/>
    </xf>
    <xf numFmtId="0" fontId="6" fillId="3" borderId="15" xfId="0" applyFont="1" applyFill="1" applyBorder="1" applyAlignment="1" applyProtection="1">
      <alignment horizontal="center"/>
      <protection locked="0"/>
    </xf>
    <xf numFmtId="0" fontId="6" fillId="3" borderId="24" xfId="0" applyFont="1" applyFill="1" applyBorder="1" applyAlignment="1" applyProtection="1">
      <alignment horizontal="center"/>
      <protection locked="0"/>
    </xf>
    <xf numFmtId="0" fontId="0" fillId="3" borderId="30" xfId="0" applyFill="1" applyBorder="1" applyProtection="1">
      <protection locked="0"/>
    </xf>
    <xf numFmtId="0" fontId="6" fillId="3" borderId="30" xfId="0" applyFont="1" applyFill="1" applyBorder="1" applyProtection="1">
      <protection locked="0"/>
    </xf>
    <xf numFmtId="0" fontId="0" fillId="3" borderId="30" xfId="0" applyFill="1" applyBorder="1" applyAlignment="1" applyProtection="1">
      <alignment horizontal="center"/>
      <protection locked="0"/>
    </xf>
    <xf numFmtId="0" fontId="6" fillId="3" borderId="38" xfId="0" applyFont="1" applyFill="1" applyBorder="1" applyAlignment="1" applyProtection="1">
      <alignment horizontal="left"/>
      <protection locked="0"/>
    </xf>
    <xf numFmtId="0" fontId="6" fillId="3" borderId="16" xfId="0" applyFont="1" applyFill="1" applyBorder="1" applyProtection="1">
      <protection locked="0"/>
    </xf>
    <xf numFmtId="179" fontId="6" fillId="3" borderId="16" xfId="0" applyNumberFormat="1" applyFont="1" applyFill="1" applyBorder="1" applyProtection="1">
      <protection locked="0"/>
    </xf>
    <xf numFmtId="0" fontId="6" fillId="3" borderId="16" xfId="0" applyFont="1" applyFill="1" applyBorder="1" applyAlignment="1" applyProtection="1">
      <alignment horizontal="right"/>
      <protection locked="0"/>
    </xf>
    <xf numFmtId="0" fontId="6" fillId="3" borderId="16" xfId="0" applyFont="1" applyFill="1" applyBorder="1" applyAlignment="1" applyProtection="1">
      <alignment horizontal="center"/>
      <protection locked="0"/>
    </xf>
    <xf numFmtId="179" fontId="6" fillId="3" borderId="17" xfId="0" applyNumberFormat="1" applyFont="1" applyFill="1" applyBorder="1" applyProtection="1">
      <protection locked="0"/>
    </xf>
    <xf numFmtId="0" fontId="6" fillId="3" borderId="38" xfId="0" applyFont="1" applyFill="1" applyBorder="1" applyAlignment="1" applyProtection="1">
      <alignment horizontal="right"/>
      <protection locked="0"/>
    </xf>
    <xf numFmtId="0" fontId="6" fillId="3" borderId="38" xfId="0" applyFont="1" applyFill="1" applyBorder="1" applyProtection="1">
      <protection locked="0"/>
    </xf>
    <xf numFmtId="0" fontId="6" fillId="3" borderId="40" xfId="0" applyFont="1" applyFill="1" applyBorder="1" applyAlignment="1" applyProtection="1">
      <alignment horizontal="right"/>
      <protection locked="0"/>
    </xf>
    <xf numFmtId="0" fontId="6" fillId="3" borderId="41" xfId="0" applyFont="1" applyFill="1" applyBorder="1" applyProtection="1">
      <protection locked="0"/>
    </xf>
    <xf numFmtId="179" fontId="6" fillId="3" borderId="41" xfId="0" applyNumberFormat="1" applyFont="1" applyFill="1" applyBorder="1" applyProtection="1">
      <protection locked="0"/>
    </xf>
    <xf numFmtId="179" fontId="6" fillId="3" borderId="20" xfId="0" applyNumberFormat="1" applyFont="1" applyFill="1" applyBorder="1" applyProtection="1">
      <protection locked="0"/>
    </xf>
    <xf numFmtId="179" fontId="6" fillId="3" borderId="29" xfId="0" applyNumberFormat="1" applyFont="1" applyFill="1" applyBorder="1" applyProtection="1">
      <protection locked="0"/>
    </xf>
    <xf numFmtId="0" fontId="6" fillId="3" borderId="27" xfId="0" applyFont="1" applyFill="1" applyBorder="1" applyAlignment="1" applyProtection="1">
      <alignment horizontal="left"/>
      <protection locked="0"/>
    </xf>
    <xf numFmtId="0" fontId="6" fillId="3" borderId="27" xfId="0" applyFont="1" applyFill="1" applyBorder="1" applyProtection="1">
      <protection locked="0"/>
    </xf>
    <xf numFmtId="0" fontId="6" fillId="3" borderId="31" xfId="0" applyFont="1" applyFill="1" applyBorder="1" applyProtection="1">
      <protection locked="0"/>
    </xf>
    <xf numFmtId="179" fontId="6" fillId="3" borderId="32" xfId="0" applyNumberFormat="1" applyFont="1" applyFill="1" applyBorder="1" applyProtection="1">
      <protection locked="0"/>
    </xf>
    <xf numFmtId="0" fontId="5" fillId="3" borderId="0" xfId="0" applyFont="1" applyFill="1" applyAlignment="1" applyProtection="1">
      <alignment horizontal="left" vertical="center"/>
      <protection locked="0"/>
    </xf>
    <xf numFmtId="0" fontId="6" fillId="3" borderId="0" xfId="0" applyFont="1" applyFill="1" applyProtection="1">
      <protection locked="0"/>
    </xf>
    <xf numFmtId="0" fontId="5" fillId="3" borderId="0" xfId="0" applyFont="1" applyFill="1" applyProtection="1">
      <protection locked="0"/>
    </xf>
    <xf numFmtId="0" fontId="6" fillId="3" borderId="0" xfId="0" applyFont="1" applyFill="1" applyAlignment="1" applyProtection="1">
      <alignment horizontal="left"/>
      <protection locked="0"/>
    </xf>
    <xf numFmtId="0" fontId="6" fillId="3" borderId="0" xfId="0" applyFont="1" applyFill="1" applyAlignment="1" applyProtection="1">
      <alignment horizontal="left" vertical="center"/>
      <protection locked="0"/>
    </xf>
    <xf numFmtId="0" fontId="6" fillId="3" borderId="0" xfId="0" applyFont="1" applyFill="1" applyAlignment="1" applyProtection="1">
      <alignment horizontal="right"/>
      <protection locked="0"/>
    </xf>
    <xf numFmtId="0" fontId="6" fillId="3" borderId="0" xfId="0" applyFont="1" applyFill="1" applyAlignment="1" applyProtection="1">
      <alignment horizontal="center"/>
      <protection locked="0"/>
    </xf>
    <xf numFmtId="0" fontId="4" fillId="3" borderId="15"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protection locked="0"/>
    </xf>
    <xf numFmtId="0" fontId="4" fillId="3" borderId="16" xfId="0" applyFont="1" applyFill="1" applyBorder="1" applyProtection="1">
      <protection locked="0"/>
    </xf>
    <xf numFmtId="179" fontId="4" fillId="3" borderId="16" xfId="0" applyNumberFormat="1" applyFont="1" applyFill="1" applyBorder="1" applyProtection="1">
      <protection locked="0"/>
    </xf>
    <xf numFmtId="0" fontId="4" fillId="3" borderId="16" xfId="0" applyFont="1" applyFill="1" applyBorder="1" applyAlignment="1" applyProtection="1">
      <alignment horizontal="left"/>
      <protection locked="0"/>
    </xf>
    <xf numFmtId="0" fontId="4" fillId="3" borderId="37" xfId="0" applyFont="1" applyFill="1" applyBorder="1" applyAlignment="1" applyProtection="1">
      <alignment horizontal="right" vertical="center"/>
      <protection locked="0"/>
    </xf>
    <xf numFmtId="179" fontId="4" fillId="3" borderId="1" xfId="0" applyNumberFormat="1" applyFont="1" applyFill="1" applyBorder="1" applyProtection="1">
      <protection locked="0"/>
    </xf>
    <xf numFmtId="0" fontId="7" fillId="3" borderId="37" xfId="0" applyFont="1" applyFill="1" applyBorder="1" applyAlignment="1" applyProtection="1">
      <alignment horizontal="center" vertical="center"/>
      <protection locked="0"/>
    </xf>
    <xf numFmtId="0" fontId="4" fillId="3" borderId="39" xfId="0" applyFont="1" applyFill="1" applyBorder="1" applyAlignment="1" applyProtection="1">
      <alignment horizontal="right" vertical="center"/>
      <protection locked="0"/>
    </xf>
    <xf numFmtId="0" fontId="4" fillId="3" borderId="41" xfId="0" applyFont="1" applyFill="1" applyBorder="1" applyAlignment="1" applyProtection="1">
      <alignment horizontal="center" vertical="center"/>
      <protection locked="0"/>
    </xf>
    <xf numFmtId="0" fontId="4" fillId="3" borderId="41" xfId="0" applyFont="1" applyFill="1" applyBorder="1" applyProtection="1">
      <protection locked="0"/>
    </xf>
    <xf numFmtId="179" fontId="4" fillId="3" borderId="19" xfId="0" applyNumberFormat="1" applyFont="1" applyFill="1" applyBorder="1" applyProtection="1">
      <protection locked="0"/>
    </xf>
    <xf numFmtId="0" fontId="6" fillId="3" borderId="28" xfId="0" applyFont="1" applyFill="1" applyBorder="1" applyAlignment="1" applyProtection="1">
      <alignment horizontal="justify"/>
      <protection locked="0"/>
    </xf>
    <xf numFmtId="0" fontId="5" fillId="3" borderId="27" xfId="0" applyFont="1" applyFill="1" applyBorder="1" applyAlignment="1" applyProtection="1">
      <alignment horizontal="left"/>
      <protection locked="0"/>
    </xf>
    <xf numFmtId="0" fontId="6" fillId="3" borderId="30" xfId="0" applyFont="1" applyFill="1" applyBorder="1" applyAlignment="1" applyProtection="1">
      <alignment horizontal="center"/>
      <protection locked="0"/>
    </xf>
    <xf numFmtId="0" fontId="10" fillId="0" borderId="18" xfId="0" applyFont="1" applyBorder="1" applyAlignment="1">
      <alignment horizontal="center"/>
    </xf>
    <xf numFmtId="0" fontId="10" fillId="0" borderId="24" xfId="0" applyFont="1" applyBorder="1" applyAlignment="1">
      <alignment horizontal="center"/>
    </xf>
    <xf numFmtId="0" fontId="5" fillId="0" borderId="24" xfId="0" applyFont="1" applyBorder="1" applyAlignment="1">
      <alignment horizontal="center"/>
    </xf>
    <xf numFmtId="0" fontId="4" fillId="0" borderId="1" xfId="0" applyFont="1" applyBorder="1" applyAlignment="1">
      <alignment horizontal="center"/>
    </xf>
    <xf numFmtId="0" fontId="5" fillId="0" borderId="31" xfId="0" applyFont="1" applyBorder="1" applyAlignment="1">
      <alignment horizontal="left"/>
    </xf>
    <xf numFmtId="0" fontId="5" fillId="0" borderId="18" xfId="0" applyFont="1" applyBorder="1" applyAlignment="1">
      <alignment horizontal="left"/>
    </xf>
    <xf numFmtId="0" fontId="5" fillId="0" borderId="31" xfId="0" applyFont="1" applyBorder="1" applyAlignment="1">
      <alignment horizontal="left" vertical="center"/>
    </xf>
    <xf numFmtId="0" fontId="7" fillId="0" borderId="31" xfId="0" applyFont="1" applyBorder="1" applyAlignment="1">
      <alignment horizontal="left" vertical="center"/>
    </xf>
    <xf numFmtId="0" fontId="10" fillId="0" borderId="22" xfId="0" applyFont="1" applyBorder="1" applyAlignment="1">
      <alignment horizontal="center" vertical="center" wrapText="1"/>
    </xf>
    <xf numFmtId="0" fontId="0" fillId="2" borderId="1" xfId="0" applyFill="1" applyBorder="1" applyProtection="1">
      <protection locked="0"/>
    </xf>
    <xf numFmtId="0" fontId="0" fillId="2" borderId="16" xfId="0" applyFill="1" applyBorder="1" applyAlignment="1" applyProtection="1">
      <alignment horizontal="center"/>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10" fillId="3" borderId="7" xfId="0" applyFont="1" applyFill="1" applyBorder="1" applyProtection="1">
      <protection locked="0"/>
    </xf>
    <xf numFmtId="0" fontId="10" fillId="3" borderId="8" xfId="0" applyFont="1" applyFill="1" applyBorder="1" applyProtection="1">
      <protection locked="0"/>
    </xf>
    <xf numFmtId="0" fontId="10" fillId="3" borderId="5" xfId="0" applyFont="1" applyFill="1" applyBorder="1" applyProtection="1">
      <protection locked="0"/>
    </xf>
    <xf numFmtId="0" fontId="10" fillId="3" borderId="9" xfId="0" applyFont="1" applyFill="1" applyBorder="1" applyProtection="1">
      <protection locked="0"/>
    </xf>
    <xf numFmtId="0" fontId="7" fillId="3" borderId="7" xfId="0" applyFont="1" applyFill="1" applyBorder="1" applyAlignment="1">
      <alignment vertical="center"/>
    </xf>
    <xf numFmtId="0" fontId="7" fillId="3" borderId="5" xfId="0" applyFont="1" applyFill="1" applyBorder="1" applyAlignment="1">
      <alignment vertical="center"/>
    </xf>
    <xf numFmtId="0" fontId="7" fillId="3" borderId="9" xfId="0" applyFont="1" applyFill="1" applyBorder="1" applyAlignment="1">
      <alignment horizontal="right" vertical="center"/>
    </xf>
    <xf numFmtId="0" fontId="29" fillId="0" borderId="0" xfId="0" applyFont="1"/>
    <xf numFmtId="0" fontId="40" fillId="0" borderId="0" xfId="0" applyFont="1"/>
    <xf numFmtId="0" fontId="41" fillId="0" borderId="0" xfId="0" applyFont="1" applyAlignment="1">
      <alignment horizontal="distributed"/>
    </xf>
    <xf numFmtId="184" fontId="0" fillId="0" borderId="0" xfId="0" applyNumberFormat="1"/>
    <xf numFmtId="9" fontId="0" fillId="0" borderId="0" xfId="9" applyFont="1" applyAlignment="1"/>
    <xf numFmtId="0" fontId="40" fillId="0" borderId="0" xfId="0" applyFont="1" applyAlignment="1">
      <alignment horizontal="center"/>
    </xf>
    <xf numFmtId="184" fontId="40" fillId="0" borderId="0" xfId="0" applyNumberFormat="1" applyFont="1"/>
    <xf numFmtId="0" fontId="60" fillId="0" borderId="15" xfId="0" applyFont="1" applyBorder="1" applyProtection="1">
      <protection locked="0"/>
    </xf>
    <xf numFmtId="0" fontId="40" fillId="3" borderId="15" xfId="0" applyFont="1" applyFill="1" applyBorder="1" applyAlignment="1" applyProtection="1">
      <alignment horizontal="left"/>
      <protection locked="0"/>
    </xf>
    <xf numFmtId="0" fontId="63" fillId="0" borderId="48" xfId="0" applyFont="1" applyBorder="1" applyAlignment="1">
      <alignment horizontal="center" vertical="center" wrapText="1"/>
    </xf>
    <xf numFmtId="0" fontId="63" fillId="0" borderId="49" xfId="0" applyFont="1" applyBorder="1" applyAlignment="1">
      <alignment horizontal="center" vertical="center" wrapText="1"/>
    </xf>
    <xf numFmtId="185" fontId="63" fillId="0" borderId="49" xfId="0" applyNumberFormat="1" applyFont="1" applyBorder="1" applyAlignment="1">
      <alignment horizontal="center" vertical="center" wrapText="1"/>
    </xf>
    <xf numFmtId="185" fontId="63" fillId="0" borderId="49" xfId="0" applyNumberFormat="1" applyFont="1" applyBorder="1" applyAlignment="1">
      <alignment horizontal="right" vertical="center" wrapText="1"/>
    </xf>
    <xf numFmtId="0" fontId="63" fillId="0" borderId="49" xfId="0" applyFont="1" applyBorder="1" applyAlignment="1">
      <alignment vertical="center" wrapText="1"/>
    </xf>
    <xf numFmtId="0" fontId="63" fillId="0" borderId="51" xfId="0" applyFont="1" applyBorder="1" applyAlignment="1">
      <alignment vertical="center" wrapText="1"/>
    </xf>
    <xf numFmtId="185" fontId="64" fillId="0" borderId="49" xfId="0" applyNumberFormat="1" applyFont="1" applyBorder="1" applyAlignment="1">
      <alignment horizontal="right" vertical="center" wrapText="1"/>
    </xf>
    <xf numFmtId="0" fontId="64" fillId="0" borderId="49" xfId="0" applyFont="1" applyBorder="1" applyAlignment="1">
      <alignment vertical="center" wrapText="1"/>
    </xf>
    <xf numFmtId="185" fontId="19" fillId="0" borderId="49" xfId="0" applyNumberFormat="1" applyFont="1" applyBorder="1" applyAlignment="1">
      <alignment horizontal="right" vertical="center" wrapText="1"/>
    </xf>
    <xf numFmtId="0" fontId="19" fillId="0" borderId="49" xfId="0" applyFont="1" applyBorder="1" applyAlignment="1">
      <alignment horizontal="center" vertical="center" wrapText="1"/>
    </xf>
    <xf numFmtId="0" fontId="64" fillId="0" borderId="49" xfId="0" applyFont="1" applyBorder="1" applyAlignment="1">
      <alignment horizontal="center" vertical="center" wrapText="1"/>
    </xf>
    <xf numFmtId="185" fontId="64" fillId="12" borderId="49" xfId="0" applyNumberFormat="1" applyFont="1" applyFill="1" applyBorder="1" applyAlignment="1">
      <alignment horizontal="right" vertical="center" wrapText="1"/>
    </xf>
    <xf numFmtId="0" fontId="63" fillId="16" borderId="48" xfId="0" applyFont="1" applyFill="1" applyBorder="1" applyAlignment="1">
      <alignment horizontal="center" vertical="center" wrapText="1"/>
    </xf>
    <xf numFmtId="0" fontId="63" fillId="16" borderId="49" xfId="0" applyFont="1" applyFill="1" applyBorder="1" applyAlignment="1">
      <alignment horizontal="center" vertical="center" wrapText="1"/>
    </xf>
    <xf numFmtId="185" fontId="63" fillId="16" borderId="49" xfId="0" applyNumberFormat="1" applyFont="1" applyFill="1" applyBorder="1" applyAlignment="1">
      <alignment horizontal="right" vertical="center" wrapText="1"/>
    </xf>
    <xf numFmtId="185" fontId="64" fillId="16" borderId="49" xfId="0" applyNumberFormat="1" applyFont="1" applyFill="1" applyBorder="1" applyAlignment="1">
      <alignment horizontal="right" vertical="center" wrapText="1"/>
    </xf>
    <xf numFmtId="0" fontId="63" fillId="6" borderId="48" xfId="0" applyFont="1" applyFill="1" applyBorder="1" applyAlignment="1">
      <alignment horizontal="center" vertical="center" wrapText="1"/>
    </xf>
    <xf numFmtId="0" fontId="63" fillId="6" borderId="49" xfId="0" applyFont="1" applyFill="1" applyBorder="1" applyAlignment="1">
      <alignment horizontal="center" vertical="center" wrapText="1"/>
    </xf>
    <xf numFmtId="185" fontId="63" fillId="6" borderId="49" xfId="0" applyNumberFormat="1" applyFont="1" applyFill="1" applyBorder="1" applyAlignment="1">
      <alignment horizontal="right" vertical="center" wrapText="1"/>
    </xf>
    <xf numFmtId="185" fontId="64" fillId="6" borderId="49" xfId="0" applyNumberFormat="1" applyFont="1" applyFill="1" applyBorder="1" applyAlignment="1">
      <alignment horizontal="right" vertical="center" wrapText="1"/>
    </xf>
    <xf numFmtId="0" fontId="19" fillId="0" borderId="49" xfId="0" applyFont="1" applyBorder="1" applyAlignment="1">
      <alignment vertical="top" wrapText="1"/>
    </xf>
    <xf numFmtId="185" fontId="65" fillId="0" borderId="49" xfId="0" applyNumberFormat="1" applyFont="1" applyBorder="1" applyAlignment="1">
      <alignment horizontal="right" vertical="center" wrapText="1"/>
    </xf>
    <xf numFmtId="0" fontId="19" fillId="0" borderId="49" xfId="0" applyFont="1" applyBorder="1" applyAlignment="1">
      <alignment vertical="center" wrapText="1"/>
    </xf>
    <xf numFmtId="0" fontId="63" fillId="0" borderId="52" xfId="0" applyFont="1" applyBorder="1" applyAlignment="1">
      <alignment vertical="center" wrapText="1"/>
    </xf>
    <xf numFmtId="0" fontId="63" fillId="0" borderId="53" xfId="0" applyFont="1" applyBorder="1" applyAlignment="1">
      <alignment vertical="center" wrapText="1"/>
    </xf>
    <xf numFmtId="0" fontId="64" fillId="0" borderId="52" xfId="0" applyFont="1" applyBorder="1" applyAlignment="1">
      <alignment horizontal="center" vertical="center" wrapText="1"/>
    </xf>
    <xf numFmtId="0" fontId="64" fillId="0" borderId="53" xfId="0" applyFont="1" applyBorder="1" applyAlignment="1">
      <alignment horizontal="center" vertical="center" wrapText="1"/>
    </xf>
    <xf numFmtId="0" fontId="63" fillId="17" borderId="48" xfId="0" applyFont="1" applyFill="1" applyBorder="1" applyAlignment="1">
      <alignment horizontal="center" vertical="center" wrapText="1"/>
    </xf>
    <xf numFmtId="0" fontId="63" fillId="17" borderId="49" xfId="0" applyFont="1" applyFill="1" applyBorder="1" applyAlignment="1">
      <alignment horizontal="center" vertical="center" wrapText="1"/>
    </xf>
    <xf numFmtId="0" fontId="63" fillId="15" borderId="48" xfId="0" applyFont="1" applyFill="1" applyBorder="1" applyAlignment="1">
      <alignment horizontal="center" vertical="center" wrapText="1"/>
    </xf>
    <xf numFmtId="0" fontId="63" fillId="15" borderId="49" xfId="0" applyFont="1" applyFill="1" applyBorder="1" applyAlignment="1">
      <alignment horizontal="center" vertical="center" wrapText="1"/>
    </xf>
    <xf numFmtId="185" fontId="63" fillId="15" borderId="49" xfId="0" applyNumberFormat="1" applyFont="1" applyFill="1" applyBorder="1" applyAlignment="1">
      <alignment horizontal="right" vertical="center" wrapText="1"/>
    </xf>
    <xf numFmtId="0" fontId="63" fillId="14" borderId="48" xfId="0" applyFont="1" applyFill="1" applyBorder="1" applyAlignment="1">
      <alignment horizontal="center" vertical="center" wrapText="1"/>
    </xf>
    <xf numFmtId="0" fontId="63" fillId="14" borderId="49" xfId="0" applyFont="1" applyFill="1" applyBorder="1" applyAlignment="1">
      <alignment horizontal="center" vertical="center" wrapText="1"/>
    </xf>
    <xf numFmtId="185" fontId="63" fillId="14" borderId="49" xfId="0" applyNumberFormat="1" applyFont="1" applyFill="1" applyBorder="1" applyAlignment="1">
      <alignment horizontal="right" vertical="center" wrapText="1"/>
    </xf>
    <xf numFmtId="0" fontId="64" fillId="18" borderId="53" xfId="0" applyFont="1" applyFill="1" applyBorder="1" applyAlignment="1">
      <alignment horizontal="center" vertical="center" wrapText="1"/>
    </xf>
    <xf numFmtId="0" fontId="64" fillId="18" borderId="49" xfId="0" applyFont="1" applyFill="1" applyBorder="1" applyAlignment="1">
      <alignment horizontal="center" vertical="center" wrapText="1"/>
    </xf>
    <xf numFmtId="0" fontId="64" fillId="6" borderId="56" xfId="0" applyFont="1" applyFill="1" applyBorder="1" applyAlignment="1">
      <alignment horizontal="center" vertical="center" wrapText="1"/>
    </xf>
    <xf numFmtId="0" fontId="63" fillId="0" borderId="50" xfId="0" applyFont="1" applyBorder="1" applyAlignment="1">
      <alignment horizontal="center" vertical="center" wrapText="1"/>
    </xf>
    <xf numFmtId="0" fontId="6" fillId="0" borderId="0" xfId="0" applyFont="1" applyAlignment="1">
      <alignment horizontal="justify" vertical="center"/>
    </xf>
    <xf numFmtId="0" fontId="73" fillId="0" borderId="60" xfId="0" applyFont="1" applyBorder="1" applyAlignment="1">
      <alignment horizontal="justify" vertical="center" wrapText="1"/>
    </xf>
    <xf numFmtId="0" fontId="73" fillId="0" borderId="61" xfId="0" applyFont="1" applyBorder="1" applyAlignment="1">
      <alignment horizontal="justify" vertical="center" wrapText="1"/>
    </xf>
    <xf numFmtId="0" fontId="73" fillId="0" borderId="62" xfId="0" applyFont="1" applyBorder="1" applyAlignment="1">
      <alignment horizontal="justify" vertical="center" wrapText="1"/>
    </xf>
    <xf numFmtId="0" fontId="73" fillId="19" borderId="65" xfId="0" applyFont="1" applyFill="1" applyBorder="1" applyAlignment="1">
      <alignment horizontal="justify" wrapText="1"/>
    </xf>
    <xf numFmtId="0" fontId="73" fillId="0" borderId="65" xfId="0" applyFont="1" applyBorder="1" applyAlignment="1">
      <alignment horizontal="justify" wrapText="1"/>
    </xf>
    <xf numFmtId="0" fontId="73" fillId="0" borderId="0" xfId="0" applyFont="1" applyAlignment="1">
      <alignment vertical="center" wrapText="1"/>
    </xf>
    <xf numFmtId="0" fontId="73" fillId="0" borderId="65" xfId="0" applyFont="1" applyBorder="1" applyAlignment="1">
      <alignment vertical="center"/>
    </xf>
    <xf numFmtId="0" fontId="6" fillId="0" borderId="65" xfId="0" applyFont="1" applyBorder="1" applyAlignment="1">
      <alignment horizontal="justify" wrapText="1"/>
    </xf>
    <xf numFmtId="0" fontId="73" fillId="0" borderId="55" xfId="0" applyFont="1" applyBorder="1" applyAlignment="1">
      <alignment vertical="center" wrapText="1"/>
    </xf>
    <xf numFmtId="0" fontId="73" fillId="0" borderId="69" xfId="0" applyFont="1" applyBorder="1" applyAlignment="1">
      <alignment vertical="center" wrapText="1"/>
    </xf>
    <xf numFmtId="0" fontId="73" fillId="0" borderId="51" xfId="0" applyFont="1" applyBorder="1" applyAlignment="1">
      <alignment vertical="center" wrapText="1"/>
    </xf>
    <xf numFmtId="0" fontId="73" fillId="0" borderId="65" xfId="0" applyFont="1" applyBorder="1" applyAlignment="1">
      <alignment wrapText="1"/>
    </xf>
    <xf numFmtId="0" fontId="6" fillId="0" borderId="0" xfId="0" applyFont="1" applyAlignment="1">
      <alignment horizontal="justify" vertical="center" wrapText="1"/>
    </xf>
    <xf numFmtId="2" fontId="0" fillId="0" borderId="0" xfId="0" applyNumberFormat="1" applyAlignment="1">
      <alignment horizontal="right"/>
    </xf>
    <xf numFmtId="2" fontId="0" fillId="0" borderId="0" xfId="0" applyNumberFormat="1"/>
    <xf numFmtId="186" fontId="0" fillId="0" borderId="0" xfId="0" applyNumberFormat="1"/>
    <xf numFmtId="0" fontId="63" fillId="0" borderId="78" xfId="0" applyFont="1" applyBorder="1" applyAlignment="1">
      <alignment horizontal="center" vertical="center" wrapText="1"/>
    </xf>
    <xf numFmtId="0" fontId="63" fillId="0" borderId="51" xfId="0" applyFont="1" applyBorder="1" applyAlignment="1">
      <alignment horizontal="center" vertical="center" wrapText="1"/>
    </xf>
    <xf numFmtId="185" fontId="63" fillId="0" borderId="51" xfId="0" applyNumberFormat="1" applyFont="1" applyBorder="1" applyAlignment="1">
      <alignment horizontal="right" vertical="center" wrapText="1"/>
    </xf>
    <xf numFmtId="185" fontId="63" fillId="0" borderId="0" xfId="0" applyNumberFormat="1" applyFont="1" applyAlignment="1">
      <alignment horizontal="right" vertical="center" wrapText="1"/>
    </xf>
    <xf numFmtId="185" fontId="63" fillId="0" borderId="79" xfId="0" applyNumberFormat="1" applyFont="1" applyBorder="1" applyAlignment="1">
      <alignment horizontal="right" vertical="center" wrapText="1"/>
    </xf>
    <xf numFmtId="0" fontId="63" fillId="0" borderId="80" xfId="0" applyFont="1" applyBorder="1" applyAlignment="1">
      <alignment vertical="center" wrapText="1"/>
    </xf>
    <xf numFmtId="0" fontId="63" fillId="6" borderId="52" xfId="0" applyFont="1" applyFill="1" applyBorder="1" applyAlignment="1">
      <alignment horizontal="center" vertical="center" wrapText="1"/>
    </xf>
    <xf numFmtId="0" fontId="63" fillId="6" borderId="53" xfId="0" applyFont="1" applyFill="1" applyBorder="1" applyAlignment="1">
      <alignment horizontal="center" vertical="center" wrapText="1"/>
    </xf>
    <xf numFmtId="185" fontId="0" fillId="0" borderId="0" xfId="0" applyNumberFormat="1"/>
    <xf numFmtId="44" fontId="0" fillId="0" borderId="0" xfId="10" applyFont="1" applyAlignment="1"/>
    <xf numFmtId="44" fontId="0" fillId="0" borderId="0" xfId="0" applyNumberFormat="1"/>
    <xf numFmtId="0" fontId="63" fillId="0" borderId="52" xfId="0" applyFont="1" applyBorder="1" applyAlignment="1">
      <alignment horizontal="center" vertical="center" wrapText="1"/>
    </xf>
    <xf numFmtId="0" fontId="63" fillId="0" borderId="53" xfId="0" applyFont="1" applyBorder="1" applyAlignment="1">
      <alignment horizontal="center" vertical="center" wrapText="1"/>
    </xf>
    <xf numFmtId="0" fontId="6" fillId="0" borderId="0" xfId="0" applyFont="1" applyAlignment="1">
      <alignment horizontal="right" vertical="center" indent="6"/>
    </xf>
    <xf numFmtId="0" fontId="6" fillId="0" borderId="91" xfId="0" applyFont="1" applyBorder="1" applyAlignment="1">
      <alignment horizontal="justify" vertical="center" wrapText="1"/>
    </xf>
    <xf numFmtId="0" fontId="6" fillId="0" borderId="83" xfId="0" applyFont="1" applyBorder="1" applyAlignment="1">
      <alignment horizontal="justify" vertical="center" wrapText="1"/>
    </xf>
    <xf numFmtId="0" fontId="6" fillId="0" borderId="60" xfId="0" applyFont="1" applyBorder="1" applyAlignment="1">
      <alignment horizontal="justify" vertical="center" wrapText="1"/>
    </xf>
    <xf numFmtId="0" fontId="6" fillId="0" borderId="82" xfId="0" applyFont="1" applyBorder="1" applyAlignment="1">
      <alignment horizontal="justify" vertical="center" wrapText="1"/>
    </xf>
    <xf numFmtId="0" fontId="6" fillId="0" borderId="93" xfId="0" applyFont="1" applyBorder="1" applyAlignment="1">
      <alignment horizontal="justify" vertical="center" wrapText="1"/>
    </xf>
    <xf numFmtId="0" fontId="6" fillId="0" borderId="84" xfId="0" applyFont="1" applyBorder="1" applyAlignment="1">
      <alignment horizontal="justify" vertical="center" wrapText="1"/>
    </xf>
    <xf numFmtId="0" fontId="83" fillId="0" borderId="0" xfId="0" applyFont="1" applyAlignment="1">
      <alignment horizontal="justify" vertical="center"/>
    </xf>
    <xf numFmtId="0" fontId="6" fillId="0" borderId="81" xfId="0" applyFont="1" applyBorder="1" applyAlignment="1">
      <alignment horizontal="justify" vertical="center" wrapText="1"/>
    </xf>
    <xf numFmtId="10" fontId="4" fillId="0" borderId="86" xfId="0" applyNumberFormat="1" applyFont="1" applyBorder="1" applyAlignment="1">
      <alignment horizontal="right" vertical="center" wrapText="1"/>
    </xf>
    <xf numFmtId="0" fontId="6" fillId="0" borderId="87" xfId="0" applyFont="1" applyBorder="1" applyAlignment="1">
      <alignment horizontal="justify" vertical="center" wrapText="1"/>
    </xf>
    <xf numFmtId="0" fontId="6" fillId="0" borderId="88" xfId="0" applyFont="1" applyBorder="1" applyAlignment="1">
      <alignment horizontal="justify" vertical="center" wrapText="1"/>
    </xf>
    <xf numFmtId="9" fontId="4" fillId="0" borderId="89" xfId="0" applyNumberFormat="1" applyFont="1" applyBorder="1" applyAlignment="1">
      <alignment horizontal="right" vertical="center"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horizontal="center"/>
    </xf>
    <xf numFmtId="0" fontId="6" fillId="0" borderId="65" xfId="0" applyFont="1" applyBorder="1" applyAlignment="1">
      <alignment vertical="center" wrapText="1"/>
    </xf>
    <xf numFmtId="0" fontId="6" fillId="0" borderId="65" xfId="0" applyFont="1" applyBorder="1" applyAlignment="1">
      <alignment horizontal="left" vertical="center" wrapText="1"/>
    </xf>
    <xf numFmtId="0" fontId="6" fillId="0" borderId="0" xfId="0" applyFont="1" applyAlignment="1">
      <alignment horizontal="left" vertical="center" indent="7"/>
    </xf>
    <xf numFmtId="0" fontId="16" fillId="0" borderId="0" xfId="0" applyFont="1" applyAlignment="1">
      <alignment vertical="center"/>
    </xf>
    <xf numFmtId="0" fontId="84" fillId="0" borderId="0" xfId="0" applyFont="1"/>
    <xf numFmtId="0" fontId="57" fillId="0" borderId="55" xfId="0" applyFont="1" applyBorder="1"/>
    <xf numFmtId="0" fontId="0" fillId="0" borderId="55" xfId="0" applyBorder="1"/>
    <xf numFmtId="0" fontId="79" fillId="0" borderId="123" xfId="11" applyBorder="1" applyAlignment="1">
      <alignment horizontal="center"/>
    </xf>
    <xf numFmtId="0" fontId="0" fillId="0" borderId="69" xfId="0" applyBorder="1"/>
    <xf numFmtId="0" fontId="22" fillId="0" borderId="0" xfId="0" applyFont="1"/>
    <xf numFmtId="0" fontId="59" fillId="0" borderId="51" xfId="0" applyFont="1" applyBorder="1" applyAlignment="1">
      <alignment horizontal="left" vertical="center" wrapText="1" indent="2"/>
    </xf>
    <xf numFmtId="0" fontId="29" fillId="0" borderId="0" xfId="0" applyFont="1" applyAlignment="1">
      <alignment horizontal="center" vertical="center" wrapText="1"/>
    </xf>
    <xf numFmtId="184" fontId="0" fillId="5" borderId="0" xfId="0" applyNumberFormat="1" applyFill="1"/>
    <xf numFmtId="184" fontId="0" fillId="0" borderId="51" xfId="0" applyNumberFormat="1" applyBorder="1"/>
    <xf numFmtId="184" fontId="0" fillId="6" borderId="0" xfId="0" applyNumberFormat="1" applyFill="1"/>
    <xf numFmtId="0" fontId="0" fillId="6" borderId="0" xfId="0" applyFill="1"/>
    <xf numFmtId="10" fontId="0" fillId="0" borderId="51" xfId="9" applyNumberFormat="1" applyFont="1" applyBorder="1" applyAlignment="1"/>
    <xf numFmtId="184" fontId="43" fillId="5" borderId="0" xfId="0" applyNumberFormat="1" applyFont="1" applyFill="1"/>
    <xf numFmtId="184" fontId="0" fillId="14" borderId="0" xfId="0" applyNumberFormat="1" applyFill="1"/>
    <xf numFmtId="0" fontId="51" fillId="0" borderId="0" xfId="0" applyFont="1" applyAlignment="1">
      <alignment horizontal="center"/>
    </xf>
    <xf numFmtId="0" fontId="0" fillId="0" borderId="51" xfId="0" applyBorder="1"/>
    <xf numFmtId="0" fontId="43" fillId="0" borderId="0" xfId="0" applyFont="1"/>
    <xf numFmtId="0" fontId="0" fillId="0" borderId="53" xfId="0" applyBorder="1"/>
    <xf numFmtId="0" fontId="53" fillId="0" borderId="53" xfId="0" applyFont="1" applyBorder="1"/>
    <xf numFmtId="0" fontId="6" fillId="0" borderId="49" xfId="0" applyFont="1" applyBorder="1"/>
    <xf numFmtId="0" fontId="18" fillId="0" borderId="0" xfId="0" applyFont="1"/>
    <xf numFmtId="184" fontId="18" fillId="5" borderId="0" xfId="0" applyNumberFormat="1" applyFont="1" applyFill="1"/>
    <xf numFmtId="184" fontId="18" fillId="6" borderId="0" xfId="0" applyNumberFormat="1" applyFont="1" applyFill="1"/>
    <xf numFmtId="184" fontId="92" fillId="14" borderId="0" xfId="0" applyNumberFormat="1" applyFont="1" applyFill="1"/>
    <xf numFmtId="184" fontId="92" fillId="5" borderId="0" xfId="0" applyNumberFormat="1" applyFont="1" applyFill="1"/>
    <xf numFmtId="184" fontId="18" fillId="12" borderId="0" xfId="0" applyNumberFormat="1" applyFont="1" applyFill="1"/>
    <xf numFmtId="184" fontId="18" fillId="13" borderId="0" xfId="0" applyNumberFormat="1" applyFont="1" applyFill="1"/>
    <xf numFmtId="184" fontId="18" fillId="14" borderId="0" xfId="0" applyNumberFormat="1" applyFont="1" applyFill="1"/>
    <xf numFmtId="0" fontId="55" fillId="0" borderId="0" xfId="0" applyFont="1" applyAlignment="1">
      <alignment horizontal="center"/>
    </xf>
    <xf numFmtId="184" fontId="18" fillId="0" borderId="0" xfId="0" applyNumberFormat="1" applyFont="1"/>
    <xf numFmtId="0" fontId="92" fillId="0" borderId="0" xfId="0" applyFont="1"/>
    <xf numFmtId="0" fontId="55" fillId="0" borderId="124" xfId="0" applyFont="1" applyBorder="1" applyAlignment="1">
      <alignment horizontal="center"/>
    </xf>
    <xf numFmtId="0" fontId="90" fillId="0" borderId="125" xfId="0" applyFont="1" applyBorder="1"/>
    <xf numFmtId="0" fontId="18" fillId="0" borderId="125" xfId="0" applyFont="1" applyBorder="1"/>
    <xf numFmtId="0" fontId="79" fillId="0" borderId="126" xfId="11" applyBorder="1" applyAlignment="1">
      <alignment horizontal="center"/>
    </xf>
    <xf numFmtId="0" fontId="18" fillId="0" borderId="127" xfId="0" applyFont="1" applyBorder="1"/>
    <xf numFmtId="0" fontId="18" fillId="0" borderId="128" xfId="0" applyFont="1" applyBorder="1"/>
    <xf numFmtId="0" fontId="18" fillId="0" borderId="124" xfId="0" applyFont="1" applyBorder="1"/>
    <xf numFmtId="0" fontId="54" fillId="0" borderId="124" xfId="0" applyFont="1" applyBorder="1"/>
    <xf numFmtId="0" fontId="78" fillId="0" borderId="129" xfId="0" applyFont="1" applyBorder="1"/>
    <xf numFmtId="0" fontId="0" fillId="0" borderId="128" xfId="0" applyBorder="1"/>
    <xf numFmtId="0" fontId="6" fillId="0" borderId="69" xfId="0" applyFont="1" applyBorder="1"/>
    <xf numFmtId="0" fontId="58" fillId="0" borderId="0" xfId="0" applyFont="1"/>
    <xf numFmtId="184" fontId="43" fillId="8" borderId="0" xfId="0" applyNumberFormat="1" applyFont="1" applyFill="1"/>
    <xf numFmtId="184" fontId="42" fillId="10" borderId="0" xfId="0" applyNumberFormat="1" applyFont="1" applyFill="1"/>
    <xf numFmtId="184" fontId="43" fillId="9" borderId="0" xfId="0" applyNumberFormat="1" applyFont="1" applyFill="1"/>
    <xf numFmtId="184" fontId="0" fillId="11" borderId="0" xfId="0" applyNumberFormat="1" applyFill="1"/>
    <xf numFmtId="0" fontId="51" fillId="0" borderId="53" xfId="0" applyFont="1" applyBorder="1" applyAlignment="1">
      <alignment horizontal="center"/>
    </xf>
    <xf numFmtId="0" fontId="93" fillId="23" borderId="0" xfId="0" applyFont="1" applyFill="1"/>
    <xf numFmtId="0" fontId="95" fillId="27" borderId="137" xfId="0" applyFont="1" applyFill="1" applyBorder="1"/>
    <xf numFmtId="0" fontId="96" fillId="27" borderId="138" xfId="0" applyFont="1" applyFill="1" applyBorder="1"/>
    <xf numFmtId="0" fontId="97" fillId="27" borderId="143" xfId="0" applyFont="1" applyFill="1" applyBorder="1"/>
    <xf numFmtId="0" fontId="94" fillId="28" borderId="0" xfId="0" applyFont="1" applyFill="1"/>
    <xf numFmtId="0" fontId="60" fillId="29" borderId="15" xfId="0" applyFont="1" applyFill="1" applyBorder="1" applyAlignment="1" applyProtection="1">
      <alignment horizontal="left"/>
      <protection locked="0"/>
    </xf>
    <xf numFmtId="0" fontId="60" fillId="11" borderId="15" xfId="0" applyFont="1" applyFill="1" applyBorder="1" applyAlignment="1" applyProtection="1">
      <alignment horizontal="left"/>
      <protection locked="0"/>
    </xf>
    <xf numFmtId="0" fontId="98" fillId="25" borderId="15" xfId="0" applyFont="1" applyFill="1" applyBorder="1" applyAlignment="1" applyProtection="1">
      <alignment horizontal="left"/>
      <protection locked="0"/>
    </xf>
    <xf numFmtId="0" fontId="60" fillId="14" borderId="15" xfId="0" applyFont="1" applyFill="1" applyBorder="1" applyAlignment="1" applyProtection="1">
      <alignment horizontal="left"/>
      <protection locked="0"/>
    </xf>
    <xf numFmtId="0" fontId="60" fillId="30" borderId="15" xfId="0" applyFont="1" applyFill="1" applyBorder="1" applyAlignment="1" applyProtection="1">
      <alignment horizontal="left"/>
      <protection locked="0"/>
    </xf>
    <xf numFmtId="0" fontId="3" fillId="0" borderId="0" xfId="0" applyFont="1"/>
    <xf numFmtId="184" fontId="43" fillId="16" borderId="0" xfId="0" applyNumberFormat="1" applyFont="1" applyFill="1"/>
    <xf numFmtId="184" fontId="0" fillId="16" borderId="0" xfId="0" applyNumberFormat="1" applyFill="1"/>
    <xf numFmtId="2" fontId="0" fillId="16" borderId="0" xfId="0" applyNumberFormat="1" applyFill="1"/>
    <xf numFmtId="0" fontId="51" fillId="0" borderId="0" xfId="0" applyFont="1" applyAlignment="1">
      <alignment horizontal="right"/>
    </xf>
    <xf numFmtId="0" fontId="51" fillId="0" borderId="53" xfId="0" applyFont="1" applyBorder="1" applyAlignment="1">
      <alignment horizontal="right"/>
    </xf>
    <xf numFmtId="0" fontId="6" fillId="0" borderId="53" xfId="0" applyFont="1" applyBorder="1"/>
    <xf numFmtId="0" fontId="0" fillId="0" borderId="49" xfId="0" applyBorder="1"/>
    <xf numFmtId="0" fontId="79" fillId="0" borderId="123" xfId="11" applyBorder="1" applyAlignment="1"/>
    <xf numFmtId="0" fontId="59" fillId="0" borderId="51" xfId="0" applyFont="1" applyBorder="1" applyAlignment="1">
      <alignment vertical="center" wrapText="1"/>
    </xf>
    <xf numFmtId="0" fontId="29" fillId="0" borderId="0" xfId="0" applyFont="1" applyAlignment="1">
      <alignment vertical="center" wrapText="1"/>
    </xf>
    <xf numFmtId="184" fontId="43" fillId="4" borderId="0" xfId="0" applyNumberFormat="1" applyFont="1" applyFill="1"/>
    <xf numFmtId="184" fontId="0" fillId="4" borderId="0" xfId="0" applyNumberFormat="1" applyFill="1"/>
    <xf numFmtId="0" fontId="40" fillId="0" borderId="72" xfId="0" applyFont="1" applyBorder="1"/>
    <xf numFmtId="0" fontId="51" fillId="0" borderId="0" xfId="0" applyFont="1"/>
    <xf numFmtId="0" fontId="40" fillId="0" borderId="52" xfId="0" applyFont="1" applyBorder="1"/>
    <xf numFmtId="0" fontId="51" fillId="0" borderId="53" xfId="0" applyFont="1" applyBorder="1"/>
    <xf numFmtId="2" fontId="54" fillId="0" borderId="53" xfId="0" applyNumberFormat="1" applyFont="1" applyBorder="1"/>
    <xf numFmtId="0" fontId="18" fillId="0" borderId="55" xfId="2" applyBorder="1"/>
    <xf numFmtId="0" fontId="18" fillId="0" borderId="0" xfId="2" applyBorder="1"/>
    <xf numFmtId="184" fontId="43" fillId="7" borderId="0" xfId="0" applyNumberFormat="1" applyFont="1" applyFill="1"/>
    <xf numFmtId="184" fontId="18" fillId="5" borderId="0" xfId="2" applyNumberFormat="1" applyFill="1" applyBorder="1"/>
    <xf numFmtId="184" fontId="0" fillId="15" borderId="0" xfId="0" applyNumberFormat="1" applyFill="1"/>
    <xf numFmtId="184" fontId="18" fillId="6" borderId="0" xfId="2" applyNumberFormat="1" applyFill="1" applyBorder="1"/>
    <xf numFmtId="184" fontId="43" fillId="6" borderId="0" xfId="0" applyNumberFormat="1" applyFont="1" applyFill="1"/>
    <xf numFmtId="184" fontId="0" fillId="0" borderId="0" xfId="0" applyNumberFormat="1" applyAlignment="1">
      <alignment horizontal="right"/>
    </xf>
    <xf numFmtId="184" fontId="18" fillId="0" borderId="0" xfId="2" applyNumberFormat="1" applyBorder="1" applyAlignment="1">
      <alignment horizontal="right"/>
    </xf>
    <xf numFmtId="2" fontId="0" fillId="0" borderId="0" xfId="0" applyNumberFormat="1" applyAlignment="1">
      <alignment horizontal="center"/>
    </xf>
    <xf numFmtId="0" fontId="18" fillId="0" borderId="52" xfId="1" applyBorder="1"/>
    <xf numFmtId="0" fontId="18" fillId="0" borderId="53" xfId="1" applyBorder="1" applyAlignment="1">
      <alignment horizontal="right"/>
    </xf>
    <xf numFmtId="0" fontId="18" fillId="0" borderId="53" xfId="1" applyBorder="1"/>
    <xf numFmtId="0" fontId="18" fillId="0" borderId="49" xfId="1" applyBorder="1"/>
    <xf numFmtId="0" fontId="95" fillId="23" borderId="56" xfId="0" applyFont="1" applyFill="1" applyBorder="1"/>
    <xf numFmtId="0" fontId="6" fillId="0" borderId="0" xfId="0" applyFont="1" applyAlignment="1">
      <alignment horizontal="left" indent="4"/>
    </xf>
    <xf numFmtId="0" fontId="6" fillId="0" borderId="0" xfId="0" applyFont="1" applyAlignment="1">
      <alignment horizontal="left" indent="5"/>
    </xf>
    <xf numFmtId="0" fontId="6" fillId="32" borderId="0" xfId="0" applyFont="1" applyFill="1" applyAlignment="1">
      <alignment horizontal="center"/>
    </xf>
    <xf numFmtId="0" fontId="6" fillId="32" borderId="0" xfId="0" applyFont="1" applyFill="1"/>
    <xf numFmtId="0" fontId="5" fillId="0" borderId="0" xfId="0" applyFont="1" applyAlignment="1">
      <alignment horizontal="left" vertical="center" indent="5" readingOrder="1"/>
    </xf>
    <xf numFmtId="0" fontId="93" fillId="32" borderId="0" xfId="0" applyFont="1" applyFill="1"/>
    <xf numFmtId="0" fontId="97" fillId="27" borderId="140" xfId="0" applyFont="1" applyFill="1" applyBorder="1"/>
    <xf numFmtId="0" fontId="6" fillId="28" borderId="56" xfId="0" applyFont="1" applyFill="1" applyBorder="1" applyAlignment="1">
      <alignment horizontal="center" vertical="center"/>
    </xf>
    <xf numFmtId="0" fontId="100" fillId="0" borderId="0" xfId="0" applyFont="1" applyAlignment="1">
      <alignment horizontal="left" vertical="center" wrapText="1"/>
    </xf>
    <xf numFmtId="0" fontId="23" fillId="0" borderId="0" xfId="0" applyFont="1" applyAlignment="1">
      <alignment horizontal="left" vertical="center" wrapText="1"/>
    </xf>
    <xf numFmtId="0" fontId="100" fillId="0" borderId="0" xfId="0" applyFont="1" applyAlignment="1">
      <alignment horizontal="justify" vertical="center" wrapText="1"/>
    </xf>
    <xf numFmtId="0" fontId="23" fillId="0" borderId="0" xfId="0" applyFont="1" applyAlignment="1">
      <alignment horizontal="justify" vertical="center" wrapText="1"/>
    </xf>
    <xf numFmtId="0" fontId="16" fillId="0" borderId="0" xfId="0" applyFont="1" applyAlignment="1">
      <alignment horizontal="left" vertical="center" indent="1"/>
    </xf>
    <xf numFmtId="0" fontId="91" fillId="0" borderId="128" xfId="0" applyFont="1" applyBorder="1" applyAlignment="1">
      <alignment horizontal="center" vertical="center" wrapText="1"/>
    </xf>
    <xf numFmtId="184" fontId="18" fillId="0" borderId="128" xfId="0" applyNumberFormat="1" applyFont="1" applyBorder="1" applyAlignment="1">
      <alignment horizontal="center"/>
    </xf>
    <xf numFmtId="10" fontId="18" fillId="0" borderId="128" xfId="9" applyNumberFormat="1" applyFont="1" applyBorder="1" applyAlignment="1">
      <alignment horizontal="center"/>
    </xf>
    <xf numFmtId="2" fontId="18" fillId="0" borderId="0" xfId="2" applyNumberFormat="1" applyBorder="1" applyAlignment="1">
      <alignment horizontal="right"/>
    </xf>
    <xf numFmtId="0" fontId="23" fillId="0" borderId="0" xfId="0" applyFont="1" applyAlignment="1">
      <alignment horizontal="justify" vertical="center"/>
    </xf>
    <xf numFmtId="0" fontId="6" fillId="0" borderId="72" xfId="0" applyFont="1" applyBorder="1" applyAlignment="1">
      <alignment horizontal="center"/>
    </xf>
    <xf numFmtId="0" fontId="6" fillId="0" borderId="0" xfId="0" applyFont="1" applyAlignment="1">
      <alignment horizontal="left" vertical="justify" wrapText="1" indent="8"/>
    </xf>
    <xf numFmtId="0" fontId="16" fillId="0" borderId="0" xfId="0" applyFont="1" applyAlignment="1">
      <alignment horizontal="justify" vertical="center"/>
    </xf>
    <xf numFmtId="0" fontId="0" fillId="2" borderId="34" xfId="0" applyFill="1" applyBorder="1" applyAlignment="1" applyProtection="1">
      <alignment horizontal="center"/>
      <protection locked="0"/>
    </xf>
    <xf numFmtId="0" fontId="6" fillId="0" borderId="51" xfId="0" applyFont="1" applyBorder="1" applyAlignment="1">
      <alignment horizontal="left" vertical="center" wrapText="1"/>
    </xf>
    <xf numFmtId="44" fontId="18" fillId="6" borderId="0" xfId="0" applyNumberFormat="1" applyFont="1" applyFill="1"/>
    <xf numFmtId="44" fontId="6" fillId="0" borderId="0" xfId="10" applyFont="1" applyAlignment="1"/>
    <xf numFmtId="0" fontId="4" fillId="0" borderId="0" xfId="0" applyFont="1" applyAlignment="1">
      <alignment horizontal="justify" vertical="center"/>
    </xf>
    <xf numFmtId="0" fontId="10" fillId="0" borderId="0" xfId="0" applyFont="1" applyAlignment="1">
      <alignment horizontal="justify" vertical="center"/>
    </xf>
    <xf numFmtId="0" fontId="73" fillId="0" borderId="60" xfId="0" applyFont="1" applyBorder="1" applyAlignment="1">
      <alignment horizontal="center" vertical="center" wrapText="1"/>
    </xf>
    <xf numFmtId="0" fontId="6" fillId="0" borderId="70" xfId="0" applyFont="1" applyBorder="1"/>
    <xf numFmtId="0" fontId="6" fillId="0" borderId="98" xfId="0" applyFont="1" applyBorder="1" applyAlignment="1">
      <alignment vertical="center" wrapText="1"/>
    </xf>
    <xf numFmtId="10" fontId="6" fillId="0" borderId="65" xfId="0" applyNumberFormat="1" applyFont="1" applyBorder="1" applyAlignment="1">
      <alignment horizontal="center" vertical="center" wrapText="1"/>
    </xf>
    <xf numFmtId="9" fontId="6" fillId="0" borderId="65" xfId="0" applyNumberFormat="1" applyFont="1" applyBorder="1" applyAlignment="1">
      <alignment horizontal="center" vertical="center" wrapText="1"/>
    </xf>
    <xf numFmtId="0" fontId="6" fillId="0" borderId="86" xfId="0" applyFont="1" applyBorder="1" applyAlignment="1">
      <alignment horizontal="justify" vertical="center" wrapText="1"/>
    </xf>
    <xf numFmtId="10" fontId="4" fillId="0" borderId="86" xfId="0" applyNumberFormat="1" applyFont="1" applyBorder="1" applyAlignment="1">
      <alignment horizontal="justify" vertical="center" wrapText="1"/>
    </xf>
    <xf numFmtId="9" fontId="4" fillId="0" borderId="86" xfId="0" applyNumberFormat="1" applyFont="1" applyBorder="1" applyAlignment="1">
      <alignment horizontal="justify" vertical="center" wrapText="1"/>
    </xf>
    <xf numFmtId="9" fontId="4" fillId="0" borderId="89" xfId="0" applyNumberFormat="1" applyFont="1" applyBorder="1" applyAlignment="1">
      <alignment horizontal="justify" vertical="center" wrapText="1"/>
    </xf>
    <xf numFmtId="0" fontId="6" fillId="0" borderId="105" xfId="0" applyFont="1" applyBorder="1" applyAlignment="1">
      <alignment horizontal="left" vertical="center" indent="5"/>
    </xf>
    <xf numFmtId="0" fontId="6" fillId="0" borderId="65" xfId="0" applyFont="1" applyBorder="1"/>
    <xf numFmtId="0" fontId="8" fillId="0" borderId="0" xfId="0" applyFont="1" applyAlignment="1">
      <alignment vertical="center"/>
    </xf>
    <xf numFmtId="0" fontId="6" fillId="0" borderId="0" xfId="0" applyFont="1" applyAlignment="1">
      <alignment horizontal="left" vertical="center" indent="6"/>
    </xf>
    <xf numFmtId="0" fontId="5" fillId="0" borderId="0" xfId="0" applyFont="1" applyAlignment="1">
      <alignment horizontal="left" vertical="center" indent="7"/>
    </xf>
    <xf numFmtId="0" fontId="6" fillId="0" borderId="0" xfId="0" applyFont="1" applyAlignment="1">
      <alignment horizontal="left" indent="7"/>
    </xf>
    <xf numFmtId="0" fontId="6" fillId="0" borderId="0" xfId="0" applyFont="1" applyAlignment="1">
      <alignment horizontal="left" wrapText="1" indent="8"/>
    </xf>
    <xf numFmtId="0" fontId="6" fillId="0" borderId="0" xfId="0" applyFont="1" applyAlignment="1">
      <alignment horizontal="left" wrapText="1" indent="7"/>
    </xf>
    <xf numFmtId="0" fontId="6" fillId="0" borderId="110" xfId="0" applyFont="1" applyBorder="1"/>
    <xf numFmtId="0" fontId="6" fillId="28" borderId="56" xfId="0" applyFont="1" applyFill="1" applyBorder="1"/>
    <xf numFmtId="0" fontId="6" fillId="28" borderId="0" xfId="0" applyFont="1" applyFill="1"/>
    <xf numFmtId="0" fontId="6" fillId="0" borderId="148" xfId="0" applyFont="1" applyBorder="1"/>
    <xf numFmtId="0" fontId="6" fillId="0" borderId="115" xfId="0" applyFont="1" applyBorder="1"/>
    <xf numFmtId="0" fontId="70" fillId="11" borderId="134" xfId="0" applyFont="1" applyFill="1" applyBorder="1" applyAlignment="1">
      <alignment wrapText="1"/>
    </xf>
    <xf numFmtId="0" fontId="70" fillId="11" borderId="135" xfId="0" applyFont="1" applyFill="1" applyBorder="1" applyAlignment="1">
      <alignment wrapText="1"/>
    </xf>
    <xf numFmtId="0" fontId="70" fillId="11" borderId="136" xfId="0" applyFont="1" applyFill="1" applyBorder="1" applyAlignment="1">
      <alignment wrapText="1"/>
    </xf>
    <xf numFmtId="0" fontId="70" fillId="20" borderId="51" xfId="0" applyFont="1" applyFill="1" applyBorder="1" applyAlignment="1">
      <alignment vertical="top" wrapText="1"/>
    </xf>
    <xf numFmtId="0" fontId="70" fillId="20" borderId="45" xfId="0" applyFont="1" applyFill="1" applyBorder="1" applyAlignment="1">
      <alignment vertical="top" wrapText="1" shrinkToFit="1"/>
    </xf>
    <xf numFmtId="0" fontId="70" fillId="11" borderId="120" xfId="0" applyFont="1" applyFill="1" applyBorder="1" applyAlignment="1">
      <alignment wrapText="1"/>
    </xf>
    <xf numFmtId="0" fontId="6" fillId="0" borderId="130" xfId="0" applyFont="1" applyBorder="1"/>
    <xf numFmtId="0" fontId="70" fillId="20" borderId="102" xfId="0" applyFont="1" applyFill="1" applyBorder="1" applyAlignment="1">
      <alignment vertical="top" wrapText="1"/>
    </xf>
    <xf numFmtId="0" fontId="70" fillId="20" borderId="46" xfId="0" applyFont="1" applyFill="1" applyBorder="1" applyAlignment="1">
      <alignment vertical="top" wrapText="1"/>
    </xf>
    <xf numFmtId="0" fontId="70" fillId="20" borderId="104" xfId="0" applyFont="1" applyFill="1" applyBorder="1" applyAlignment="1">
      <alignment vertical="top" wrapText="1"/>
    </xf>
    <xf numFmtId="0" fontId="105" fillId="26" borderId="119" xfId="0" applyFont="1" applyFill="1" applyBorder="1" applyAlignment="1">
      <alignment horizontal="center" vertical="center" wrapText="1"/>
    </xf>
    <xf numFmtId="0" fontId="106" fillId="24" borderId="117" xfId="0" applyFont="1" applyFill="1" applyBorder="1" applyAlignment="1">
      <alignment horizontal="center" vertical="center" wrapText="1"/>
    </xf>
    <xf numFmtId="0" fontId="6" fillId="28" borderId="56" xfId="0" applyFont="1" applyFill="1" applyBorder="1" applyAlignment="1">
      <alignment horizontal="center" wrapText="1"/>
    </xf>
    <xf numFmtId="0" fontId="70" fillId="14" borderId="49" xfId="0" applyFont="1" applyFill="1" applyBorder="1" applyAlignment="1">
      <alignment horizontal="left" vertical="top" wrapText="1"/>
    </xf>
    <xf numFmtId="0" fontId="70" fillId="14" borderId="51" xfId="0" applyFont="1" applyFill="1" applyBorder="1" applyAlignment="1">
      <alignment horizontal="left" vertical="top" wrapText="1"/>
    </xf>
    <xf numFmtId="0" fontId="70" fillId="14" borderId="121" xfId="0" applyFont="1" applyFill="1" applyBorder="1" applyAlignment="1">
      <alignment horizontal="left" vertical="top" wrapText="1"/>
    </xf>
    <xf numFmtId="0" fontId="70" fillId="7" borderId="47" xfId="0" applyFont="1" applyFill="1" applyBorder="1" applyAlignment="1">
      <alignment vertical="top" wrapText="1"/>
    </xf>
    <xf numFmtId="0" fontId="70" fillId="7" borderId="55" xfId="0" applyFont="1" applyFill="1" applyBorder="1" applyAlignment="1">
      <alignment vertical="top" wrapText="1"/>
    </xf>
    <xf numFmtId="0" fontId="107" fillId="14" borderId="122" xfId="0" applyFont="1" applyFill="1" applyBorder="1" applyAlignment="1">
      <alignment wrapText="1"/>
    </xf>
    <xf numFmtId="0" fontId="6" fillId="0" borderId="130" xfId="0" applyFont="1" applyBorder="1" applyAlignment="1">
      <alignment horizontal="justify" vertical="center"/>
    </xf>
    <xf numFmtId="0" fontId="70" fillId="7" borderId="53" xfId="0" applyFont="1" applyFill="1" applyBorder="1" applyAlignment="1">
      <alignment vertical="top" wrapText="1"/>
    </xf>
    <xf numFmtId="0" fontId="6" fillId="28" borderId="56" xfId="0" applyFont="1" applyFill="1" applyBorder="1" applyAlignment="1">
      <alignment horizontal="center" vertical="center" wrapText="1"/>
    </xf>
    <xf numFmtId="0" fontId="70" fillId="7" borderId="53" xfId="0" applyFont="1" applyFill="1" applyBorder="1" applyAlignment="1">
      <alignment wrapText="1"/>
    </xf>
    <xf numFmtId="0" fontId="70" fillId="7" borderId="118" xfId="0" applyFont="1" applyFill="1" applyBorder="1" applyAlignment="1">
      <alignment wrapText="1"/>
    </xf>
    <xf numFmtId="0" fontId="97" fillId="27" borderId="138" xfId="0" applyFont="1" applyFill="1" applyBorder="1"/>
    <xf numFmtId="0" fontId="97" fillId="27" borderId="139" xfId="0" applyFont="1" applyFill="1" applyBorder="1"/>
    <xf numFmtId="0" fontId="97" fillId="27" borderId="0" xfId="0" applyFont="1" applyFill="1"/>
    <xf numFmtId="0" fontId="96" fillId="27" borderId="141" xfId="0" applyFont="1" applyFill="1" applyBorder="1"/>
    <xf numFmtId="0" fontId="97" fillId="27" borderId="142" xfId="0" applyFont="1" applyFill="1" applyBorder="1"/>
    <xf numFmtId="0" fontId="95" fillId="27" borderId="56" xfId="0" applyFont="1" applyFill="1" applyBorder="1" applyAlignment="1">
      <alignment horizontal="center"/>
    </xf>
    <xf numFmtId="0" fontId="6" fillId="0" borderId="131" xfId="0" applyFont="1" applyBorder="1"/>
    <xf numFmtId="0" fontId="97" fillId="27" borderId="144" xfId="0" applyFont="1" applyFill="1" applyBorder="1"/>
    <xf numFmtId="0" fontId="110" fillId="27" borderId="144" xfId="0" applyFont="1" applyFill="1" applyBorder="1"/>
    <xf numFmtId="0" fontId="111" fillId="27" borderId="145" xfId="0" applyFont="1" applyFill="1" applyBorder="1"/>
    <xf numFmtId="0" fontId="6" fillId="27" borderId="0" xfId="0" applyFont="1" applyFill="1"/>
    <xf numFmtId="0" fontId="97" fillId="24" borderId="147" xfId="0" applyFont="1" applyFill="1" applyBorder="1" applyAlignment="1">
      <alignment horizontal="center"/>
    </xf>
    <xf numFmtId="0" fontId="97" fillId="24" borderId="146" xfId="0" applyFont="1" applyFill="1" applyBorder="1" applyAlignment="1">
      <alignment horizontal="center"/>
    </xf>
    <xf numFmtId="0" fontId="6" fillId="0" borderId="0" xfId="0" applyFont="1" applyAlignment="1">
      <alignment horizontal="left" indent="3"/>
    </xf>
    <xf numFmtId="0" fontId="6" fillId="0" borderId="0" xfId="0" applyFont="1" applyAlignment="1">
      <alignment wrapText="1"/>
    </xf>
    <xf numFmtId="0" fontId="6" fillId="0" borderId="0" xfId="0" applyFont="1" applyAlignment="1">
      <alignment vertical="top" wrapText="1"/>
    </xf>
    <xf numFmtId="0" fontId="6" fillId="0" borderId="0" xfId="0" applyFont="1" applyAlignment="1">
      <alignment vertical="center"/>
    </xf>
    <xf numFmtId="0" fontId="6" fillId="0" borderId="55" xfId="0" applyFont="1" applyBorder="1"/>
    <xf numFmtId="0" fontId="6" fillId="0" borderId="72" xfId="0" applyFont="1" applyBorder="1"/>
    <xf numFmtId="0" fontId="6" fillId="0" borderId="51" xfId="0" applyFont="1" applyBorder="1"/>
    <xf numFmtId="0" fontId="6" fillId="0" borderId="52" xfId="0" applyFont="1" applyBorder="1"/>
    <xf numFmtId="0" fontId="6" fillId="0" borderId="53" xfId="0" applyFont="1" applyBorder="1" applyAlignment="1">
      <alignment horizontal="center"/>
    </xf>
    <xf numFmtId="44" fontId="6" fillId="0" borderId="53" xfId="10" applyFont="1" applyBorder="1" applyAlignment="1"/>
    <xf numFmtId="44" fontId="6" fillId="0" borderId="49" xfId="10" applyFont="1" applyBorder="1" applyAlignment="1"/>
    <xf numFmtId="44" fontId="6" fillId="0" borderId="51" xfId="10" applyFont="1" applyBorder="1" applyAlignment="1"/>
    <xf numFmtId="0" fontId="6" fillId="0" borderId="0" xfId="0" applyFont="1" applyAlignment="1">
      <alignment horizontal="left" vertical="center" indent="2"/>
    </xf>
    <xf numFmtId="0" fontId="5" fillId="0" borderId="54" xfId="0" applyFont="1" applyBorder="1"/>
    <xf numFmtId="0" fontId="5" fillId="0" borderId="55" xfId="0" applyFont="1" applyBorder="1"/>
    <xf numFmtId="0" fontId="5" fillId="0" borderId="69" xfId="0" applyFont="1" applyBorder="1"/>
    <xf numFmtId="187" fontId="6" fillId="0" borderId="0" xfId="10" applyNumberFormat="1" applyFont="1" applyBorder="1" applyAlignment="1"/>
    <xf numFmtId="44" fontId="6" fillId="0" borderId="51" xfId="0" applyNumberFormat="1" applyFont="1" applyBorder="1"/>
    <xf numFmtId="44" fontId="6" fillId="0" borderId="0" xfId="10" applyFont="1" applyBorder="1" applyAlignment="1"/>
    <xf numFmtId="0" fontId="4" fillId="34" borderId="0" xfId="0" applyFont="1" applyFill="1"/>
    <xf numFmtId="0" fontId="5" fillId="0" borderId="45" xfId="0" applyFont="1" applyBorder="1"/>
    <xf numFmtId="0" fontId="6" fillId="0" borderId="46" xfId="0" applyFont="1" applyBorder="1"/>
    <xf numFmtId="0" fontId="6" fillId="0" borderId="47" xfId="0" applyFont="1" applyBorder="1"/>
    <xf numFmtId="0" fontId="113" fillId="35" borderId="53" xfId="0" applyFont="1" applyFill="1" applyBorder="1"/>
    <xf numFmtId="0" fontId="63" fillId="31" borderId="54" xfId="0" applyFont="1" applyFill="1" applyBorder="1"/>
    <xf numFmtId="0" fontId="6" fillId="0" borderId="0" xfId="0" applyFont="1" applyAlignment="1">
      <alignment horizontal="left" vertical="center" wrapText="1"/>
    </xf>
    <xf numFmtId="0" fontId="6" fillId="0" borderId="65" xfId="0" applyFont="1" applyBorder="1" applyAlignment="1">
      <alignment horizontal="center" vertical="center" wrapText="1"/>
    </xf>
    <xf numFmtId="0" fontId="5" fillId="0" borderId="46" xfId="0" applyFont="1" applyBorder="1"/>
    <xf numFmtId="0" fontId="5" fillId="0" borderId="47" xfId="0" applyFont="1" applyBorder="1"/>
    <xf numFmtId="44" fontId="5" fillId="0" borderId="46" xfId="10" applyFont="1" applyBorder="1" applyAlignment="1"/>
    <xf numFmtId="0" fontId="6" fillId="0" borderId="45" xfId="0" applyFont="1" applyBorder="1"/>
    <xf numFmtId="0" fontId="6" fillId="0" borderId="54" xfId="0" applyFont="1" applyBorder="1"/>
    <xf numFmtId="0" fontId="6" fillId="0" borderId="51" xfId="0" applyFont="1" applyBorder="1" applyAlignment="1">
      <alignment wrapText="1"/>
    </xf>
    <xf numFmtId="0" fontId="5" fillId="0" borderId="45" xfId="0" applyFont="1" applyBorder="1" applyAlignment="1">
      <alignment horizontal="left" vertical="center"/>
    </xf>
    <xf numFmtId="0" fontId="6" fillId="0" borderId="51" xfId="0" applyFont="1" applyBorder="1" applyAlignment="1">
      <alignment horizontal="left" vertical="center"/>
    </xf>
    <xf numFmtId="0" fontId="6" fillId="0" borderId="51" xfId="0" applyFont="1" applyBorder="1" applyAlignment="1">
      <alignment vertical="center"/>
    </xf>
    <xf numFmtId="0" fontId="5" fillId="0" borderId="46" xfId="0" applyFont="1" applyBorder="1" applyAlignment="1">
      <alignment horizontal="left" vertical="center"/>
    </xf>
    <xf numFmtId="0" fontId="5" fillId="0" borderId="52" xfId="0" applyFont="1" applyBorder="1"/>
    <xf numFmtId="0" fontId="5" fillId="0" borderId="53" xfId="0" applyFont="1" applyBorder="1"/>
    <xf numFmtId="44" fontId="6" fillId="0" borderId="46" xfId="10" applyFont="1" applyBorder="1" applyAlignment="1"/>
    <xf numFmtId="0" fontId="6" fillId="0" borderId="46" xfId="0" applyFont="1" applyBorder="1" applyAlignment="1">
      <alignment horizontal="left"/>
    </xf>
    <xf numFmtId="44" fontId="6" fillId="0" borderId="55" xfId="10" applyFont="1" applyBorder="1" applyAlignment="1"/>
    <xf numFmtId="44" fontId="6" fillId="0" borderId="69" xfId="10" applyFont="1" applyBorder="1" applyAlignment="1"/>
    <xf numFmtId="0" fontId="6" fillId="0" borderId="51" xfId="0" applyFont="1" applyBorder="1" applyAlignment="1">
      <alignment horizontal="left"/>
    </xf>
    <xf numFmtId="0" fontId="22" fillId="0" borderId="45" xfId="0" applyFont="1" applyBorder="1"/>
    <xf numFmtId="0" fontId="1" fillId="0" borderId="0" xfId="0" applyFont="1" applyAlignment="1">
      <alignment horizontal="justify" vertical="center"/>
    </xf>
    <xf numFmtId="0" fontId="20" fillId="0" borderId="0" xfId="0" applyFont="1" applyAlignment="1">
      <alignment vertical="center" wrapText="1"/>
    </xf>
    <xf numFmtId="0" fontId="95" fillId="27" borderId="157" xfId="0" applyFont="1" applyFill="1" applyBorder="1"/>
    <xf numFmtId="0" fontId="109" fillId="27" borderId="157" xfId="0" applyFont="1" applyFill="1" applyBorder="1"/>
    <xf numFmtId="0" fontId="6" fillId="0" borderId="160" xfId="0" applyFont="1" applyBorder="1"/>
    <xf numFmtId="0" fontId="127" fillId="0" borderId="0" xfId="0" applyFont="1" applyAlignment="1">
      <alignment horizontal="justify" vertical="center"/>
    </xf>
    <xf numFmtId="0" fontId="6" fillId="0" borderId="61" xfId="0" applyFont="1" applyBorder="1" applyAlignment="1">
      <alignment horizontal="left" vertical="center" wrapText="1"/>
    </xf>
    <xf numFmtId="0" fontId="6" fillId="0" borderId="56" xfId="0" applyFont="1" applyBorder="1" applyAlignment="1">
      <alignment horizontal="justify" vertical="center" wrapText="1"/>
    </xf>
    <xf numFmtId="0" fontId="6" fillId="0" borderId="48" xfId="0" applyFont="1" applyBorder="1" applyAlignment="1">
      <alignment horizontal="justify" vertical="center" wrapText="1"/>
    </xf>
    <xf numFmtId="0" fontId="6" fillId="0" borderId="45" xfId="0" applyFont="1" applyBorder="1" applyAlignment="1">
      <alignment vertical="center" wrapText="1"/>
    </xf>
    <xf numFmtId="0" fontId="6" fillId="0" borderId="46" xfId="0" applyFont="1" applyBorder="1" applyAlignment="1">
      <alignment vertical="center" wrapText="1"/>
    </xf>
    <xf numFmtId="0" fontId="6" fillId="0" borderId="47" xfId="0" applyFont="1" applyBorder="1" applyAlignment="1">
      <alignment vertical="center" wrapText="1"/>
    </xf>
    <xf numFmtId="0" fontId="6" fillId="0" borderId="54" xfId="0" applyFont="1" applyBorder="1" applyAlignment="1">
      <alignment vertical="center" wrapText="1"/>
    </xf>
    <xf numFmtId="0" fontId="6" fillId="0" borderId="52" xfId="0" applyFont="1" applyBorder="1" applyAlignment="1">
      <alignment vertical="center" wrapText="1"/>
    </xf>
    <xf numFmtId="0" fontId="1" fillId="0" borderId="0" xfId="0" applyFont="1" applyAlignment="1">
      <alignment vertical="center"/>
    </xf>
    <xf numFmtId="0" fontId="6" fillId="0" borderId="0" xfId="0" applyFont="1" applyAlignment="1">
      <alignment vertical="center" wrapText="1"/>
    </xf>
    <xf numFmtId="0" fontId="4" fillId="0" borderId="0" xfId="0" applyFont="1" applyAlignment="1">
      <alignment horizontal="left" vertical="center" wrapText="1"/>
    </xf>
    <xf numFmtId="0" fontId="1" fillId="0" borderId="44" xfId="0" applyFont="1" applyBorder="1" applyAlignment="1">
      <alignment horizontal="center" vertical="center" wrapText="1"/>
    </xf>
    <xf numFmtId="0" fontId="73" fillId="19" borderId="65" xfId="0" applyFont="1" applyFill="1" applyBorder="1" applyAlignment="1">
      <alignment horizontal="justify" vertical="center" wrapText="1"/>
    </xf>
    <xf numFmtId="0" fontId="73" fillId="19" borderId="65" xfId="0" applyFont="1" applyFill="1" applyBorder="1" applyAlignment="1">
      <alignment horizontal="right" wrapText="1" indent="1"/>
    </xf>
    <xf numFmtId="0" fontId="73" fillId="0" borderId="65" xfId="0" applyFont="1" applyBorder="1" applyAlignment="1">
      <alignment horizontal="right" wrapText="1" indent="1"/>
    </xf>
    <xf numFmtId="10" fontId="23" fillId="0" borderId="65" xfId="0" applyNumberFormat="1" applyFont="1" applyBorder="1" applyAlignment="1">
      <alignment horizontal="right" wrapText="1" indent="1"/>
    </xf>
    <xf numFmtId="9" fontId="73" fillId="0" borderId="65" xfId="0" applyNumberFormat="1" applyFont="1" applyBorder="1" applyAlignment="1">
      <alignment horizontal="right" wrapText="1" indent="1"/>
    </xf>
    <xf numFmtId="0" fontId="73" fillId="0" borderId="65" xfId="0" applyFont="1" applyBorder="1" applyAlignment="1">
      <alignment horizontal="right" vertical="center" wrapText="1"/>
    </xf>
    <xf numFmtId="44" fontId="73" fillId="0" borderId="65" xfId="10" applyFont="1" applyBorder="1" applyAlignment="1">
      <alignment wrapText="1"/>
    </xf>
    <xf numFmtId="0" fontId="1" fillId="0" borderId="0" xfId="0" applyFont="1" applyAlignment="1">
      <alignment horizontal="left" vertical="center" indent="5"/>
    </xf>
    <xf numFmtId="0" fontId="1" fillId="0" borderId="0" xfId="0" applyFont="1" applyAlignment="1">
      <alignment horizontal="left" vertical="center" indent="3"/>
    </xf>
    <xf numFmtId="0" fontId="132" fillId="0" borderId="0" xfId="12" applyAlignment="1">
      <alignment horizontal="left" indent="4"/>
    </xf>
    <xf numFmtId="0" fontId="4" fillId="0" borderId="63" xfId="0" applyFont="1" applyBorder="1" applyAlignment="1">
      <alignment horizontal="left" vertical="center" wrapText="1"/>
    </xf>
    <xf numFmtId="0" fontId="20" fillId="0" borderId="170" xfId="0" applyFont="1" applyBorder="1" applyAlignment="1">
      <alignment horizontal="left" vertical="center" wrapText="1"/>
    </xf>
    <xf numFmtId="0" fontId="20" fillId="0" borderId="51" xfId="0" applyFont="1" applyBorder="1" applyAlignment="1">
      <alignment horizontal="left" vertical="center" wrapText="1"/>
    </xf>
    <xf numFmtId="0" fontId="4" fillId="0" borderId="56" xfId="0" applyFont="1" applyBorder="1" applyAlignment="1">
      <alignment horizontal="left" vertical="center" wrapText="1"/>
    </xf>
    <xf numFmtId="0" fontId="1" fillId="0" borderId="31" xfId="0" applyFont="1" applyBorder="1" applyAlignment="1">
      <alignment horizontal="justify" vertical="center" wrapText="1"/>
    </xf>
    <xf numFmtId="0" fontId="6" fillId="0" borderId="174" xfId="0" applyFont="1" applyBorder="1" applyAlignment="1">
      <alignment horizontal="left" vertical="center" wrapText="1"/>
    </xf>
    <xf numFmtId="0" fontId="6" fillId="0" borderId="9" xfId="0" applyFont="1" applyBorder="1" applyAlignment="1">
      <alignment horizontal="left" vertical="center" wrapText="1"/>
    </xf>
    <xf numFmtId="0" fontId="6" fillId="0" borderId="44" xfId="0" applyFont="1" applyBorder="1" applyAlignment="1">
      <alignment horizontal="left" vertical="center" wrapText="1"/>
    </xf>
    <xf numFmtId="0" fontId="6" fillId="0" borderId="60" xfId="0" applyFont="1" applyBorder="1" applyAlignment="1">
      <alignment horizontal="left" vertical="center" wrapText="1"/>
    </xf>
    <xf numFmtId="9" fontId="6" fillId="0" borderId="60" xfId="0" applyNumberFormat="1" applyFont="1" applyBorder="1" applyAlignment="1">
      <alignment horizontal="left" vertical="center" wrapText="1"/>
    </xf>
    <xf numFmtId="0" fontId="20" fillId="0" borderId="0" xfId="0" applyFont="1" applyAlignment="1">
      <alignment horizontal="justify" vertical="center"/>
    </xf>
    <xf numFmtId="0" fontId="6" fillId="0" borderId="62" xfId="0" applyFont="1" applyBorder="1" applyAlignment="1">
      <alignment horizontal="left" vertical="center" wrapText="1"/>
    </xf>
    <xf numFmtId="0" fontId="6" fillId="0" borderId="63" xfId="0" applyFont="1" applyBorder="1" applyAlignment="1">
      <alignment horizontal="left" vertical="center" wrapText="1"/>
    </xf>
    <xf numFmtId="0" fontId="1" fillId="0" borderId="61" xfId="0" applyFont="1" applyBorder="1" applyAlignment="1">
      <alignment horizontal="left" vertical="center" wrapText="1"/>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0" fillId="0" borderId="60" xfId="0" applyBorder="1" applyAlignment="1">
      <alignment vertical="center" wrapText="1"/>
    </xf>
    <xf numFmtId="0" fontId="73" fillId="0" borderId="43" xfId="0" applyFont="1" applyBorder="1" applyAlignment="1">
      <alignment horizontal="left" vertical="center" wrapText="1"/>
    </xf>
    <xf numFmtId="0" fontId="6" fillId="0" borderId="26" xfId="0" applyFont="1" applyBorder="1" applyAlignment="1">
      <alignment vertical="center" wrapText="1"/>
    </xf>
    <xf numFmtId="0" fontId="1" fillId="0" borderId="26" xfId="0" applyFont="1" applyBorder="1" applyAlignment="1">
      <alignment vertical="center" wrapText="1"/>
    </xf>
    <xf numFmtId="0" fontId="118" fillId="0" borderId="31" xfId="0" applyFont="1" applyBorder="1" applyAlignment="1">
      <alignment horizontal="justify" vertical="center" wrapText="1"/>
    </xf>
    <xf numFmtId="0" fontId="1" fillId="0" borderId="65" xfId="0" applyFont="1" applyBorder="1" applyAlignment="1">
      <alignment horizontal="right" vertical="center" wrapText="1"/>
    </xf>
    <xf numFmtId="0" fontId="6" fillId="0" borderId="66" xfId="0" applyFont="1" applyBorder="1" applyAlignment="1">
      <alignment horizontal="justify" vertical="center" wrapText="1"/>
    </xf>
    <xf numFmtId="0" fontId="6" fillId="0" borderId="66" xfId="0" applyFont="1" applyBorder="1" applyAlignment="1">
      <alignment vertical="center" wrapText="1"/>
    </xf>
    <xf numFmtId="0" fontId="1" fillId="0" borderId="106" xfId="0" applyFont="1" applyBorder="1" applyAlignment="1">
      <alignment horizontal="right" vertical="center" wrapText="1"/>
    </xf>
    <xf numFmtId="0" fontId="1" fillId="0" borderId="108" xfId="0" applyFont="1" applyBorder="1" applyAlignment="1">
      <alignment horizontal="right" vertical="center" wrapText="1"/>
    </xf>
    <xf numFmtId="0" fontId="1" fillId="0" borderId="109" xfId="0" applyFont="1" applyBorder="1" applyAlignment="1">
      <alignment horizontal="right" vertical="center" wrapText="1"/>
    </xf>
    <xf numFmtId="0" fontId="1" fillId="0" borderId="110" xfId="0" applyFont="1" applyBorder="1" applyAlignment="1">
      <alignment horizontal="right" vertical="center" wrapText="1"/>
    </xf>
    <xf numFmtId="0" fontId="1" fillId="0" borderId="111" xfId="0" applyFont="1" applyBorder="1" applyAlignment="1">
      <alignment horizontal="right" vertical="center" wrapText="1"/>
    </xf>
    <xf numFmtId="0" fontId="1" fillId="0" borderId="113" xfId="0" applyFont="1" applyBorder="1" applyAlignment="1">
      <alignment horizontal="right" vertical="center" wrapText="1"/>
    </xf>
    <xf numFmtId="0" fontId="6" fillId="0" borderId="106" xfId="0" applyFont="1" applyBorder="1" applyAlignment="1">
      <alignment horizontal="right" vertical="center" wrapText="1"/>
    </xf>
    <xf numFmtId="0" fontId="1" fillId="0" borderId="107" xfId="0" applyFont="1" applyBorder="1" applyAlignment="1">
      <alignment horizontal="right" vertical="center" wrapText="1"/>
    </xf>
    <xf numFmtId="0" fontId="6" fillId="0" borderId="111" xfId="0" applyFont="1" applyBorder="1" applyAlignment="1">
      <alignment horizontal="right" vertical="center" wrapText="1"/>
    </xf>
    <xf numFmtId="0" fontId="1" fillId="0" borderId="112" xfId="0" applyFont="1" applyBorder="1" applyAlignment="1">
      <alignment horizontal="right" vertical="center" wrapText="1"/>
    </xf>
    <xf numFmtId="0" fontId="6" fillId="0" borderId="64" xfId="0" applyFont="1" applyBorder="1" applyAlignment="1">
      <alignment vertical="center" wrapText="1"/>
    </xf>
    <xf numFmtId="0" fontId="1" fillId="0" borderId="31" xfId="0" applyFont="1" applyBorder="1" applyAlignment="1">
      <alignment vertical="center" wrapText="1"/>
    </xf>
    <xf numFmtId="0" fontId="0" fillId="0" borderId="0" xfId="0" applyAlignment="1">
      <alignment vertical="center" wrapText="1"/>
    </xf>
    <xf numFmtId="0" fontId="0" fillId="0" borderId="61" xfId="0" applyBorder="1" applyAlignment="1">
      <alignment horizontal="left" vertical="center" wrapText="1"/>
    </xf>
    <xf numFmtId="0" fontId="6" fillId="0" borderId="99" xfId="0" applyFont="1" applyBorder="1" applyAlignment="1">
      <alignment horizontal="center" vertical="center" textRotation="255" wrapText="1"/>
    </xf>
    <xf numFmtId="0" fontId="6" fillId="0" borderId="176" xfId="0" applyFont="1" applyBorder="1" applyAlignment="1">
      <alignment vertical="center" wrapText="1"/>
    </xf>
    <xf numFmtId="0" fontId="6" fillId="0" borderId="0" xfId="0" applyFont="1" applyAlignment="1">
      <alignment horizontal="left" vertical="center" wrapText="1" indent="9"/>
    </xf>
    <xf numFmtId="0" fontId="6" fillId="0" borderId="0" xfId="0" applyFont="1" applyAlignment="1">
      <alignment horizontal="left" vertical="center" indent="3"/>
    </xf>
    <xf numFmtId="0" fontId="69" fillId="0" borderId="0" xfId="0" applyFont="1" applyAlignment="1">
      <alignment horizontal="center"/>
    </xf>
    <xf numFmtId="0" fontId="1" fillId="0" borderId="9" xfId="0" applyFont="1" applyBorder="1" applyAlignment="1">
      <alignment vertical="center" wrapText="1"/>
    </xf>
    <xf numFmtId="0" fontId="1" fillId="0" borderId="9" xfId="0" applyFont="1" applyBorder="1" applyAlignment="1">
      <alignment horizontal="justify" vertical="center" wrapText="1"/>
    </xf>
    <xf numFmtId="0" fontId="1" fillId="0" borderId="44" xfId="0" applyFont="1" applyBorder="1" applyAlignment="1">
      <alignment vertical="center" wrapText="1"/>
    </xf>
    <xf numFmtId="0" fontId="1" fillId="0" borderId="60" xfId="0" applyFont="1" applyBorder="1" applyAlignment="1">
      <alignment vertical="center" wrapText="1"/>
    </xf>
    <xf numFmtId="0" fontId="6" fillId="0" borderId="44" xfId="0" applyFont="1" applyBorder="1" applyAlignment="1">
      <alignment vertical="center" wrapText="1"/>
    </xf>
    <xf numFmtId="0" fontId="6" fillId="0" borderId="60" xfId="0" applyFont="1" applyBorder="1" applyAlignment="1">
      <alignment vertical="center" wrapText="1"/>
    </xf>
    <xf numFmtId="0" fontId="0" fillId="0" borderId="174" xfId="0" applyBorder="1" applyAlignment="1">
      <alignment vertical="center" wrapText="1"/>
    </xf>
    <xf numFmtId="0" fontId="6" fillId="0" borderId="5" xfId="0" applyFont="1" applyBorder="1" applyAlignment="1">
      <alignment vertical="center" wrapText="1"/>
    </xf>
    <xf numFmtId="0" fontId="0" fillId="0" borderId="5" xfId="0" applyBorder="1" applyAlignment="1">
      <alignment vertical="center" wrapText="1"/>
    </xf>
    <xf numFmtId="0" fontId="1" fillId="0" borderId="0" xfId="0" applyFont="1" applyAlignment="1">
      <alignment vertical="center" wrapText="1"/>
    </xf>
    <xf numFmtId="0" fontId="1" fillId="0" borderId="0" xfId="0" applyFont="1" applyAlignment="1">
      <alignment horizontal="justify" vertical="center" wrapText="1"/>
    </xf>
    <xf numFmtId="0" fontId="6" fillId="0" borderId="106" xfId="0" applyFont="1" applyBorder="1" applyAlignment="1">
      <alignment horizontal="center" vertical="center" wrapText="1"/>
    </xf>
    <xf numFmtId="10" fontId="76" fillId="0" borderId="166" xfId="0" applyNumberFormat="1" applyFont="1" applyBorder="1" applyAlignment="1">
      <alignment horizontal="center" vertical="center" wrapText="1"/>
    </xf>
    <xf numFmtId="10" fontId="6" fillId="0" borderId="110" xfId="0" applyNumberFormat="1" applyFont="1" applyBorder="1" applyAlignment="1">
      <alignment horizontal="center" vertical="center" wrapText="1"/>
    </xf>
    <xf numFmtId="10" fontId="6" fillId="0" borderId="113" xfId="0" applyNumberFormat="1" applyFont="1" applyBorder="1" applyAlignment="1">
      <alignment horizontal="center" vertical="center" wrapText="1"/>
    </xf>
    <xf numFmtId="0" fontId="6" fillId="0" borderId="65" xfId="0" applyFont="1" applyBorder="1" applyAlignment="1">
      <alignment horizontal="left" vertical="center" wrapText="1" indent="2"/>
    </xf>
    <xf numFmtId="0" fontId="6" fillId="0" borderId="65" xfId="0" applyFont="1" applyBorder="1" applyAlignment="1">
      <alignment horizontal="left" indent="2"/>
    </xf>
    <xf numFmtId="0" fontId="5" fillId="0" borderId="0" xfId="0" applyFont="1" applyAlignment="1">
      <alignment vertical="center"/>
    </xf>
    <xf numFmtId="0" fontId="101" fillId="0" borderId="65" xfId="0" applyFont="1" applyBorder="1"/>
    <xf numFmtId="0" fontId="40" fillId="4" borderId="65" xfId="0" applyFont="1" applyFill="1" applyBorder="1"/>
    <xf numFmtId="0" fontId="40" fillId="15" borderId="65" xfId="0" applyFont="1" applyFill="1" applyBorder="1"/>
    <xf numFmtId="0" fontId="40" fillId="11" borderId="65" xfId="0" applyFont="1" applyFill="1" applyBorder="1"/>
    <xf numFmtId="0" fontId="40" fillId="13" borderId="65" xfId="0" applyFont="1" applyFill="1" applyBorder="1"/>
    <xf numFmtId="0" fontId="40" fillId="12" borderId="65" xfId="0" applyFont="1" applyFill="1" applyBorder="1"/>
    <xf numFmtId="0" fontId="44" fillId="0" borderId="65" xfId="0" applyFont="1" applyBorder="1"/>
    <xf numFmtId="0" fontId="40" fillId="14" borderId="107" xfId="0" applyFont="1" applyFill="1" applyBorder="1"/>
    <xf numFmtId="184" fontId="0" fillId="0" borderId="108" xfId="0" applyNumberFormat="1" applyBorder="1"/>
    <xf numFmtId="184" fontId="0" fillId="0" borderId="110" xfId="0" applyNumberFormat="1" applyBorder="1"/>
    <xf numFmtId="2" fontId="0" fillId="0" borderId="110" xfId="0" applyNumberFormat="1" applyBorder="1" applyAlignment="1">
      <alignment horizontal="right"/>
    </xf>
    <xf numFmtId="0" fontId="40" fillId="0" borderId="112" xfId="0" applyFont="1" applyBorder="1"/>
    <xf numFmtId="184" fontId="0" fillId="0" borderId="113" xfId="0" applyNumberFormat="1" applyBorder="1"/>
    <xf numFmtId="0" fontId="18" fillId="0" borderId="53" xfId="0" applyFont="1" applyBorder="1"/>
    <xf numFmtId="188" fontId="0" fillId="0" borderId="0" xfId="0" applyNumberFormat="1"/>
    <xf numFmtId="2" fontId="136" fillId="0" borderId="53" xfId="1" applyNumberFormat="1" applyFont="1" applyBorder="1" applyAlignment="1">
      <alignment horizontal="right"/>
    </xf>
    <xf numFmtId="189" fontId="0" fillId="0" borderId="0" xfId="0" applyNumberFormat="1"/>
    <xf numFmtId="177" fontId="5" fillId="3" borderId="0" xfId="4" applyFont="1" applyFill="1" applyAlignment="1" applyProtection="1">
      <alignment horizontal="center"/>
      <protection locked="0"/>
    </xf>
    <xf numFmtId="177" fontId="5" fillId="0" borderId="1" xfId="4" applyFont="1" applyFill="1" applyBorder="1" applyAlignment="1" applyProtection="1">
      <alignment horizontal="center" vertical="center"/>
    </xf>
    <xf numFmtId="0" fontId="102" fillId="0" borderId="181" xfId="0" applyFont="1" applyBorder="1" applyAlignment="1">
      <alignment horizontal="center" vertical="center" textRotation="255"/>
    </xf>
    <xf numFmtId="0" fontId="102" fillId="0" borderId="70" xfId="0" applyFont="1" applyBorder="1" applyAlignment="1">
      <alignment horizontal="center" vertical="center" textRotation="255"/>
    </xf>
    <xf numFmtId="0" fontId="102" fillId="0" borderId="182" xfId="0" applyFont="1" applyBorder="1" applyAlignment="1">
      <alignment horizontal="center" vertical="center" textRotation="255"/>
    </xf>
    <xf numFmtId="0" fontId="135" fillId="0" borderId="55" xfId="0" applyFont="1" applyBorder="1" applyAlignment="1">
      <alignment horizontal="left"/>
    </xf>
    <xf numFmtId="0" fontId="51" fillId="0" borderId="45" xfId="0" applyFont="1" applyBorder="1" applyAlignment="1">
      <alignment horizontal="center"/>
    </xf>
    <xf numFmtId="0" fontId="51" fillId="0" borderId="47" xfId="0" applyFont="1" applyBorder="1" applyAlignment="1">
      <alignment horizontal="center"/>
    </xf>
    <xf numFmtId="0" fontId="102" fillId="0" borderId="54" xfId="0" applyFont="1" applyBorder="1"/>
    <xf numFmtId="0" fontId="102" fillId="0" borderId="55" xfId="0" applyFont="1" applyBorder="1"/>
    <xf numFmtId="0" fontId="102" fillId="0" borderId="69" xfId="0" applyFont="1" applyBorder="1"/>
    <xf numFmtId="0" fontId="102" fillId="0" borderId="72" xfId="0" applyFont="1" applyBorder="1"/>
    <xf numFmtId="0" fontId="102" fillId="0" borderId="0" xfId="0" applyFont="1"/>
    <xf numFmtId="0" fontId="102" fillId="0" borderId="51" xfId="0" applyFont="1" applyBorder="1"/>
    <xf numFmtId="0" fontId="102" fillId="0" borderId="52" xfId="0" applyFont="1" applyBorder="1"/>
    <xf numFmtId="0" fontId="102" fillId="0" borderId="53" xfId="0" applyFont="1" applyBorder="1"/>
    <xf numFmtId="0" fontId="102" fillId="0" borderId="49" xfId="0" applyFont="1" applyBorder="1"/>
    <xf numFmtId="44" fontId="102" fillId="0" borderId="54" xfId="10" applyFont="1" applyBorder="1" applyAlignment="1">
      <alignment horizontal="right"/>
    </xf>
    <xf numFmtId="44" fontId="102" fillId="0" borderId="69" xfId="10" applyFont="1" applyBorder="1" applyAlignment="1">
      <alignment horizontal="right"/>
    </xf>
    <xf numFmtId="44" fontId="102" fillId="0" borderId="72" xfId="10" applyFont="1" applyBorder="1" applyAlignment="1">
      <alignment horizontal="right"/>
    </xf>
    <xf numFmtId="44" fontId="102" fillId="0" borderId="51" xfId="10" applyFont="1" applyBorder="1" applyAlignment="1">
      <alignment horizontal="right"/>
    </xf>
    <xf numFmtId="44" fontId="102" fillId="0" borderId="52" xfId="10" applyFont="1" applyBorder="1" applyAlignment="1">
      <alignment horizontal="right"/>
    </xf>
    <xf numFmtId="44" fontId="102" fillId="0" borderId="49" xfId="10" applyFont="1" applyBorder="1" applyAlignment="1">
      <alignment horizontal="right"/>
    </xf>
    <xf numFmtId="0" fontId="45" fillId="0" borderId="0" xfId="0" applyFont="1" applyAlignment="1">
      <alignment horizontal="distributed"/>
    </xf>
    <xf numFmtId="0" fontId="46" fillId="0" borderId="0" xfId="0" applyFont="1" applyAlignment="1">
      <alignment horizontal="distributed"/>
    </xf>
    <xf numFmtId="0" fontId="18" fillId="0" borderId="0" xfId="2" applyAlignment="1">
      <alignment horizontal="distributed"/>
    </xf>
    <xf numFmtId="0" fontId="52" fillId="0" borderId="0" xfId="0" applyFont="1" applyAlignment="1">
      <alignment horizontal="center"/>
    </xf>
    <xf numFmtId="0" fontId="18" fillId="0" borderId="0" xfId="2" applyAlignment="1">
      <alignment horizontal="center"/>
    </xf>
    <xf numFmtId="0" fontId="41" fillId="0" borderId="0" xfId="0" applyFont="1" applyAlignment="1">
      <alignment horizontal="center"/>
    </xf>
    <xf numFmtId="0" fontId="5" fillId="7" borderId="43" xfId="0" applyFont="1" applyFill="1" applyBorder="1" applyAlignment="1">
      <alignment horizontal="left" vertical="center" wrapText="1"/>
    </xf>
    <xf numFmtId="0" fontId="5" fillId="7" borderId="43" xfId="0" applyFont="1" applyFill="1" applyBorder="1" applyAlignment="1">
      <alignment horizontal="left" vertical="center"/>
    </xf>
    <xf numFmtId="0" fontId="5" fillId="7" borderId="44" xfId="0" applyFont="1" applyFill="1" applyBorder="1" applyAlignment="1">
      <alignment horizontal="left" vertical="center"/>
    </xf>
    <xf numFmtId="0" fontId="40" fillId="0" borderId="54" xfId="0" applyFont="1" applyBorder="1" applyAlignment="1">
      <alignment vertical="center" textRotation="255" wrapText="1" readingOrder="1"/>
    </xf>
    <xf numFmtId="0" fontId="40" fillId="0" borderId="72" xfId="0" applyFont="1" applyBorder="1" applyAlignment="1">
      <alignment vertical="center" textRotation="255" wrapText="1" readingOrder="1"/>
    </xf>
    <xf numFmtId="0" fontId="5" fillId="4" borderId="42" xfId="0" applyFont="1" applyFill="1" applyBorder="1" applyAlignment="1">
      <alignment vertical="center" wrapText="1"/>
    </xf>
    <xf numFmtId="0" fontId="5" fillId="4" borderId="43" xfId="0" applyFont="1" applyFill="1" applyBorder="1" applyAlignment="1">
      <alignment vertical="center" wrapText="1"/>
    </xf>
    <xf numFmtId="0" fontId="5" fillId="4" borderId="43" xfId="0" applyFont="1" applyFill="1" applyBorder="1" applyAlignment="1">
      <alignment vertical="center"/>
    </xf>
    <xf numFmtId="0" fontId="49" fillId="4" borderId="43" xfId="0" applyFont="1" applyFill="1" applyBorder="1" applyAlignment="1">
      <alignment vertical="center" wrapText="1"/>
    </xf>
    <xf numFmtId="0" fontId="40" fillId="0" borderId="54" xfId="0" applyFont="1" applyBorder="1" applyAlignment="1">
      <alignment horizontal="center" vertical="center" textRotation="255" wrapText="1" readingOrder="1"/>
    </xf>
    <xf numFmtId="0" fontId="40" fillId="0" borderId="72" xfId="0" applyFont="1" applyBorder="1" applyAlignment="1">
      <alignment horizontal="center" vertical="center" textRotation="255" wrapText="1" readingOrder="1"/>
    </xf>
    <xf numFmtId="0" fontId="5" fillId="4" borderId="44" xfId="0" applyFont="1" applyFill="1" applyBorder="1" applyAlignment="1">
      <alignment vertical="center"/>
    </xf>
    <xf numFmtId="0" fontId="5" fillId="7" borderId="42" xfId="0" applyFont="1" applyFill="1" applyBorder="1" applyAlignment="1">
      <alignment horizontal="left" vertical="center" wrapText="1"/>
    </xf>
    <xf numFmtId="0" fontId="5" fillId="16" borderId="43" xfId="0" applyFont="1" applyFill="1" applyBorder="1" applyAlignment="1">
      <alignment horizontal="justify" vertical="center" wrapText="1"/>
    </xf>
    <xf numFmtId="0" fontId="40" fillId="0" borderId="52" xfId="0" applyFont="1" applyBorder="1" applyAlignment="1">
      <alignment horizontal="center" vertical="center" textRotation="255" wrapText="1" readingOrder="1"/>
    </xf>
    <xf numFmtId="0" fontId="5" fillId="8" borderId="42" xfId="0" applyFont="1" applyFill="1" applyBorder="1" applyAlignment="1">
      <alignment horizontal="left" vertical="center" wrapText="1"/>
    </xf>
    <xf numFmtId="0" fontId="5" fillId="8" borderId="43" xfId="0" applyFont="1" applyFill="1" applyBorder="1" applyAlignment="1">
      <alignment horizontal="left" vertical="center" wrapText="1"/>
    </xf>
    <xf numFmtId="0" fontId="5" fillId="16" borderId="42" xfId="0" applyFont="1" applyFill="1" applyBorder="1" applyAlignment="1">
      <alignment horizontal="left" vertical="center" wrapText="1"/>
    </xf>
    <xf numFmtId="0" fontId="5" fillId="16" borderId="43" xfId="0" applyFont="1" applyFill="1" applyBorder="1" applyAlignment="1">
      <alignment horizontal="left" vertical="center" wrapText="1"/>
    </xf>
    <xf numFmtId="0" fontId="5" fillId="16" borderId="43" xfId="0" applyFont="1" applyFill="1" applyBorder="1" applyAlignment="1">
      <alignment horizontal="left" vertical="center"/>
    </xf>
    <xf numFmtId="0" fontId="5" fillId="14" borderId="43" xfId="0" applyFont="1" applyFill="1" applyBorder="1" applyAlignment="1">
      <alignment horizontal="left" vertical="center" wrapText="1"/>
    </xf>
    <xf numFmtId="0" fontId="56" fillId="0" borderId="125" xfId="0" applyFont="1" applyBorder="1" applyAlignment="1">
      <alignment horizontal="center" vertical="center" textRotation="255" wrapText="1" readingOrder="1"/>
    </xf>
    <xf numFmtId="0" fontId="56" fillId="0" borderId="0" xfId="0" applyFont="1" applyAlignment="1">
      <alignment horizontal="center" vertical="center" textRotation="255" wrapText="1" readingOrder="1"/>
    </xf>
    <xf numFmtId="0" fontId="56" fillId="0" borderId="124" xfId="0" applyFont="1" applyBorder="1" applyAlignment="1">
      <alignment horizontal="center" vertical="center" textRotation="255" wrapText="1" readingOrder="1"/>
    </xf>
    <xf numFmtId="0" fontId="5" fillId="8" borderId="43" xfId="0" applyFont="1" applyFill="1" applyBorder="1" applyAlignment="1">
      <alignment horizontal="justify" vertical="center" wrapText="1"/>
    </xf>
    <xf numFmtId="0" fontId="5" fillId="14" borderId="42" xfId="0" applyFont="1" applyFill="1" applyBorder="1" applyAlignment="1">
      <alignment horizontal="left" vertical="center" wrapText="1"/>
    </xf>
    <xf numFmtId="0" fontId="5" fillId="0" borderId="64"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26"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4" fillId="0" borderId="0" xfId="0" applyFont="1" applyAlignment="1">
      <alignment horizontal="justify" vertical="center"/>
    </xf>
    <xf numFmtId="0" fontId="20" fillId="0" borderId="0" xfId="0" applyFont="1" applyAlignment="1">
      <alignment horizontal="justify" vertical="center"/>
    </xf>
    <xf numFmtId="0" fontId="6" fillId="0" borderId="26" xfId="0" applyFont="1" applyBorder="1" applyAlignment="1">
      <alignment horizontal="center" vertical="center" wrapText="1"/>
    </xf>
    <xf numFmtId="0" fontId="6" fillId="0" borderId="9" xfId="0" applyFont="1" applyBorder="1" applyAlignment="1">
      <alignment horizontal="center" vertical="center" wrapText="1"/>
    </xf>
    <xf numFmtId="0" fontId="4" fillId="0" borderId="0" xfId="0" applyFont="1" applyAlignment="1">
      <alignment horizontal="center" vertical="center" textRotation="255" wrapText="1"/>
    </xf>
    <xf numFmtId="0" fontId="16" fillId="0" borderId="0" xfId="0" applyFont="1" applyAlignment="1">
      <alignment horizontal="left" vertical="center" indent="2"/>
    </xf>
    <xf numFmtId="0" fontId="49"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justify" vertical="center" wrapText="1"/>
    </xf>
    <xf numFmtId="0" fontId="16" fillId="0" borderId="0" xfId="0" applyFont="1" applyAlignment="1">
      <alignment horizontal="left" vertical="center"/>
    </xf>
    <xf numFmtId="0" fontId="1" fillId="0" borderId="0" xfId="0" applyFont="1" applyAlignment="1">
      <alignment horizontal="left" vertical="center" indent="1"/>
    </xf>
    <xf numFmtId="0" fontId="6" fillId="0" borderId="0" xfId="0" applyFont="1" applyAlignment="1">
      <alignment horizontal="right" vertical="center"/>
    </xf>
    <xf numFmtId="0" fontId="16" fillId="0" borderId="0" xfId="0" applyFont="1" applyAlignment="1">
      <alignment horizontal="left" vertical="center" indent="1"/>
    </xf>
    <xf numFmtId="0" fontId="1" fillId="0" borderId="5" xfId="0" applyFont="1" applyBorder="1" applyAlignment="1">
      <alignment horizontal="center" vertical="center"/>
    </xf>
    <xf numFmtId="0" fontId="6" fillId="0" borderId="54" xfId="0" applyFont="1" applyBorder="1" applyAlignment="1">
      <alignment horizontal="center" vertical="center" wrapText="1"/>
    </xf>
    <xf numFmtId="0" fontId="6" fillId="0" borderId="69"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7" xfId="0" applyFont="1" applyBorder="1" applyAlignment="1">
      <alignment horizontal="center" vertical="center" wrapText="1"/>
    </xf>
    <xf numFmtId="0" fontId="6" fillId="0" borderId="72" xfId="0" applyFont="1" applyBorder="1" applyAlignment="1">
      <alignment horizontal="left" vertical="center" wrapText="1"/>
    </xf>
    <xf numFmtId="0" fontId="6" fillId="0" borderId="51" xfId="0" applyFont="1" applyBorder="1" applyAlignment="1">
      <alignment horizontal="left" vertical="center" wrapText="1"/>
    </xf>
    <xf numFmtId="0" fontId="6" fillId="0" borderId="52" xfId="0" applyFont="1" applyBorder="1" applyAlignment="1">
      <alignment horizontal="left" vertical="center" wrapText="1"/>
    </xf>
    <xf numFmtId="0" fontId="6" fillId="0" borderId="49" xfId="0" applyFont="1" applyBorder="1" applyAlignment="1">
      <alignment horizontal="left" vertical="center" wrapText="1"/>
    </xf>
    <xf numFmtId="0" fontId="6" fillId="0" borderId="73" xfId="0" applyFont="1" applyBorder="1" applyAlignment="1">
      <alignment horizontal="center" vertical="center" wrapText="1"/>
    </xf>
    <xf numFmtId="0" fontId="6" fillId="0" borderId="103" xfId="0" applyFont="1" applyBorder="1" applyAlignment="1">
      <alignment horizontal="center" vertical="center" wrapText="1"/>
    </xf>
    <xf numFmtId="0" fontId="6" fillId="0" borderId="71"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104" xfId="0" applyFont="1" applyBorder="1" applyAlignment="1">
      <alignment horizontal="center" vertical="center" wrapText="1"/>
    </xf>
    <xf numFmtId="0" fontId="6" fillId="0" borderId="75" xfId="0" applyFont="1" applyBorder="1" applyAlignment="1">
      <alignment horizontal="center" vertical="center" wrapText="1"/>
    </xf>
    <xf numFmtId="0" fontId="6" fillId="0" borderId="53" xfId="0" applyFont="1" applyBorder="1" applyAlignment="1">
      <alignment horizontal="left" vertical="center" wrapText="1"/>
    </xf>
    <xf numFmtId="0" fontId="6" fillId="0" borderId="8" xfId="0" applyFont="1" applyBorder="1" applyAlignment="1">
      <alignment horizontal="center" vertical="center" wrapText="1"/>
    </xf>
    <xf numFmtId="0" fontId="4" fillId="0" borderId="0" xfId="0" applyFont="1" applyAlignment="1">
      <alignment horizontal="center" vertical="center"/>
    </xf>
    <xf numFmtId="0" fontId="6" fillId="0" borderId="100" xfId="0" applyFont="1" applyBorder="1" applyAlignment="1">
      <alignment horizontal="center" vertical="center" wrapText="1"/>
    </xf>
    <xf numFmtId="0" fontId="6" fillId="0" borderId="101" xfId="0" applyFont="1" applyBorder="1" applyAlignment="1">
      <alignment horizontal="center" vertical="center" wrapText="1"/>
    </xf>
    <xf numFmtId="0" fontId="6" fillId="0" borderId="102" xfId="0" applyFont="1" applyBorder="1" applyAlignment="1">
      <alignment horizontal="center" vertical="center" wrapText="1"/>
    </xf>
    <xf numFmtId="0" fontId="16" fillId="0" borderId="5" xfId="0" applyFont="1" applyBorder="1" applyAlignment="1">
      <alignment horizontal="left" vertical="center"/>
    </xf>
    <xf numFmtId="0" fontId="6" fillId="0" borderId="175" xfId="0" applyFont="1" applyBorder="1" applyAlignment="1">
      <alignment vertical="center" wrapText="1"/>
    </xf>
    <xf numFmtId="0" fontId="6" fillId="0" borderId="65" xfId="0" applyFont="1" applyBorder="1" applyAlignment="1">
      <alignment horizontal="left" vertical="center" wrapText="1"/>
    </xf>
    <xf numFmtId="0" fontId="6" fillId="0" borderId="66" xfId="0" applyFont="1" applyBorder="1" applyAlignment="1">
      <alignment horizontal="left" vertical="center" wrapText="1"/>
    </xf>
    <xf numFmtId="0" fontId="1" fillId="0" borderId="64"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99"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62" xfId="0" applyFont="1" applyBorder="1" applyAlignment="1">
      <alignment horizontal="left" vertical="center" wrapText="1"/>
    </xf>
    <xf numFmtId="0" fontId="1" fillId="0" borderId="61" xfId="0" applyFont="1" applyBorder="1" applyAlignment="1">
      <alignment horizontal="left" vertical="center" wrapText="1"/>
    </xf>
    <xf numFmtId="0" fontId="1" fillId="0" borderId="162" xfId="0" applyFont="1" applyBorder="1" applyAlignment="1">
      <alignment horizontal="left" vertical="center" wrapText="1"/>
    </xf>
    <xf numFmtId="0" fontId="1" fillId="0" borderId="43" xfId="0" applyFont="1" applyBorder="1" applyAlignment="1">
      <alignment horizontal="left" vertical="center" wrapText="1"/>
    </xf>
    <xf numFmtId="0" fontId="6" fillId="0" borderId="162" xfId="0" applyFont="1" applyBorder="1" applyAlignment="1">
      <alignment horizontal="center" vertical="center" textRotation="255" wrapText="1"/>
    </xf>
    <xf numFmtId="0" fontId="6" fillId="0" borderId="43" xfId="0" applyFont="1" applyBorder="1" applyAlignment="1">
      <alignment horizontal="center" vertical="center" textRotation="255" wrapText="1"/>
    </xf>
    <xf numFmtId="0" fontId="6" fillId="0" borderId="3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62" xfId="0" applyFont="1" applyBorder="1" applyAlignment="1">
      <alignment horizontal="left" vertical="center" wrapText="1"/>
    </xf>
    <xf numFmtId="0" fontId="6" fillId="0" borderId="43" xfId="0" applyFont="1" applyBorder="1" applyAlignment="1">
      <alignment horizontal="left" vertical="center" wrapText="1"/>
    </xf>
    <xf numFmtId="0" fontId="6" fillId="0" borderId="44" xfId="0" applyFont="1" applyBorder="1" applyAlignment="1">
      <alignment horizontal="left" vertical="center" wrapText="1"/>
    </xf>
    <xf numFmtId="0" fontId="1" fillId="0" borderId="16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16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5" xfId="0" applyFont="1" applyBorder="1" applyAlignment="1">
      <alignment horizontal="left" vertical="center" wrapText="1"/>
    </xf>
    <xf numFmtId="0" fontId="6" fillId="0" borderId="46" xfId="0" applyFont="1" applyBorder="1" applyAlignment="1">
      <alignment horizontal="left" vertical="center" wrapText="1"/>
    </xf>
    <xf numFmtId="0" fontId="6" fillId="0" borderId="47" xfId="0" applyFont="1" applyBorder="1" applyAlignment="1">
      <alignment horizontal="left" vertical="center" wrapText="1"/>
    </xf>
    <xf numFmtId="0" fontId="6" fillId="0" borderId="62" xfId="0" applyFont="1" applyBorder="1" applyAlignment="1">
      <alignment horizontal="left" vertical="center" wrapText="1"/>
    </xf>
    <xf numFmtId="0" fontId="6" fillId="0" borderId="60" xfId="0" applyFont="1" applyBorder="1" applyAlignment="1">
      <alignment horizontal="left" vertical="center" wrapText="1"/>
    </xf>
    <xf numFmtId="0" fontId="73" fillId="0" borderId="162" xfId="0" applyFont="1" applyBorder="1" applyAlignment="1">
      <alignment horizontal="left" vertical="center" wrapText="1"/>
    </xf>
    <xf numFmtId="0" fontId="73" fillId="0" borderId="43" xfId="0" applyFont="1" applyBorder="1" applyAlignment="1">
      <alignment horizontal="left" vertical="center" wrapText="1"/>
    </xf>
    <xf numFmtId="0" fontId="73" fillId="0" borderId="44" xfId="0" applyFont="1" applyBorder="1" applyAlignment="1">
      <alignment horizontal="left" vertical="center" wrapText="1"/>
    </xf>
    <xf numFmtId="0" fontId="6" fillId="0" borderId="64" xfId="0" applyFont="1" applyBorder="1" applyAlignment="1">
      <alignment horizontal="left" vertical="center" wrapText="1"/>
    </xf>
    <xf numFmtId="0" fontId="6" fillId="0" borderId="99" xfId="0" applyFont="1" applyBorder="1" applyAlignment="1">
      <alignment horizontal="left" vertical="center" wrapText="1"/>
    </xf>
    <xf numFmtId="0" fontId="6" fillId="0" borderId="31" xfId="0" applyFont="1" applyBorder="1" applyAlignment="1">
      <alignment horizontal="left" vertical="center" wrapText="1"/>
    </xf>
    <xf numFmtId="0" fontId="1" fillId="0" borderId="60" xfId="0" applyFont="1" applyBorder="1" applyAlignment="1">
      <alignment horizontal="left" vertical="center" wrapText="1"/>
    </xf>
    <xf numFmtId="0" fontId="132" fillId="0" borderId="73" xfId="12" applyBorder="1" applyAlignment="1">
      <alignment horizontal="center" vertical="center"/>
    </xf>
    <xf numFmtId="0" fontId="132" fillId="0" borderId="71" xfId="12" applyBorder="1" applyAlignment="1">
      <alignment horizontal="center" vertical="center"/>
    </xf>
    <xf numFmtId="0" fontId="132" fillId="0" borderId="67" xfId="12" applyBorder="1" applyAlignment="1">
      <alignment horizontal="center" vertical="center"/>
    </xf>
    <xf numFmtId="0" fontId="132" fillId="0" borderId="68" xfId="12" applyBorder="1" applyAlignment="1">
      <alignment horizontal="center" vertical="center"/>
    </xf>
    <xf numFmtId="0" fontId="132" fillId="0" borderId="74" xfId="12" applyBorder="1" applyAlignment="1">
      <alignment horizontal="center" vertical="center"/>
    </xf>
    <xf numFmtId="0" fontId="132" fillId="0" borderId="75" xfId="12" applyBorder="1" applyAlignment="1">
      <alignment horizontal="center" vertical="center"/>
    </xf>
    <xf numFmtId="0" fontId="6" fillId="0" borderId="61" xfId="0" applyFont="1" applyBorder="1" applyAlignment="1">
      <alignment horizontal="left" vertical="center" wrapText="1"/>
    </xf>
    <xf numFmtId="0" fontId="6" fillId="0" borderId="4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3" xfId="0" applyFont="1" applyBorder="1" applyAlignment="1">
      <alignment horizontal="center" vertical="center" wrapText="1"/>
    </xf>
    <xf numFmtId="0" fontId="6" fillId="0" borderId="31" xfId="0" applyFont="1" applyBorder="1" applyAlignment="1">
      <alignment horizontal="center" vertical="center" textRotation="255" wrapText="1"/>
    </xf>
    <xf numFmtId="0" fontId="1" fillId="0" borderId="64" xfId="0" applyFont="1" applyBorder="1" applyAlignment="1">
      <alignment horizontal="left" vertical="center" wrapText="1"/>
    </xf>
    <xf numFmtId="0" fontId="1" fillId="0" borderId="99" xfId="0" applyFont="1" applyBorder="1" applyAlignment="1">
      <alignment horizontal="left" vertical="center" wrapText="1"/>
    </xf>
    <xf numFmtId="0" fontId="6" fillId="0" borderId="9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8"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48" xfId="0" applyFont="1" applyBorder="1" applyAlignment="1">
      <alignment horizontal="center" vertical="center" wrapText="1"/>
    </xf>
    <xf numFmtId="0" fontId="20" fillId="0" borderId="65" xfId="0" applyFont="1" applyBorder="1" applyAlignment="1">
      <alignment horizontal="left" vertical="center" wrapText="1"/>
    </xf>
    <xf numFmtId="0" fontId="4" fillId="0" borderId="103"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171" xfId="0" applyFont="1" applyBorder="1" applyAlignment="1">
      <alignment horizontal="center" vertical="center" wrapText="1"/>
    </xf>
    <xf numFmtId="0" fontId="20" fillId="0" borderId="102" xfId="0" applyFont="1" applyBorder="1" applyAlignment="1">
      <alignment horizontal="left" vertical="center" wrapText="1"/>
    </xf>
    <xf numFmtId="0" fontId="73" fillId="0" borderId="65" xfId="0" applyFont="1" applyBorder="1" applyAlignment="1">
      <alignment horizontal="right" wrapText="1" indent="1"/>
    </xf>
    <xf numFmtId="0" fontId="73" fillId="0" borderId="65" xfId="0" applyFont="1" applyBorder="1" applyAlignment="1">
      <alignment horizontal="center" vertical="center" wrapText="1"/>
    </xf>
    <xf numFmtId="0" fontId="73" fillId="0" borderId="65" xfId="0" applyFont="1" applyBorder="1" applyAlignment="1">
      <alignment horizontal="center" wrapText="1"/>
    </xf>
    <xf numFmtId="0" fontId="73" fillId="0" borderId="65" xfId="0" applyFont="1" applyBorder="1" applyAlignment="1">
      <alignment horizontal="justify" wrapText="1"/>
    </xf>
    <xf numFmtId="0" fontId="6" fillId="0" borderId="65" xfId="0" applyFont="1" applyBorder="1"/>
    <xf numFmtId="0" fontId="4" fillId="0" borderId="167" xfId="0" applyFont="1" applyBorder="1" applyAlignment="1">
      <alignment horizontal="left" vertical="center" wrapText="1"/>
    </xf>
    <xf numFmtId="0" fontId="4" fillId="0" borderId="169" xfId="0" applyFont="1" applyBorder="1" applyAlignment="1">
      <alignment horizontal="left" vertical="center" wrapText="1"/>
    </xf>
    <xf numFmtId="0" fontId="4" fillId="0" borderId="165" xfId="0" applyFont="1" applyBorder="1" applyAlignment="1">
      <alignment horizontal="left" vertical="center" wrapText="1"/>
    </xf>
    <xf numFmtId="0" fontId="4" fillId="0" borderId="168" xfId="0" applyFont="1" applyBorder="1" applyAlignment="1">
      <alignment horizontal="left" vertical="center" wrapText="1"/>
    </xf>
    <xf numFmtId="0" fontId="4" fillId="0" borderId="99" xfId="0" applyFont="1" applyBorder="1" applyAlignment="1">
      <alignment horizontal="left" vertical="center" wrapText="1"/>
    </xf>
    <xf numFmtId="0" fontId="4" fillId="0" borderId="31" xfId="0" applyFont="1" applyBorder="1" applyAlignment="1">
      <alignment horizontal="left" vertical="center" wrapText="1"/>
    </xf>
    <xf numFmtId="0" fontId="4" fillId="0" borderId="69" xfId="0" applyFont="1" applyBorder="1" applyAlignment="1">
      <alignment horizontal="left" vertical="center" wrapText="1"/>
    </xf>
    <xf numFmtId="0" fontId="4" fillId="0" borderId="51" xfId="0" applyFont="1" applyBorder="1" applyAlignment="1">
      <alignment horizontal="left" vertical="center" wrapText="1"/>
    </xf>
    <xf numFmtId="0" fontId="4" fillId="0" borderId="163" xfId="0" applyFont="1" applyBorder="1" applyAlignment="1">
      <alignment horizontal="left" vertical="center" wrapText="1"/>
    </xf>
    <xf numFmtId="0" fontId="4" fillId="0" borderId="164" xfId="0" applyFont="1" applyBorder="1" applyAlignment="1">
      <alignment horizontal="left" vertical="center" wrapText="1"/>
    </xf>
    <xf numFmtId="0" fontId="4" fillId="0" borderId="72" xfId="0" applyFont="1" applyBorder="1" applyAlignment="1">
      <alignment horizontal="left" vertical="center" wrapText="1"/>
    </xf>
    <xf numFmtId="0" fontId="20" fillId="0" borderId="72" xfId="0" applyFont="1" applyBorder="1" applyAlignment="1">
      <alignment horizontal="left" vertical="center" wrapText="1"/>
    </xf>
    <xf numFmtId="0" fontId="20" fillId="0" borderId="52" xfId="0" applyFont="1" applyBorder="1" applyAlignment="1">
      <alignment horizontal="left" vertical="center" wrapText="1"/>
    </xf>
    <xf numFmtId="0" fontId="4" fillId="0" borderId="172" xfId="0" applyFont="1" applyBorder="1" applyAlignment="1">
      <alignment horizontal="left" vertical="center" wrapText="1"/>
    </xf>
    <xf numFmtId="0" fontId="4" fillId="0" borderId="173" xfId="0" applyFont="1" applyBorder="1" applyAlignment="1">
      <alignment horizontal="left" vertical="center" wrapText="1"/>
    </xf>
    <xf numFmtId="0" fontId="20" fillId="0" borderId="51" xfId="0" applyFont="1" applyBorder="1" applyAlignment="1">
      <alignment horizontal="left" vertical="center" wrapText="1"/>
    </xf>
    <xf numFmtId="0" fontId="20" fillId="0" borderId="49" xfId="0" applyFont="1" applyBorder="1" applyAlignment="1">
      <alignment horizontal="left" vertical="center" wrapText="1"/>
    </xf>
    <xf numFmtId="0" fontId="4" fillId="0" borderId="107" xfId="0" applyFont="1" applyBorder="1" applyAlignment="1">
      <alignment horizontal="left" vertical="center" wrapText="1"/>
    </xf>
    <xf numFmtId="0" fontId="4" fillId="0" borderId="65" xfId="0" applyFont="1" applyBorder="1" applyAlignment="1">
      <alignment horizontal="left" vertical="center" wrapText="1"/>
    </xf>
    <xf numFmtId="0" fontId="73" fillId="19" borderId="65" xfId="0" applyFont="1" applyFill="1" applyBorder="1" applyAlignment="1">
      <alignment horizontal="right" vertical="center" wrapText="1" indent="1"/>
    </xf>
    <xf numFmtId="44" fontId="73" fillId="0" borderId="100" xfId="10" applyFont="1" applyBorder="1" applyAlignment="1">
      <alignment wrapText="1"/>
    </xf>
    <xf numFmtId="44" fontId="73" fillId="0" borderId="102" xfId="10" applyFont="1" applyBorder="1" applyAlignment="1">
      <alignment wrapText="1"/>
    </xf>
    <xf numFmtId="0" fontId="23" fillId="0" borderId="65" xfId="0" applyFont="1" applyBorder="1" applyAlignment="1">
      <alignment horizontal="right" wrapText="1" indent="1"/>
    </xf>
    <xf numFmtId="0" fontId="23" fillId="0" borderId="65" xfId="0" applyFont="1" applyBorder="1" applyAlignment="1">
      <alignment horizontal="right" vertical="center" wrapText="1" indent="1"/>
    </xf>
    <xf numFmtId="9" fontId="73" fillId="0" borderId="65" xfId="0" applyNumberFormat="1" applyFont="1" applyBorder="1" applyAlignment="1">
      <alignment horizontal="right" wrapText="1" indent="1"/>
    </xf>
    <xf numFmtId="0" fontId="1" fillId="0" borderId="0" xfId="0" applyFont="1" applyAlignment="1">
      <alignment horizontal="left" vertical="center" indent="5"/>
    </xf>
    <xf numFmtId="0" fontId="6" fillId="0" borderId="0" xfId="0" applyFont="1" applyAlignment="1">
      <alignment horizontal="center"/>
    </xf>
    <xf numFmtId="0" fontId="73" fillId="0" borderId="65" xfId="0" applyFont="1" applyBorder="1" applyAlignment="1">
      <alignment horizontal="justify" vertical="center"/>
    </xf>
    <xf numFmtId="0" fontId="78" fillId="0" borderId="65" xfId="0" applyFont="1" applyBorder="1" applyAlignment="1">
      <alignment horizontal="justify" vertical="center"/>
    </xf>
    <xf numFmtId="0" fontId="73" fillId="0" borderId="65" xfId="0" applyFont="1" applyBorder="1" applyAlignment="1">
      <alignment horizontal="left" vertical="center" wrapText="1"/>
    </xf>
    <xf numFmtId="0" fontId="23" fillId="0" borderId="66" xfId="0" applyFont="1" applyBorder="1" applyAlignment="1">
      <alignment horizontal="center" vertical="center" wrapText="1"/>
    </xf>
    <xf numFmtId="0" fontId="23" fillId="0" borderId="166" xfId="0" applyFont="1" applyBorder="1" applyAlignment="1">
      <alignment horizontal="center" vertical="center" wrapText="1"/>
    </xf>
    <xf numFmtId="0" fontId="23" fillId="0" borderId="73"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75" xfId="0" applyFont="1" applyBorder="1" applyAlignment="1">
      <alignment horizontal="center" vertical="center" wrapText="1"/>
    </xf>
    <xf numFmtId="44" fontId="73" fillId="0" borderId="73" xfId="10" applyFont="1" applyBorder="1" applyAlignment="1">
      <alignment horizontal="right" vertical="center" wrapText="1"/>
    </xf>
    <xf numFmtId="44" fontId="73" fillId="0" borderId="71" xfId="10" applyFont="1" applyBorder="1" applyAlignment="1">
      <alignment horizontal="right" vertical="center" wrapText="1"/>
    </xf>
    <xf numFmtId="44" fontId="73" fillId="0" borderId="74" xfId="10" applyFont="1" applyBorder="1" applyAlignment="1">
      <alignment horizontal="right" vertical="center" wrapText="1"/>
    </xf>
    <xf numFmtId="44" fontId="73" fillId="0" borderId="75" xfId="10" applyFont="1" applyBorder="1" applyAlignment="1">
      <alignment horizontal="right" vertical="center" wrapText="1"/>
    </xf>
    <xf numFmtId="0" fontId="73" fillId="0" borderId="66" xfId="0" applyFont="1" applyBorder="1" applyAlignment="1">
      <alignment horizontal="right" vertical="center" wrapText="1"/>
    </xf>
    <xf numFmtId="0" fontId="73" fillId="0" borderId="166" xfId="0" applyFont="1" applyBorder="1" applyAlignment="1">
      <alignment horizontal="right" vertical="center" wrapText="1"/>
    </xf>
    <xf numFmtId="0" fontId="73" fillId="0" borderId="73" xfId="0" applyFont="1" applyBorder="1" applyAlignment="1">
      <alignment horizontal="right" vertical="center" wrapText="1"/>
    </xf>
    <xf numFmtId="0" fontId="73" fillId="0" borderId="71" xfId="0" applyFont="1" applyBorder="1" applyAlignment="1">
      <alignment horizontal="right" vertical="center" wrapText="1"/>
    </xf>
    <xf numFmtId="0" fontId="73" fillId="0" borderId="74" xfId="0" applyFont="1" applyBorder="1" applyAlignment="1">
      <alignment horizontal="right" vertical="center" wrapText="1"/>
    </xf>
    <xf numFmtId="0" fontId="73" fillId="0" borderId="75" xfId="0" applyFont="1" applyBorder="1" applyAlignment="1">
      <alignment horizontal="right" vertical="center" wrapText="1"/>
    </xf>
    <xf numFmtId="0" fontId="73" fillId="0" borderId="65" xfId="0" applyFont="1" applyBorder="1" applyAlignment="1">
      <alignment horizontal="right" vertical="center" wrapText="1"/>
    </xf>
    <xf numFmtId="0" fontId="6" fillId="0" borderId="65" xfId="0" applyFont="1" applyBorder="1" applyAlignment="1">
      <alignment vertical="center"/>
    </xf>
    <xf numFmtId="9" fontId="6" fillId="0" borderId="65" xfId="0" applyNumberFormat="1" applyFont="1" applyBorder="1" applyAlignment="1">
      <alignment horizontal="left" vertical="center" wrapText="1"/>
    </xf>
    <xf numFmtId="0" fontId="1" fillId="0" borderId="65" xfId="0" applyFont="1" applyBorder="1" applyAlignment="1">
      <alignment horizontal="left" vertical="center" wrapText="1"/>
    </xf>
    <xf numFmtId="0" fontId="6" fillId="0" borderId="65" xfId="0" applyFont="1" applyBorder="1" applyAlignment="1">
      <alignment vertical="center" wrapText="1"/>
    </xf>
    <xf numFmtId="9" fontId="1" fillId="0" borderId="65" xfId="0" applyNumberFormat="1" applyFont="1" applyBorder="1" applyAlignment="1">
      <alignment horizontal="center" vertical="center" wrapText="1"/>
    </xf>
    <xf numFmtId="0" fontId="6" fillId="0" borderId="65" xfId="0" applyFont="1" applyBorder="1" applyAlignment="1">
      <alignment horizontal="center" vertical="center" wrapText="1"/>
    </xf>
    <xf numFmtId="0" fontId="1" fillId="0" borderId="65" xfId="0" applyFont="1" applyBorder="1" applyAlignment="1">
      <alignment horizontal="center" vertical="center" wrapText="1"/>
    </xf>
    <xf numFmtId="0" fontId="7" fillId="0" borderId="65" xfId="0" applyFont="1" applyBorder="1" applyAlignment="1">
      <alignment horizontal="center" vertical="center" wrapText="1"/>
    </xf>
    <xf numFmtId="0" fontId="0" fillId="0" borderId="65" xfId="0" applyBorder="1" applyAlignment="1">
      <alignment horizontal="center" vertical="center"/>
    </xf>
    <xf numFmtId="0" fontId="6" fillId="0" borderId="65" xfId="0" applyFont="1" applyBorder="1" applyAlignment="1">
      <alignment horizontal="justify" vertical="center" wrapText="1"/>
    </xf>
    <xf numFmtId="0" fontId="6" fillId="0" borderId="65" xfId="0" applyFont="1" applyBorder="1" applyAlignment="1">
      <alignment horizontal="center" vertical="center"/>
    </xf>
    <xf numFmtId="3" fontId="1" fillId="0" borderId="65" xfId="0" applyNumberFormat="1" applyFont="1" applyBorder="1" applyAlignment="1">
      <alignment horizontal="center" vertical="center" wrapText="1"/>
    </xf>
    <xf numFmtId="0" fontId="4" fillId="0" borderId="65" xfId="0" applyFont="1" applyBorder="1" applyAlignment="1">
      <alignment horizontal="center" vertical="center" wrapText="1"/>
    </xf>
    <xf numFmtId="0" fontId="6" fillId="0" borderId="53" xfId="0" applyFont="1" applyBorder="1"/>
    <xf numFmtId="0" fontId="63" fillId="31" borderId="55" xfId="0" applyFont="1" applyFill="1" applyBorder="1" applyAlignment="1">
      <alignment horizontal="center"/>
    </xf>
    <xf numFmtId="0" fontId="63" fillId="31" borderId="69" xfId="0" applyFont="1" applyFill="1" applyBorder="1" applyAlignment="1">
      <alignment horizontal="center"/>
    </xf>
    <xf numFmtId="187" fontId="6" fillId="0" borderId="0" xfId="10" applyNumberFormat="1" applyFont="1" applyBorder="1" applyAlignment="1">
      <alignment horizontal="center"/>
    </xf>
    <xf numFmtId="187" fontId="6" fillId="0" borderId="51" xfId="10" applyNumberFormat="1" applyFont="1" applyBorder="1" applyAlignment="1">
      <alignment horizontal="center"/>
    </xf>
    <xf numFmtId="0" fontId="6" fillId="0" borderId="53" xfId="0" applyFont="1" applyBorder="1" applyAlignment="1">
      <alignment horizontal="center"/>
    </xf>
    <xf numFmtId="0" fontId="6" fillId="0" borderId="49" xfId="0" applyFont="1" applyBorder="1" applyAlignment="1">
      <alignment horizontal="center"/>
    </xf>
    <xf numFmtId="0" fontId="6" fillId="0" borderId="52" xfId="0" applyFont="1" applyBorder="1" applyAlignment="1">
      <alignment horizontal="center"/>
    </xf>
    <xf numFmtId="0" fontId="86" fillId="0" borderId="0" xfId="0" applyFont="1" applyAlignment="1">
      <alignment horizontal="left" vertical="center"/>
    </xf>
    <xf numFmtId="0" fontId="86" fillId="0" borderId="0" xfId="0" applyFont="1" applyAlignment="1">
      <alignment horizontal="left" vertical="center" wrapText="1" indent="3"/>
    </xf>
    <xf numFmtId="0" fontId="6" fillId="0" borderId="0" xfId="0" applyFont="1" applyAlignment="1">
      <alignment vertical="center" wrapText="1"/>
    </xf>
    <xf numFmtId="0" fontId="6" fillId="0" borderId="51" xfId="0" applyFont="1" applyBorder="1" applyAlignment="1">
      <alignment vertical="center" wrapText="1"/>
    </xf>
    <xf numFmtId="0" fontId="5" fillId="16" borderId="0" xfId="0" applyFont="1" applyFill="1" applyAlignment="1">
      <alignment horizontal="center" vertical="center" wrapText="1"/>
    </xf>
    <xf numFmtId="0" fontId="5" fillId="16" borderId="51" xfId="0" applyFont="1" applyFill="1" applyBorder="1" applyAlignment="1">
      <alignment horizontal="center" vertical="center" wrapText="1"/>
    </xf>
    <xf numFmtId="0" fontId="5" fillId="36" borderId="0" xfId="0" applyFont="1" applyFill="1" applyAlignment="1">
      <alignment horizontal="center" vertical="center" wrapText="1"/>
    </xf>
    <xf numFmtId="0" fontId="64" fillId="21" borderId="0" xfId="0" applyFont="1" applyFill="1" applyAlignment="1">
      <alignment horizontal="center" vertical="center" wrapText="1"/>
    </xf>
    <xf numFmtId="0" fontId="6" fillId="31" borderId="0" xfId="0" applyFont="1" applyFill="1" applyAlignment="1">
      <alignment horizontal="left" vertical="center" wrapText="1"/>
    </xf>
    <xf numFmtId="49" fontId="6" fillId="31" borderId="0" xfId="0" applyNumberFormat="1" applyFont="1" applyFill="1" applyAlignment="1">
      <alignment wrapText="1"/>
    </xf>
    <xf numFmtId="49" fontId="0" fillId="31" borderId="0" xfId="0" applyNumberFormat="1" applyFill="1" applyAlignment="1">
      <alignment wrapText="1"/>
    </xf>
    <xf numFmtId="0" fontId="6" fillId="31" borderId="0" xfId="0" applyFont="1" applyFill="1" applyAlignment="1">
      <alignment horizontal="left" wrapText="1"/>
    </xf>
    <xf numFmtId="0" fontId="6" fillId="0" borderId="0" xfId="0" applyFont="1" applyAlignment="1">
      <alignment horizontal="left" vertical="center" wrapText="1" indent="3"/>
    </xf>
    <xf numFmtId="0" fontId="6" fillId="0" borderId="51" xfId="0" applyFont="1" applyBorder="1" applyAlignment="1">
      <alignment horizontal="left" vertical="center" wrapText="1" indent="3"/>
    </xf>
    <xf numFmtId="0" fontId="6" fillId="0" borderId="51" xfId="0" applyFont="1" applyBorder="1" applyAlignment="1">
      <alignment horizontal="center" vertical="center" wrapText="1"/>
    </xf>
    <xf numFmtId="0" fontId="49" fillId="6" borderId="0" xfId="0" applyFont="1" applyFill="1" applyAlignment="1">
      <alignment horizontal="center" vertical="center" wrapText="1"/>
    </xf>
    <xf numFmtId="0" fontId="49" fillId="6" borderId="51" xfId="0" applyFont="1" applyFill="1" applyBorder="1" applyAlignment="1">
      <alignment horizontal="center" vertical="center" wrapText="1"/>
    </xf>
    <xf numFmtId="44" fontId="6" fillId="0" borderId="55" xfId="10" applyFont="1" applyBorder="1" applyAlignment="1">
      <alignment horizontal="center"/>
    </xf>
    <xf numFmtId="44" fontId="6" fillId="0" borderId="0" xfId="10" applyFont="1" applyBorder="1" applyAlignment="1">
      <alignment horizontal="center"/>
    </xf>
    <xf numFmtId="44" fontId="6" fillId="0" borderId="53" xfId="10" applyFont="1" applyBorder="1" applyAlignment="1">
      <alignment horizontal="center"/>
    </xf>
    <xf numFmtId="44" fontId="6" fillId="0" borderId="0" xfId="10" applyFont="1" applyAlignment="1"/>
    <xf numFmtId="178" fontId="2" fillId="0" borderId="150" xfId="8" applyFont="1" applyBorder="1"/>
    <xf numFmtId="178" fontId="2" fillId="0" borderId="151" xfId="8" applyFont="1" applyBorder="1"/>
    <xf numFmtId="178" fontId="116" fillId="0" borderId="0" xfId="8" applyFont="1" applyBorder="1"/>
    <xf numFmtId="178" fontId="2" fillId="0" borderId="0" xfId="8" applyFont="1" applyBorder="1"/>
    <xf numFmtId="178" fontId="2" fillId="0" borderId="153" xfId="8" applyFont="1" applyBorder="1"/>
    <xf numFmtId="178" fontId="116" fillId="0" borderId="155" xfId="8" applyFont="1" applyBorder="1"/>
    <xf numFmtId="178" fontId="2" fillId="0" borderId="155" xfId="8" applyFont="1" applyBorder="1"/>
    <xf numFmtId="178" fontId="2" fillId="0" borderId="156" xfId="8" applyFont="1" applyBorder="1"/>
    <xf numFmtId="0" fontId="6" fillId="0" borderId="0" xfId="0" applyFont="1" applyAlignment="1">
      <alignment horizontal="left" vertical="center"/>
    </xf>
    <xf numFmtId="0" fontId="6" fillId="0" borderId="51" xfId="0" applyFont="1" applyBorder="1" applyAlignment="1">
      <alignment horizontal="left" vertical="center"/>
    </xf>
    <xf numFmtId="0" fontId="6" fillId="0" borderId="54" xfId="0" applyFont="1" applyBorder="1" applyAlignment="1">
      <alignment horizontal="justify" vertical="center"/>
    </xf>
    <xf numFmtId="0" fontId="6" fillId="0" borderId="55" xfId="0" applyFont="1" applyBorder="1" applyAlignment="1">
      <alignment horizontal="justify" vertical="center"/>
    </xf>
    <xf numFmtId="0" fontId="6" fillId="0" borderId="0" xfId="0" applyFont="1" applyAlignment="1">
      <alignment horizontal="left" vertical="center" wrapText="1" indent="9"/>
    </xf>
    <xf numFmtId="0" fontId="6" fillId="0" borderId="0" xfId="0" applyFont="1" applyAlignment="1">
      <alignment vertical="justify" wrapText="1"/>
    </xf>
    <xf numFmtId="0" fontId="6" fillId="0" borderId="51" xfId="0" applyFont="1" applyBorder="1" applyAlignment="1">
      <alignment vertical="justify" wrapText="1"/>
    </xf>
    <xf numFmtId="0" fontId="6" fillId="0" borderId="72" xfId="0" applyFont="1" applyBorder="1" applyAlignment="1">
      <alignment horizontal="center" vertical="center"/>
    </xf>
    <xf numFmtId="0" fontId="6" fillId="0" borderId="52" xfId="0" applyFont="1" applyBorder="1" applyAlignment="1">
      <alignment horizontal="center" vertical="center"/>
    </xf>
    <xf numFmtId="0" fontId="6" fillId="0" borderId="55" xfId="0" applyFont="1" applyBorder="1" applyAlignment="1">
      <alignment horizontal="center" vertical="center"/>
    </xf>
    <xf numFmtId="0" fontId="6" fillId="0" borderId="0" xfId="0" applyFont="1" applyAlignment="1">
      <alignment horizontal="center" vertical="center"/>
    </xf>
    <xf numFmtId="0" fontId="6" fillId="0" borderId="53" xfId="0" applyFont="1" applyBorder="1" applyAlignment="1">
      <alignment horizontal="center" vertical="center"/>
    </xf>
    <xf numFmtId="0" fontId="6" fillId="0" borderId="54" xfId="0" applyFont="1" applyBorder="1" applyAlignment="1">
      <alignment horizontal="center" vertical="center"/>
    </xf>
    <xf numFmtId="0" fontId="6" fillId="0" borderId="55" xfId="0" applyFont="1" applyBorder="1" applyAlignment="1">
      <alignment horizontal="left" vertical="center"/>
    </xf>
    <xf numFmtId="0" fontId="6" fillId="0" borderId="69" xfId="0" applyFont="1" applyBorder="1" applyAlignment="1">
      <alignment horizontal="left" vertical="center"/>
    </xf>
    <xf numFmtId="0" fontId="73" fillId="0" borderId="0" xfId="0" applyFont="1" applyAlignment="1">
      <alignment horizontal="left" vertical="center" indent="9"/>
    </xf>
    <xf numFmtId="0" fontId="6" fillId="0" borderId="0" xfId="0" applyFont="1" applyAlignment="1">
      <alignment horizontal="left" vertical="center" indent="9"/>
    </xf>
    <xf numFmtId="0" fontId="6" fillId="0" borderId="0" xfId="0" applyFont="1" applyAlignment="1">
      <alignment horizontal="justify" vertical="center"/>
    </xf>
    <xf numFmtId="0" fontId="6" fillId="0" borderId="0" xfId="0" applyFont="1" applyAlignment="1">
      <alignment horizontal="left" vertical="center" wrapText="1" indent="10"/>
    </xf>
    <xf numFmtId="0" fontId="73" fillId="0" borderId="0" xfId="0" applyFont="1" applyAlignment="1">
      <alignment horizontal="left" vertical="center" wrapText="1" indent="18"/>
    </xf>
    <xf numFmtId="0" fontId="23" fillId="0" borderId="0" xfId="0" applyFont="1" applyAlignment="1">
      <alignment horizontal="left" vertical="center" wrapText="1" indent="18"/>
    </xf>
    <xf numFmtId="0" fontId="73" fillId="0" borderId="0" xfId="0" applyFont="1" applyAlignment="1">
      <alignment horizontal="left" vertical="center" wrapText="1" indent="9"/>
    </xf>
    <xf numFmtId="0" fontId="73" fillId="0" borderId="0" xfId="0" applyFont="1" applyAlignment="1">
      <alignment horizontal="left" vertical="center" wrapText="1" indent="10"/>
    </xf>
    <xf numFmtId="0" fontId="6" fillId="0" borderId="0" xfId="0" applyFont="1" applyAlignment="1">
      <alignment horizontal="left" vertical="center" indent="10"/>
    </xf>
    <xf numFmtId="0" fontId="6" fillId="0" borderId="0" xfId="0" applyFont="1" applyAlignment="1">
      <alignment horizontal="left" vertical="center" indent="3"/>
    </xf>
    <xf numFmtId="0" fontId="5" fillId="0" borderId="0" xfId="0" applyFont="1" applyAlignment="1">
      <alignment horizontal="left" vertical="center" indent="1"/>
    </xf>
    <xf numFmtId="0" fontId="5" fillId="0" borderId="0" xfId="0" applyFont="1" applyAlignment="1">
      <alignment vertical="center"/>
    </xf>
    <xf numFmtId="0" fontId="5" fillId="0" borderId="0" xfId="0" applyFont="1" applyAlignment="1">
      <alignment horizontal="justify" vertical="center"/>
    </xf>
    <xf numFmtId="0" fontId="95" fillId="21" borderId="157" xfId="0" applyFont="1" applyFill="1" applyBorder="1" applyAlignment="1">
      <alignment horizontal="center"/>
    </xf>
    <xf numFmtId="0" fontId="112" fillId="3" borderId="45" xfId="0" applyFont="1" applyFill="1" applyBorder="1" applyAlignment="1">
      <alignment horizontal="center"/>
    </xf>
    <xf numFmtId="0" fontId="112" fillId="3" borderId="55" xfId="0" applyFont="1" applyFill="1" applyBorder="1" applyAlignment="1">
      <alignment horizontal="center"/>
    </xf>
    <xf numFmtId="0" fontId="112" fillId="3" borderId="51" xfId="0" applyFont="1" applyFill="1" applyBorder="1" applyAlignment="1">
      <alignment horizontal="center"/>
    </xf>
    <xf numFmtId="0" fontId="6" fillId="7" borderId="0" xfId="0" applyFont="1" applyFill="1" applyAlignment="1">
      <alignment horizontal="center"/>
    </xf>
    <xf numFmtId="0" fontId="6" fillId="0" borderId="72" xfId="0" applyFont="1" applyBorder="1" applyAlignment="1">
      <alignment horizontal="center"/>
    </xf>
    <xf numFmtId="0" fontId="6" fillId="0" borderId="128" xfId="0" applyFont="1" applyBorder="1" applyAlignment="1">
      <alignment horizontal="center"/>
    </xf>
    <xf numFmtId="0" fontId="6" fillId="0" borderId="94" xfId="0" applyFont="1" applyBorder="1" applyAlignment="1">
      <alignment horizontal="justify" vertical="center" wrapText="1"/>
    </xf>
    <xf numFmtId="0" fontId="6" fillId="0" borderId="9" xfId="0" applyFont="1" applyBorder="1" applyAlignment="1">
      <alignment horizontal="justify" vertical="center" wrapText="1"/>
    </xf>
    <xf numFmtId="0" fontId="6" fillId="0" borderId="90" xfId="0" applyFont="1" applyBorder="1" applyAlignment="1">
      <alignment horizontal="justify" vertical="center" wrapText="1"/>
    </xf>
    <xf numFmtId="0" fontId="6" fillId="0" borderId="92" xfId="0" applyFont="1" applyBorder="1" applyAlignment="1">
      <alignment horizontal="justify" vertical="center" wrapText="1"/>
    </xf>
    <xf numFmtId="0" fontId="6" fillId="0" borderId="26" xfId="0" applyFont="1" applyBorder="1" applyAlignment="1">
      <alignment horizontal="justify" vertical="center" wrapText="1"/>
    </xf>
    <xf numFmtId="0" fontId="6" fillId="0" borderId="95" xfId="0" applyFont="1" applyBorder="1" applyAlignment="1">
      <alignment horizontal="justify" vertical="center" wrapText="1"/>
    </xf>
    <xf numFmtId="0" fontId="6" fillId="0" borderId="85" xfId="0" applyFont="1" applyBorder="1" applyAlignment="1">
      <alignment horizontal="justify" vertical="center" wrapText="1"/>
    </xf>
    <xf numFmtId="0" fontId="6" fillId="0" borderId="84" xfId="0" applyFont="1" applyBorder="1" applyAlignment="1">
      <alignment horizontal="justify" vertical="center" wrapText="1"/>
    </xf>
    <xf numFmtId="0" fontId="6" fillId="31" borderId="0" xfId="0" applyFont="1" applyFill="1" applyAlignment="1">
      <alignment horizontal="center"/>
    </xf>
    <xf numFmtId="0" fontId="6" fillId="3" borderId="0" xfId="0" applyFont="1" applyFill="1" applyAlignment="1">
      <alignment horizontal="center"/>
    </xf>
    <xf numFmtId="0" fontId="6" fillId="0" borderId="111" xfId="0" applyFont="1" applyBorder="1" applyAlignment="1">
      <alignment horizontal="center"/>
    </xf>
    <xf numFmtId="0" fontId="6" fillId="0" borderId="112" xfId="0" applyFont="1" applyBorder="1" applyAlignment="1">
      <alignment horizontal="center"/>
    </xf>
    <xf numFmtId="0" fontId="6" fillId="0" borderId="166" xfId="0" applyFont="1" applyBorder="1" applyAlignment="1">
      <alignment horizontal="center" vertical="center" wrapText="1"/>
    </xf>
    <xf numFmtId="0" fontId="6" fillId="0" borderId="109" xfId="0" applyFont="1" applyBorder="1" applyAlignment="1">
      <alignment wrapText="1"/>
    </xf>
    <xf numFmtId="0" fontId="6" fillId="0" borderId="65" xfId="0" applyFont="1" applyBorder="1" applyAlignment="1">
      <alignment wrapText="1"/>
    </xf>
    <xf numFmtId="0" fontId="6" fillId="0" borderId="55" xfId="0" applyFont="1" applyBorder="1" applyAlignment="1">
      <alignment horizontal="center" vertical="center" wrapText="1"/>
    </xf>
    <xf numFmtId="0" fontId="6" fillId="0" borderId="177" xfId="0" applyFont="1" applyBorder="1" applyAlignment="1">
      <alignment horizontal="center" vertical="center" wrapText="1"/>
    </xf>
    <xf numFmtId="0" fontId="6" fillId="0" borderId="179" xfId="0" applyFont="1" applyBorder="1" applyAlignment="1">
      <alignment horizontal="center" vertical="center" wrapText="1"/>
    </xf>
    <xf numFmtId="3" fontId="6" fillId="0" borderId="178" xfId="0" applyNumberFormat="1" applyFont="1" applyBorder="1" applyAlignment="1">
      <alignment horizontal="center" vertical="center" wrapText="1"/>
    </xf>
    <xf numFmtId="3" fontId="6" fillId="0" borderId="55" xfId="0" applyNumberFormat="1" applyFont="1" applyBorder="1" applyAlignment="1">
      <alignment horizontal="center" vertical="center" wrapText="1"/>
    </xf>
    <xf numFmtId="3" fontId="6" fillId="0" borderId="177" xfId="0" applyNumberFormat="1" applyFont="1" applyBorder="1" applyAlignment="1">
      <alignment horizontal="center" vertical="center" wrapText="1"/>
    </xf>
    <xf numFmtId="3" fontId="6" fillId="0" borderId="74" xfId="0" applyNumberFormat="1" applyFont="1" applyBorder="1" applyAlignment="1">
      <alignment horizontal="center" vertical="center" wrapText="1"/>
    </xf>
    <xf numFmtId="3" fontId="6" fillId="0" borderId="104" xfId="0" applyNumberFormat="1" applyFont="1" applyBorder="1" applyAlignment="1">
      <alignment horizontal="center" vertical="center" wrapText="1"/>
    </xf>
    <xf numFmtId="3" fontId="6" fillId="0" borderId="75" xfId="0" applyNumberFormat="1" applyFont="1" applyBorder="1" applyAlignment="1">
      <alignment horizontal="center" vertical="center" wrapText="1"/>
    </xf>
    <xf numFmtId="0" fontId="73" fillId="0" borderId="73" xfId="0" applyFont="1" applyBorder="1" applyAlignment="1">
      <alignment horizontal="center" vertical="center"/>
    </xf>
    <xf numFmtId="0" fontId="73" fillId="0" borderId="71" xfId="0" applyFont="1" applyBorder="1" applyAlignment="1">
      <alignment horizontal="center" vertical="center"/>
    </xf>
    <xf numFmtId="0" fontId="73" fillId="0" borderId="67" xfId="0" applyFont="1" applyBorder="1" applyAlignment="1">
      <alignment horizontal="center" vertical="center"/>
    </xf>
    <xf numFmtId="0" fontId="73" fillId="0" borderId="68" xfId="0" applyFont="1" applyBorder="1" applyAlignment="1">
      <alignment horizontal="center" vertical="center"/>
    </xf>
    <xf numFmtId="0" fontId="73" fillId="0" borderId="74" xfId="0" applyFont="1" applyBorder="1" applyAlignment="1">
      <alignment horizontal="center" vertical="center"/>
    </xf>
    <xf numFmtId="0" fontId="73" fillId="0" borderId="75" xfId="0" applyFont="1" applyBorder="1" applyAlignment="1">
      <alignment horizontal="center" vertical="center"/>
    </xf>
    <xf numFmtId="0" fontId="73" fillId="0" borderId="65" xfId="0" applyFont="1" applyBorder="1" applyAlignment="1">
      <alignment horizontal="center" vertical="center"/>
    </xf>
    <xf numFmtId="0" fontId="6" fillId="0" borderId="65" xfId="0" applyFont="1" applyBorder="1" applyAlignment="1">
      <alignment horizontal="center"/>
    </xf>
    <xf numFmtId="0" fontId="5" fillId="0" borderId="0" xfId="0" applyFont="1" applyAlignment="1">
      <alignment horizontal="left" vertical="center" indent="7"/>
    </xf>
    <xf numFmtId="44" fontId="73" fillId="0" borderId="65" xfId="10" applyFont="1" applyBorder="1" applyAlignment="1">
      <alignment horizontal="right" wrapText="1"/>
    </xf>
    <xf numFmtId="0" fontId="73" fillId="0" borderId="66" xfId="0" applyFont="1" applyBorder="1" applyAlignment="1">
      <alignment horizontal="center" vertical="center" wrapText="1"/>
    </xf>
    <xf numFmtId="0" fontId="73" fillId="0" borderId="54" xfId="0" applyFont="1" applyBorder="1" applyAlignment="1">
      <alignment horizontal="center" vertical="center" wrapText="1"/>
    </xf>
    <xf numFmtId="0" fontId="73" fillId="0" borderId="55" xfId="0" applyFont="1" applyBorder="1" applyAlignment="1">
      <alignment horizontal="center" vertical="center" wrapText="1"/>
    </xf>
    <xf numFmtId="0" fontId="6" fillId="0" borderId="51" xfId="0" applyFont="1" applyBorder="1" applyAlignment="1">
      <alignment horizontal="justify" vertical="center" wrapText="1"/>
    </xf>
    <xf numFmtId="0" fontId="73" fillId="0" borderId="0" xfId="0" applyFont="1" applyAlignment="1">
      <alignment horizontal="justify" vertical="center" wrapText="1"/>
    </xf>
    <xf numFmtId="0" fontId="73" fillId="0" borderId="51" xfId="0" applyFont="1" applyBorder="1" applyAlignment="1">
      <alignment horizontal="justify" vertical="center" wrapText="1"/>
    </xf>
    <xf numFmtId="0" fontId="73" fillId="0" borderId="26" xfId="0" applyFont="1" applyBorder="1" applyAlignment="1">
      <alignment horizontal="justify" vertical="center" wrapText="1"/>
    </xf>
    <xf numFmtId="0" fontId="73" fillId="0" borderId="9" xfId="0" applyFont="1" applyBorder="1" applyAlignment="1">
      <alignment horizontal="justify" vertical="center" wrapText="1"/>
    </xf>
    <xf numFmtId="0" fontId="73" fillId="0" borderId="8" xfId="0" applyFont="1" applyBorder="1" applyAlignment="1">
      <alignment horizontal="justify" vertical="center" wrapText="1"/>
    </xf>
    <xf numFmtId="0" fontId="73" fillId="0" borderId="64" xfId="0" applyFont="1" applyBorder="1" applyAlignment="1">
      <alignment horizontal="justify" vertical="center" wrapText="1"/>
    </xf>
    <xf numFmtId="0" fontId="73" fillId="0" borderId="62" xfId="0" applyFont="1" applyBorder="1" applyAlignment="1">
      <alignment horizontal="justify" vertical="center" wrapText="1"/>
    </xf>
    <xf numFmtId="0" fontId="73" fillId="0" borderId="63" xfId="0" applyFont="1" applyBorder="1" applyAlignment="1">
      <alignment horizontal="justify" vertical="center" wrapText="1"/>
    </xf>
    <xf numFmtId="9" fontId="73" fillId="0" borderId="65" xfId="0" applyNumberFormat="1" applyFont="1" applyBorder="1" applyAlignment="1">
      <alignment horizontal="center" wrapText="1"/>
    </xf>
    <xf numFmtId="0" fontId="73" fillId="0" borderId="65" xfId="0" applyFont="1" applyBorder="1" applyAlignment="1">
      <alignment horizontal="center" vertical="center" textRotation="255" wrapText="1"/>
    </xf>
    <xf numFmtId="0" fontId="6" fillId="0" borderId="0" xfId="0" applyFont="1" applyAlignment="1">
      <alignment horizontal="left" vertical="top"/>
    </xf>
    <xf numFmtId="0" fontId="6" fillId="0" borderId="51" xfId="0" applyFont="1" applyBorder="1" applyAlignment="1">
      <alignment horizontal="left" vertical="top"/>
    </xf>
    <xf numFmtId="0" fontId="73" fillId="19" borderId="65" xfId="0" applyFont="1" applyFill="1" applyBorder="1" applyAlignment="1">
      <alignment horizontal="center" vertical="center" textRotation="255" wrapText="1"/>
    </xf>
    <xf numFmtId="0" fontId="73" fillId="19" borderId="65" xfId="0" applyFont="1" applyFill="1" applyBorder="1" applyAlignment="1">
      <alignment horizontal="center" vertical="center" wrapText="1"/>
    </xf>
    <xf numFmtId="0" fontId="73" fillId="0" borderId="72" xfId="0" applyFont="1" applyBorder="1" applyAlignment="1">
      <alignment horizontal="center" vertical="center" wrapText="1"/>
    </xf>
    <xf numFmtId="0" fontId="73" fillId="0" borderId="0" xfId="0" applyFont="1" applyAlignment="1">
      <alignment horizontal="center" vertical="center" wrapText="1"/>
    </xf>
    <xf numFmtId="44" fontId="73" fillId="0" borderId="65" xfId="10" applyFont="1" applyBorder="1" applyAlignment="1">
      <alignment horizontal="center" wrapText="1"/>
    </xf>
    <xf numFmtId="44" fontId="73" fillId="0" borderId="65" xfId="0" applyNumberFormat="1" applyFont="1" applyBorder="1" applyAlignment="1">
      <alignment horizontal="center" wrapText="1"/>
    </xf>
    <xf numFmtId="0" fontId="73" fillId="0" borderId="31" xfId="0" applyFont="1" applyBorder="1" applyAlignment="1">
      <alignment horizontal="justify" vertical="center" wrapText="1"/>
    </xf>
    <xf numFmtId="0" fontId="73" fillId="0" borderId="60" xfId="0" applyFont="1" applyBorder="1" applyAlignment="1">
      <alignment horizontal="justify" vertical="center" wrapText="1"/>
    </xf>
    <xf numFmtId="186" fontId="73" fillId="0" borderId="8" xfId="0" applyNumberFormat="1" applyFont="1" applyBorder="1" applyAlignment="1">
      <alignment horizontal="right" vertical="center" wrapText="1"/>
    </xf>
    <xf numFmtId="186" fontId="73" fillId="0" borderId="9" xfId="0" applyNumberFormat="1" applyFont="1" applyBorder="1" applyAlignment="1">
      <alignment horizontal="right" vertical="center" wrapText="1"/>
    </xf>
    <xf numFmtId="2" fontId="73" fillId="0" borderId="26" xfId="0" applyNumberFormat="1" applyFont="1" applyBorder="1" applyAlignment="1">
      <alignment horizontal="right" vertical="center" wrapText="1"/>
    </xf>
    <xf numFmtId="2" fontId="73" fillId="0" borderId="8" xfId="0" applyNumberFormat="1" applyFont="1" applyBorder="1" applyAlignment="1">
      <alignment horizontal="right" vertical="center" wrapText="1"/>
    </xf>
    <xf numFmtId="2" fontId="73" fillId="0" borderId="9" xfId="0" applyNumberFormat="1" applyFont="1" applyBorder="1" applyAlignment="1">
      <alignment horizontal="right" vertical="center" wrapText="1"/>
    </xf>
    <xf numFmtId="0" fontId="73" fillId="0" borderId="65" xfId="0" applyFont="1" applyBorder="1" applyAlignment="1">
      <alignment horizontal="center" vertical="center" textRotation="255"/>
    </xf>
    <xf numFmtId="0" fontId="23" fillId="0" borderId="65" xfId="0" applyFont="1" applyBorder="1" applyAlignment="1">
      <alignment horizontal="center" vertical="center" wrapText="1"/>
    </xf>
    <xf numFmtId="44" fontId="6" fillId="0" borderId="65" xfId="10" applyFont="1" applyBorder="1" applyAlignment="1">
      <alignment horizontal="right"/>
    </xf>
    <xf numFmtId="10" fontId="23" fillId="0" borderId="65" xfId="0" applyNumberFormat="1" applyFont="1" applyBorder="1" applyAlignment="1">
      <alignment horizontal="center" wrapText="1"/>
    </xf>
    <xf numFmtId="0" fontId="73" fillId="19" borderId="65" xfId="0" applyFont="1" applyFill="1" applyBorder="1" applyAlignment="1">
      <alignment horizontal="center" wrapText="1"/>
    </xf>
    <xf numFmtId="0" fontId="23" fillId="0" borderId="65" xfId="0" applyFont="1" applyBorder="1" applyAlignment="1">
      <alignment horizontal="center" wrapText="1"/>
    </xf>
    <xf numFmtId="9" fontId="73" fillId="0" borderId="63" xfId="0" applyNumberFormat="1" applyFont="1" applyBorder="1" applyAlignment="1">
      <alignment horizontal="right" vertical="center" wrapText="1"/>
    </xf>
    <xf numFmtId="0" fontId="73" fillId="0" borderId="62" xfId="0" applyFont="1" applyBorder="1" applyAlignment="1">
      <alignment horizontal="right" vertical="center" wrapText="1"/>
    </xf>
    <xf numFmtId="0" fontId="73" fillId="0" borderId="5" xfId="0" applyFont="1" applyBorder="1" applyAlignment="1">
      <alignment horizontal="right" vertical="center" wrapText="1"/>
    </xf>
    <xf numFmtId="0" fontId="73" fillId="0" borderId="60" xfId="0" applyFont="1" applyBorder="1" applyAlignment="1">
      <alignment horizontal="right" vertical="center" wrapText="1"/>
    </xf>
    <xf numFmtId="9" fontId="73" fillId="0" borderId="64" xfId="0" applyNumberFormat="1" applyFont="1" applyBorder="1" applyAlignment="1">
      <alignment horizontal="right" vertical="center" wrapText="1"/>
    </xf>
    <xf numFmtId="0" fontId="73" fillId="0" borderId="63" xfId="0" applyFont="1" applyBorder="1" applyAlignment="1">
      <alignment horizontal="right" vertical="center" wrapText="1"/>
    </xf>
    <xf numFmtId="0" fontId="73" fillId="0" borderId="31" xfId="0" applyFont="1" applyBorder="1" applyAlignment="1">
      <alignment horizontal="right" vertical="center" wrapText="1"/>
    </xf>
    <xf numFmtId="0" fontId="73" fillId="0" borderId="5" xfId="0" applyFont="1" applyBorder="1" applyAlignment="1">
      <alignment horizontal="justify" vertical="center" wrapText="1"/>
    </xf>
    <xf numFmtId="3" fontId="6" fillId="0" borderId="65" xfId="0" applyNumberFormat="1" applyFont="1" applyBorder="1" applyAlignment="1">
      <alignment horizontal="center" vertical="center" wrapText="1"/>
    </xf>
    <xf numFmtId="0" fontId="68" fillId="0" borderId="57" xfId="0" applyFont="1" applyBorder="1" applyAlignment="1">
      <alignment horizontal="center"/>
    </xf>
    <xf numFmtId="0" fontId="68" fillId="0" borderId="59" xfId="0" applyFont="1" applyBorder="1" applyAlignment="1">
      <alignment horizontal="center"/>
    </xf>
    <xf numFmtId="0" fontId="68" fillId="0" borderId="58" xfId="0" applyFont="1" applyBorder="1" applyAlignment="1">
      <alignment horizontal="center"/>
    </xf>
    <xf numFmtId="0" fontId="67" fillId="0" borderId="0" xfId="0" applyFont="1" applyAlignment="1">
      <alignment horizontal="center" vertical="center"/>
    </xf>
    <xf numFmtId="0" fontId="66" fillId="0" borderId="0" xfId="0" applyFont="1" applyAlignment="1">
      <alignment horizontal="left" vertical="center"/>
    </xf>
    <xf numFmtId="0" fontId="12" fillId="0" borderId="0" xfId="0" applyFont="1" applyAlignment="1">
      <alignment horizontal="center"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71" fillId="0" borderId="77" xfId="0" applyFont="1" applyBorder="1" applyAlignment="1">
      <alignment horizontal="center" vertical="center" wrapText="1"/>
    </xf>
    <xf numFmtId="0" fontId="71" fillId="0" borderId="8" xfId="0" applyFont="1" applyBorder="1" applyAlignment="1">
      <alignment horizontal="center" vertical="center" wrapText="1"/>
    </xf>
    <xf numFmtId="0" fontId="73" fillId="0" borderId="77" xfId="0" applyFont="1" applyBorder="1" applyAlignment="1">
      <alignment horizontal="center" vertical="center" wrapText="1"/>
    </xf>
    <xf numFmtId="0" fontId="73" fillId="0" borderId="8" xfId="0" applyFont="1" applyBorder="1" applyAlignment="1">
      <alignment horizontal="center" vertical="center" wrapText="1"/>
    </xf>
    <xf numFmtId="10" fontId="6" fillId="0" borderId="108" xfId="0" applyNumberFormat="1" applyFont="1" applyBorder="1" applyAlignment="1">
      <alignment horizontal="center" vertical="center" wrapText="1"/>
    </xf>
    <xf numFmtId="10" fontId="6" fillId="0" borderId="110" xfId="0" applyNumberFormat="1" applyFont="1" applyBorder="1" applyAlignment="1">
      <alignment horizontal="center" vertical="center" wrapText="1"/>
    </xf>
    <xf numFmtId="0" fontId="16" fillId="0" borderId="0" xfId="0" applyFont="1" applyAlignment="1">
      <alignment horizontal="center" vertical="center"/>
    </xf>
    <xf numFmtId="0" fontId="6" fillId="0" borderId="79" xfId="0" applyFont="1" applyBorder="1" applyAlignment="1">
      <alignment horizontal="center" vertical="center" wrapText="1"/>
    </xf>
    <xf numFmtId="0" fontId="6" fillId="0" borderId="180" xfId="0" applyFont="1" applyBorder="1" applyAlignment="1">
      <alignment horizontal="center" vertical="center" wrapText="1"/>
    </xf>
    <xf numFmtId="0" fontId="6" fillId="0" borderId="80" xfId="0" applyFont="1" applyBorder="1" applyAlignment="1">
      <alignment horizontal="center" vertical="center" wrapText="1"/>
    </xf>
    <xf numFmtId="0" fontId="6" fillId="0" borderId="8" xfId="0" applyFont="1" applyBorder="1" applyAlignment="1">
      <alignment horizontal="justify" vertical="center" wrapText="1"/>
    </xf>
    <xf numFmtId="0" fontId="72" fillId="0" borderId="0" xfId="0"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0" fontId="6" fillId="0" borderId="5" xfId="0" applyFont="1" applyBorder="1" applyAlignment="1">
      <alignment horizontal="center" vertical="center"/>
    </xf>
    <xf numFmtId="0" fontId="69" fillId="0" borderId="0" xfId="0" applyFont="1" applyAlignment="1">
      <alignment horizontal="center"/>
    </xf>
    <xf numFmtId="0" fontId="6" fillId="0" borderId="96" xfId="0" applyFont="1" applyBorder="1" applyAlignment="1">
      <alignment horizontal="justify" vertical="center" wrapText="1"/>
    </xf>
    <xf numFmtId="0" fontId="6" fillId="0" borderId="97" xfId="0" applyFont="1" applyBorder="1" applyAlignment="1">
      <alignment horizontal="justify" vertical="center" wrapText="1"/>
    </xf>
    <xf numFmtId="0" fontId="6" fillId="0" borderId="65" xfId="0" applyFont="1" applyBorder="1" applyAlignment="1">
      <alignment horizontal="left" vertical="center" indent="4"/>
    </xf>
    <xf numFmtId="0" fontId="6" fillId="0" borderId="105" xfId="0" applyFont="1" applyBorder="1" applyAlignment="1">
      <alignment horizontal="center"/>
    </xf>
    <xf numFmtId="0" fontId="6" fillId="0" borderId="93" xfId="0" applyFont="1" applyBorder="1" applyAlignment="1">
      <alignment horizontal="justify" vertical="center" wrapText="1"/>
    </xf>
    <xf numFmtId="0" fontId="6" fillId="0" borderId="82" xfId="0" applyFont="1" applyBorder="1" applyAlignment="1">
      <alignment horizontal="justify" vertical="center" wrapText="1"/>
    </xf>
    <xf numFmtId="0" fontId="6" fillId="0" borderId="0" xfId="0" applyFont="1" applyAlignment="1">
      <alignment horizontal="left" vertical="center" wrapText="1" indent="4"/>
    </xf>
    <xf numFmtId="0" fontId="76" fillId="0" borderId="166" xfId="0" applyFont="1" applyBorder="1" applyAlignment="1">
      <alignment horizontal="center" vertical="center" wrapText="1"/>
    </xf>
    <xf numFmtId="3" fontId="6" fillId="0" borderId="112" xfId="0" applyNumberFormat="1" applyFont="1" applyBorder="1" applyAlignment="1">
      <alignment horizontal="center" vertical="center" wrapText="1"/>
    </xf>
    <xf numFmtId="0" fontId="6" fillId="0" borderId="65" xfId="0" applyFont="1" applyBorder="1" applyAlignment="1">
      <alignment horizontal="left" vertical="center" wrapText="1" indent="2"/>
    </xf>
    <xf numFmtId="0" fontId="8" fillId="0" borderId="0" xfId="0" applyFont="1" applyAlignment="1">
      <alignment horizontal="center" vertical="center"/>
    </xf>
    <xf numFmtId="0" fontId="6" fillId="0" borderId="0" xfId="0" applyFont="1" applyAlignment="1">
      <alignment horizontal="left" vertical="center" wrapText="1" indent="6"/>
    </xf>
    <xf numFmtId="0" fontId="23" fillId="0" borderId="65" xfId="0" applyFont="1" applyBorder="1" applyAlignment="1">
      <alignment horizontal="left" vertical="center" wrapText="1" indent="7"/>
    </xf>
    <xf numFmtId="0" fontId="6" fillId="0" borderId="106" xfId="0" applyFont="1" applyBorder="1" applyAlignment="1">
      <alignment horizontal="center" vertical="center" wrapText="1"/>
    </xf>
    <xf numFmtId="0" fontId="6" fillId="0" borderId="107" xfId="0" applyFont="1" applyBorder="1" applyAlignment="1">
      <alignment horizontal="center" vertical="center" wrapText="1"/>
    </xf>
    <xf numFmtId="0" fontId="6" fillId="0" borderId="108" xfId="0" applyFont="1" applyBorder="1" applyAlignment="1">
      <alignment horizontal="center" vertical="center" wrapText="1"/>
    </xf>
    <xf numFmtId="0" fontId="6" fillId="0" borderId="0" xfId="0" applyFont="1" applyAlignment="1">
      <alignment horizontal="left" vertical="justify" wrapText="1" indent="8"/>
    </xf>
    <xf numFmtId="0" fontId="87" fillId="0" borderId="65" xfId="0" applyFont="1" applyBorder="1" applyAlignment="1">
      <alignment horizontal="left" vertical="center" wrapText="1" indent="2"/>
    </xf>
    <xf numFmtId="0" fontId="6" fillId="0" borderId="0" xfId="0" applyFont="1" applyAlignment="1">
      <alignment horizontal="left" vertical="center" indent="7"/>
    </xf>
    <xf numFmtId="0" fontId="6" fillId="0" borderId="0" xfId="0" applyFont="1" applyAlignment="1">
      <alignment horizontal="left" vertical="center" indent="6"/>
    </xf>
    <xf numFmtId="0" fontId="6" fillId="0" borderId="0" xfId="0" applyFont="1" applyAlignment="1">
      <alignment horizontal="left" vertical="center" wrapText="1" indent="7"/>
    </xf>
    <xf numFmtId="0" fontId="6" fillId="0" borderId="0" xfId="0" applyFont="1" applyAlignment="1">
      <alignment horizontal="left" vertical="center" indent="4"/>
    </xf>
    <xf numFmtId="0" fontId="86" fillId="0" borderId="0" xfId="0" applyFont="1" applyAlignment="1">
      <alignment horizontal="left" vertical="center" indent="4"/>
    </xf>
    <xf numFmtId="0" fontId="6" fillId="0" borderId="0" xfId="0" applyFont="1" applyAlignment="1">
      <alignment horizontal="left" vertical="center" wrapText="1" indent="8"/>
    </xf>
    <xf numFmtId="0" fontId="6" fillId="0" borderId="65" xfId="0" applyFont="1" applyBorder="1" applyAlignment="1">
      <alignment vertical="top" wrapText="1"/>
    </xf>
    <xf numFmtId="0" fontId="71" fillId="0" borderId="65" xfId="0" applyFont="1" applyBorder="1" applyAlignment="1">
      <alignment horizontal="left" vertical="center" wrapText="1" indent="2"/>
    </xf>
    <xf numFmtId="0" fontId="16" fillId="0" borderId="0" xfId="0" applyFont="1" applyAlignment="1">
      <alignment horizontal="justify" vertical="center"/>
    </xf>
    <xf numFmtId="0" fontId="6" fillId="0" borderId="0" xfId="0" applyFont="1" applyAlignment="1">
      <alignment horizontal="left" vertical="center" indent="1"/>
    </xf>
    <xf numFmtId="0" fontId="5" fillId="0" borderId="0" xfId="0" applyFont="1" applyAlignment="1">
      <alignment horizontal="left" vertical="center" indent="2"/>
    </xf>
    <xf numFmtId="0" fontId="71" fillId="0" borderId="65" xfId="0" applyFont="1" applyBorder="1" applyAlignment="1">
      <alignment horizontal="left" vertical="center" wrapText="1"/>
    </xf>
    <xf numFmtId="0" fontId="81" fillId="0" borderId="109" xfId="0" applyFont="1" applyBorder="1" applyAlignment="1">
      <alignment horizontal="center" vertical="center" textRotation="255" wrapText="1"/>
    </xf>
    <xf numFmtId="0" fontId="81" fillId="0" borderId="65" xfId="0" applyFont="1" applyBorder="1" applyAlignment="1">
      <alignment horizontal="center" vertical="center" textRotation="255" wrapText="1"/>
    </xf>
    <xf numFmtId="0" fontId="81" fillId="0" borderId="111" xfId="0" applyFont="1" applyBorder="1" applyAlignment="1">
      <alignment horizontal="center" vertical="center" textRotation="255" wrapText="1"/>
    </xf>
    <xf numFmtId="0" fontId="81" fillId="0" borderId="112" xfId="0" applyFont="1" applyBorder="1" applyAlignment="1">
      <alignment horizontal="center" vertical="center" textRotation="255" wrapText="1"/>
    </xf>
    <xf numFmtId="0" fontId="6" fillId="0" borderId="100" xfId="0" applyFont="1" applyBorder="1" applyAlignment="1">
      <alignment horizontal="left" vertical="center" wrapText="1"/>
    </xf>
    <xf numFmtId="0" fontId="6" fillId="0" borderId="101" xfId="0" applyFont="1" applyBorder="1" applyAlignment="1">
      <alignment horizontal="left" vertical="center" wrapText="1"/>
    </xf>
    <xf numFmtId="0" fontId="6" fillId="0" borderId="102" xfId="0" applyFont="1" applyBorder="1" applyAlignment="1">
      <alignment horizontal="left" vertical="center" wrapText="1"/>
    </xf>
    <xf numFmtId="0" fontId="4" fillId="0" borderId="65" xfId="0" applyFont="1" applyBorder="1" applyAlignment="1">
      <alignment horizontal="left" vertical="center" wrapText="1" indent="2"/>
    </xf>
    <xf numFmtId="0" fontId="5" fillId="0" borderId="65" xfId="0" applyFont="1" applyBorder="1" applyAlignment="1">
      <alignment horizontal="left" vertical="center" wrapText="1"/>
    </xf>
    <xf numFmtId="0" fontId="5" fillId="0" borderId="112" xfId="0" applyFont="1" applyBorder="1" applyAlignment="1">
      <alignment horizontal="left" vertical="center" wrapText="1"/>
    </xf>
    <xf numFmtId="0" fontId="6" fillId="0" borderId="0" xfId="0" applyFont="1"/>
    <xf numFmtId="0" fontId="6" fillId="0" borderId="99" xfId="0" applyFont="1" applyBorder="1" applyAlignment="1">
      <alignment vertical="center" wrapText="1"/>
    </xf>
    <xf numFmtId="0" fontId="4" fillId="0" borderId="110" xfId="0" applyFont="1" applyBorder="1" applyAlignment="1">
      <alignment horizontal="left" vertical="center" wrapText="1"/>
    </xf>
    <xf numFmtId="0" fontId="4" fillId="0" borderId="112" xfId="0" applyFont="1" applyBorder="1" applyAlignment="1">
      <alignment horizontal="left" vertical="center" wrapText="1"/>
    </xf>
    <xf numFmtId="0" fontId="4" fillId="0" borderId="113" xfId="0" applyFont="1" applyBorder="1" applyAlignment="1">
      <alignment horizontal="left" vertical="center" wrapText="1"/>
    </xf>
    <xf numFmtId="0" fontId="7" fillId="0" borderId="65" xfId="0" applyFont="1" applyBorder="1" applyAlignment="1">
      <alignment horizontal="left" vertical="center" wrapText="1"/>
    </xf>
    <xf numFmtId="0" fontId="4" fillId="0" borderId="65" xfId="0" applyFont="1" applyBorder="1" applyAlignment="1">
      <alignment horizontal="left" vertical="center" wrapText="1" indent="1"/>
    </xf>
    <xf numFmtId="0" fontId="81" fillId="0" borderId="109" xfId="0" applyFont="1" applyBorder="1" applyAlignment="1">
      <alignment horizontal="center" vertical="center" wrapText="1"/>
    </xf>
    <xf numFmtId="0" fontId="81" fillId="0" borderId="65" xfId="0" applyFont="1" applyBorder="1" applyAlignment="1">
      <alignment horizontal="center" vertical="center" wrapText="1"/>
    </xf>
    <xf numFmtId="0" fontId="4" fillId="0" borderId="109" xfId="0" applyFont="1" applyBorder="1" applyAlignment="1">
      <alignment horizontal="center" vertical="center" wrapText="1"/>
    </xf>
    <xf numFmtId="0" fontId="78" fillId="0" borderId="65" xfId="0" applyFont="1" applyBorder="1" applyAlignment="1">
      <alignment horizontal="left" vertical="center" wrapText="1" indent="1"/>
    </xf>
    <xf numFmtId="0" fontId="6" fillId="0" borderId="0" xfId="0" applyFont="1" applyAlignment="1">
      <alignment horizontal="left" vertical="center" wrapText="1" indent="1"/>
    </xf>
    <xf numFmtId="0" fontId="5" fillId="0" borderId="0" xfId="0" applyFont="1" applyAlignment="1">
      <alignment horizontal="left" vertical="center" wrapText="1" indent="3"/>
    </xf>
    <xf numFmtId="0" fontId="6" fillId="0" borderId="0" xfId="0" applyFont="1" applyAlignment="1">
      <alignment horizontal="left" vertical="center" wrapText="1" indent="2"/>
    </xf>
    <xf numFmtId="0" fontId="5" fillId="0" borderId="45" xfId="0" applyFont="1" applyBorder="1" applyAlignment="1">
      <alignment horizontal="justify" vertical="center"/>
    </xf>
    <xf numFmtId="0" fontId="5" fillId="0" borderId="46" xfId="0" applyFont="1" applyBorder="1" applyAlignment="1">
      <alignment horizontal="justify" vertical="center"/>
    </xf>
    <xf numFmtId="0" fontId="5" fillId="0" borderId="47" xfId="0" applyFont="1" applyBorder="1" applyAlignment="1">
      <alignment horizontal="justify" vertical="center"/>
    </xf>
    <xf numFmtId="0" fontId="3" fillId="0" borderId="45" xfId="0" applyFont="1" applyBorder="1" applyAlignment="1">
      <alignment horizontal="justify" vertical="center"/>
    </xf>
    <xf numFmtId="0" fontId="3" fillId="0" borderId="46" xfId="0" applyFont="1" applyBorder="1" applyAlignment="1">
      <alignment horizontal="justify" vertical="center"/>
    </xf>
    <xf numFmtId="0" fontId="3" fillId="0" borderId="47" xfId="0" applyFont="1" applyBorder="1" applyAlignment="1">
      <alignment horizontal="justify" vertical="center"/>
    </xf>
    <xf numFmtId="0" fontId="6" fillId="0" borderId="0" xfId="0" applyFont="1" applyAlignment="1">
      <alignment horizontal="left" indent="5"/>
    </xf>
    <xf numFmtId="0" fontId="49" fillId="22" borderId="54" xfId="0" applyFont="1" applyFill="1" applyBorder="1" applyAlignment="1">
      <alignment horizontal="center"/>
    </xf>
    <xf numFmtId="0" fontId="49" fillId="22" borderId="46" xfId="0" applyFont="1" applyFill="1" applyBorder="1" applyAlignment="1">
      <alignment horizontal="center"/>
    </xf>
    <xf numFmtId="0" fontId="49" fillId="22" borderId="47" xfId="0" applyFont="1" applyFill="1" applyBorder="1" applyAlignment="1">
      <alignment horizontal="center"/>
    </xf>
    <xf numFmtId="0" fontId="6" fillId="0" borderId="51" xfId="0" applyFont="1" applyBorder="1" applyAlignment="1">
      <alignment horizontal="center"/>
    </xf>
    <xf numFmtId="0" fontId="6" fillId="0" borderId="0" xfId="0" applyFont="1" applyAlignment="1">
      <alignment horizontal="right"/>
    </xf>
    <xf numFmtId="0" fontId="104" fillId="9" borderId="132" xfId="0" applyFont="1" applyFill="1" applyBorder="1" applyAlignment="1">
      <alignment horizontal="center" vertical="center" wrapText="1"/>
    </xf>
    <xf numFmtId="0" fontId="104" fillId="9" borderId="133" xfId="0" applyFont="1" applyFill="1" applyBorder="1" applyAlignment="1">
      <alignment horizontal="center" vertical="center" wrapText="1"/>
    </xf>
    <xf numFmtId="0" fontId="23" fillId="9" borderId="132" xfId="0" applyFont="1" applyFill="1" applyBorder="1" applyAlignment="1">
      <alignment horizontal="center" vertical="center" wrapText="1"/>
    </xf>
    <xf numFmtId="0" fontId="23" fillId="9" borderId="133" xfId="0" applyFont="1" applyFill="1" applyBorder="1" applyAlignment="1">
      <alignment horizontal="center" vertical="center" wrapText="1"/>
    </xf>
    <xf numFmtId="0" fontId="23" fillId="9" borderId="132" xfId="0" applyFont="1" applyFill="1" applyBorder="1" applyAlignment="1">
      <alignment horizontal="center" wrapText="1"/>
    </xf>
    <xf numFmtId="0" fontId="23" fillId="9" borderId="130" xfId="0" applyFont="1" applyFill="1" applyBorder="1" applyAlignment="1">
      <alignment horizontal="center" wrapText="1"/>
    </xf>
    <xf numFmtId="0" fontId="93" fillId="26" borderId="0" xfId="0" applyFont="1" applyFill="1" applyAlignment="1">
      <alignment horizontal="center"/>
    </xf>
    <xf numFmtId="0" fontId="49" fillId="22" borderId="45" xfId="0" applyFont="1" applyFill="1" applyBorder="1" applyAlignment="1">
      <alignment horizontal="center"/>
    </xf>
    <xf numFmtId="0" fontId="112" fillId="3" borderId="46" xfId="0" applyFont="1" applyFill="1" applyBorder="1" applyAlignment="1">
      <alignment horizontal="center"/>
    </xf>
    <xf numFmtId="0" fontId="112" fillId="3" borderId="47" xfId="0" applyFont="1" applyFill="1" applyBorder="1" applyAlignment="1">
      <alignment horizontal="center"/>
    </xf>
    <xf numFmtId="0" fontId="5" fillId="0" borderId="0" xfId="0" applyFont="1" applyAlignment="1">
      <alignment horizontal="left" vertical="center"/>
    </xf>
    <xf numFmtId="0" fontId="6" fillId="0" borderId="0" xfId="0" applyFont="1" applyAlignment="1">
      <alignment horizontal="left" vertical="center" wrapText="1" indent="5"/>
    </xf>
    <xf numFmtId="0" fontId="5" fillId="0" borderId="0" xfId="0" applyFont="1" applyAlignment="1">
      <alignment horizontal="left" vertical="center" wrapText="1" indent="1"/>
    </xf>
    <xf numFmtId="0" fontId="6" fillId="22" borderId="57" xfId="0" applyFont="1" applyFill="1" applyBorder="1" applyAlignment="1">
      <alignment horizontal="center"/>
    </xf>
    <xf numFmtId="0" fontId="6" fillId="22" borderId="59" xfId="0" applyFont="1" applyFill="1" applyBorder="1" applyAlignment="1">
      <alignment horizontal="center"/>
    </xf>
    <xf numFmtId="0" fontId="6" fillId="22" borderId="58" xfId="0" applyFont="1" applyFill="1" applyBorder="1" applyAlignment="1">
      <alignment horizontal="center"/>
    </xf>
    <xf numFmtId="0" fontId="7" fillId="3" borderId="7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6" xfId="0" applyFont="1" applyFill="1" applyBorder="1" applyAlignment="1">
      <alignment horizontal="center" vertical="center" wrapText="1"/>
    </xf>
    <xf numFmtId="0" fontId="7" fillId="3" borderId="114" xfId="0" applyFont="1" applyFill="1" applyBorder="1" applyAlignment="1">
      <alignment horizontal="center" vertical="center" wrapText="1"/>
    </xf>
    <xf numFmtId="0" fontId="108" fillId="24" borderId="72" xfId="0" applyFont="1" applyFill="1" applyBorder="1" applyAlignment="1">
      <alignment horizontal="center" vertical="center" wrapText="1"/>
    </xf>
    <xf numFmtId="0" fontId="108" fillId="24" borderId="0" xfId="0" applyFont="1" applyFill="1" applyAlignment="1">
      <alignment horizontal="center" vertical="center" wrapText="1"/>
    </xf>
    <xf numFmtId="0" fontId="6" fillId="0" borderId="51" xfId="0" applyFont="1" applyBorder="1" applyAlignment="1">
      <alignment horizontal="justify" vertical="center"/>
    </xf>
    <xf numFmtId="0" fontId="6" fillId="0" borderId="51" xfId="0" applyFont="1" applyBorder="1"/>
    <xf numFmtId="0" fontId="60" fillId="0" borderId="54" xfId="0" applyFont="1" applyBorder="1" applyAlignment="1">
      <alignment horizontal="center" vertical="center"/>
    </xf>
    <xf numFmtId="0" fontId="60" fillId="0" borderId="72" xfId="0"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52" xfId="0" applyFont="1" applyBorder="1" applyAlignment="1">
      <alignment horizontal="center" vertical="center"/>
    </xf>
    <xf numFmtId="0" fontId="6" fillId="0" borderId="157" xfId="0" applyFont="1" applyBorder="1" applyAlignment="1">
      <alignment horizontal="center"/>
    </xf>
    <xf numFmtId="0" fontId="1" fillId="0" borderId="157" xfId="0" applyFont="1" applyBorder="1" applyAlignment="1">
      <alignment horizontal="justify" vertical="center" wrapText="1"/>
    </xf>
    <xf numFmtId="0" fontId="1" fillId="0" borderId="157" xfId="0" applyFont="1" applyBorder="1" applyAlignment="1">
      <alignment horizontal="left" vertical="center" wrapText="1"/>
    </xf>
    <xf numFmtId="0" fontId="6" fillId="0" borderId="117" xfId="0" applyFont="1" applyBorder="1" applyAlignment="1">
      <alignment horizontal="justify" vertical="center" wrapText="1"/>
    </xf>
    <xf numFmtId="0" fontId="6" fillId="0" borderId="157" xfId="0" applyFont="1" applyBorder="1" applyAlignment="1">
      <alignment horizontal="justify" vertical="center" wrapText="1"/>
    </xf>
    <xf numFmtId="0" fontId="6" fillId="0" borderId="72" xfId="0" applyFont="1" applyBorder="1" applyAlignment="1">
      <alignment horizontal="right" wrapText="1"/>
    </xf>
    <xf numFmtId="0" fontId="6" fillId="0" borderId="0" xfId="0" applyFont="1" applyAlignment="1">
      <alignment horizontal="right" wrapText="1"/>
    </xf>
    <xf numFmtId="0" fontId="6" fillId="0" borderId="54" xfId="0" applyFont="1" applyBorder="1" applyAlignment="1">
      <alignment horizontal="center"/>
    </xf>
    <xf numFmtId="0" fontId="6" fillId="0" borderId="55" xfId="0" applyFont="1" applyBorder="1" applyAlignment="1">
      <alignment horizontal="center"/>
    </xf>
    <xf numFmtId="0" fontId="63" fillId="31" borderId="55" xfId="0" applyFont="1" applyFill="1" applyBorder="1"/>
    <xf numFmtId="0" fontId="1" fillId="0" borderId="0" xfId="0" applyFont="1" applyAlignment="1">
      <alignment horizontal="center" vertical="center"/>
    </xf>
    <xf numFmtId="0" fontId="1" fillId="0" borderId="115" xfId="0" applyFont="1" applyBorder="1" applyAlignment="1">
      <alignment horizontal="center" vertical="center"/>
    </xf>
    <xf numFmtId="0" fontId="6" fillId="0" borderId="55" xfId="0" applyFont="1" applyBorder="1" applyAlignment="1">
      <alignment vertical="center" wrapText="1"/>
    </xf>
    <xf numFmtId="0" fontId="6" fillId="0" borderId="69" xfId="0" applyFont="1" applyBorder="1" applyAlignment="1">
      <alignment vertical="center" wrapText="1"/>
    </xf>
    <xf numFmtId="0" fontId="6" fillId="0" borderId="26" xfId="0" applyFont="1" applyBorder="1" applyAlignment="1">
      <alignment horizontal="left" vertical="center" wrapText="1"/>
    </xf>
    <xf numFmtId="0" fontId="6" fillId="0" borderId="8" xfId="0" applyFont="1" applyBorder="1" applyAlignment="1">
      <alignment horizontal="left" vertical="center" wrapText="1"/>
    </xf>
    <xf numFmtId="0" fontId="6" fillId="0" borderId="31" xfId="0" applyFont="1" applyBorder="1" applyAlignment="1">
      <alignment horizontal="justify" vertical="center" wrapText="1"/>
    </xf>
    <xf numFmtId="0" fontId="6" fillId="0" borderId="60" xfId="0" applyFont="1" applyBorder="1" applyAlignment="1">
      <alignment horizontal="justify" vertical="center" wrapText="1"/>
    </xf>
    <xf numFmtId="0" fontId="6" fillId="33" borderId="0" xfId="0" applyFont="1" applyFill="1" applyAlignment="1">
      <alignment horizontal="center"/>
    </xf>
    <xf numFmtId="0" fontId="6" fillId="33" borderId="51" xfId="0" applyFont="1" applyFill="1" applyBorder="1" applyAlignment="1">
      <alignment horizontal="center"/>
    </xf>
    <xf numFmtId="0" fontId="6" fillId="5" borderId="72" xfId="0" applyFont="1" applyFill="1" applyBorder="1" applyAlignment="1">
      <alignment horizontal="center"/>
    </xf>
    <xf numFmtId="0" fontId="6" fillId="5" borderId="0" xfId="0" applyFont="1" applyFill="1" applyAlignment="1">
      <alignment horizontal="center"/>
    </xf>
    <xf numFmtId="178" fontId="117" fillId="0" borderId="149" xfId="8" applyFont="1" applyBorder="1" applyAlignment="1">
      <alignment horizontal="center" vertical="center"/>
    </xf>
    <xf numFmtId="178" fontId="117" fillId="0" borderId="152" xfId="8" applyFont="1" applyBorder="1" applyAlignment="1">
      <alignment horizontal="center" vertical="center"/>
    </xf>
    <xf numFmtId="178" fontId="117" fillId="0" borderId="154" xfId="8" applyFont="1" applyBorder="1" applyAlignment="1">
      <alignment horizontal="center" vertical="center"/>
    </xf>
    <xf numFmtId="0" fontId="1" fillId="0" borderId="114" xfId="0" applyFont="1" applyBorder="1" applyAlignment="1">
      <alignment horizontal="left" vertical="center"/>
    </xf>
    <xf numFmtId="0" fontId="6" fillId="0" borderId="117" xfId="0" applyFont="1" applyBorder="1" applyAlignment="1">
      <alignment vertical="center" wrapText="1"/>
    </xf>
    <xf numFmtId="0" fontId="6" fillId="0" borderId="157" xfId="0" applyFont="1" applyBorder="1" applyAlignment="1">
      <alignment vertical="center" wrapText="1"/>
    </xf>
    <xf numFmtId="0" fontId="1" fillId="0" borderId="157" xfId="0" applyFont="1" applyBorder="1" applyAlignment="1">
      <alignment horizontal="center" vertical="center" wrapText="1"/>
    </xf>
    <xf numFmtId="0" fontId="1" fillId="0" borderId="161" xfId="0" applyFont="1" applyBorder="1" applyAlignment="1">
      <alignment horizontal="center" vertical="center" wrapText="1"/>
    </xf>
    <xf numFmtId="0" fontId="1" fillId="0" borderId="158" xfId="0" applyFont="1" applyBorder="1" applyAlignment="1">
      <alignment horizontal="center" vertical="center" wrapText="1"/>
    </xf>
    <xf numFmtId="0" fontId="1" fillId="0" borderId="159" xfId="0" applyFont="1" applyBorder="1" applyAlignment="1">
      <alignment horizontal="center" vertical="center" wrapText="1"/>
    </xf>
    <xf numFmtId="0" fontId="6" fillId="0" borderId="157" xfId="0" applyFont="1" applyBorder="1" applyAlignment="1">
      <alignment horizontal="left" vertical="center" wrapText="1"/>
    </xf>
    <xf numFmtId="0" fontId="6" fillId="0" borderId="64" xfId="0" applyFont="1" applyBorder="1" applyAlignment="1">
      <alignment horizontal="justify" vertical="center" wrapText="1"/>
    </xf>
    <xf numFmtId="0" fontId="6" fillId="0" borderId="63" xfId="0" applyFont="1" applyBorder="1" applyAlignment="1">
      <alignment horizontal="justify" vertical="center" wrapText="1"/>
    </xf>
    <xf numFmtId="0" fontId="6" fillId="0" borderId="5" xfId="0" applyFont="1" applyBorder="1" applyAlignment="1">
      <alignment horizontal="justify" vertical="center" wrapText="1"/>
    </xf>
    <xf numFmtId="0" fontId="20" fillId="0" borderId="157" xfId="0" applyFont="1" applyBorder="1" applyAlignment="1">
      <alignment vertical="center" wrapText="1"/>
    </xf>
    <xf numFmtId="0" fontId="1" fillId="0" borderId="0" xfId="0" applyFont="1" applyAlignment="1">
      <alignment horizontal="left" vertical="center"/>
    </xf>
    <xf numFmtId="0" fontId="73" fillId="0" borderId="0" xfId="0" applyFont="1" applyAlignment="1">
      <alignment horizontal="left" vertical="center" indent="3"/>
    </xf>
    <xf numFmtId="0" fontId="6" fillId="0" borderId="45" xfId="0" applyFont="1" applyBorder="1" applyAlignment="1">
      <alignment horizontal="justify" vertical="center" wrapText="1"/>
    </xf>
    <xf numFmtId="0" fontId="6" fillId="0" borderId="47" xfId="0" applyFont="1" applyBorder="1" applyAlignment="1">
      <alignment horizontal="justify" vertical="center" wrapText="1"/>
    </xf>
    <xf numFmtId="0" fontId="5" fillId="0" borderId="45" xfId="0" applyFont="1" applyBorder="1" applyAlignment="1">
      <alignment horizontal="justify" vertical="center" wrapText="1"/>
    </xf>
    <xf numFmtId="0" fontId="5" fillId="0" borderId="47" xfId="0" applyFont="1" applyBorder="1" applyAlignment="1">
      <alignment horizontal="justify" vertical="center" wrapText="1"/>
    </xf>
    <xf numFmtId="0" fontId="5" fillId="0" borderId="52" xfId="0" applyFont="1" applyBorder="1" applyAlignment="1">
      <alignment horizontal="justify" vertical="center" wrapText="1"/>
    </xf>
    <xf numFmtId="0" fontId="5" fillId="0" borderId="49" xfId="0" applyFont="1" applyBorder="1" applyAlignment="1">
      <alignment horizontal="justify" vertical="center" wrapText="1"/>
    </xf>
    <xf numFmtId="0" fontId="5" fillId="0" borderId="54" xfId="0" applyFont="1" applyBorder="1" applyAlignment="1">
      <alignment horizontal="justify" vertical="center" wrapText="1"/>
    </xf>
    <xf numFmtId="0" fontId="5" fillId="0" borderId="69" xfId="0" applyFont="1" applyBorder="1" applyAlignment="1">
      <alignment horizontal="justify" vertical="center" wrapText="1"/>
    </xf>
    <xf numFmtId="0" fontId="73" fillId="0" borderId="99" xfId="0" applyFont="1" applyBorder="1" applyAlignment="1">
      <alignment horizontal="justify" vertical="center" wrapText="1"/>
    </xf>
    <xf numFmtId="0" fontId="73" fillId="0" borderId="61" xfId="0" applyFont="1" applyBorder="1" applyAlignment="1">
      <alignment horizontal="justify" vertical="center" wrapText="1"/>
    </xf>
    <xf numFmtId="0" fontId="68" fillId="0" borderId="0" xfId="0" applyFont="1" applyAlignment="1">
      <alignment horizontal="justify" vertical="center"/>
    </xf>
    <xf numFmtId="0" fontId="131" fillId="0" borderId="0" xfId="0" applyFont="1" applyAlignment="1">
      <alignment horizontal="justify" vertical="center"/>
    </xf>
    <xf numFmtId="0" fontId="0" fillId="0" borderId="0" xfId="0"/>
    <xf numFmtId="0" fontId="0" fillId="0" borderId="0" xfId="0" applyAlignment="1">
      <alignment horizontal="justify" vertical="center"/>
    </xf>
    <xf numFmtId="0" fontId="1" fillId="0" borderId="0" xfId="0" applyFont="1" applyAlignment="1">
      <alignment horizontal="justify" vertical="center"/>
    </xf>
    <xf numFmtId="0" fontId="131" fillId="0" borderId="0" xfId="0" applyFont="1" applyAlignment="1">
      <alignment horizontal="center" vertical="center"/>
    </xf>
    <xf numFmtId="0" fontId="118" fillId="0" borderId="0" xfId="0" applyFont="1" applyAlignment="1">
      <alignment horizontal="justify" vertical="center"/>
    </xf>
    <xf numFmtId="0" fontId="73" fillId="0" borderId="65" xfId="0" applyFont="1" applyBorder="1" applyAlignment="1">
      <alignment horizontal="justify" vertical="center" wrapText="1"/>
    </xf>
    <xf numFmtId="0" fontId="6" fillId="0" borderId="65" xfId="0" applyFont="1" applyBorder="1" applyAlignment="1">
      <alignment horizontal="justify" wrapText="1"/>
    </xf>
    <xf numFmtId="0" fontId="73" fillId="19" borderId="65" xfId="0" applyFont="1" applyFill="1" applyBorder="1" applyAlignment="1">
      <alignment horizontal="right" wrapText="1" indent="1"/>
    </xf>
    <xf numFmtId="44" fontId="73" fillId="0" borderId="65" xfId="10" applyFont="1" applyBorder="1" applyAlignment="1">
      <alignment wrapText="1"/>
    </xf>
    <xf numFmtId="10" fontId="23" fillId="0" borderId="65" xfId="0" applyNumberFormat="1" applyFont="1" applyBorder="1" applyAlignment="1">
      <alignment horizontal="right" wrapText="1" indent="1"/>
    </xf>
    <xf numFmtId="44" fontId="73" fillId="0" borderId="65" xfId="0" applyNumberFormat="1" applyFont="1" applyBorder="1" applyAlignment="1">
      <alignment horizontal="right" vertical="center" wrapText="1"/>
    </xf>
    <xf numFmtId="0" fontId="130" fillId="0" borderId="53" xfId="0" applyFont="1" applyBorder="1" applyAlignment="1">
      <alignment horizontal="left" vertical="center"/>
    </xf>
    <xf numFmtId="185" fontId="63" fillId="0" borderId="50" xfId="0" applyNumberFormat="1" applyFont="1" applyBorder="1" applyAlignment="1">
      <alignment horizontal="center" vertical="center" wrapText="1"/>
    </xf>
    <xf numFmtId="185" fontId="63" fillId="0" borderId="48" xfId="0" applyNumberFormat="1" applyFont="1" applyBorder="1" applyAlignment="1">
      <alignment horizontal="center" vertical="center" wrapText="1"/>
    </xf>
    <xf numFmtId="0" fontId="61" fillId="0" borderId="45" xfId="0" applyFont="1" applyBorder="1" applyAlignment="1">
      <alignment horizontal="center" vertical="center" wrapText="1"/>
    </xf>
    <xf numFmtId="0" fontId="61" fillId="0" borderId="46" xfId="0" applyFont="1" applyBorder="1" applyAlignment="1">
      <alignment horizontal="center" vertical="center" wrapText="1"/>
    </xf>
    <xf numFmtId="0" fontId="61" fillId="0" borderId="47" xfId="0" applyFont="1" applyBorder="1" applyAlignment="1">
      <alignment horizontal="center" vertical="center" wrapText="1"/>
    </xf>
    <xf numFmtId="0" fontId="63" fillId="0" borderId="45" xfId="0" applyFont="1" applyBorder="1" applyAlignment="1">
      <alignment vertical="center" wrapText="1"/>
    </xf>
    <xf numFmtId="0" fontId="63" fillId="0" borderId="46" xfId="0" applyFont="1" applyBorder="1" applyAlignment="1">
      <alignment vertical="center" wrapText="1"/>
    </xf>
    <xf numFmtId="0" fontId="63" fillId="0" borderId="47" xfId="0" applyFont="1" applyBorder="1" applyAlignment="1">
      <alignment vertical="center" wrapText="1"/>
    </xf>
    <xf numFmtId="0" fontId="63" fillId="0" borderId="50" xfId="0" applyFont="1" applyBorder="1" applyAlignment="1">
      <alignment horizontal="center" vertical="center" wrapText="1"/>
    </xf>
    <xf numFmtId="0" fontId="63" fillId="0" borderId="48" xfId="0" applyFont="1" applyBorder="1" applyAlignment="1">
      <alignment horizontal="center" vertical="center" wrapText="1"/>
    </xf>
    <xf numFmtId="185" fontId="63" fillId="0" borderId="50" xfId="0" applyNumberFormat="1" applyFont="1" applyBorder="1" applyAlignment="1">
      <alignment horizontal="right" vertical="center" wrapText="1"/>
    </xf>
    <xf numFmtId="185" fontId="63" fillId="0" borderId="48" xfId="0" applyNumberFormat="1" applyFont="1" applyBorder="1" applyAlignment="1">
      <alignment horizontal="right" vertical="center" wrapText="1"/>
    </xf>
    <xf numFmtId="185" fontId="63" fillId="0" borderId="78" xfId="0" applyNumberFormat="1" applyFont="1" applyBorder="1" applyAlignment="1">
      <alignment horizontal="right" vertical="center" wrapText="1"/>
    </xf>
    <xf numFmtId="0" fontId="64" fillId="0" borderId="45" xfId="0" applyFont="1" applyBorder="1" applyAlignment="1">
      <alignment horizontal="center" vertical="center" wrapText="1"/>
    </xf>
    <xf numFmtId="0" fontId="64" fillId="0" borderId="46" xfId="0" applyFont="1" applyBorder="1" applyAlignment="1">
      <alignment horizontal="center" vertical="center" wrapText="1"/>
    </xf>
    <xf numFmtId="0" fontId="64" fillId="0" borderId="47"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0" fontId="65" fillId="0" borderId="45" xfId="0" applyFont="1" applyBorder="1" applyAlignment="1">
      <alignment horizontal="center" vertical="center" wrapText="1"/>
    </xf>
    <xf numFmtId="0" fontId="65" fillId="0" borderId="46" xfId="0" applyFont="1" applyBorder="1" applyAlignment="1">
      <alignment horizontal="center" vertical="center" wrapText="1"/>
    </xf>
    <xf numFmtId="0" fontId="65" fillId="0" borderId="47" xfId="0" applyFont="1" applyBorder="1" applyAlignment="1">
      <alignment horizontal="center" vertical="center" wrapText="1"/>
    </xf>
    <xf numFmtId="0" fontId="63" fillId="14" borderId="45" xfId="0" applyFont="1" applyFill="1" applyBorder="1" applyAlignment="1">
      <alignment horizontal="center" vertical="center" wrapText="1"/>
    </xf>
    <xf numFmtId="0" fontId="63" fillId="14" borderId="46" xfId="0" applyFont="1" applyFill="1" applyBorder="1" applyAlignment="1">
      <alignment horizontal="center" vertical="center" wrapText="1"/>
    </xf>
    <xf numFmtId="0" fontId="63" fillId="14" borderId="47" xfId="0" applyFont="1" applyFill="1" applyBorder="1" applyAlignment="1">
      <alignment horizontal="center" vertical="center" wrapText="1"/>
    </xf>
    <xf numFmtId="0" fontId="63" fillId="17" borderId="45" xfId="0" applyFont="1" applyFill="1" applyBorder="1" applyAlignment="1">
      <alignment horizontal="center" vertical="center" wrapText="1"/>
    </xf>
    <xf numFmtId="0" fontId="63" fillId="17" borderId="46" xfId="0" applyFont="1" applyFill="1" applyBorder="1" applyAlignment="1">
      <alignment horizontal="center" vertical="center" wrapText="1"/>
    </xf>
    <xf numFmtId="0" fontId="63" fillId="17" borderId="47" xfId="0" applyFont="1" applyFill="1" applyBorder="1" applyAlignment="1">
      <alignment horizontal="center" vertical="center" wrapText="1"/>
    </xf>
    <xf numFmtId="185" fontId="64" fillId="18" borderId="54" xfId="0" applyNumberFormat="1" applyFont="1" applyFill="1" applyBorder="1" applyAlignment="1">
      <alignment horizontal="center" vertical="center" wrapText="1"/>
    </xf>
    <xf numFmtId="185" fontId="64" fillId="18" borderId="55" xfId="0" applyNumberFormat="1" applyFont="1" applyFill="1" applyBorder="1" applyAlignment="1">
      <alignment horizontal="center" vertical="center" wrapText="1"/>
    </xf>
    <xf numFmtId="0" fontId="64" fillId="6" borderId="46" xfId="0" applyFont="1" applyFill="1" applyBorder="1" applyAlignment="1">
      <alignment horizontal="center" vertical="center" wrapText="1"/>
    </xf>
    <xf numFmtId="0" fontId="64" fillId="6" borderId="47" xfId="0" applyFont="1" applyFill="1" applyBorder="1" applyAlignment="1">
      <alignment horizontal="center" vertical="center" wrapText="1"/>
    </xf>
    <xf numFmtId="0" fontId="64" fillId="12" borderId="45" xfId="0" applyFont="1" applyFill="1" applyBorder="1" applyAlignment="1">
      <alignment horizontal="center" vertical="center" wrapText="1"/>
    </xf>
    <xf numFmtId="0" fontId="64" fillId="12" borderId="46" xfId="0" applyFont="1" applyFill="1" applyBorder="1" applyAlignment="1">
      <alignment horizontal="center" vertical="center" wrapText="1"/>
    </xf>
    <xf numFmtId="0" fontId="64" fillId="12" borderId="47" xfId="0" applyFont="1" applyFill="1" applyBorder="1" applyAlignment="1">
      <alignment horizontal="center" vertical="center" wrapText="1"/>
    </xf>
    <xf numFmtId="0" fontId="64" fillId="16" borderId="45" xfId="0" applyFont="1" applyFill="1" applyBorder="1" applyAlignment="1">
      <alignment horizontal="center" vertical="center" wrapText="1"/>
    </xf>
    <xf numFmtId="0" fontId="64" fillId="16" borderId="46" xfId="0" applyFont="1" applyFill="1" applyBorder="1" applyAlignment="1">
      <alignment horizontal="center" vertical="center" wrapText="1"/>
    </xf>
    <xf numFmtId="0" fontId="64" fillId="16" borderId="47" xfId="0" applyFont="1" applyFill="1" applyBorder="1" applyAlignment="1">
      <alignment horizontal="center" vertical="center" wrapText="1"/>
    </xf>
    <xf numFmtId="0" fontId="64" fillId="6" borderId="45" xfId="0" applyFont="1" applyFill="1" applyBorder="1" applyAlignment="1">
      <alignment horizontal="center" vertical="center" wrapText="1"/>
    </xf>
    <xf numFmtId="0" fontId="10" fillId="3" borderId="0" xfId="0" applyFont="1" applyFill="1" applyAlignment="1" applyProtection="1">
      <alignment horizontal="center"/>
      <protection locked="0"/>
    </xf>
    <xf numFmtId="0" fontId="14" fillId="0" borderId="0" xfId="0" applyFont="1" applyAlignment="1" applyProtection="1">
      <alignment horizontal="left" vertical="top" wrapText="1"/>
      <protection locked="0"/>
    </xf>
    <xf numFmtId="0" fontId="10" fillId="0" borderId="22" xfId="0" applyFont="1" applyBorder="1" applyAlignment="1">
      <alignment horizontal="center" vertical="center" wrapText="1"/>
    </xf>
    <xf numFmtId="0" fontId="0" fillId="3" borderId="1" xfId="0" applyFill="1" applyBorder="1" applyProtection="1">
      <protection locked="0"/>
    </xf>
    <xf numFmtId="0" fontId="0" fillId="0" borderId="19" xfId="0" applyBorder="1" applyProtection="1">
      <protection locked="0"/>
    </xf>
    <xf numFmtId="0" fontId="6" fillId="0" borderId="0" xfId="0" applyFont="1" applyAlignment="1" applyProtection="1">
      <alignment horizontal="left" vertical="top" wrapText="1"/>
      <protection locked="0"/>
    </xf>
    <xf numFmtId="0" fontId="22" fillId="3" borderId="0" xfId="0" applyFont="1" applyFill="1" applyAlignment="1" applyProtection="1">
      <alignment horizontal="center"/>
      <protection locked="0"/>
    </xf>
    <xf numFmtId="0" fontId="3" fillId="3" borderId="25" xfId="0" applyFont="1" applyFill="1" applyBorder="1" applyAlignment="1" applyProtection="1">
      <alignment horizontal="center" vertical="center"/>
      <protection locked="0"/>
    </xf>
    <xf numFmtId="0" fontId="28" fillId="3" borderId="0" xfId="0" applyFont="1" applyFill="1" applyAlignment="1" applyProtection="1">
      <alignment horizontal="center"/>
      <protection locked="0"/>
    </xf>
    <xf numFmtId="0" fontId="4" fillId="0" borderId="0" xfId="0" applyFont="1" applyAlignment="1" applyProtection="1">
      <alignment horizontal="left" vertical="top" wrapText="1"/>
      <protection locked="0"/>
    </xf>
    <xf numFmtId="179" fontId="0" fillId="2" borderId="1" xfId="0" applyNumberFormat="1" applyFill="1" applyBorder="1" applyAlignment="1" applyProtection="1">
      <alignment horizontal="center"/>
      <protection locked="0"/>
    </xf>
    <xf numFmtId="0" fontId="7" fillId="0" borderId="7" xfId="0" applyFont="1" applyBorder="1" applyAlignment="1">
      <alignment horizontal="center" vertical="center" wrapText="1"/>
    </xf>
    <xf numFmtId="0" fontId="0" fillId="0" borderId="22" xfId="0" applyBorder="1"/>
    <xf numFmtId="0" fontId="4" fillId="0" borderId="0" xfId="0" applyFont="1" applyAlignment="1" applyProtection="1">
      <alignment vertical="top" wrapText="1"/>
      <protection locked="0"/>
    </xf>
    <xf numFmtId="0" fontId="0" fillId="2" borderId="1" xfId="0" applyFill="1" applyBorder="1" applyAlignment="1" applyProtection="1">
      <alignment horizontal="center"/>
      <protection locked="0"/>
    </xf>
    <xf numFmtId="0" fontId="0" fillId="0" borderId="7" xfId="0" applyBorder="1" applyProtection="1">
      <protection locked="0"/>
    </xf>
    <xf numFmtId="0" fontId="0" fillId="2" borderId="16" xfId="0" applyFill="1" applyBorder="1" applyAlignment="1" applyProtection="1">
      <alignment horizontal="center"/>
      <protection locked="0"/>
    </xf>
    <xf numFmtId="0" fontId="0" fillId="2" borderId="34" xfId="0" applyFill="1" applyBorder="1" applyAlignment="1" applyProtection="1">
      <alignment horizontal="center"/>
      <protection locked="0"/>
    </xf>
    <xf numFmtId="0" fontId="0" fillId="0" borderId="0" xfId="0" applyProtection="1">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22"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40" fillId="0" borderId="157" xfId="0" applyFont="1" applyBorder="1" applyAlignment="1">
      <alignment horizontal="center" vertical="center" wrapText="1"/>
    </xf>
    <xf numFmtId="0" fontId="6" fillId="0" borderId="106" xfId="0" applyFont="1" applyBorder="1" applyAlignment="1">
      <alignment horizontal="justify" vertical="center" wrapText="1"/>
    </xf>
    <xf numFmtId="0" fontId="6" fillId="0" borderId="107" xfId="0" applyFont="1" applyBorder="1" applyAlignment="1">
      <alignment horizontal="justify" vertical="center" wrapText="1"/>
    </xf>
    <xf numFmtId="0" fontId="6" fillId="0" borderId="109" xfId="0" applyFont="1" applyBorder="1" applyAlignment="1">
      <alignment horizontal="justify" vertical="center" wrapText="1"/>
    </xf>
    <xf numFmtId="0" fontId="6" fillId="0" borderId="110" xfId="0" applyFont="1" applyBorder="1" applyAlignment="1">
      <alignment horizontal="center" vertical="center" wrapText="1"/>
    </xf>
    <xf numFmtId="0" fontId="1" fillId="0" borderId="110" xfId="0" applyFont="1" applyBorder="1" applyAlignment="1">
      <alignment horizontal="center" vertical="center" wrapText="1"/>
    </xf>
    <xf numFmtId="0" fontId="6" fillId="0" borderId="110" xfId="0" applyFont="1" applyBorder="1" applyAlignment="1">
      <alignment horizontal="left" vertical="center" wrapText="1" indent="2"/>
    </xf>
    <xf numFmtId="0" fontId="6" fillId="0" borderId="111" xfId="0" applyFont="1" applyBorder="1" applyAlignment="1">
      <alignment horizontal="justify" vertical="center" wrapText="1"/>
    </xf>
    <xf numFmtId="0" fontId="6" fillId="0" borderId="112" xfId="0" applyFont="1" applyBorder="1" applyAlignment="1">
      <alignment horizontal="justify" vertical="center" wrapText="1"/>
    </xf>
    <xf numFmtId="0" fontId="6" fillId="0" borderId="112" xfId="0" applyFont="1" applyBorder="1" applyAlignment="1">
      <alignment horizontal="center" vertical="center" wrapText="1"/>
    </xf>
    <xf numFmtId="0" fontId="6" fillId="0" borderId="113" xfId="0" applyFont="1" applyBorder="1" applyAlignment="1">
      <alignment horizontal="center" vertical="center" wrapText="1"/>
    </xf>
    <xf numFmtId="0" fontId="0" fillId="0" borderId="102" xfId="0" applyBorder="1" applyAlignment="1">
      <alignment vertical="center"/>
    </xf>
    <xf numFmtId="0" fontId="6" fillId="0" borderId="109" xfId="0" applyFont="1" applyBorder="1" applyAlignment="1">
      <alignment horizontal="center" vertical="center" wrapText="1"/>
    </xf>
    <xf numFmtId="0" fontId="0" fillId="0" borderId="110" xfId="0" applyBorder="1" applyAlignment="1">
      <alignment horizontal="center" vertical="center"/>
    </xf>
    <xf numFmtId="0" fontId="1" fillId="0" borderId="109" xfId="0" applyFont="1" applyBorder="1" applyAlignment="1">
      <alignment horizontal="center" vertical="center" wrapText="1"/>
    </xf>
    <xf numFmtId="3" fontId="1" fillId="0" borderId="110" xfId="0" applyNumberFormat="1" applyFont="1" applyBorder="1" applyAlignment="1">
      <alignment horizontal="center" vertical="center" wrapText="1"/>
    </xf>
    <xf numFmtId="0" fontId="1" fillId="0" borderId="109" xfId="0" applyFont="1" applyBorder="1" applyAlignment="1">
      <alignment horizontal="center" vertical="center" wrapText="1"/>
    </xf>
    <xf numFmtId="0" fontId="7" fillId="0" borderId="110" xfId="0" applyFont="1" applyBorder="1" applyAlignment="1">
      <alignment horizontal="center" vertical="center" wrapText="1"/>
    </xf>
    <xf numFmtId="0" fontId="0" fillId="0" borderId="109" xfId="0" applyBorder="1" applyAlignment="1">
      <alignment horizontal="center" vertical="center" wrapText="1"/>
    </xf>
    <xf numFmtId="9" fontId="1" fillId="0" borderId="110" xfId="0" applyNumberFormat="1" applyFont="1" applyBorder="1" applyAlignment="1">
      <alignment horizontal="center" vertical="center" wrapText="1"/>
    </xf>
    <xf numFmtId="0" fontId="6" fillId="0" borderId="109" xfId="0" applyFont="1" applyBorder="1" applyAlignment="1">
      <alignment horizontal="center" vertical="center" wrapText="1"/>
    </xf>
    <xf numFmtId="0" fontId="0" fillId="0" borderId="109" xfId="0" applyBorder="1" applyAlignment="1">
      <alignment horizontal="center" vertical="center" wrapText="1"/>
    </xf>
    <xf numFmtId="0" fontId="6" fillId="0" borderId="110" xfId="0" applyFont="1" applyBorder="1" applyAlignment="1">
      <alignment horizontal="left" vertical="center" wrapText="1"/>
    </xf>
    <xf numFmtId="0" fontId="1" fillId="0" borderId="111" xfId="0" applyFont="1" applyBorder="1" applyAlignment="1">
      <alignment horizontal="center" vertical="center" wrapText="1"/>
    </xf>
    <xf numFmtId="0" fontId="6" fillId="0" borderId="112" xfId="0" applyFont="1" applyBorder="1" applyAlignment="1">
      <alignment horizontal="left" vertical="center" wrapText="1"/>
    </xf>
    <xf numFmtId="0" fontId="1" fillId="0" borderId="66" xfId="0" applyFont="1" applyBorder="1" applyAlignment="1">
      <alignment horizontal="center" vertical="center" wrapText="1"/>
    </xf>
    <xf numFmtId="0" fontId="0" fillId="0" borderId="66" xfId="0" applyBorder="1" applyAlignment="1">
      <alignment horizontal="center" vertical="center"/>
    </xf>
    <xf numFmtId="0" fontId="0" fillId="0" borderId="183" xfId="0" applyBorder="1" applyAlignment="1">
      <alignment horizontal="center" vertical="center"/>
    </xf>
    <xf numFmtId="0" fontId="0" fillId="0" borderId="71" xfId="0" applyBorder="1" applyAlignment="1">
      <alignment vertical="center"/>
    </xf>
    <xf numFmtId="0" fontId="1" fillId="0" borderId="68" xfId="0" applyFont="1" applyBorder="1" applyAlignment="1">
      <alignment horizontal="center" vertical="center" wrapText="1"/>
    </xf>
    <xf numFmtId="0" fontId="6" fillId="0" borderId="175" xfId="0" applyFont="1" applyBorder="1" applyAlignment="1">
      <alignment horizontal="left" vertical="center" wrapText="1"/>
    </xf>
    <xf numFmtId="0" fontId="1" fillId="0" borderId="175" xfId="0" applyFont="1" applyBorder="1" applyAlignment="1">
      <alignment horizontal="center" vertical="center" wrapText="1"/>
    </xf>
    <xf numFmtId="0" fontId="0" fillId="0" borderId="175"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vertical="center"/>
    </xf>
    <xf numFmtId="0" fontId="1" fillId="0" borderId="175" xfId="0" applyFont="1" applyBorder="1" applyAlignment="1">
      <alignment horizontal="justify" vertical="center"/>
    </xf>
    <xf numFmtId="0" fontId="0" fillId="0" borderId="175" xfId="0" applyBorder="1" applyAlignment="1">
      <alignment vertical="center"/>
    </xf>
    <xf numFmtId="0" fontId="0" fillId="0" borderId="175" xfId="0" applyBorder="1" applyAlignment="1">
      <alignment vertical="center"/>
    </xf>
    <xf numFmtId="0" fontId="6" fillId="0" borderId="106" xfId="0" applyFont="1" applyBorder="1" applyAlignment="1">
      <alignment horizontal="justify" vertical="center" wrapText="1"/>
    </xf>
    <xf numFmtId="0" fontId="1" fillId="0" borderId="107" xfId="0" applyFont="1" applyBorder="1" applyAlignment="1">
      <alignment horizontal="justify" vertical="center" wrapText="1"/>
    </xf>
    <xf numFmtId="0" fontId="6" fillId="0" borderId="107" xfId="0" applyFont="1" applyBorder="1" applyAlignment="1">
      <alignment vertical="center" wrapText="1"/>
    </xf>
    <xf numFmtId="0" fontId="6" fillId="0" borderId="108" xfId="0" applyFont="1" applyBorder="1" applyAlignment="1">
      <alignment vertical="center" wrapText="1"/>
    </xf>
    <xf numFmtId="0" fontId="6" fillId="0" borderId="109" xfId="0" applyFont="1" applyBorder="1" applyAlignment="1">
      <alignment horizontal="justify" vertical="center" wrapText="1"/>
    </xf>
    <xf numFmtId="0" fontId="6" fillId="0" borderId="110" xfId="0" applyFont="1" applyBorder="1" applyAlignment="1">
      <alignment vertical="center" wrapText="1"/>
    </xf>
    <xf numFmtId="0" fontId="1" fillId="0" borderId="109" xfId="0" applyFont="1" applyBorder="1" applyAlignment="1">
      <alignment horizontal="left" vertical="center" wrapText="1"/>
    </xf>
    <xf numFmtId="0" fontId="1" fillId="0" borderId="109" xfId="0" applyFont="1" applyBorder="1" applyAlignment="1">
      <alignment horizontal="left" vertical="center" wrapText="1"/>
    </xf>
    <xf numFmtId="0" fontId="1" fillId="0" borderId="110" xfId="0" applyFont="1" applyBorder="1" applyAlignment="1">
      <alignment horizontal="left" vertical="center" wrapText="1"/>
    </xf>
    <xf numFmtId="0" fontId="0" fillId="0" borderId="109" xfId="0" applyBorder="1" applyAlignment="1">
      <alignment horizontal="left" vertical="center" wrapText="1"/>
    </xf>
    <xf numFmtId="9" fontId="6" fillId="0" borderId="110" xfId="0" applyNumberFormat="1" applyFont="1" applyBorder="1" applyAlignment="1">
      <alignment horizontal="left" vertical="center" wrapText="1"/>
    </xf>
    <xf numFmtId="0" fontId="1" fillId="0" borderId="111" xfId="0" applyFont="1" applyBorder="1" applyAlignment="1">
      <alignment horizontal="left" vertical="center" wrapText="1"/>
    </xf>
  </cellXfs>
  <cellStyles count="13">
    <cellStyle name="一般" xfId="0" builtinId="0" customBuiltin="1"/>
    <cellStyle name="一般_Sheet1" xfId="6" xr:uid="{00000000-0005-0000-0000-000001000000}"/>
    <cellStyle name="一般_Sheet2" xfId="7" xr:uid="{00000000-0005-0000-0000-000002000000}"/>
    <cellStyle name="一般_期中報告-會計報告" xfId="5" xr:uid="{00000000-0005-0000-0000-000003000000}"/>
    <cellStyle name="千分位" xfId="3" builtinId="3" customBuiltin="1"/>
    <cellStyle name="千分位[0]" xfId="4" builtinId="6" customBuiltin="1"/>
    <cellStyle name="大綱列_1" xfId="1" builtinId="1" iLevel="0"/>
    <cellStyle name="大綱欄_1" xfId="2" builtinId="2" iLevel="0"/>
    <cellStyle name="合計" xfId="11" builtinId="25"/>
    <cellStyle name="百分比" xfId="9" builtinId="5"/>
    <cellStyle name="貨幣" xfId="10" builtinId="4"/>
    <cellStyle name="貨幣[0]_Sheet1" xfId="8" xr:uid="{00000000-0005-0000-0000-000006000000}"/>
    <cellStyle name="超連結" xfId="12" builtinId="8"/>
  </cellStyles>
  <dxfs count="8">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0"/>
      </font>
      <fill>
        <patternFill>
          <bgColor theme="1"/>
        </patternFill>
      </fill>
    </dxf>
    <dxf>
      <font>
        <color theme="0"/>
      </font>
      <fill>
        <patternFill>
          <bgColor theme="1"/>
        </patternFill>
      </fill>
      <border>
        <left style="thin">
          <color auto="1"/>
        </left>
        <right style="thin">
          <color auto="1"/>
        </right>
        <top style="thin">
          <color auto="1"/>
        </top>
        <bottom style="thin">
          <color auto="1"/>
        </bottom>
      </border>
    </dxf>
    <dxf>
      <fill>
        <patternFill>
          <bgColor rgb="FFFF0000"/>
        </patternFill>
      </fill>
      <border>
        <vertical/>
        <horizontal/>
      </border>
    </dxf>
    <dxf>
      <font>
        <strike val="0"/>
      </font>
      <fill>
        <patternFill>
          <bgColor theme="4" tint="0.59996337778862885"/>
        </patternFill>
      </fill>
      <border>
        <left style="hair">
          <color theme="1"/>
        </left>
        <right style="hair">
          <color theme="1"/>
        </right>
        <top style="hair">
          <color theme="1"/>
        </top>
        <bottom style="thin">
          <color theme="1"/>
        </bottom>
        <vertical/>
        <horizontal/>
      </border>
    </dxf>
    <dxf>
      <fill>
        <patternFill>
          <bgColor theme="5" tint="0.79998168889431442"/>
        </patternFill>
      </fill>
    </dxf>
  </dxfs>
  <tableStyles count="0" defaultTableStyle="TableStyleMedium2" defaultPivotStyle="PivotStyleLight16"/>
  <colors>
    <mruColors>
      <color rgb="FFCCFFCC"/>
      <color rgb="FF6699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zh-TW">
                <a:latin typeface="851tegakizatsu" panose="02000600000000000000" pitchFamily="2" charset="-120"/>
                <a:ea typeface="851tegakizatsu" panose="02000600000000000000" pitchFamily="2" charset="-120"/>
                <a:cs typeface="851tegakizatsu" panose="02000600000000000000" pitchFamily="2" charset="-120"/>
              </a:rPr>
              <a:t>研發費用分配比例</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zh-TW"/>
        </a:p>
      </c:txPr>
    </c:title>
    <c:autoTitleDeleted val="0"/>
    <c:view3D>
      <c:rotX val="30"/>
      <c:rotY val="2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F74-4BED-A916-FC013BE57F8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F74-4BED-A916-FC013BE57F89}"/>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AF74-4BED-A916-FC013BE57F89}"/>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AF74-4BED-A916-FC013BE57F89}"/>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AF74-4BED-A916-FC013BE57F89}"/>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AF74-4BED-A916-FC013BE57F8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AF74-4BED-A916-FC013BE57F8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AF74-4BED-A916-FC013BE57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TW"/>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計畫架構圖表!$E$98:$E$105</c:f>
              <c:strCache>
                <c:ptCount val="8"/>
                <c:pt idx="0">
                  <c:v>勞務委外費</c:v>
                </c:pt>
                <c:pt idx="1">
                  <c:v>研發設備使用</c:v>
                </c:pt>
                <c:pt idx="2">
                  <c:v>委託開發</c:v>
                </c:pt>
                <c:pt idx="3">
                  <c:v>技術引進</c:v>
                </c:pt>
                <c:pt idx="4">
                  <c:v>驗證費用</c:v>
                </c:pt>
                <c:pt idx="5">
                  <c:v>顧問費用</c:v>
                </c:pt>
                <c:pt idx="6">
                  <c:v>其他費用</c:v>
                </c:pt>
                <c:pt idx="7">
                  <c:v>人事費用</c:v>
                </c:pt>
              </c:strCache>
            </c:strRef>
          </c:cat>
          <c:val>
            <c:numRef>
              <c:f>計畫架構圖表!$F$98:$F$105</c:f>
              <c:numCache>
                <c:formatCode>0.00_);[Red]\(0.00\)</c:formatCode>
                <c:ptCount val="8"/>
                <c:pt idx="0">
                  <c:v>260</c:v>
                </c:pt>
                <c:pt idx="1">
                  <c:v>147.38</c:v>
                </c:pt>
                <c:pt idx="2">
                  <c:v>500</c:v>
                </c:pt>
                <c:pt idx="3">
                  <c:v>1000</c:v>
                </c:pt>
                <c:pt idx="4">
                  <c:v>564.20000000000005</c:v>
                </c:pt>
                <c:pt idx="5">
                  <c:v>200</c:v>
                </c:pt>
                <c:pt idx="6">
                  <c:v>60</c:v>
                </c:pt>
                <c:pt idx="7" formatCode="0.00">
                  <c:v>1030.4720000000002</c:v>
                </c:pt>
              </c:numCache>
            </c:numRef>
          </c:val>
          <c:extLst>
            <c:ext xmlns:c16="http://schemas.microsoft.com/office/drawing/2014/chart" uri="{C3380CC4-5D6E-409C-BE32-E72D297353CC}">
              <c16:uniqueId val="{00000000-22AB-4769-94B8-5E3C5466734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a:latin typeface="851tegakizatsu" panose="02000600000000000000" pitchFamily="2" charset="-120"/>
                <a:ea typeface="851tegakizatsu" panose="02000600000000000000" pitchFamily="2" charset="-120"/>
                <a:cs typeface="851tegakizatsu" panose="02000600000000000000" pitchFamily="2" charset="-120"/>
              </a:rPr>
              <a:t>各分項計畫權重比例</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21-4BB6-8E6D-3F80D38D261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21-4BB6-8E6D-3F80D38D261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21-4BB6-8E6D-3F80D38D261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321-4BB6-8E6D-3F80D38D261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321-4BB6-8E6D-3F80D38D2615}"/>
              </c:ext>
            </c:extLst>
          </c:dPt>
          <c:cat>
            <c:strRef>
              <c:f>計畫架構圖表!$I$99:$I$103</c:f>
              <c:strCache>
                <c:ptCount val="5"/>
                <c:pt idx="0">
                  <c:v>A分項計畫  商業資訊中心設置計畫</c:v>
                </c:pt>
                <c:pt idx="1">
                  <c:v>B分項計畫 物業安全中心設置</c:v>
                </c:pt>
                <c:pt idx="2">
                  <c:v>C分項計畫 資訊、勞務系統開發</c:v>
                </c:pt>
                <c:pt idx="3">
                  <c:v>D分項計畫 各分项計畫串接結合及驗證控管</c:v>
                </c:pt>
                <c:pt idx="4">
                  <c:v>E分項計畫  計畫管考設備採購暨友善勞動制度及產業需求研發</c:v>
                </c:pt>
              </c:strCache>
            </c:strRef>
          </c:cat>
          <c:val>
            <c:numRef>
              <c:f>計畫架構圖表!$J$99:$J$103</c:f>
              <c:numCache>
                <c:formatCode>General</c:formatCode>
                <c:ptCount val="5"/>
                <c:pt idx="0">
                  <c:v>1658.7920000000001</c:v>
                </c:pt>
                <c:pt idx="1">
                  <c:v>219.2</c:v>
                </c:pt>
                <c:pt idx="2">
                  <c:v>625.52</c:v>
                </c:pt>
                <c:pt idx="3">
                  <c:v>710.63999999999987</c:v>
                </c:pt>
                <c:pt idx="4">
                  <c:v>547.90000000000009</c:v>
                </c:pt>
              </c:numCache>
            </c:numRef>
          </c:val>
          <c:extLst>
            <c:ext xmlns:c16="http://schemas.microsoft.com/office/drawing/2014/chart" uri="{C3380CC4-5D6E-409C-BE32-E72D297353CC}">
              <c16:uniqueId val="{00000000-2B35-4F89-9136-D72919B3D7F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lIns="0" tIns="0" rIns="0" bIns="0"/>
          <a:lstStyle/>
          <a:p>
            <a:pPr marL="0" marR="0" indent="0" algn="ctr" defTabSz="914400" fontAlgn="auto" hangingPunct="1">
              <a:lnSpc>
                <a:spcPct val="100000"/>
              </a:lnSpc>
              <a:spcBef>
                <a:spcPts val="0"/>
              </a:spcBef>
              <a:spcAft>
                <a:spcPts val="0"/>
              </a:spcAft>
              <a:tabLst/>
              <a:defRPr sz="1400" b="1" i="0" u="none" strike="noStrike" kern="1200" cap="none" baseline="0">
                <a:solidFill>
                  <a:srgbClr val="D9D9D9"/>
                </a:solidFill>
                <a:latin typeface="Calibri"/>
              </a:defRPr>
            </a:pPr>
            <a:r>
              <a:rPr lang="zh-TW" altLang="en-US" sz="1400" b="1" i="0" u="none" strike="noStrike" kern="1200" cap="none" spc="0" baseline="0">
                <a:solidFill>
                  <a:srgbClr val="D9D9D9"/>
                </a:solidFill>
                <a:uFillTx/>
                <a:latin typeface="Calibri"/>
              </a:rPr>
              <a:t>五常物業規劃顧問股份</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閉鎖型</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股份有限公司元素表</a:t>
            </a:r>
          </a:p>
        </c:rich>
      </c:tx>
      <c:layout>
        <c:manualLayout>
          <c:xMode val="edge"/>
          <c:yMode val="edge"/>
          <c:x val="0.17932250656167981"/>
          <c:y val="0"/>
        </c:manualLayout>
      </c:layout>
      <c:overlay val="0"/>
      <c:spPr>
        <a:noFill/>
        <a:ln>
          <a:noFill/>
        </a:ln>
      </c:spPr>
    </c:title>
    <c:autoTitleDeleted val="0"/>
    <c:plotArea>
      <c:layout/>
      <c:barChart>
        <c:barDir val="col"/>
        <c:grouping val="clustered"/>
        <c:varyColors val="0"/>
        <c:ser>
          <c:idx val="0"/>
          <c:order val="0"/>
          <c:tx>
            <c:v>數量</c:v>
          </c:tx>
          <c:spPr>
            <a:noFill/>
            <a:ln w="9528" cap="flat">
              <a:solidFill>
                <a:srgbClr val="70AD47"/>
              </a:solidFill>
              <a:prstDash val="solid"/>
              <a:miter/>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zh-TW"/>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Lit>
              <c:ptCount val="17"/>
              <c:pt idx="0">
                <c:v>社會 社安中心 圖片</c:v>
              </c:pt>
              <c:pt idx="1">
                <c:v>治理 社安中心 SDGs2</c:v>
              </c:pt>
              <c:pt idx="2">
                <c:v>治理 社安中心 SDGs3</c:v>
              </c:pt>
              <c:pt idx="3">
                <c:v>社會 環保中心 SDGs4</c:v>
              </c:pt>
              <c:pt idx="4">
                <c:v>社會 長照中心 SDGs5</c:v>
              </c:pt>
              <c:pt idx="5">
                <c:v>環境 環清中心 SDGs6</c:v>
              </c:pt>
              <c:pt idx="6">
                <c:v>環境 環清中心 SDGs7</c:v>
              </c:pt>
              <c:pt idx="7">
                <c:v>治理 商訓中心 SDGs8</c:v>
              </c:pt>
              <c:pt idx="8">
                <c:v>治理 商訓中心 SDGs9</c:v>
              </c:pt>
              <c:pt idx="9">
                <c:v>社會 長照中心 SDGs10</c:v>
              </c:pt>
              <c:pt idx="10">
                <c:v>治理 商訓中心 SDGs11</c:v>
              </c:pt>
              <c:pt idx="11">
                <c:v>環境 環清中心 SDGs12</c:v>
              </c:pt>
              <c:pt idx="12">
                <c:v>環境 環清中心 SDGs13</c:v>
              </c:pt>
              <c:pt idx="13">
                <c:v>環境 環清中心 SDGs14</c:v>
              </c:pt>
              <c:pt idx="14">
                <c:v>環境 環清中心 SDGs15</c:v>
              </c:pt>
              <c:pt idx="15">
                <c:v>社會 社安中心 SDGs16</c:v>
              </c:pt>
              <c:pt idx="16">
                <c:v>治理 商訊中心 SDGs17</c:v>
              </c:pt>
            </c:strLit>
          </c:cat>
          <c:val>
            <c:numLit>
              <c:formatCode>General</c:formatCode>
              <c:ptCount val="17"/>
              <c:pt idx="0">
                <c:v>1</c:v>
              </c:pt>
              <c:pt idx="1">
                <c:v>1</c:v>
              </c:pt>
              <c:pt idx="2">
                <c:v>2</c:v>
              </c:pt>
              <c:pt idx="3">
                <c:v>1</c:v>
              </c:pt>
              <c:pt idx="4">
                <c:v>1</c:v>
              </c:pt>
              <c:pt idx="5">
                <c:v>1</c:v>
              </c:pt>
              <c:pt idx="6">
                <c:v>2</c:v>
              </c:pt>
              <c:pt idx="7">
                <c:v>3</c:v>
              </c:pt>
              <c:pt idx="8">
                <c:v>7</c:v>
              </c:pt>
              <c:pt idx="9">
                <c:v>3</c:v>
              </c:pt>
              <c:pt idx="10">
                <c:v>4</c:v>
              </c:pt>
              <c:pt idx="11">
                <c:v>1</c:v>
              </c:pt>
              <c:pt idx="12">
                <c:v>3</c:v>
              </c:pt>
              <c:pt idx="13">
                <c:v>2</c:v>
              </c:pt>
              <c:pt idx="14">
                <c:v>2</c:v>
              </c:pt>
              <c:pt idx="15">
                <c:v>1</c:v>
              </c:pt>
              <c:pt idx="16">
                <c:v>9</c:v>
              </c:pt>
            </c:numLit>
          </c:val>
          <c:extLst>
            <c:ext xmlns:c16="http://schemas.microsoft.com/office/drawing/2014/chart" uri="{C3380CC4-5D6E-409C-BE32-E72D297353CC}">
              <c16:uniqueId val="{00000000-5912-47A8-AC18-C97E13C4A6FE}"/>
            </c:ext>
          </c:extLst>
        </c:ser>
        <c:dLbls>
          <c:showLegendKey val="0"/>
          <c:showVal val="0"/>
          <c:showCatName val="0"/>
          <c:showSerName val="0"/>
          <c:showPercent val="0"/>
          <c:showBubbleSize val="0"/>
        </c:dLbls>
        <c:gapWidth val="315"/>
        <c:overlap val="-40"/>
        <c:axId val="853975232"/>
        <c:axId val="620716048"/>
      </c:barChart>
      <c:valAx>
        <c:axId val="620716048"/>
        <c:scaling>
          <c:orientation val="minMax"/>
        </c:scaling>
        <c:delete val="0"/>
        <c:axPos val="l"/>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zh-TW" altLang="en-US" sz="900" b="1" i="0" u="none" strike="noStrike" kern="1200" cap="none" spc="0" baseline="0">
                    <a:solidFill>
                      <a:srgbClr val="BFBFBF"/>
                    </a:solidFill>
                    <a:uFillTx/>
                    <a:latin typeface="Calibri"/>
                  </a:rPr>
                  <a:t>工作項次</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zh-TW"/>
          </a:p>
        </c:txPr>
        <c:crossAx val="853975232"/>
        <c:crosses val="autoZero"/>
        <c:crossBetween val="between"/>
      </c:valAx>
      <c:catAx>
        <c:axId val="853975232"/>
        <c:scaling>
          <c:orientation val="minMax"/>
        </c:scaling>
        <c:delete val="0"/>
        <c:axPos val="b"/>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en-US" sz="900" b="1" i="0" u="none" strike="noStrike" kern="1200" cap="none" spc="0" baseline="0">
                    <a:solidFill>
                      <a:srgbClr val="BFBFBF"/>
                    </a:solidFill>
                    <a:uFillTx/>
                    <a:latin typeface="Calibri"/>
                  </a:rPr>
                  <a:t>ESG</a:t>
                </a:r>
                <a:r>
                  <a:rPr lang="zh-TW" altLang="en-US" sz="900" b="1" i="0" u="none" strike="noStrike" kern="1200" cap="none" spc="0" baseline="0">
                    <a:solidFill>
                      <a:srgbClr val="BFBFBF"/>
                    </a:solidFill>
                    <a:uFillTx/>
                    <a:latin typeface="Calibri"/>
                  </a:rPr>
                  <a:t>及所屬業務中心</a:t>
                </a:r>
              </a:p>
            </c:rich>
          </c:tx>
          <c:layout>
            <c:manualLayout>
              <c:xMode val="edge"/>
              <c:yMode val="edge"/>
              <c:x val="0.47758566637503647"/>
              <c:y val="0.89795619297587803"/>
            </c:manualLayout>
          </c:layout>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Aharoni" pitchFamily="2"/>
                <a:cs typeface="Aharoni" pitchFamily="2"/>
              </a:defRPr>
            </a:pPr>
            <a:endParaRPr lang="zh-TW"/>
          </a:p>
        </c:txPr>
        <c:crossAx val="620716048"/>
        <c:crosses val="autoZero"/>
        <c:auto val="1"/>
        <c:lblAlgn val="ctr"/>
        <c:lblOffset val="100"/>
        <c:noMultiLvlLbl val="0"/>
      </c:catAx>
      <c:spPr>
        <a:noFill/>
        <a:ln>
          <a:noFill/>
        </a:ln>
      </c:spPr>
    </c:plotArea>
    <c:plotVisOnly val="1"/>
    <c:dispBlanksAs val="gap"/>
    <c:showDLblsOverMax val="0"/>
  </c:chart>
  <c:spPr>
    <a:solidFill>
      <a:srgbClr val="404040"/>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000000"/>
          </a:solidFill>
          <a:latin typeface="Calibri"/>
        </a:defRPr>
      </a:pPr>
      <a:endParaRPr lang="zh-TW"/>
    </a:p>
  </c:txPr>
  <c:printSettings>
    <c:headerFooter/>
    <c:pageMargins b="0.75" l="0.7" r="0.7" t="0.75" header="0.3" footer="0.3"/>
    <c:pageSetup paperSize="9" orientation="landscape"/>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21" Type="http://schemas.openxmlformats.org/officeDocument/2006/relationships/image" Target="../media/image24.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5" Type="http://schemas.openxmlformats.org/officeDocument/2006/relationships/image" Target="../media/image28.png"/><Relationship Id="rId2" Type="http://schemas.openxmlformats.org/officeDocument/2006/relationships/image" Target="../media/image5.png"/><Relationship Id="rId16" Type="http://schemas.openxmlformats.org/officeDocument/2006/relationships/chart" Target="../charts/chart3.xml"/><Relationship Id="rId20" Type="http://schemas.openxmlformats.org/officeDocument/2006/relationships/image" Target="../media/image23.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24" Type="http://schemas.openxmlformats.org/officeDocument/2006/relationships/image" Target="../media/image27.png"/><Relationship Id="rId5" Type="http://schemas.openxmlformats.org/officeDocument/2006/relationships/image" Target="../media/image8.png"/><Relationship Id="rId15" Type="http://schemas.openxmlformats.org/officeDocument/2006/relationships/image" Target="../media/image18.png"/><Relationship Id="rId23" Type="http://schemas.openxmlformats.org/officeDocument/2006/relationships/image" Target="../media/image26.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 Id="rId22" Type="http://schemas.openxmlformats.org/officeDocument/2006/relationships/image" Target="../media/image2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xdr:from>
      <xdr:col>1</xdr:col>
      <xdr:colOff>480961</xdr:colOff>
      <xdr:row>106</xdr:row>
      <xdr:rowOff>318841</xdr:rowOff>
    </xdr:from>
    <xdr:to>
      <xdr:col>6</xdr:col>
      <xdr:colOff>4026</xdr:colOff>
      <xdr:row>124</xdr:row>
      <xdr:rowOff>126832</xdr:rowOff>
    </xdr:to>
    <xdr:graphicFrame macro="">
      <xdr:nvGraphicFramePr>
        <xdr:cNvPr id="3" name="圖表 2">
          <a:extLst>
            <a:ext uri="{FF2B5EF4-FFF2-40B4-BE49-F238E27FC236}">
              <a16:creationId xmlns:a16="http://schemas.microsoft.com/office/drawing/2014/main" id="{85C97AA9-36DB-BC94-4551-89F66E7DB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21813</xdr:colOff>
      <xdr:row>106</xdr:row>
      <xdr:rowOff>311435</xdr:rowOff>
    </xdr:from>
    <xdr:to>
      <xdr:col>15</xdr:col>
      <xdr:colOff>502448</xdr:colOff>
      <xdr:row>125</xdr:row>
      <xdr:rowOff>103026</xdr:rowOff>
    </xdr:to>
    <xdr:graphicFrame macro="">
      <xdr:nvGraphicFramePr>
        <xdr:cNvPr id="4" name="圖表 3">
          <a:extLst>
            <a:ext uri="{FF2B5EF4-FFF2-40B4-BE49-F238E27FC236}">
              <a16:creationId xmlns:a16="http://schemas.microsoft.com/office/drawing/2014/main" id="{64D2BB79-44F0-F9B7-3E09-DCB796AF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171</xdr:row>
      <xdr:rowOff>22860</xdr:rowOff>
    </xdr:from>
    <xdr:to>
      <xdr:col>7</xdr:col>
      <xdr:colOff>213360</xdr:colOff>
      <xdr:row>175</xdr:row>
      <xdr:rowOff>1432560</xdr:rowOff>
    </xdr:to>
    <xdr:pic>
      <xdr:nvPicPr>
        <xdr:cNvPr id="2" name="圖片 1" descr="一張含有 文字, 螢幕擷取畫面, 軟體, 電腦圖示 的圖片">
          <a:extLst>
            <a:ext uri="{FF2B5EF4-FFF2-40B4-BE49-F238E27FC236}">
              <a16:creationId xmlns:a16="http://schemas.microsoft.com/office/drawing/2014/main" id="{2448DC36-9888-8358-DDF7-14A588EBC97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060" y="54955440"/>
          <a:ext cx="496062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152400</xdr:colOff>
      <xdr:row>197</xdr:row>
      <xdr:rowOff>83820</xdr:rowOff>
    </xdr:from>
    <xdr:to>
      <xdr:col>8</xdr:col>
      <xdr:colOff>746760</xdr:colOff>
      <xdr:row>214</xdr:row>
      <xdr:rowOff>114300</xdr:rowOff>
    </xdr:to>
    <xdr:grpSp>
      <xdr:nvGrpSpPr>
        <xdr:cNvPr id="22530" name="Group 2">
          <a:extLst>
            <a:ext uri="{FF2B5EF4-FFF2-40B4-BE49-F238E27FC236}">
              <a16:creationId xmlns:a16="http://schemas.microsoft.com/office/drawing/2014/main" id="{F69E0C41-94F9-996B-E50B-52B91BC7633C}"/>
            </a:ext>
          </a:extLst>
        </xdr:cNvPr>
        <xdr:cNvGrpSpPr>
          <a:grpSpLocks/>
        </xdr:cNvGrpSpPr>
      </xdr:nvGrpSpPr>
      <xdr:grpSpPr bwMode="auto">
        <a:xfrm>
          <a:off x="152400" y="65740836"/>
          <a:ext cx="6493907" cy="3572589"/>
          <a:chOff x="406" y="6865"/>
          <a:chExt cx="11180" cy="5106"/>
        </a:xfrm>
      </xdr:grpSpPr>
      <xdr:grpSp>
        <xdr:nvGrpSpPr>
          <xdr:cNvPr id="22532" name="Group 4">
            <a:extLst>
              <a:ext uri="{FF2B5EF4-FFF2-40B4-BE49-F238E27FC236}">
                <a16:creationId xmlns:a16="http://schemas.microsoft.com/office/drawing/2014/main" id="{E056D8B8-92C1-B889-58C7-B9F76316A058}"/>
              </a:ext>
            </a:extLst>
          </xdr:cNvPr>
          <xdr:cNvGrpSpPr>
            <a:grpSpLocks/>
          </xdr:cNvGrpSpPr>
        </xdr:nvGrpSpPr>
        <xdr:grpSpPr bwMode="auto">
          <a:xfrm>
            <a:off x="406" y="6865"/>
            <a:ext cx="11180" cy="5106"/>
            <a:chOff x="406" y="6865"/>
            <a:chExt cx="11180" cy="5106"/>
          </a:xfrm>
        </xdr:grpSpPr>
        <xdr:sp macro="" textlink="">
          <xdr:nvSpPr>
            <xdr:cNvPr id="22547" name="手繪多邊形: 圖案 1183316613">
              <a:extLst>
                <a:ext uri="{FF2B5EF4-FFF2-40B4-BE49-F238E27FC236}">
                  <a16:creationId xmlns:a16="http://schemas.microsoft.com/office/drawing/2014/main" id="{7D58BB30-58B2-4D16-FCCA-8A2D62975B0D}"/>
                </a:ext>
              </a:extLst>
            </xdr:cNvPr>
            <xdr:cNvSpPr>
              <a:spLocks/>
            </xdr:cNvSpPr>
          </xdr:nvSpPr>
          <xdr:spPr bwMode="auto">
            <a:xfrm>
              <a:off x="461" y="8694"/>
              <a:ext cx="11125" cy="1457"/>
            </a:xfrm>
            <a:custGeom>
              <a:avLst/>
              <a:gdLst>
                <a:gd name="T0" fmla="*/ 45503 w 5486400"/>
                <a:gd name="T1" fmla="*/ 0 h 828317"/>
                <a:gd name="T2" fmla="*/ 91005 w 5486400"/>
                <a:gd name="T3" fmla="*/ 4749 h 828317"/>
                <a:gd name="T4" fmla="*/ 45503 w 5486400"/>
                <a:gd name="T5" fmla="*/ 9498 h 828317"/>
                <a:gd name="T6" fmla="*/ 0 w 5486400"/>
                <a:gd name="T7" fmla="*/ 4749 h 828317"/>
                <a:gd name="T8" fmla="*/ 0 w 5486400"/>
                <a:gd name="T9" fmla="*/ 950 h 828317"/>
                <a:gd name="T10" fmla="*/ 1374 w 5486400"/>
                <a:gd name="T11" fmla="*/ 0 h 828317"/>
                <a:gd name="T12" fmla="*/ 89631 w 5486400"/>
                <a:gd name="T13" fmla="*/ 0 h 828317"/>
                <a:gd name="T14" fmla="*/ 91005 w 5486400"/>
                <a:gd name="T15" fmla="*/ 950 h 828317"/>
                <a:gd name="T16" fmla="*/ 91005 w 5486400"/>
                <a:gd name="T17" fmla="*/ 8549 h 828317"/>
                <a:gd name="T18" fmla="*/ 89631 w 5486400"/>
                <a:gd name="T19" fmla="*/ 9498 h 828317"/>
                <a:gd name="T20" fmla="*/ 1374 w 5486400"/>
                <a:gd name="T21" fmla="*/ 9498 h 828317"/>
                <a:gd name="T22" fmla="*/ 0 w 5486400"/>
                <a:gd name="T23" fmla="*/ 8549 h 828317"/>
                <a:gd name="T24" fmla="*/ 0 w 5486400"/>
                <a:gd name="T25" fmla="*/ 950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轄區內各類組織的需求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社區各族群居民的需求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針對需求的創新服務開發</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sng" strike="noStrike" baseline="0">
                  <a:solidFill>
                    <a:srgbClr val="000000"/>
                  </a:solidFill>
                  <a:latin typeface="標楷體"/>
                  <a:ea typeface="標楷體"/>
                  <a:cs typeface="Times New Roman"/>
                </a:rPr>
                <a:t>服務驗證規劃及數據分析</a:t>
              </a:r>
              <a:endParaRPr lang="zh-TW" altLang="en-US" sz="800" b="1" i="0" u="sng" strike="noStrike" baseline="0">
                <a:solidFill>
                  <a:srgbClr val="000000"/>
                </a:solidFill>
                <a:latin typeface="標楷體"/>
                <a:ea typeface="標楷體"/>
              </a:endParaRPr>
            </a:p>
          </xdr:txBody>
        </xdr:sp>
        <xdr:sp macro="" textlink="">
          <xdr:nvSpPr>
            <xdr:cNvPr id="22546" name="手繪多邊形: 圖案 1911606767">
              <a:extLst>
                <a:ext uri="{FF2B5EF4-FFF2-40B4-BE49-F238E27FC236}">
                  <a16:creationId xmlns:a16="http://schemas.microsoft.com/office/drawing/2014/main" id="{EC879548-0956-C36D-2FEC-720C61005926}"/>
                </a:ext>
              </a:extLst>
            </xdr:cNvPr>
            <xdr:cNvSpPr>
              <a:spLocks/>
            </xdr:cNvSpPr>
          </xdr:nvSpPr>
          <xdr:spPr bwMode="auto">
            <a:xfrm>
              <a:off x="461" y="10207"/>
              <a:ext cx="11081" cy="1764"/>
            </a:xfrm>
            <a:custGeom>
              <a:avLst/>
              <a:gdLst>
                <a:gd name="T0" fmla="*/ 46403 w 5486400"/>
                <a:gd name="T1" fmla="*/ 0 h 828317"/>
                <a:gd name="T2" fmla="*/ 92805 w 5486400"/>
                <a:gd name="T3" fmla="*/ 6967 h 828317"/>
                <a:gd name="T4" fmla="*/ 46403 w 5486400"/>
                <a:gd name="T5" fmla="*/ 13934 h 828317"/>
                <a:gd name="T6" fmla="*/ 0 w 5486400"/>
                <a:gd name="T7" fmla="*/ 6967 h 828317"/>
                <a:gd name="T8" fmla="*/ 0 w 5486400"/>
                <a:gd name="T9" fmla="*/ 1393 h 828317"/>
                <a:gd name="T10" fmla="*/ 1401 w 5486400"/>
                <a:gd name="T11" fmla="*/ 0 h 828317"/>
                <a:gd name="T12" fmla="*/ 91404 w 5486400"/>
                <a:gd name="T13" fmla="*/ 0 h 828317"/>
                <a:gd name="T14" fmla="*/ 92805 w 5486400"/>
                <a:gd name="T15" fmla="*/ 1393 h 828317"/>
                <a:gd name="T16" fmla="*/ 92805 w 5486400"/>
                <a:gd name="T17" fmla="*/ 12541 h 828317"/>
                <a:gd name="T18" fmla="*/ 91404 w 5486400"/>
                <a:gd name="T19" fmla="*/ 13934 h 828317"/>
                <a:gd name="T20" fmla="*/ 1401 w 5486400"/>
                <a:gd name="T21" fmla="*/ 13934 h 828317"/>
                <a:gd name="T22" fmla="*/ 0 w 5486400"/>
                <a:gd name="T23" fmla="*/ 12541 h 828317"/>
                <a:gd name="T24" fmla="*/ 0 w 5486400"/>
                <a:gd name="T25" fmla="*/ 1393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服務開發前進行使用者意見收集彙整</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服務導入時進行測試紀錄並紀錄分析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驗證程序的設計及確保驗證工作執行</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回報測試結果及收集參人員意見反應</a:t>
              </a:r>
              <a:endParaRPr lang="zh-TW" altLang="en-US" sz="800" b="1" i="0" u="none" strike="noStrike" baseline="0">
                <a:solidFill>
                  <a:srgbClr val="000000"/>
                </a:solidFill>
                <a:latin typeface="標楷體"/>
                <a:ea typeface="標楷體"/>
              </a:endParaRPr>
            </a:p>
          </xdr:txBody>
        </xdr:sp>
        <xdr:sp macro="" textlink="">
          <xdr:nvSpPr>
            <xdr:cNvPr id="22545" name="手繪多邊形: 圖案 297012354">
              <a:extLst>
                <a:ext uri="{FF2B5EF4-FFF2-40B4-BE49-F238E27FC236}">
                  <a16:creationId xmlns:a16="http://schemas.microsoft.com/office/drawing/2014/main" id="{2EDD093F-E655-B7C5-A028-64A465AFE7A0}"/>
                </a:ext>
              </a:extLst>
            </xdr:cNvPr>
            <xdr:cNvSpPr>
              <a:spLocks noChangeAspect="1"/>
            </xdr:cNvSpPr>
          </xdr:nvSpPr>
          <xdr:spPr bwMode="auto">
            <a:xfrm>
              <a:off x="8401" y="9587"/>
              <a:ext cx="835" cy="1279"/>
            </a:xfrm>
            <a:custGeom>
              <a:avLst/>
              <a:gdLst>
                <a:gd name="T0" fmla="*/ 91917 w 673008"/>
                <a:gd name="T1" fmla="*/ 0 h 276105"/>
                <a:gd name="T2" fmla="*/ 183834 w 673008"/>
                <a:gd name="T3" fmla="*/ 526474 h 276105"/>
                <a:gd name="T4" fmla="*/ 91917 w 673008"/>
                <a:gd name="T5" fmla="*/ 1052946 h 276105"/>
                <a:gd name="T6" fmla="*/ 0 w 673008"/>
                <a:gd name="T7" fmla="*/ 526474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4" name="手繪多邊形: 圖案 22">
              <a:extLst>
                <a:ext uri="{FF2B5EF4-FFF2-40B4-BE49-F238E27FC236}">
                  <a16:creationId xmlns:a16="http://schemas.microsoft.com/office/drawing/2014/main" id="{C2AE3659-79CA-DAD5-C666-DB45DB168A3B}"/>
                </a:ext>
              </a:extLst>
            </xdr:cNvPr>
            <xdr:cNvSpPr>
              <a:spLocks noChangeAspect="1"/>
            </xdr:cNvSpPr>
          </xdr:nvSpPr>
          <xdr:spPr bwMode="auto">
            <a:xfrm>
              <a:off x="9560" y="10509"/>
              <a:ext cx="1830" cy="1241"/>
            </a:xfrm>
            <a:custGeom>
              <a:avLst/>
              <a:gdLst>
                <a:gd name="T0" fmla="*/ 517525 w 1035397"/>
                <a:gd name="T1" fmla="*/ 0 h 690264"/>
                <a:gd name="T2" fmla="*/ 1035050 w 1035397"/>
                <a:gd name="T3" fmla="*/ 393927 h 690264"/>
                <a:gd name="T4" fmla="*/ 517525 w 1035397"/>
                <a:gd name="T5" fmla="*/ 787853 h 690264"/>
                <a:gd name="T6" fmla="*/ 0 w 1035397"/>
                <a:gd name="T7" fmla="*/ 393927 h 690264"/>
                <a:gd name="T8" fmla="*/ 0 w 1035397"/>
                <a:gd name="T9" fmla="*/ 78785 h 690264"/>
                <a:gd name="T10" fmla="*/ 69003 w 1035397"/>
                <a:gd name="T11" fmla="*/ 0 h 690264"/>
                <a:gd name="T12" fmla="*/ 966047 w 1035397"/>
                <a:gd name="T13" fmla="*/ 0 h 690264"/>
                <a:gd name="T14" fmla="*/ 1035050 w 1035397"/>
                <a:gd name="T15" fmla="*/ 78785 h 690264"/>
                <a:gd name="T16" fmla="*/ 1035050 w 1035397"/>
                <a:gd name="T17" fmla="*/ 709068 h 690264"/>
                <a:gd name="T18" fmla="*/ 966047 w 1035397"/>
                <a:gd name="T19" fmla="*/ 787853 h 690264"/>
                <a:gd name="T20" fmla="*/ 69003 w 1035397"/>
                <a:gd name="T21" fmla="*/ 787853 h 690264"/>
                <a:gd name="T22" fmla="*/ 0 w 1035397"/>
                <a:gd name="T23" fmla="*/ 709068 h 690264"/>
                <a:gd name="T24" fmla="*/ 0 w 1035397"/>
                <a:gd name="T25" fmla="*/ 787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直營咖啡事業籌備事宜，經營技術承接，營運SOP制定</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協理店長  阮氏泉</a:t>
              </a:r>
            </a:p>
          </xdr:txBody>
        </xdr:sp>
        <xdr:sp macro="" textlink="">
          <xdr:nvSpPr>
            <xdr:cNvPr id="22543" name="手繪多邊形: 圖案 1789376436">
              <a:extLst>
                <a:ext uri="{FF2B5EF4-FFF2-40B4-BE49-F238E27FC236}">
                  <a16:creationId xmlns:a16="http://schemas.microsoft.com/office/drawing/2014/main" id="{DA68E7F6-5D08-2DB5-8F9E-78D704AD0D26}"/>
                </a:ext>
              </a:extLst>
            </xdr:cNvPr>
            <xdr:cNvSpPr>
              <a:spLocks noChangeAspect="1"/>
            </xdr:cNvSpPr>
          </xdr:nvSpPr>
          <xdr:spPr bwMode="auto">
            <a:xfrm>
              <a:off x="9236" y="9570"/>
              <a:ext cx="1080" cy="1290"/>
            </a:xfrm>
            <a:custGeom>
              <a:avLst/>
              <a:gdLst>
                <a:gd name="T0" fmla="*/ 207835 w 673008"/>
                <a:gd name="T1" fmla="*/ 0 h 276105"/>
                <a:gd name="T2" fmla="*/ 415670 w 673008"/>
                <a:gd name="T3" fmla="*/ 594226 h 276105"/>
                <a:gd name="T4" fmla="*/ 207835 w 673008"/>
                <a:gd name="T5" fmla="*/ 1188450 h 276105"/>
                <a:gd name="T6" fmla="*/ 0 w 673008"/>
                <a:gd name="T7" fmla="*/ 594226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2" name="手繪多邊形: 圖案 23">
              <a:extLst>
                <a:ext uri="{FF2B5EF4-FFF2-40B4-BE49-F238E27FC236}">
                  <a16:creationId xmlns:a16="http://schemas.microsoft.com/office/drawing/2014/main" id="{B88249E1-D2A0-CF6A-2870-F0DB76FF8D15}"/>
                </a:ext>
              </a:extLst>
            </xdr:cNvPr>
            <xdr:cNvSpPr>
              <a:spLocks noChangeAspect="1"/>
            </xdr:cNvSpPr>
          </xdr:nvSpPr>
          <xdr:spPr bwMode="auto">
            <a:xfrm>
              <a:off x="7807" y="10509"/>
              <a:ext cx="1630" cy="1202"/>
            </a:xfrm>
            <a:custGeom>
              <a:avLst/>
              <a:gdLst>
                <a:gd name="T0" fmla="*/ 517525 w 1035397"/>
                <a:gd name="T1" fmla="*/ 0 h 690264"/>
                <a:gd name="T2" fmla="*/ 1035050 w 1035397"/>
                <a:gd name="T3" fmla="*/ 381680 h 690264"/>
                <a:gd name="T4" fmla="*/ 517525 w 1035397"/>
                <a:gd name="T5" fmla="*/ 763360 h 690264"/>
                <a:gd name="T6" fmla="*/ 0 w 1035397"/>
                <a:gd name="T7" fmla="*/ 381680 h 690264"/>
                <a:gd name="T8" fmla="*/ 0 w 1035397"/>
                <a:gd name="T9" fmla="*/ 76336 h 690264"/>
                <a:gd name="T10" fmla="*/ 69003 w 1035397"/>
                <a:gd name="T11" fmla="*/ 0 h 690264"/>
                <a:gd name="T12" fmla="*/ 966047 w 1035397"/>
                <a:gd name="T13" fmla="*/ 0 h 690264"/>
                <a:gd name="T14" fmla="*/ 1035050 w 1035397"/>
                <a:gd name="T15" fmla="*/ 76336 h 690264"/>
                <a:gd name="T16" fmla="*/ 1035050 w 1035397"/>
                <a:gd name="T17" fmla="*/ 687024 h 690264"/>
                <a:gd name="T18" fmla="*/ 966047 w 1035397"/>
                <a:gd name="T19" fmla="*/ 763360 h 690264"/>
                <a:gd name="T20" fmla="*/ 69003 w 1035397"/>
                <a:gd name="T21" fmla="*/ 763360 h 690264"/>
                <a:gd name="T22" fmla="*/ 0 w 1035397"/>
                <a:gd name="T23" fmla="*/ 687024 h 690264"/>
                <a:gd name="T24" fmla="*/ 0 w 1035397"/>
                <a:gd name="T25" fmla="*/ 7633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AI區服務系統管理</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林詩妘</a:t>
              </a:r>
            </a:p>
          </xdr:txBody>
        </xdr:sp>
        <xdr:sp macro="" textlink="">
          <xdr:nvSpPr>
            <xdr:cNvPr id="22541" name="手繪多邊形: 圖案 1013083929">
              <a:extLst>
                <a:ext uri="{FF2B5EF4-FFF2-40B4-BE49-F238E27FC236}">
                  <a16:creationId xmlns:a16="http://schemas.microsoft.com/office/drawing/2014/main" id="{266830C0-B208-EC42-52B6-24B2D06672CD}"/>
                </a:ext>
              </a:extLst>
            </xdr:cNvPr>
            <xdr:cNvSpPr>
              <a:spLocks/>
            </xdr:cNvSpPr>
          </xdr:nvSpPr>
          <xdr:spPr bwMode="auto">
            <a:xfrm>
              <a:off x="406" y="6865"/>
              <a:ext cx="11147" cy="1746"/>
            </a:xfrm>
            <a:custGeom>
              <a:avLst/>
              <a:gdLst>
                <a:gd name="T0" fmla="*/ 45682 w 5486400"/>
                <a:gd name="T1" fmla="*/ 0 h 828317"/>
                <a:gd name="T2" fmla="*/ 91363 w 5486400"/>
                <a:gd name="T3" fmla="*/ 6822 h 828317"/>
                <a:gd name="T4" fmla="*/ 45682 w 5486400"/>
                <a:gd name="T5" fmla="*/ 13643 h 828317"/>
                <a:gd name="T6" fmla="*/ 0 w 5486400"/>
                <a:gd name="T7" fmla="*/ 6822 h 828317"/>
                <a:gd name="T8" fmla="*/ 0 w 5486400"/>
                <a:gd name="T9" fmla="*/ 1364 h 828317"/>
                <a:gd name="T10" fmla="*/ 1379 w 5486400"/>
                <a:gd name="T11" fmla="*/ 0 h 828317"/>
                <a:gd name="T12" fmla="*/ 89984 w 5486400"/>
                <a:gd name="T13" fmla="*/ 0 h 828317"/>
                <a:gd name="T14" fmla="*/ 91363 w 5486400"/>
                <a:gd name="T15" fmla="*/ 1364 h 828317"/>
                <a:gd name="T16" fmla="*/ 91363 w 5486400"/>
                <a:gd name="T17" fmla="*/ 12279 h 828317"/>
                <a:gd name="T18" fmla="*/ 89984 w 5486400"/>
                <a:gd name="T19" fmla="*/ 13643 h 828317"/>
                <a:gd name="T20" fmla="*/ 1379 w 5486400"/>
                <a:gd name="T21" fmla="*/ 13643 h 828317"/>
                <a:gd name="T22" fmla="*/ 0 w 5486400"/>
                <a:gd name="T23" fmla="*/ 12279 h 828317"/>
                <a:gd name="T24" fmla="*/ 0 w 5486400"/>
                <a:gd name="T25" fmla="*/ 1364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創新服務系統架構設計</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各項資源盤點調配運用</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提升各項創新服務的效能</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降低各項創新服務的成本</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鏈結公私團體的資源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SDGs元素導入</a:t>
              </a:r>
              <a:endParaRPr lang="zh-TW" altLang="en-US" sz="800" b="1" i="0" u="none" strike="noStrike" baseline="0">
                <a:solidFill>
                  <a:srgbClr val="000000"/>
                </a:solidFill>
                <a:latin typeface="標楷體"/>
                <a:ea typeface="標楷體"/>
              </a:endParaRPr>
            </a:p>
          </xdr:txBody>
        </xdr:sp>
        <xdr:sp macro="" textlink="">
          <xdr:nvSpPr>
            <xdr:cNvPr id="22540" name="手繪多邊形: 圖案 172753811">
              <a:extLst>
                <a:ext uri="{FF2B5EF4-FFF2-40B4-BE49-F238E27FC236}">
                  <a16:creationId xmlns:a16="http://schemas.microsoft.com/office/drawing/2014/main" id="{4D48041E-D57B-A9C5-41C4-2EA30A1ABB25}"/>
                </a:ext>
              </a:extLst>
            </xdr:cNvPr>
            <xdr:cNvSpPr>
              <a:spLocks/>
            </xdr:cNvSpPr>
          </xdr:nvSpPr>
          <xdr:spPr bwMode="auto">
            <a:xfrm>
              <a:off x="7306" y="7041"/>
              <a:ext cx="1847" cy="1284"/>
            </a:xfrm>
            <a:custGeom>
              <a:avLst/>
              <a:gdLst>
                <a:gd name="T0" fmla="*/ 6643 w 1035397"/>
                <a:gd name="T1" fmla="*/ 0 h 690264"/>
                <a:gd name="T2" fmla="*/ 13286 w 1035397"/>
                <a:gd name="T3" fmla="*/ 4426 h 690264"/>
                <a:gd name="T4" fmla="*/ 6643 w 1035397"/>
                <a:gd name="T5" fmla="*/ 8853 h 690264"/>
                <a:gd name="T6" fmla="*/ 0 w 1035397"/>
                <a:gd name="T7" fmla="*/ 4426 h 690264"/>
                <a:gd name="T8" fmla="*/ 0 w 1035397"/>
                <a:gd name="T9" fmla="*/ 885 h 690264"/>
                <a:gd name="T10" fmla="*/ 886 w 1035397"/>
                <a:gd name="T11" fmla="*/ 0 h 690264"/>
                <a:gd name="T12" fmla="*/ 12400 w 1035397"/>
                <a:gd name="T13" fmla="*/ 0 h 690264"/>
                <a:gd name="T14" fmla="*/ 13286 w 1035397"/>
                <a:gd name="T15" fmla="*/ 885 h 690264"/>
                <a:gd name="T16" fmla="*/ 13286 w 1035397"/>
                <a:gd name="T17" fmla="*/ 7967 h 690264"/>
                <a:gd name="T18" fmla="*/ 12400 w 1035397"/>
                <a:gd name="T19" fmla="*/ 8853 h 690264"/>
                <a:gd name="T20" fmla="*/ 886 w 1035397"/>
                <a:gd name="T21" fmla="*/ 8853 h 690264"/>
                <a:gd name="T22" fmla="*/ 0 w 1035397"/>
                <a:gd name="T23" fmla="*/ 7967 h 690264"/>
                <a:gd name="T24" fmla="*/ 0 w 1035397"/>
                <a:gd name="T25" fmla="*/ 8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研發組織負責人</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營運長 江政隆</a:t>
              </a:r>
            </a:p>
          </xdr:txBody>
        </xdr:sp>
        <xdr:sp macro="" textlink="">
          <xdr:nvSpPr>
            <xdr:cNvPr id="22539" name="手繪多邊形: 圖案 65409326">
              <a:extLst>
                <a:ext uri="{FF2B5EF4-FFF2-40B4-BE49-F238E27FC236}">
                  <a16:creationId xmlns:a16="http://schemas.microsoft.com/office/drawing/2014/main" id="{FC1C111F-4C6E-1527-DE4F-9723EE9F4FAC}"/>
                </a:ext>
              </a:extLst>
            </xdr:cNvPr>
            <xdr:cNvSpPr>
              <a:spLocks/>
            </xdr:cNvSpPr>
          </xdr:nvSpPr>
          <xdr:spPr bwMode="auto">
            <a:xfrm>
              <a:off x="6676" y="8280"/>
              <a:ext cx="1590" cy="454"/>
            </a:xfrm>
            <a:custGeom>
              <a:avLst/>
              <a:gdLst>
                <a:gd name="T0" fmla="*/ 5048 w 1009512"/>
                <a:gd name="T1" fmla="*/ 0 h 276105"/>
                <a:gd name="T2" fmla="*/ 10095 w 1009512"/>
                <a:gd name="T3" fmla="*/ 1380 h 276105"/>
                <a:gd name="T4" fmla="*/ 5048 w 1009512"/>
                <a:gd name="T5" fmla="*/ 2761 h 276105"/>
                <a:gd name="T6" fmla="*/ 0 w 1009512"/>
                <a:gd name="T7" fmla="*/ 1380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1009512" y="0"/>
                  </a:moveTo>
                  <a:lnTo>
                    <a:pt x="1009512" y="138052"/>
                  </a:lnTo>
                  <a:lnTo>
                    <a:pt x="0" y="138052"/>
                  </a:lnTo>
                  <a:lnTo>
                    <a:pt x="0"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8" name="手繪多邊形: 圖案 1906766075">
              <a:extLst>
                <a:ext uri="{FF2B5EF4-FFF2-40B4-BE49-F238E27FC236}">
                  <a16:creationId xmlns:a16="http://schemas.microsoft.com/office/drawing/2014/main" id="{ED354CE9-D200-8699-C17E-04787A2414E6}"/>
                </a:ext>
              </a:extLst>
            </xdr:cNvPr>
            <xdr:cNvSpPr>
              <a:spLocks/>
            </xdr:cNvSpPr>
          </xdr:nvSpPr>
          <xdr:spPr bwMode="auto">
            <a:xfrm>
              <a:off x="6470" y="8734"/>
              <a:ext cx="1631"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物業及區域勞務服務整合應用</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Calibri"/>
                  <a:cs typeface="Calibri"/>
                </a:rPr>
                <a:t> </a:t>
              </a:r>
              <a:endParaRPr lang="zh-TW" altLang="en-US" sz="1500" b="0" i="0" u="none" strike="noStrike" baseline="0">
                <a:solidFill>
                  <a:srgbClr val="000000"/>
                </a:solidFill>
                <a:latin typeface="標楷體"/>
                <a:ea typeface="標楷體"/>
                <a:cs typeface="Calibri"/>
              </a:endParaRPr>
            </a:p>
            <a:p>
              <a:pPr algn="l" rtl="0">
                <a:defRPr sz="1000"/>
              </a:pPr>
              <a:r>
                <a:rPr lang="zh-TW" altLang="en-US" sz="800" b="0" i="0" u="none" strike="noStrike" baseline="0">
                  <a:solidFill>
                    <a:srgbClr val="FFFFFF"/>
                  </a:solidFill>
                  <a:latin typeface="標楷體"/>
                  <a:ea typeface="標楷體"/>
                </a:rPr>
                <a:t>協理</a:t>
              </a:r>
              <a:r>
                <a:rPr lang="zh-TW" altLang="en-US" sz="800" b="0" i="0" u="none" strike="noStrike" baseline="0">
                  <a:solidFill>
                    <a:srgbClr val="FFFFFF"/>
                  </a:solidFill>
                  <a:latin typeface="Calibri"/>
                  <a:ea typeface="標楷體"/>
                  <a:cs typeface="Calibri"/>
                </a:rPr>
                <a:t>  </a:t>
              </a:r>
              <a:r>
                <a:rPr lang="zh-TW" altLang="en-US" sz="800" b="0" i="0" u="none" strike="noStrike" baseline="0">
                  <a:solidFill>
                    <a:srgbClr val="FFFFFF"/>
                  </a:solidFill>
                  <a:latin typeface="標楷體"/>
                  <a:ea typeface="標楷體"/>
                  <a:cs typeface="Calibri"/>
                </a:rPr>
                <a:t>蔣明諺</a:t>
              </a:r>
              <a:endParaRPr lang="zh-TW" altLang="en-US" sz="800" b="0" i="0" u="none" strike="noStrike" baseline="0">
                <a:solidFill>
                  <a:srgbClr val="FFFFFF"/>
                </a:solidFill>
                <a:latin typeface="標楷體"/>
                <a:ea typeface="標楷體"/>
              </a:endParaRPr>
            </a:p>
          </xdr:txBody>
        </xdr:sp>
        <xdr:sp macro="" textlink="">
          <xdr:nvSpPr>
            <xdr:cNvPr id="22537" name="AutoShape 92">
              <a:extLst>
                <a:ext uri="{FF2B5EF4-FFF2-40B4-BE49-F238E27FC236}">
                  <a16:creationId xmlns:a16="http://schemas.microsoft.com/office/drawing/2014/main" id="{2FD2FFD6-9CAF-69AA-32A3-A08C05F79F80}"/>
                </a:ext>
              </a:extLst>
            </xdr:cNvPr>
            <xdr:cNvSpPr>
              <a:spLocks/>
            </xdr:cNvSpPr>
          </xdr:nvSpPr>
          <xdr:spPr bwMode="auto">
            <a:xfrm>
              <a:off x="5315" y="9867"/>
              <a:ext cx="1971" cy="955"/>
            </a:xfrm>
            <a:custGeom>
              <a:avLst/>
              <a:gdLst>
                <a:gd name="T0" fmla="*/ 11637 w 673008"/>
                <a:gd name="T1" fmla="*/ 0 h 276105"/>
                <a:gd name="T2" fmla="*/ 23274 w 673008"/>
                <a:gd name="T3" fmla="*/ 6119 h 276105"/>
                <a:gd name="T4" fmla="*/ 11637 w 673008"/>
                <a:gd name="T5" fmla="*/ 12237 h 276105"/>
                <a:gd name="T6" fmla="*/ 0 w 673008"/>
                <a:gd name="T7" fmla="*/ 6119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6" name="AutoShape 93">
              <a:extLst>
                <a:ext uri="{FF2B5EF4-FFF2-40B4-BE49-F238E27FC236}">
                  <a16:creationId xmlns:a16="http://schemas.microsoft.com/office/drawing/2014/main" id="{2414EA75-0E56-84D0-565B-78DEAB672D18}"/>
                </a:ext>
              </a:extLst>
            </xdr:cNvPr>
            <xdr:cNvSpPr>
              <a:spLocks/>
            </xdr:cNvSpPr>
          </xdr:nvSpPr>
          <xdr:spPr bwMode="auto">
            <a:xfrm>
              <a:off x="4189" y="10534"/>
              <a:ext cx="1630" cy="1134"/>
            </a:xfrm>
            <a:custGeom>
              <a:avLst/>
              <a:gdLst>
                <a:gd name="T0" fmla="*/ 5177 w 1035397"/>
                <a:gd name="T1" fmla="*/ 0 h 690264"/>
                <a:gd name="T2" fmla="*/ 10354 w 1035397"/>
                <a:gd name="T3" fmla="*/ 3452 h 690264"/>
                <a:gd name="T4" fmla="*/ 5177 w 1035397"/>
                <a:gd name="T5" fmla="*/ 6904 h 690264"/>
                <a:gd name="T6" fmla="*/ 0 w 1035397"/>
                <a:gd name="T7" fmla="*/ 3452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4 h 690264"/>
                <a:gd name="T18" fmla="*/ 9664 w 1035397"/>
                <a:gd name="T19" fmla="*/ 6904 h 690264"/>
                <a:gd name="T20" fmla="*/ 690 w 1035397"/>
                <a:gd name="T21" fmla="*/ 6904 h 690264"/>
                <a:gd name="T22" fmla="*/ 0 w 1035397"/>
                <a:gd name="T23" fmla="*/ 6214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物業安全管理項目服務管控</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蔣德聖</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30000">
                  <a:solidFill>
                    <a:srgbClr val="000000"/>
                  </a:solidFill>
                  <a:latin typeface="標楷體"/>
                  <a:ea typeface="標楷體"/>
                </a:rPr>
                <a:t> </a:t>
              </a:r>
            </a:p>
          </xdr:txBody>
        </xdr:sp>
        <xdr:sp macro="" textlink="">
          <xdr:nvSpPr>
            <xdr:cNvPr id="22535" name="AutoShape 94">
              <a:extLst>
                <a:ext uri="{FF2B5EF4-FFF2-40B4-BE49-F238E27FC236}">
                  <a16:creationId xmlns:a16="http://schemas.microsoft.com/office/drawing/2014/main" id="{93002324-4906-8810-11B1-953F263E687F}"/>
                </a:ext>
              </a:extLst>
            </xdr:cNvPr>
            <xdr:cNvSpPr>
              <a:spLocks/>
            </xdr:cNvSpPr>
          </xdr:nvSpPr>
          <xdr:spPr bwMode="auto">
            <a:xfrm flipH="1">
              <a:off x="7111" y="9845"/>
              <a:ext cx="175" cy="1033"/>
            </a:xfrm>
            <a:custGeom>
              <a:avLst/>
              <a:gdLst>
                <a:gd name="T0" fmla="*/ 444 w 673008"/>
                <a:gd name="T1" fmla="*/ 0 h 276105"/>
                <a:gd name="T2" fmla="*/ 888 w 673008"/>
                <a:gd name="T3" fmla="*/ 7002 h 276105"/>
                <a:gd name="T4" fmla="*/ 444 w 673008"/>
                <a:gd name="T5" fmla="*/ 14004 h 276105"/>
                <a:gd name="T6" fmla="*/ 0 w 673008"/>
                <a:gd name="T7" fmla="*/ 7002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4" name="手繪多邊形: 圖案 1624636946">
              <a:extLst>
                <a:ext uri="{FF2B5EF4-FFF2-40B4-BE49-F238E27FC236}">
                  <a16:creationId xmlns:a16="http://schemas.microsoft.com/office/drawing/2014/main" id="{857CF8DA-6915-29FD-C9D1-F51A930A4034}"/>
                </a:ext>
              </a:extLst>
            </xdr:cNvPr>
            <xdr:cNvSpPr>
              <a:spLocks/>
            </xdr:cNvSpPr>
          </xdr:nvSpPr>
          <xdr:spPr bwMode="auto">
            <a:xfrm>
              <a:off x="8257" y="8280"/>
              <a:ext cx="1589" cy="454"/>
            </a:xfrm>
            <a:custGeom>
              <a:avLst/>
              <a:gdLst>
                <a:gd name="T0" fmla="*/ 5048 w 1009512"/>
                <a:gd name="T1" fmla="*/ 0 h 276105"/>
                <a:gd name="T2" fmla="*/ 10095 w 1009512"/>
                <a:gd name="T3" fmla="*/ 1381 h 276105"/>
                <a:gd name="T4" fmla="*/ 5048 w 1009512"/>
                <a:gd name="T5" fmla="*/ 2762 h 276105"/>
                <a:gd name="T6" fmla="*/ 0 w 1009512"/>
                <a:gd name="T7" fmla="*/ 1381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0" y="0"/>
                  </a:moveTo>
                  <a:lnTo>
                    <a:pt x="0" y="138052"/>
                  </a:lnTo>
                  <a:lnTo>
                    <a:pt x="1009512" y="138052"/>
                  </a:lnTo>
                  <a:lnTo>
                    <a:pt x="1009512"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3" name="手繪多邊形: 圖案 1130166405">
              <a:extLst>
                <a:ext uri="{FF2B5EF4-FFF2-40B4-BE49-F238E27FC236}">
                  <a16:creationId xmlns:a16="http://schemas.microsoft.com/office/drawing/2014/main" id="{3D9816A7-8852-0584-7CE3-E76031DFD739}"/>
                </a:ext>
              </a:extLst>
            </xdr:cNvPr>
            <xdr:cNvSpPr>
              <a:spLocks/>
            </xdr:cNvSpPr>
          </xdr:nvSpPr>
          <xdr:spPr bwMode="auto">
            <a:xfrm>
              <a:off x="8634" y="8782"/>
              <a:ext cx="1630"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商業服務架構及資訊系統開發</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協理(待聘)</a:t>
              </a:r>
            </a:p>
          </xdr:txBody>
        </xdr:sp>
      </xdr:grpSp>
      <xdr:sp macro="" textlink="">
        <xdr:nvSpPr>
          <xdr:cNvPr id="22531" name="手繪多邊形: 圖案 24">
            <a:extLst>
              <a:ext uri="{FF2B5EF4-FFF2-40B4-BE49-F238E27FC236}">
                <a16:creationId xmlns:a16="http://schemas.microsoft.com/office/drawing/2014/main" id="{701D4B45-94B6-ABB0-E249-989EC9543725}"/>
              </a:ext>
            </a:extLst>
          </xdr:cNvPr>
          <xdr:cNvSpPr>
            <a:spLocks noChangeAspect="1"/>
          </xdr:cNvSpPr>
        </xdr:nvSpPr>
        <xdr:spPr bwMode="auto">
          <a:xfrm>
            <a:off x="5974" y="10520"/>
            <a:ext cx="1630" cy="1273"/>
          </a:xfrm>
          <a:custGeom>
            <a:avLst/>
            <a:gdLst>
              <a:gd name="T0" fmla="*/ 517525 w 1035397"/>
              <a:gd name="T1" fmla="*/ 0 h 690264"/>
              <a:gd name="T2" fmla="*/ 1035050 w 1035397"/>
              <a:gd name="T3" fmla="*/ 404132 h 690264"/>
              <a:gd name="T4" fmla="*/ 517525 w 1035397"/>
              <a:gd name="T5" fmla="*/ 808264 h 690264"/>
              <a:gd name="T6" fmla="*/ 0 w 1035397"/>
              <a:gd name="T7" fmla="*/ 404132 h 690264"/>
              <a:gd name="T8" fmla="*/ 0 w 1035397"/>
              <a:gd name="T9" fmla="*/ 80826 h 690264"/>
              <a:gd name="T10" fmla="*/ 69003 w 1035397"/>
              <a:gd name="T11" fmla="*/ 0 h 690264"/>
              <a:gd name="T12" fmla="*/ 966047 w 1035397"/>
              <a:gd name="T13" fmla="*/ 0 h 690264"/>
              <a:gd name="T14" fmla="*/ 1035050 w 1035397"/>
              <a:gd name="T15" fmla="*/ 80826 h 690264"/>
              <a:gd name="T16" fmla="*/ 1035050 w 1035397"/>
              <a:gd name="T17" fmla="*/ 727438 h 690264"/>
              <a:gd name="T18" fmla="*/ 966047 w 1035397"/>
              <a:gd name="T19" fmla="*/ 808264 h 690264"/>
              <a:gd name="T20" fmla="*/ 69003 w 1035397"/>
              <a:gd name="T21" fmla="*/ 808264 h 690264"/>
              <a:gd name="T22" fmla="*/ 0 w 1035397"/>
              <a:gd name="T23" fmla="*/ 727438 h 690264"/>
              <a:gd name="T24" fmla="*/ 0 w 1035397"/>
              <a:gd name="T25" fmla="*/ 8082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中高齡勞動力需求專案開發，社區勞動力需求分析設計</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待聘(營運長暫代)</a:t>
            </a:r>
          </a:p>
        </xdr:txBody>
      </xdr:sp>
    </xdr:grpSp>
    <xdr:clientData/>
  </xdr:twoCellAnchor>
  <xdr:twoCellAnchor>
    <xdr:from>
      <xdr:col>8</xdr:col>
      <xdr:colOff>0</xdr:colOff>
      <xdr:row>265</xdr:row>
      <xdr:rowOff>0</xdr:rowOff>
    </xdr:from>
    <xdr:to>
      <xdr:col>8</xdr:col>
      <xdr:colOff>358140</xdr:colOff>
      <xdr:row>266</xdr:row>
      <xdr:rowOff>45720</xdr:rowOff>
    </xdr:to>
    <xdr:pic>
      <xdr:nvPicPr>
        <xdr:cNvPr id="22560" name="圖片 2">
          <a:extLst>
            <a:ext uri="{FF2B5EF4-FFF2-40B4-BE49-F238E27FC236}">
              <a16:creationId xmlns:a16="http://schemas.microsoft.com/office/drawing/2014/main" id="{99D69764-29CF-F161-35B4-B56BDBBAA3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6380" y="9016746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1" name="圖片 3">
          <a:extLst>
            <a:ext uri="{FF2B5EF4-FFF2-40B4-BE49-F238E27FC236}">
              <a16:creationId xmlns:a16="http://schemas.microsoft.com/office/drawing/2014/main" id="{4405C659-151A-0451-90E5-8DFE46415A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2" name="圖片 1234939413">
          <a:extLst>
            <a:ext uri="{FF2B5EF4-FFF2-40B4-BE49-F238E27FC236}">
              <a16:creationId xmlns:a16="http://schemas.microsoft.com/office/drawing/2014/main" id="{C500BD9B-8048-51A9-B4A3-115E9747F8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3" name="圖片 4" descr="一張含有 文字, 字型, 標誌, 圖形 的圖片&#10;&#10;自動產生的描述">
          <a:extLst>
            <a:ext uri="{FF2B5EF4-FFF2-40B4-BE49-F238E27FC236}">
              <a16:creationId xmlns:a16="http://schemas.microsoft.com/office/drawing/2014/main" id="{52B2AFBD-7784-1F11-4DE4-B9C372BB4CE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4" name="圖片 490867601">
          <a:extLst>
            <a:ext uri="{FF2B5EF4-FFF2-40B4-BE49-F238E27FC236}">
              <a16:creationId xmlns:a16="http://schemas.microsoft.com/office/drawing/2014/main" id="{216FA9BE-45A6-FAEF-1653-2C20282527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5" name="圖片 1694955634">
          <a:extLst>
            <a:ext uri="{FF2B5EF4-FFF2-40B4-BE49-F238E27FC236}">
              <a16:creationId xmlns:a16="http://schemas.microsoft.com/office/drawing/2014/main" id="{2993038C-0787-F5C8-0C58-9932C61B825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6" name="圖片 1290797464">
          <a:extLst>
            <a:ext uri="{FF2B5EF4-FFF2-40B4-BE49-F238E27FC236}">
              <a16:creationId xmlns:a16="http://schemas.microsoft.com/office/drawing/2014/main" id="{14A44D72-0219-DA35-3831-6D3B60876F1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7" name="圖片 2094373051">
          <a:extLst>
            <a:ext uri="{FF2B5EF4-FFF2-40B4-BE49-F238E27FC236}">
              <a16:creationId xmlns:a16="http://schemas.microsoft.com/office/drawing/2014/main" id="{B53FE6CA-0FE4-4240-0F70-CF603760F7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8" name="圖片 1623041787">
          <a:extLst>
            <a:ext uri="{FF2B5EF4-FFF2-40B4-BE49-F238E27FC236}">
              <a16:creationId xmlns:a16="http://schemas.microsoft.com/office/drawing/2014/main" id="{7B98EB89-85B0-4655-E51C-A05F9447F0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381000</xdr:colOff>
      <xdr:row>294</xdr:row>
      <xdr:rowOff>373380</xdr:rowOff>
    </xdr:to>
    <xdr:pic>
      <xdr:nvPicPr>
        <xdr:cNvPr id="22569" name="圖片 991413374">
          <a:extLst>
            <a:ext uri="{FF2B5EF4-FFF2-40B4-BE49-F238E27FC236}">
              <a16:creationId xmlns:a16="http://schemas.microsoft.com/office/drawing/2014/main" id="{A42FBBC5-B505-06A3-BDC9-B180A279DC5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16380" y="97558860"/>
          <a:ext cx="38100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0" name="圖片 2134089161">
          <a:extLst>
            <a:ext uri="{FF2B5EF4-FFF2-40B4-BE49-F238E27FC236}">
              <a16:creationId xmlns:a16="http://schemas.microsoft.com/office/drawing/2014/main" id="{C11A4F38-F1F5-D50E-B604-4927FFC241D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1" name="圖片 1232515648">
          <a:extLst>
            <a:ext uri="{FF2B5EF4-FFF2-40B4-BE49-F238E27FC236}">
              <a16:creationId xmlns:a16="http://schemas.microsoft.com/office/drawing/2014/main" id="{9C128B49-EB7F-BBAA-2742-23E70C0DD4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2" name="圖片 149199413" descr="一張含有 文字, 螢幕擷取畫面, 標誌, 字型 的圖片">
          <a:extLst>
            <a:ext uri="{FF2B5EF4-FFF2-40B4-BE49-F238E27FC236}">
              <a16:creationId xmlns:a16="http://schemas.microsoft.com/office/drawing/2014/main" id="{8FE90F12-FE21-60B6-CF9B-EC245ABDBBB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3" name="圖片 385893053">
          <a:extLst>
            <a:ext uri="{FF2B5EF4-FFF2-40B4-BE49-F238E27FC236}">
              <a16:creationId xmlns:a16="http://schemas.microsoft.com/office/drawing/2014/main" id="{0D16F0EE-97DC-FF90-F245-CBA6DE8AC48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330</xdr:row>
      <xdr:rowOff>0</xdr:rowOff>
    </xdr:from>
    <xdr:to>
      <xdr:col>8</xdr:col>
      <xdr:colOff>365760</xdr:colOff>
      <xdr:row>330</xdr:row>
      <xdr:rowOff>358140</xdr:rowOff>
    </xdr:to>
    <xdr:pic>
      <xdr:nvPicPr>
        <xdr:cNvPr id="22574" name="圖片 443682201" descr="一張含有 文字, 螢幕擷取畫面, 標誌, 字型 的圖片">
          <a:extLst>
            <a:ext uri="{FF2B5EF4-FFF2-40B4-BE49-F238E27FC236}">
              <a16:creationId xmlns:a16="http://schemas.microsoft.com/office/drawing/2014/main" id="{BD3979F1-F422-23D3-0E28-3BC243648D2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2207240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613172</xdr:colOff>
      <xdr:row>342</xdr:row>
      <xdr:rowOff>739428</xdr:rowOff>
    </xdr:from>
    <xdr:to>
      <xdr:col>8</xdr:col>
      <xdr:colOff>365760</xdr:colOff>
      <xdr:row>343</xdr:row>
      <xdr:rowOff>358140</xdr:rowOff>
    </xdr:to>
    <xdr:pic>
      <xdr:nvPicPr>
        <xdr:cNvPr id="22575" name="圖片 723866316">
          <a:extLst>
            <a:ext uri="{FF2B5EF4-FFF2-40B4-BE49-F238E27FC236}">
              <a16:creationId xmlns:a16="http://schemas.microsoft.com/office/drawing/2014/main" id="{17FE48AF-CB55-8F0E-E13F-D62ED62577F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840016" y="137655350"/>
          <a:ext cx="425291" cy="416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357</xdr:row>
      <xdr:rowOff>0</xdr:rowOff>
    </xdr:from>
    <xdr:to>
      <xdr:col>8</xdr:col>
      <xdr:colOff>121920</xdr:colOff>
      <xdr:row>373</xdr:row>
      <xdr:rowOff>30480</xdr:rowOff>
    </xdr:to>
    <xdr:graphicFrame macro="">
      <xdr:nvGraphicFramePr>
        <xdr:cNvPr id="22576" name="圖表 22575">
          <a:extLst>
            <a:ext uri="{FF2B5EF4-FFF2-40B4-BE49-F238E27FC236}">
              <a16:creationId xmlns:a16="http://schemas.microsoft.com/office/drawing/2014/main" id="{FA10013E-E6F0-2CF8-3739-3DED89110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156882</xdr:colOff>
      <xdr:row>970</xdr:row>
      <xdr:rowOff>156883</xdr:rowOff>
    </xdr:from>
    <xdr:to>
      <xdr:col>8</xdr:col>
      <xdr:colOff>493058</xdr:colOff>
      <xdr:row>974</xdr:row>
      <xdr:rowOff>58154</xdr:rowOff>
    </xdr:to>
    <xdr:sp macro="" textlink="">
      <xdr:nvSpPr>
        <xdr:cNvPr id="3" name="文字方塊 178" descr="文字方塊: 以下哪種保全種較安全&#10;1.特勤保全&#10;2.機動保全&#10;3.帥哥保全&#10;&#10;以下哪一種保全工作模式較安全&#10;1.定點保全&#10;2.無人科技保全+3內分鐘到場特勤保全+社區安全網保全巡邏&#10;3.打瞌睡的保全&#10;&#10;以下哪一種物業公司的回饋你認為最好最實用&#10;1.免費幫大樓洗水塔&#10;2.免費幫住戶送外送上樓&#10;3.每月200-300元早餐抵用券，早餐預購服務(送到服務台免收費)+瑜珈及健身教練每年固定堂數至免費社區開課+雲端便利商店線上支付社區櫃台取貨服務，(營收與社區分潤充實社去財務)&#10;&#10;&#10;[在此引用您的來源。]&#10;">
          <a:extLst>
            <a:ext uri="{FF2B5EF4-FFF2-40B4-BE49-F238E27FC236}">
              <a16:creationId xmlns:a16="http://schemas.microsoft.com/office/drawing/2014/main" id="{E41D802E-6B1E-4FE8-878E-1F569F760A96}"/>
            </a:ext>
          </a:extLst>
        </xdr:cNvPr>
        <xdr:cNvSpPr>
          <a:spLocks noChangeArrowheads="1"/>
        </xdr:cNvSpPr>
      </xdr:nvSpPr>
      <xdr:spPr bwMode="auto">
        <a:xfrm>
          <a:off x="638735" y="394178118"/>
          <a:ext cx="5692588" cy="6221389"/>
        </a:xfrm>
        <a:prstGeom prst="horizontalScroll">
          <a:avLst>
            <a:gd name="adj" fmla="val 12500"/>
          </a:avLst>
        </a:prstGeom>
        <a:solidFill>
          <a:srgbClr val="70AD47"/>
        </a:solidFill>
        <a:ln w="6350">
          <a:solidFill>
            <a:srgbClr val="F2F2F2"/>
          </a:solidFill>
          <a:round/>
          <a:headEnd/>
          <a:tailEnd/>
        </a:ln>
        <a:effectLst>
          <a:outerShdw dist="28398" dir="3806097" algn="ctr" rotWithShape="0">
            <a:srgbClr val="375623">
              <a:alpha val="50000"/>
            </a:srgbClr>
          </a:outerShdw>
        </a:effectLst>
      </xdr:spPr>
      <xdr:txBody>
        <a:bodyPr vertOverflow="clip" wrap="square" lIns="45720" tIns="91440" rIns="0" bIns="0" anchor="t" upright="1"/>
        <a:lstStyle/>
        <a:p>
          <a:pPr algn="l" rtl="0">
            <a:defRPr sz="1000"/>
          </a:pPr>
          <a:r>
            <a:rPr lang="zh-TW" altLang="en-US" sz="20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2000" b="1" i="0" u="none" strike="noStrike" baseline="0">
              <a:solidFill>
                <a:srgbClr val="FFFFFF"/>
              </a:solidFill>
              <a:latin typeface="851tegakizatsu"/>
              <a:ea typeface="851tegakizatsu"/>
              <a:cs typeface="851tegakizatsu"/>
            </a:rPr>
            <a:t>社區安全小知識</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以下哪種保全種較安全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1.特勤保全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2.機動保全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3.帥哥保全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以下哪一種保全工作模式較安全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1.定點保全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2.無人科技保全+3內分鐘到場特勤保全+社區安全網保全巡邏</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3.打瞌睡的保全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以下哪一種物業公司的回饋你認為最好最實用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1.免費幫大樓洗水塔</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2.免費幫住戶送外送上樓</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3.每月200-300元早餐抵用券，早餐預購服務(送到服務台免收外送服務費)+瑜珈及健身教練每年固定堂數至免費社區開課+雲端便利商店線上支付社區櫃台取貨服務，(營收與社區分潤充實社去財務)</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400" b="0" i="0" u="none" strike="noStrike" baseline="0">
              <a:solidFill>
                <a:srgbClr val="FFFFFF"/>
              </a:solidFill>
              <a:latin typeface="標楷體"/>
              <a:ea typeface="標楷體"/>
            </a:rPr>
            <a:t> </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0">
              <a:solidFill>
                <a:srgbClr val="FFFFFF"/>
              </a:solidFill>
              <a:latin typeface="標楷體"/>
              <a:ea typeface="標楷體"/>
            </a:rPr>
            <a:t>[在此引用您的來源。]</a:t>
          </a:r>
        </a:p>
      </xdr:txBody>
    </xdr:sp>
    <xdr:clientData/>
  </xdr:twoCellAnchor>
  <xdr:twoCellAnchor>
    <xdr:from>
      <xdr:col>7</xdr:col>
      <xdr:colOff>664790</xdr:colOff>
      <xdr:row>263</xdr:row>
      <xdr:rowOff>282222</xdr:rowOff>
    </xdr:from>
    <xdr:to>
      <xdr:col>8</xdr:col>
      <xdr:colOff>359488</xdr:colOff>
      <xdr:row>264</xdr:row>
      <xdr:rowOff>282881</xdr:rowOff>
    </xdr:to>
    <xdr:pic>
      <xdr:nvPicPr>
        <xdr:cNvPr id="4" name="圖片 443682201" descr="一張含有 文字, 螢幕擷取畫面, 標誌, 字型 的圖片">
          <a:extLst>
            <a:ext uri="{FF2B5EF4-FFF2-40B4-BE49-F238E27FC236}">
              <a16:creationId xmlns:a16="http://schemas.microsoft.com/office/drawing/2014/main" id="{68FF4DFE-9BB9-4450-8AB2-0C6F55B26B5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889037" y="91603062"/>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654844</xdr:colOff>
      <xdr:row>300</xdr:row>
      <xdr:rowOff>95250</xdr:rowOff>
    </xdr:from>
    <xdr:to>
      <xdr:col>8</xdr:col>
      <xdr:colOff>347901</xdr:colOff>
      <xdr:row>300</xdr:row>
      <xdr:rowOff>453390</xdr:rowOff>
    </xdr:to>
    <xdr:pic>
      <xdr:nvPicPr>
        <xdr:cNvPr id="6" name="圖片 443682201" descr="一張含有 文字, 螢幕擷取畫面, 標誌, 字型 的圖片">
          <a:extLst>
            <a:ext uri="{FF2B5EF4-FFF2-40B4-BE49-F238E27FC236}">
              <a16:creationId xmlns:a16="http://schemas.microsoft.com/office/drawing/2014/main" id="{BB305997-4011-44F1-AB9D-85238108D66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881688" y="107775375"/>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666749</xdr:colOff>
      <xdr:row>333</xdr:row>
      <xdr:rowOff>190500</xdr:rowOff>
    </xdr:from>
    <xdr:to>
      <xdr:col>8</xdr:col>
      <xdr:colOff>359806</xdr:colOff>
      <xdr:row>333</xdr:row>
      <xdr:rowOff>548640</xdr:rowOff>
    </xdr:to>
    <xdr:pic>
      <xdr:nvPicPr>
        <xdr:cNvPr id="7" name="圖片 723866316">
          <a:extLst>
            <a:ext uri="{FF2B5EF4-FFF2-40B4-BE49-F238E27FC236}">
              <a16:creationId xmlns:a16="http://schemas.microsoft.com/office/drawing/2014/main" id="{66E2F500-3971-4AA6-BD80-B5F5CA1B528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893593" y="128539875"/>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577453</xdr:colOff>
      <xdr:row>319</xdr:row>
      <xdr:rowOff>47625</xdr:rowOff>
    </xdr:from>
    <xdr:to>
      <xdr:col>8</xdr:col>
      <xdr:colOff>270510</xdr:colOff>
      <xdr:row>319</xdr:row>
      <xdr:rowOff>405765</xdr:rowOff>
    </xdr:to>
    <xdr:pic>
      <xdr:nvPicPr>
        <xdr:cNvPr id="8" name="圖片 723866316">
          <a:extLst>
            <a:ext uri="{FF2B5EF4-FFF2-40B4-BE49-F238E27FC236}">
              <a16:creationId xmlns:a16="http://schemas.microsoft.com/office/drawing/2014/main" id="{C85A0F72-48EC-488A-BF4A-8861CF11EF1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804297" y="117598031"/>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461963</xdr:colOff>
      <xdr:row>314</xdr:row>
      <xdr:rowOff>390525</xdr:rowOff>
    </xdr:from>
    <xdr:to>
      <xdr:col>8</xdr:col>
      <xdr:colOff>155020</xdr:colOff>
      <xdr:row>314</xdr:row>
      <xdr:rowOff>748665</xdr:rowOff>
    </xdr:to>
    <xdr:pic>
      <xdr:nvPicPr>
        <xdr:cNvPr id="9" name="圖片 723866316">
          <a:extLst>
            <a:ext uri="{FF2B5EF4-FFF2-40B4-BE49-F238E27FC236}">
              <a16:creationId xmlns:a16="http://schemas.microsoft.com/office/drawing/2014/main" id="{68471D11-CEEA-4B2A-925A-B2462CA8D76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688807" y="11273790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459581</xdr:colOff>
      <xdr:row>317</xdr:row>
      <xdr:rowOff>54768</xdr:rowOff>
    </xdr:from>
    <xdr:to>
      <xdr:col>8</xdr:col>
      <xdr:colOff>152638</xdr:colOff>
      <xdr:row>317</xdr:row>
      <xdr:rowOff>412908</xdr:rowOff>
    </xdr:to>
    <xdr:pic>
      <xdr:nvPicPr>
        <xdr:cNvPr id="10" name="圖片 723866316">
          <a:extLst>
            <a:ext uri="{FF2B5EF4-FFF2-40B4-BE49-F238E27FC236}">
              <a16:creationId xmlns:a16="http://schemas.microsoft.com/office/drawing/2014/main" id="{0FCC9C44-76BF-44F6-A71D-526A19F9151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686425" y="115217971"/>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613171</xdr:colOff>
      <xdr:row>287</xdr:row>
      <xdr:rowOff>101203</xdr:rowOff>
    </xdr:from>
    <xdr:to>
      <xdr:col>8</xdr:col>
      <xdr:colOff>306228</xdr:colOff>
      <xdr:row>287</xdr:row>
      <xdr:rowOff>459343</xdr:rowOff>
    </xdr:to>
    <xdr:pic>
      <xdr:nvPicPr>
        <xdr:cNvPr id="11" name="圖片 723866316">
          <a:extLst>
            <a:ext uri="{FF2B5EF4-FFF2-40B4-BE49-F238E27FC236}">
              <a16:creationId xmlns:a16="http://schemas.microsoft.com/office/drawing/2014/main" id="{3F1CEB27-7390-4435-8C4A-14987E57E49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840015" y="100018453"/>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572133</xdr:colOff>
      <xdr:row>288</xdr:row>
      <xdr:rowOff>83344</xdr:rowOff>
    </xdr:from>
    <xdr:to>
      <xdr:col>8</xdr:col>
      <xdr:colOff>333376</xdr:colOff>
      <xdr:row>288</xdr:row>
      <xdr:rowOff>508398</xdr:rowOff>
    </xdr:to>
    <xdr:pic>
      <xdr:nvPicPr>
        <xdr:cNvPr id="13" name="圖片 12">
          <a:extLst>
            <a:ext uri="{FF2B5EF4-FFF2-40B4-BE49-F238E27FC236}">
              <a16:creationId xmlns:a16="http://schemas.microsoft.com/office/drawing/2014/main" id="{799A62D6-0150-558D-D93A-14A59F4E9D9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798977" y="101191219"/>
          <a:ext cx="433946" cy="425054"/>
        </a:xfrm>
        <a:prstGeom prst="rect">
          <a:avLst/>
        </a:prstGeom>
      </xdr:spPr>
    </xdr:pic>
    <xdr:clientData/>
  </xdr:twoCellAnchor>
  <xdr:twoCellAnchor editAs="oneCell">
    <xdr:from>
      <xdr:col>7</xdr:col>
      <xdr:colOff>619125</xdr:colOff>
      <xdr:row>332</xdr:row>
      <xdr:rowOff>71437</xdr:rowOff>
    </xdr:from>
    <xdr:to>
      <xdr:col>8</xdr:col>
      <xdr:colOff>379503</xdr:colOff>
      <xdr:row>337</xdr:row>
      <xdr:rowOff>826017</xdr:rowOff>
    </xdr:to>
    <xdr:pic>
      <xdr:nvPicPr>
        <xdr:cNvPr id="14" name="圖片 13">
          <a:extLst>
            <a:ext uri="{FF2B5EF4-FFF2-40B4-BE49-F238E27FC236}">
              <a16:creationId xmlns:a16="http://schemas.microsoft.com/office/drawing/2014/main" id="{FD64A2B2-00D7-4CB2-AA5C-161A0866690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845969" y="127843359"/>
          <a:ext cx="433946" cy="425054"/>
        </a:xfrm>
        <a:prstGeom prst="rect">
          <a:avLst/>
        </a:prstGeom>
      </xdr:spPr>
    </xdr:pic>
    <xdr:clientData/>
  </xdr:twoCellAnchor>
  <xdr:twoCellAnchor editAs="oneCell">
    <xdr:from>
      <xdr:col>7</xdr:col>
      <xdr:colOff>476250</xdr:colOff>
      <xdr:row>336</xdr:row>
      <xdr:rowOff>95250</xdr:rowOff>
    </xdr:from>
    <xdr:to>
      <xdr:col>8</xdr:col>
      <xdr:colOff>237493</xdr:colOff>
      <xdr:row>336</xdr:row>
      <xdr:rowOff>520304</xdr:rowOff>
    </xdr:to>
    <xdr:pic>
      <xdr:nvPicPr>
        <xdr:cNvPr id="15" name="圖片 14">
          <a:extLst>
            <a:ext uri="{FF2B5EF4-FFF2-40B4-BE49-F238E27FC236}">
              <a16:creationId xmlns:a16="http://schemas.microsoft.com/office/drawing/2014/main" id="{4C91F2A1-E353-4C62-ABFB-FD5DABCC3DA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703094" y="130563938"/>
          <a:ext cx="433946" cy="425054"/>
        </a:xfrm>
        <a:prstGeom prst="rect">
          <a:avLst/>
        </a:prstGeom>
      </xdr:spPr>
    </xdr:pic>
    <xdr:clientData/>
  </xdr:twoCellAnchor>
  <xdr:twoCellAnchor editAs="oneCell">
    <xdr:from>
      <xdr:col>7</xdr:col>
      <xdr:colOff>523874</xdr:colOff>
      <xdr:row>340</xdr:row>
      <xdr:rowOff>136922</xdr:rowOff>
    </xdr:from>
    <xdr:to>
      <xdr:col>8</xdr:col>
      <xdr:colOff>285117</xdr:colOff>
      <xdr:row>340</xdr:row>
      <xdr:rowOff>561976</xdr:rowOff>
    </xdr:to>
    <xdr:pic>
      <xdr:nvPicPr>
        <xdr:cNvPr id="16" name="圖片 15">
          <a:extLst>
            <a:ext uri="{FF2B5EF4-FFF2-40B4-BE49-F238E27FC236}">
              <a16:creationId xmlns:a16="http://schemas.microsoft.com/office/drawing/2014/main" id="{8D0B882A-D6EA-4C32-A3F4-DF2EC9BEE3F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750718" y="134296547"/>
          <a:ext cx="433946" cy="425054"/>
        </a:xfrm>
        <a:prstGeom prst="rect">
          <a:avLst/>
        </a:prstGeom>
      </xdr:spPr>
    </xdr:pic>
    <xdr:clientData/>
  </xdr:twoCellAnchor>
  <xdr:twoCellAnchor editAs="oneCell">
    <xdr:from>
      <xdr:col>7</xdr:col>
      <xdr:colOff>381000</xdr:colOff>
      <xdr:row>351</xdr:row>
      <xdr:rowOff>250033</xdr:rowOff>
    </xdr:from>
    <xdr:to>
      <xdr:col>8</xdr:col>
      <xdr:colOff>121578</xdr:colOff>
      <xdr:row>352</xdr:row>
      <xdr:rowOff>386954</xdr:rowOff>
    </xdr:to>
    <xdr:pic>
      <xdr:nvPicPr>
        <xdr:cNvPr id="18" name="圖片 17">
          <a:extLst>
            <a:ext uri="{FF2B5EF4-FFF2-40B4-BE49-F238E27FC236}">
              <a16:creationId xmlns:a16="http://schemas.microsoft.com/office/drawing/2014/main" id="{8912DB86-F35A-C194-F482-B1B7B9531AE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607844" y="144131111"/>
          <a:ext cx="413281" cy="404812"/>
        </a:xfrm>
        <a:prstGeom prst="rect">
          <a:avLst/>
        </a:prstGeom>
      </xdr:spPr>
    </xdr:pic>
    <xdr:clientData/>
  </xdr:twoCellAnchor>
  <xdr:twoCellAnchor editAs="oneCell">
    <xdr:from>
      <xdr:col>7</xdr:col>
      <xdr:colOff>547687</xdr:colOff>
      <xdr:row>320</xdr:row>
      <xdr:rowOff>17859</xdr:rowOff>
    </xdr:from>
    <xdr:to>
      <xdr:col>8</xdr:col>
      <xdr:colOff>288265</xdr:colOff>
      <xdr:row>321</xdr:row>
      <xdr:rowOff>65484</xdr:rowOff>
    </xdr:to>
    <xdr:pic>
      <xdr:nvPicPr>
        <xdr:cNvPr id="21" name="圖片 20">
          <a:extLst>
            <a:ext uri="{FF2B5EF4-FFF2-40B4-BE49-F238E27FC236}">
              <a16:creationId xmlns:a16="http://schemas.microsoft.com/office/drawing/2014/main" id="{DC17B9D0-BF2E-44D7-9BD3-9D6751F6633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774531" y="118782703"/>
          <a:ext cx="413281" cy="404812"/>
        </a:xfrm>
        <a:prstGeom prst="rect">
          <a:avLst/>
        </a:prstGeom>
      </xdr:spPr>
    </xdr:pic>
    <xdr:clientData/>
  </xdr:twoCellAnchor>
  <xdr:twoCellAnchor editAs="oneCell">
    <xdr:from>
      <xdr:col>7</xdr:col>
      <xdr:colOff>529828</xdr:colOff>
      <xdr:row>268</xdr:row>
      <xdr:rowOff>29765</xdr:rowOff>
    </xdr:from>
    <xdr:to>
      <xdr:col>8</xdr:col>
      <xdr:colOff>270406</xdr:colOff>
      <xdr:row>270</xdr:row>
      <xdr:rowOff>17858</xdr:rowOff>
    </xdr:to>
    <xdr:pic>
      <xdr:nvPicPr>
        <xdr:cNvPr id="22" name="圖片 21">
          <a:extLst>
            <a:ext uri="{FF2B5EF4-FFF2-40B4-BE49-F238E27FC236}">
              <a16:creationId xmlns:a16="http://schemas.microsoft.com/office/drawing/2014/main" id="{F8148434-39D0-4E86-AFF3-7B7880AB54B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756672" y="94999968"/>
          <a:ext cx="413281" cy="404812"/>
        </a:xfrm>
        <a:prstGeom prst="rect">
          <a:avLst/>
        </a:prstGeom>
      </xdr:spPr>
    </xdr:pic>
    <xdr:clientData/>
  </xdr:twoCellAnchor>
  <xdr:twoCellAnchor editAs="oneCell">
    <xdr:from>
      <xdr:col>7</xdr:col>
      <xdr:colOff>601265</xdr:colOff>
      <xdr:row>285</xdr:row>
      <xdr:rowOff>13273</xdr:rowOff>
    </xdr:from>
    <xdr:to>
      <xdr:col>8</xdr:col>
      <xdr:colOff>333376</xdr:colOff>
      <xdr:row>285</xdr:row>
      <xdr:rowOff>409792</xdr:rowOff>
    </xdr:to>
    <xdr:pic>
      <xdr:nvPicPr>
        <xdr:cNvPr id="24" name="圖片 23">
          <a:extLst>
            <a:ext uri="{FF2B5EF4-FFF2-40B4-BE49-F238E27FC236}">
              <a16:creationId xmlns:a16="http://schemas.microsoft.com/office/drawing/2014/main" id="{867846C5-DC8D-3B6E-026B-DB15DDA73ED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828109" y="98775617"/>
          <a:ext cx="404814" cy="396519"/>
        </a:xfrm>
        <a:prstGeom prst="rect">
          <a:avLst/>
        </a:prstGeom>
      </xdr:spPr>
    </xdr:pic>
    <xdr:clientData/>
  </xdr:twoCellAnchor>
  <xdr:twoCellAnchor editAs="oneCell">
    <xdr:from>
      <xdr:col>7</xdr:col>
      <xdr:colOff>583406</xdr:colOff>
      <xdr:row>286</xdr:row>
      <xdr:rowOff>0</xdr:rowOff>
    </xdr:from>
    <xdr:to>
      <xdr:col>8</xdr:col>
      <xdr:colOff>315517</xdr:colOff>
      <xdr:row>286</xdr:row>
      <xdr:rowOff>396519</xdr:rowOff>
    </xdr:to>
    <xdr:pic>
      <xdr:nvPicPr>
        <xdr:cNvPr id="25" name="圖片 24">
          <a:extLst>
            <a:ext uri="{FF2B5EF4-FFF2-40B4-BE49-F238E27FC236}">
              <a16:creationId xmlns:a16="http://schemas.microsoft.com/office/drawing/2014/main" id="{8A9F1503-C3A4-4151-9F48-894E7F5E4C7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810250" y="99488625"/>
          <a:ext cx="404814" cy="396519"/>
        </a:xfrm>
        <a:prstGeom prst="rect">
          <a:avLst/>
        </a:prstGeom>
      </xdr:spPr>
    </xdr:pic>
    <xdr:clientData/>
  </xdr:twoCellAnchor>
  <xdr:twoCellAnchor editAs="oneCell">
    <xdr:from>
      <xdr:col>7</xdr:col>
      <xdr:colOff>494110</xdr:colOff>
      <xdr:row>338</xdr:row>
      <xdr:rowOff>107156</xdr:rowOff>
    </xdr:from>
    <xdr:to>
      <xdr:col>8</xdr:col>
      <xdr:colOff>226221</xdr:colOff>
      <xdr:row>338</xdr:row>
      <xdr:rowOff>503675</xdr:rowOff>
    </xdr:to>
    <xdr:pic>
      <xdr:nvPicPr>
        <xdr:cNvPr id="26" name="圖片 25">
          <a:extLst>
            <a:ext uri="{FF2B5EF4-FFF2-40B4-BE49-F238E27FC236}">
              <a16:creationId xmlns:a16="http://schemas.microsoft.com/office/drawing/2014/main" id="{E6D309A4-A83E-4FDA-B33F-4698BC67C35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720954" y="132486797"/>
          <a:ext cx="404814" cy="396519"/>
        </a:xfrm>
        <a:prstGeom prst="rect">
          <a:avLst/>
        </a:prstGeom>
      </xdr:spPr>
    </xdr:pic>
    <xdr:clientData/>
  </xdr:twoCellAnchor>
  <xdr:twoCellAnchor editAs="oneCell">
    <xdr:from>
      <xdr:col>7</xdr:col>
      <xdr:colOff>464343</xdr:colOff>
      <xdr:row>337</xdr:row>
      <xdr:rowOff>5954</xdr:rowOff>
    </xdr:from>
    <xdr:to>
      <xdr:col>8</xdr:col>
      <xdr:colOff>196454</xdr:colOff>
      <xdr:row>337</xdr:row>
      <xdr:rowOff>402473</xdr:rowOff>
    </xdr:to>
    <xdr:pic>
      <xdr:nvPicPr>
        <xdr:cNvPr id="27" name="圖片 26">
          <a:extLst>
            <a:ext uri="{FF2B5EF4-FFF2-40B4-BE49-F238E27FC236}">
              <a16:creationId xmlns:a16="http://schemas.microsoft.com/office/drawing/2014/main" id="{8A2626AF-8BFD-4AAB-B474-FFB9D80865C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691187" y="131052095"/>
          <a:ext cx="404814" cy="396519"/>
        </a:xfrm>
        <a:prstGeom prst="rect">
          <a:avLst/>
        </a:prstGeom>
      </xdr:spPr>
    </xdr:pic>
    <xdr:clientData/>
  </xdr:twoCellAnchor>
  <xdr:twoCellAnchor editAs="oneCell">
    <xdr:from>
      <xdr:col>7</xdr:col>
      <xdr:colOff>494109</xdr:colOff>
      <xdr:row>346</xdr:row>
      <xdr:rowOff>622126</xdr:rowOff>
    </xdr:from>
    <xdr:to>
      <xdr:col>8</xdr:col>
      <xdr:colOff>258365</xdr:colOff>
      <xdr:row>347</xdr:row>
      <xdr:rowOff>79772</xdr:rowOff>
    </xdr:to>
    <xdr:pic>
      <xdr:nvPicPr>
        <xdr:cNvPr id="29" name="圖片 28">
          <a:extLst>
            <a:ext uri="{FF2B5EF4-FFF2-40B4-BE49-F238E27FC236}">
              <a16:creationId xmlns:a16="http://schemas.microsoft.com/office/drawing/2014/main" id="{269F6241-5879-6506-CD6E-57FA4693005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720953" y="140675345"/>
          <a:ext cx="436959" cy="428005"/>
        </a:xfrm>
        <a:prstGeom prst="rect">
          <a:avLst/>
        </a:prstGeom>
      </xdr:spPr>
    </xdr:pic>
    <xdr:clientData/>
  </xdr:twoCellAnchor>
  <xdr:twoCellAnchor editAs="oneCell">
    <xdr:from>
      <xdr:col>7</xdr:col>
      <xdr:colOff>625078</xdr:colOff>
      <xdr:row>266</xdr:row>
      <xdr:rowOff>500063</xdr:rowOff>
    </xdr:from>
    <xdr:to>
      <xdr:col>8</xdr:col>
      <xdr:colOff>389334</xdr:colOff>
      <xdr:row>267</xdr:row>
      <xdr:rowOff>404193</xdr:rowOff>
    </xdr:to>
    <xdr:pic>
      <xdr:nvPicPr>
        <xdr:cNvPr id="31" name="圖片 30">
          <a:extLst>
            <a:ext uri="{FF2B5EF4-FFF2-40B4-BE49-F238E27FC236}">
              <a16:creationId xmlns:a16="http://schemas.microsoft.com/office/drawing/2014/main" id="{B4C3C66B-30F8-4640-A583-3EAA1E2B4C2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851922" y="92981860"/>
          <a:ext cx="436959" cy="428005"/>
        </a:xfrm>
        <a:prstGeom prst="rect">
          <a:avLst/>
        </a:prstGeom>
      </xdr:spPr>
    </xdr:pic>
    <xdr:clientData/>
  </xdr:twoCellAnchor>
  <xdr:twoCellAnchor editAs="oneCell">
    <xdr:from>
      <xdr:col>7</xdr:col>
      <xdr:colOff>476249</xdr:colOff>
      <xdr:row>315</xdr:row>
      <xdr:rowOff>190500</xdr:rowOff>
    </xdr:from>
    <xdr:to>
      <xdr:col>8</xdr:col>
      <xdr:colOff>204786</xdr:colOff>
      <xdr:row>316</xdr:row>
      <xdr:rowOff>309674</xdr:rowOff>
    </xdr:to>
    <xdr:pic>
      <xdr:nvPicPr>
        <xdr:cNvPr id="34" name="圖片 33">
          <a:extLst>
            <a:ext uri="{FF2B5EF4-FFF2-40B4-BE49-F238E27FC236}">
              <a16:creationId xmlns:a16="http://schemas.microsoft.com/office/drawing/2014/main" id="{F59D18E2-E978-4F97-8B76-B69640F6F5B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703093" y="114555984"/>
          <a:ext cx="401240" cy="393018"/>
        </a:xfrm>
        <a:prstGeom prst="rect">
          <a:avLst/>
        </a:prstGeom>
      </xdr:spPr>
    </xdr:pic>
    <xdr:clientData/>
  </xdr:twoCellAnchor>
  <xdr:twoCellAnchor editAs="oneCell">
    <xdr:from>
      <xdr:col>7</xdr:col>
      <xdr:colOff>452438</xdr:colOff>
      <xdr:row>314</xdr:row>
      <xdr:rowOff>827485</xdr:rowOff>
    </xdr:from>
    <xdr:to>
      <xdr:col>8</xdr:col>
      <xdr:colOff>180975</xdr:colOff>
      <xdr:row>314</xdr:row>
      <xdr:rowOff>1220503</xdr:rowOff>
    </xdr:to>
    <xdr:pic>
      <xdr:nvPicPr>
        <xdr:cNvPr id="35" name="圖片 34">
          <a:extLst>
            <a:ext uri="{FF2B5EF4-FFF2-40B4-BE49-F238E27FC236}">
              <a16:creationId xmlns:a16="http://schemas.microsoft.com/office/drawing/2014/main" id="{696E4CA7-4C9D-42E7-9DB2-3B2D6434E6D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679282" y="113174860"/>
          <a:ext cx="401240" cy="393018"/>
        </a:xfrm>
        <a:prstGeom prst="rect">
          <a:avLst/>
        </a:prstGeom>
      </xdr:spPr>
    </xdr:pic>
    <xdr:clientData/>
  </xdr:twoCellAnchor>
  <xdr:twoCellAnchor editAs="oneCell">
    <xdr:from>
      <xdr:col>7</xdr:col>
      <xdr:colOff>458391</xdr:colOff>
      <xdr:row>323</xdr:row>
      <xdr:rowOff>0</xdr:rowOff>
    </xdr:from>
    <xdr:to>
      <xdr:col>8</xdr:col>
      <xdr:colOff>186928</xdr:colOff>
      <xdr:row>323</xdr:row>
      <xdr:rowOff>393018</xdr:rowOff>
    </xdr:to>
    <xdr:pic>
      <xdr:nvPicPr>
        <xdr:cNvPr id="37" name="圖片 36">
          <a:extLst>
            <a:ext uri="{FF2B5EF4-FFF2-40B4-BE49-F238E27FC236}">
              <a16:creationId xmlns:a16="http://schemas.microsoft.com/office/drawing/2014/main" id="{B812EBFE-85D0-4D56-BD5E-33F1F2F4992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685235" y="120503156"/>
          <a:ext cx="401240" cy="393018"/>
        </a:xfrm>
        <a:prstGeom prst="rect">
          <a:avLst/>
        </a:prstGeom>
      </xdr:spPr>
    </xdr:pic>
    <xdr:clientData/>
  </xdr:twoCellAnchor>
  <xdr:twoCellAnchor editAs="oneCell">
    <xdr:from>
      <xdr:col>7</xdr:col>
      <xdr:colOff>473869</xdr:colOff>
      <xdr:row>325</xdr:row>
      <xdr:rowOff>158353</xdr:rowOff>
    </xdr:from>
    <xdr:to>
      <xdr:col>8</xdr:col>
      <xdr:colOff>202406</xdr:colOff>
      <xdr:row>325</xdr:row>
      <xdr:rowOff>551371</xdr:rowOff>
    </xdr:to>
    <xdr:pic>
      <xdr:nvPicPr>
        <xdr:cNvPr id="38" name="圖片 37">
          <a:extLst>
            <a:ext uri="{FF2B5EF4-FFF2-40B4-BE49-F238E27FC236}">
              <a16:creationId xmlns:a16="http://schemas.microsoft.com/office/drawing/2014/main" id="{2537CE0F-E31F-4D5A-A596-DD96AF14445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700713" y="121840228"/>
          <a:ext cx="401240" cy="393018"/>
        </a:xfrm>
        <a:prstGeom prst="rect">
          <a:avLst/>
        </a:prstGeom>
      </xdr:spPr>
    </xdr:pic>
    <xdr:clientData/>
  </xdr:twoCellAnchor>
  <xdr:twoCellAnchor editAs="oneCell">
    <xdr:from>
      <xdr:col>7</xdr:col>
      <xdr:colOff>523875</xdr:colOff>
      <xdr:row>341</xdr:row>
      <xdr:rowOff>89296</xdr:rowOff>
    </xdr:from>
    <xdr:to>
      <xdr:col>8</xdr:col>
      <xdr:colOff>252412</xdr:colOff>
      <xdr:row>341</xdr:row>
      <xdr:rowOff>482314</xdr:rowOff>
    </xdr:to>
    <xdr:pic>
      <xdr:nvPicPr>
        <xdr:cNvPr id="39" name="圖片 38">
          <a:extLst>
            <a:ext uri="{FF2B5EF4-FFF2-40B4-BE49-F238E27FC236}">
              <a16:creationId xmlns:a16="http://schemas.microsoft.com/office/drawing/2014/main" id="{63B50A05-4DA0-4190-98C7-6CA77D8EC81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750719" y="134826374"/>
          <a:ext cx="401240" cy="393018"/>
        </a:xfrm>
        <a:prstGeom prst="rect">
          <a:avLst/>
        </a:prstGeom>
      </xdr:spPr>
    </xdr:pic>
    <xdr:clientData/>
  </xdr:twoCellAnchor>
  <xdr:twoCellAnchor editAs="oneCell">
    <xdr:from>
      <xdr:col>7</xdr:col>
      <xdr:colOff>619125</xdr:colOff>
      <xdr:row>297</xdr:row>
      <xdr:rowOff>205773</xdr:rowOff>
    </xdr:from>
    <xdr:to>
      <xdr:col>8</xdr:col>
      <xdr:colOff>401240</xdr:colOff>
      <xdr:row>298</xdr:row>
      <xdr:rowOff>431006</xdr:rowOff>
    </xdr:to>
    <xdr:pic>
      <xdr:nvPicPr>
        <xdr:cNvPr id="44" name="圖片 43">
          <a:extLst>
            <a:ext uri="{FF2B5EF4-FFF2-40B4-BE49-F238E27FC236}">
              <a16:creationId xmlns:a16="http://schemas.microsoft.com/office/drawing/2014/main" id="{4890BB67-20AE-1214-F71D-B135F6E4E08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845969" y="106576211"/>
          <a:ext cx="454818" cy="445498"/>
        </a:xfrm>
        <a:prstGeom prst="rect">
          <a:avLst/>
        </a:prstGeom>
      </xdr:spPr>
    </xdr:pic>
    <xdr:clientData/>
  </xdr:twoCellAnchor>
  <xdr:twoCellAnchor editAs="oneCell">
    <xdr:from>
      <xdr:col>8</xdr:col>
      <xdr:colOff>17858</xdr:colOff>
      <xdr:row>294</xdr:row>
      <xdr:rowOff>561251</xdr:rowOff>
    </xdr:from>
    <xdr:to>
      <xdr:col>8</xdr:col>
      <xdr:colOff>389333</xdr:colOff>
      <xdr:row>294</xdr:row>
      <xdr:rowOff>925114</xdr:rowOff>
    </xdr:to>
    <xdr:pic>
      <xdr:nvPicPr>
        <xdr:cNvPr id="46" name="圖片 45">
          <a:extLst>
            <a:ext uri="{FF2B5EF4-FFF2-40B4-BE49-F238E27FC236}">
              <a16:creationId xmlns:a16="http://schemas.microsoft.com/office/drawing/2014/main" id="{C4F44A60-A953-512D-DFBD-2896EB43E0EC}"/>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917405" y="105092173"/>
          <a:ext cx="371475" cy="363863"/>
        </a:xfrm>
        <a:prstGeom prst="rect">
          <a:avLst/>
        </a:prstGeom>
      </xdr:spPr>
    </xdr:pic>
    <xdr:clientData/>
  </xdr:twoCellAnchor>
  <xdr:twoCellAnchor editAs="oneCell">
    <xdr:from>
      <xdr:col>8</xdr:col>
      <xdr:colOff>16163</xdr:colOff>
      <xdr:row>298</xdr:row>
      <xdr:rowOff>494109</xdr:rowOff>
    </xdr:from>
    <xdr:to>
      <xdr:col>8</xdr:col>
      <xdr:colOff>389332</xdr:colOff>
      <xdr:row>299</xdr:row>
      <xdr:rowOff>14287</xdr:rowOff>
    </xdr:to>
    <xdr:pic>
      <xdr:nvPicPr>
        <xdr:cNvPr id="48" name="圖片 47">
          <a:extLst>
            <a:ext uri="{FF2B5EF4-FFF2-40B4-BE49-F238E27FC236}">
              <a16:creationId xmlns:a16="http://schemas.microsoft.com/office/drawing/2014/main" id="{00AF8FF2-7E10-EA9B-7FC9-779D63EA5C3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915710" y="107084812"/>
          <a:ext cx="373169" cy="365522"/>
        </a:xfrm>
        <a:prstGeom prst="rect">
          <a:avLst/>
        </a:prstGeom>
      </xdr:spPr>
    </xdr:pic>
    <xdr:clientData/>
  </xdr:twoCellAnchor>
  <xdr:twoCellAnchor editAs="oneCell">
    <xdr:from>
      <xdr:col>7</xdr:col>
      <xdr:colOff>595312</xdr:colOff>
      <xdr:row>319</xdr:row>
      <xdr:rowOff>506016</xdr:rowOff>
    </xdr:from>
    <xdr:to>
      <xdr:col>8</xdr:col>
      <xdr:colOff>295778</xdr:colOff>
      <xdr:row>319</xdr:row>
      <xdr:rowOff>871538</xdr:rowOff>
    </xdr:to>
    <xdr:pic>
      <xdr:nvPicPr>
        <xdr:cNvPr id="49" name="圖片 48">
          <a:extLst>
            <a:ext uri="{FF2B5EF4-FFF2-40B4-BE49-F238E27FC236}">
              <a16:creationId xmlns:a16="http://schemas.microsoft.com/office/drawing/2014/main" id="{E3920A05-5218-47AD-B94A-AA4CACFEFD0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822156" y="118056422"/>
          <a:ext cx="373169" cy="365522"/>
        </a:xfrm>
        <a:prstGeom prst="rect">
          <a:avLst/>
        </a:prstGeom>
      </xdr:spPr>
    </xdr:pic>
    <xdr:clientData/>
  </xdr:twoCellAnchor>
  <xdr:twoCellAnchor editAs="oneCell">
    <xdr:from>
      <xdr:col>7</xdr:col>
      <xdr:colOff>494108</xdr:colOff>
      <xdr:row>337</xdr:row>
      <xdr:rowOff>542659</xdr:rowOff>
    </xdr:from>
    <xdr:to>
      <xdr:col>8</xdr:col>
      <xdr:colOff>250031</xdr:colOff>
      <xdr:row>337</xdr:row>
      <xdr:rowOff>962502</xdr:rowOff>
    </xdr:to>
    <xdr:pic>
      <xdr:nvPicPr>
        <xdr:cNvPr id="51" name="圖片 50">
          <a:extLst>
            <a:ext uri="{FF2B5EF4-FFF2-40B4-BE49-F238E27FC236}">
              <a16:creationId xmlns:a16="http://schemas.microsoft.com/office/drawing/2014/main" id="{49C84BD6-1F39-5A76-65C1-42BDB743478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720952" y="131588800"/>
          <a:ext cx="428626" cy="419843"/>
        </a:xfrm>
        <a:prstGeom prst="rect">
          <a:avLst/>
        </a:prstGeom>
      </xdr:spPr>
    </xdr:pic>
    <xdr:clientData/>
  </xdr:twoCellAnchor>
  <xdr:twoCellAnchor editAs="oneCell">
    <xdr:from>
      <xdr:col>7</xdr:col>
      <xdr:colOff>541735</xdr:colOff>
      <xdr:row>341</xdr:row>
      <xdr:rowOff>589360</xdr:rowOff>
    </xdr:from>
    <xdr:to>
      <xdr:col>8</xdr:col>
      <xdr:colOff>297658</xdr:colOff>
      <xdr:row>341</xdr:row>
      <xdr:rowOff>1009203</xdr:rowOff>
    </xdr:to>
    <xdr:pic>
      <xdr:nvPicPr>
        <xdr:cNvPr id="52" name="圖片 51">
          <a:extLst>
            <a:ext uri="{FF2B5EF4-FFF2-40B4-BE49-F238E27FC236}">
              <a16:creationId xmlns:a16="http://schemas.microsoft.com/office/drawing/2014/main" id="{D3D0F7FF-9525-4CD7-B0BE-6EC0E742D0E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768579" y="135326438"/>
          <a:ext cx="428626" cy="419843"/>
        </a:xfrm>
        <a:prstGeom prst="rect">
          <a:avLst/>
        </a:prstGeom>
      </xdr:spPr>
    </xdr:pic>
    <xdr:clientData/>
  </xdr:twoCellAnchor>
  <xdr:twoCellAnchor editAs="oneCell">
    <xdr:from>
      <xdr:col>7</xdr:col>
      <xdr:colOff>446485</xdr:colOff>
      <xdr:row>349</xdr:row>
      <xdr:rowOff>71437</xdr:rowOff>
    </xdr:from>
    <xdr:to>
      <xdr:col>8</xdr:col>
      <xdr:colOff>202408</xdr:colOff>
      <xdr:row>350</xdr:row>
      <xdr:rowOff>223390</xdr:rowOff>
    </xdr:to>
    <xdr:pic>
      <xdr:nvPicPr>
        <xdr:cNvPr id="53" name="圖片 52">
          <a:extLst>
            <a:ext uri="{FF2B5EF4-FFF2-40B4-BE49-F238E27FC236}">
              <a16:creationId xmlns:a16="http://schemas.microsoft.com/office/drawing/2014/main" id="{1DF68AB2-25B0-4161-B946-EDE00BD84A6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673329" y="142541625"/>
          <a:ext cx="428626" cy="419843"/>
        </a:xfrm>
        <a:prstGeom prst="rect">
          <a:avLst/>
        </a:prstGeom>
      </xdr:spPr>
    </xdr:pic>
    <xdr:clientData/>
  </xdr:twoCellAnchor>
  <xdr:twoCellAnchor editAs="oneCell">
    <xdr:from>
      <xdr:col>7</xdr:col>
      <xdr:colOff>456009</xdr:colOff>
      <xdr:row>328</xdr:row>
      <xdr:rowOff>15478</xdr:rowOff>
    </xdr:from>
    <xdr:to>
      <xdr:col>8</xdr:col>
      <xdr:colOff>184546</xdr:colOff>
      <xdr:row>328</xdr:row>
      <xdr:rowOff>408496</xdr:rowOff>
    </xdr:to>
    <xdr:pic>
      <xdr:nvPicPr>
        <xdr:cNvPr id="54" name="圖片 53">
          <a:extLst>
            <a:ext uri="{FF2B5EF4-FFF2-40B4-BE49-F238E27FC236}">
              <a16:creationId xmlns:a16="http://schemas.microsoft.com/office/drawing/2014/main" id="{1747C67B-3746-44C4-B72D-1B725FB0395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682853" y="125120400"/>
          <a:ext cx="401240" cy="393018"/>
        </a:xfrm>
        <a:prstGeom prst="rect">
          <a:avLst/>
        </a:prstGeom>
      </xdr:spPr>
    </xdr:pic>
    <xdr:clientData/>
  </xdr:twoCellAnchor>
  <xdr:twoCellAnchor editAs="oneCell">
    <xdr:from>
      <xdr:col>7</xdr:col>
      <xdr:colOff>453629</xdr:colOff>
      <xdr:row>326</xdr:row>
      <xdr:rowOff>36909</xdr:rowOff>
    </xdr:from>
    <xdr:to>
      <xdr:col>8</xdr:col>
      <xdr:colOff>182166</xdr:colOff>
      <xdr:row>326</xdr:row>
      <xdr:rowOff>429927</xdr:rowOff>
    </xdr:to>
    <xdr:pic>
      <xdr:nvPicPr>
        <xdr:cNvPr id="55" name="圖片 54">
          <a:extLst>
            <a:ext uri="{FF2B5EF4-FFF2-40B4-BE49-F238E27FC236}">
              <a16:creationId xmlns:a16="http://schemas.microsoft.com/office/drawing/2014/main" id="{DA4F87CF-DE7E-4ED2-A321-8EE37CE7299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680473" y="123099909"/>
          <a:ext cx="401240" cy="39301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0.10556</cdr:x>
      <cdr:y>0.59048</cdr:y>
    </cdr:from>
    <cdr:to>
      <cdr:x>0.98045</cdr:x>
      <cdr:y>0.70951</cdr:y>
    </cdr:to>
    <cdr:pic>
      <cdr:nvPicPr>
        <cdr:cNvPr id="2" name="chart">
          <a:extLst xmlns:a="http://schemas.openxmlformats.org/drawingml/2006/main">
            <a:ext uri="{FF2B5EF4-FFF2-40B4-BE49-F238E27FC236}">
              <a16:creationId xmlns:a16="http://schemas.microsoft.com/office/drawing/2014/main" id="{F4DA0E11-3E3D-792A-CEE2-FE69D923C3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79120" y="1889760"/>
          <a:ext cx="4800000" cy="380952"/>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30480</xdr:colOff>
      <xdr:row>99</xdr:row>
      <xdr:rowOff>137160</xdr:rowOff>
    </xdr:to>
    <xdr:pic>
      <xdr:nvPicPr>
        <xdr:cNvPr id="2" name="圖片 1">
          <a:extLst>
            <a:ext uri="{FF2B5EF4-FFF2-40B4-BE49-F238E27FC236}">
              <a16:creationId xmlns:a16="http://schemas.microsoft.com/office/drawing/2014/main" id="{8CC70C38-9432-76AF-0801-14CC65723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448800" cy="19933920"/>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1EF14F-4E07-42F8-BF53-5482ED817B36}">
  <we:reference id="wa200002671" version="1.0.0.4" store="zh-TW" storeType="OMEX"/>
  <we:alternateReferences>
    <we:reference id="WA200002671" version="1.0.0.4" store="WA2000026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S50"/>
  <sheetViews>
    <sheetView view="pageBreakPreview" zoomScale="91" zoomScaleNormal="60" zoomScaleSheetLayoutView="91" workbookViewId="0">
      <selection activeCell="C12" sqref="C12"/>
    </sheetView>
  </sheetViews>
  <sheetFormatPr defaultColWidth="13.19921875" defaultRowHeight="13.8"/>
  <cols>
    <col min="1" max="1" width="37.59765625" style="4" customWidth="1"/>
    <col min="2" max="2" width="15.69921875" style="37" customWidth="1"/>
    <col min="3" max="4" width="18.09765625" style="37" customWidth="1"/>
    <col min="5" max="7" width="15.59765625" style="37" customWidth="1"/>
    <col min="8" max="10" width="15.69921875" style="37" customWidth="1"/>
    <col min="11" max="13" width="15.69921875" style="4" customWidth="1"/>
    <col min="14" max="14" width="13.19921875" style="4" customWidth="1"/>
    <col min="15" max="16384" width="13.19921875" style="4"/>
  </cols>
  <sheetData>
    <row r="1" spans="1:19" ht="30" customHeight="1">
      <c r="A1" s="2" t="s">
        <v>216</v>
      </c>
      <c r="B1" s="2"/>
      <c r="C1" s="2"/>
      <c r="D1" s="2"/>
      <c r="E1" s="2"/>
      <c r="F1" s="2"/>
      <c r="G1" s="2"/>
      <c r="H1" s="2"/>
      <c r="I1" s="2"/>
      <c r="J1" s="2"/>
      <c r="K1" s="2"/>
      <c r="L1" s="2"/>
      <c r="M1" s="2"/>
      <c r="N1" s="17"/>
      <c r="O1" s="17"/>
      <c r="P1" s="17"/>
      <c r="Q1" s="17"/>
      <c r="R1" s="17"/>
      <c r="S1" s="17"/>
    </row>
    <row r="2" spans="1:19" ht="22.2">
      <c r="A2" s="1" t="s">
        <v>0</v>
      </c>
      <c r="B2" s="1"/>
      <c r="C2" s="1"/>
      <c r="D2" s="1"/>
      <c r="E2" s="1"/>
      <c r="F2" s="1"/>
      <c r="G2" s="1"/>
      <c r="H2" s="1"/>
      <c r="I2" s="1"/>
      <c r="J2" s="1"/>
      <c r="K2" s="1"/>
      <c r="L2" s="1"/>
      <c r="M2" s="1"/>
      <c r="N2" s="17"/>
      <c r="O2" s="17"/>
      <c r="P2" s="17"/>
      <c r="Q2" s="17"/>
      <c r="R2" s="17"/>
      <c r="S2" s="17"/>
    </row>
    <row r="3" spans="1:19" ht="28.5" customHeight="1">
      <c r="A3" s="762" t="s">
        <v>470</v>
      </c>
      <c r="B3" s="762"/>
      <c r="C3" s="762"/>
      <c r="D3" s="762"/>
      <c r="E3" s="762"/>
      <c r="F3" s="762"/>
      <c r="G3" s="762"/>
      <c r="H3" s="762"/>
      <c r="I3" s="762"/>
      <c r="J3" s="762"/>
      <c r="K3" s="762"/>
      <c r="L3" s="762"/>
      <c r="M3" s="762"/>
      <c r="N3" s="17"/>
      <c r="O3" s="17"/>
      <c r="P3" s="17"/>
      <c r="Q3" s="17"/>
      <c r="R3" s="17"/>
      <c r="S3" s="17"/>
    </row>
    <row r="4" spans="1:19" ht="21" customHeight="1">
      <c r="A4" s="22"/>
      <c r="B4" s="23"/>
      <c r="C4" s="23"/>
      <c r="D4" s="23"/>
      <c r="E4" s="23"/>
      <c r="F4" s="23"/>
      <c r="G4" s="5"/>
      <c r="H4" s="23"/>
      <c r="I4" s="23"/>
      <c r="J4" s="23"/>
      <c r="M4" s="24" t="s">
        <v>1</v>
      </c>
      <c r="N4" s="17"/>
      <c r="O4" s="17"/>
      <c r="P4" s="17"/>
      <c r="Q4" s="17"/>
      <c r="R4" s="17"/>
      <c r="S4" s="17"/>
    </row>
    <row r="5" spans="1:19" s="6" customFormat="1" ht="33.75" customHeight="1">
      <c r="A5" s="25"/>
      <c r="B5" s="763" t="s">
        <v>2</v>
      </c>
      <c r="C5" s="763"/>
      <c r="D5" s="763"/>
      <c r="E5" s="763" t="s">
        <v>3</v>
      </c>
      <c r="F5" s="763"/>
      <c r="G5" s="763"/>
      <c r="H5" s="763" t="s">
        <v>4</v>
      </c>
      <c r="I5" s="763"/>
      <c r="J5" s="763"/>
      <c r="K5" s="763" t="s">
        <v>5</v>
      </c>
      <c r="L5" s="763"/>
      <c r="M5" s="763"/>
      <c r="N5" s="18"/>
      <c r="O5" s="18"/>
      <c r="P5" s="18"/>
      <c r="Q5" s="18"/>
      <c r="R5" s="18"/>
      <c r="S5" s="18"/>
    </row>
    <row r="6" spans="1:19" ht="16.2">
      <c r="A6" s="26" t="s">
        <v>6</v>
      </c>
      <c r="B6" s="27" t="s">
        <v>7</v>
      </c>
      <c r="C6" s="27" t="s">
        <v>8</v>
      </c>
      <c r="D6" s="27" t="s">
        <v>9</v>
      </c>
      <c r="E6" s="27" t="s">
        <v>7</v>
      </c>
      <c r="F6" s="27" t="s">
        <v>8</v>
      </c>
      <c r="G6" s="27" t="s">
        <v>9</v>
      </c>
      <c r="H6" s="27" t="s">
        <v>7</v>
      </c>
      <c r="I6" s="27" t="s">
        <v>8</v>
      </c>
      <c r="J6" s="27" t="s">
        <v>9</v>
      </c>
      <c r="K6" s="27" t="s">
        <v>7</v>
      </c>
      <c r="L6" s="27" t="s">
        <v>8</v>
      </c>
      <c r="M6" s="27" t="s">
        <v>9</v>
      </c>
      <c r="N6" s="17"/>
      <c r="O6" s="17"/>
      <c r="P6" s="17"/>
      <c r="Q6" s="17"/>
      <c r="R6" s="17"/>
      <c r="S6" s="17"/>
    </row>
    <row r="7" spans="1:19" s="7" customFormat="1" ht="23.25" customHeight="1">
      <c r="A7" s="28" t="s">
        <v>10</v>
      </c>
      <c r="B7" s="29"/>
      <c r="C7" s="29"/>
      <c r="D7" s="30"/>
      <c r="E7" s="49"/>
      <c r="F7" s="49"/>
      <c r="G7" s="31"/>
      <c r="H7" s="31"/>
      <c r="I7" s="31"/>
      <c r="J7" s="30"/>
      <c r="K7" s="32"/>
      <c r="L7" s="32"/>
      <c r="M7" s="32"/>
      <c r="N7" s="19"/>
      <c r="O7" s="19"/>
      <c r="P7" s="19"/>
      <c r="Q7" s="19"/>
      <c r="R7" s="19"/>
      <c r="S7" s="19"/>
    </row>
    <row r="8" spans="1:19" s="7" customFormat="1" ht="23.25" customHeight="1">
      <c r="A8" s="28" t="s">
        <v>11</v>
      </c>
      <c r="B8" s="38">
        <f>計畫架構圖表!F105*1000*0.45</f>
        <v>463712.40000000014</v>
      </c>
      <c r="C8" s="38">
        <f>計畫架構圖表!F105*1000*0.55</f>
        <v>566759.60000000021</v>
      </c>
      <c r="D8" s="33">
        <f>B8+C8</f>
        <v>1030472.0000000003</v>
      </c>
      <c r="E8" s="39"/>
      <c r="F8" s="39"/>
      <c r="G8" s="33">
        <f>E8+F8</f>
        <v>0</v>
      </c>
      <c r="H8" s="33">
        <f>IF(J8+G8&gt;=D8,B8-E8,ROUND(J8/D8*B8,0))</f>
        <v>48450</v>
      </c>
      <c r="I8" s="33">
        <f>J8-H8</f>
        <v>59216</v>
      </c>
      <c r="J8" s="52">
        <f>ROUND(人事費!I13,0)</f>
        <v>107666</v>
      </c>
      <c r="K8" s="33">
        <f t="shared" ref="K8:L12" si="0">E8+H8</f>
        <v>48450</v>
      </c>
      <c r="L8" s="33">
        <f t="shared" si="0"/>
        <v>59216</v>
      </c>
      <c r="M8" s="33">
        <f>K8+L8</f>
        <v>107666</v>
      </c>
      <c r="N8" s="19"/>
      <c r="O8" s="47"/>
      <c r="P8" s="48"/>
      <c r="Q8" s="48"/>
      <c r="R8" s="19"/>
      <c r="S8" s="19"/>
    </row>
    <row r="9" spans="1:19" s="7" customFormat="1" ht="23.25" customHeight="1">
      <c r="A9" s="28" t="s">
        <v>12</v>
      </c>
      <c r="B9" s="38">
        <f>計畫架構圖表!F103*0.45*1000</f>
        <v>90000</v>
      </c>
      <c r="C9" s="38">
        <f>計畫架構圖表!F103*0.55*1000</f>
        <v>110000.00000000001</v>
      </c>
      <c r="D9" s="33">
        <f>B9+C9</f>
        <v>200000</v>
      </c>
      <c r="E9" s="39"/>
      <c r="F9" s="39"/>
      <c r="G9" s="33">
        <f>E9+F9</f>
        <v>0</v>
      </c>
      <c r="H9" s="33">
        <f>IF(J9+G9&gt;=D9,B9-E9,ROUND(J9/D9*B9,0))</f>
        <v>9000</v>
      </c>
      <c r="I9" s="33">
        <f>J9-H9</f>
        <v>11000</v>
      </c>
      <c r="J9" s="52">
        <f>ROUND(顧問!E15,0)</f>
        <v>20000</v>
      </c>
      <c r="K9" s="33">
        <f t="shared" si="0"/>
        <v>9000</v>
      </c>
      <c r="L9" s="33">
        <f t="shared" si="0"/>
        <v>11000</v>
      </c>
      <c r="M9" s="33">
        <f>K9+L9</f>
        <v>20000</v>
      </c>
      <c r="N9" s="19"/>
      <c r="O9" s="47"/>
      <c r="P9" s="48"/>
      <c r="Q9" s="48"/>
      <c r="R9" s="19"/>
      <c r="S9" s="19"/>
    </row>
    <row r="10" spans="1:19" s="7" customFormat="1" ht="23.25" customHeight="1">
      <c r="A10" s="28" t="s">
        <v>13</v>
      </c>
      <c r="B10" s="38">
        <f>計畫架構圖表!F98*1000*0.45</f>
        <v>117000</v>
      </c>
      <c r="C10" s="38">
        <f>計畫架構圖表!F98*1000*0.55</f>
        <v>143000</v>
      </c>
      <c r="D10" s="33">
        <f>B10+C10</f>
        <v>260000</v>
      </c>
      <c r="E10" s="39"/>
      <c r="F10" s="39"/>
      <c r="G10" s="33">
        <f>E10+F10</f>
        <v>0</v>
      </c>
      <c r="H10" s="33">
        <f>IF(J10+G10&gt;=D10,B10-E10,ROUND(J10/D10*B10,0))</f>
        <v>1706</v>
      </c>
      <c r="I10" s="33">
        <f>J10-H10</f>
        <v>2084</v>
      </c>
      <c r="J10" s="52">
        <f>ROUND(材料費!J27,0)</f>
        <v>3790</v>
      </c>
      <c r="K10" s="33">
        <f t="shared" si="0"/>
        <v>1706</v>
      </c>
      <c r="L10" s="33">
        <f t="shared" si="0"/>
        <v>2084</v>
      </c>
      <c r="M10" s="33">
        <f>K10+L10</f>
        <v>3790</v>
      </c>
      <c r="N10" s="19"/>
      <c r="O10" s="47"/>
      <c r="P10" s="48"/>
      <c r="Q10" s="48"/>
      <c r="R10" s="19"/>
      <c r="S10" s="19"/>
    </row>
    <row r="11" spans="1:19" s="7" customFormat="1" ht="21.75" customHeight="1">
      <c r="A11" s="28" t="s">
        <v>14</v>
      </c>
      <c r="B11" s="38">
        <f>計畫架構圖表!F99*1000/60*12/0.45</f>
        <v>65502.222222222219</v>
      </c>
      <c r="C11" s="38">
        <f>計畫架構圖表!F99*1000/60*12*0.55</f>
        <v>16211.800000000001</v>
      </c>
      <c r="D11" s="33">
        <f>B11+C11</f>
        <v>81714.022222222222</v>
      </c>
      <c r="E11" s="39"/>
      <c r="F11" s="39"/>
      <c r="G11" s="33">
        <f>E11+F11</f>
        <v>0</v>
      </c>
      <c r="H11" s="33">
        <f ca="1">IF(J11+G11&gt;=D11,B11-E11,ROUND(J11/D11*B11,0))</f>
        <v>4770</v>
      </c>
      <c r="I11" s="33">
        <f ca="1">J11-H11</f>
        <v>3180</v>
      </c>
      <c r="J11" s="52">
        <f ca="1">ROUND(設備使用費!K29,0)</f>
        <v>7950</v>
      </c>
      <c r="K11" s="33">
        <f t="shared" ca="1" si="0"/>
        <v>4770</v>
      </c>
      <c r="L11" s="33">
        <f t="shared" ca="1" si="0"/>
        <v>3180</v>
      </c>
      <c r="M11" s="33">
        <f ca="1">K11+L11</f>
        <v>7950</v>
      </c>
      <c r="N11" s="19"/>
      <c r="O11" s="47"/>
      <c r="P11" s="48"/>
      <c r="Q11" s="48"/>
      <c r="R11" s="19"/>
      <c r="S11" s="19"/>
    </row>
    <row r="12" spans="1:19" s="7" customFormat="1" ht="23.25" customHeight="1">
      <c r="A12" s="28" t="s">
        <v>15</v>
      </c>
      <c r="B12" s="38">
        <f>計畫架構圖表!F99*1000*0.05*0.45</f>
        <v>3316.05</v>
      </c>
      <c r="C12" s="38">
        <f>計畫架構圖表!F99*1000*0.05*0.55</f>
        <v>4052.9500000000003</v>
      </c>
      <c r="D12" s="33">
        <f>B12+C12</f>
        <v>7369</v>
      </c>
      <c r="E12" s="39"/>
      <c r="F12" s="39"/>
      <c r="G12" s="33">
        <f>E12+F12</f>
        <v>0</v>
      </c>
      <c r="H12" s="33">
        <f>IF(J12+G12&gt;=D12,B12-E12,ROUND(J12/D12*B12,0))</f>
        <v>0</v>
      </c>
      <c r="I12" s="33">
        <f>J12-H12</f>
        <v>0</v>
      </c>
      <c r="J12" s="52">
        <f>ROUND(設備維護費!M16,0)</f>
        <v>0</v>
      </c>
      <c r="K12" s="33">
        <f t="shared" si="0"/>
        <v>0</v>
      </c>
      <c r="L12" s="33">
        <f t="shared" si="0"/>
        <v>0</v>
      </c>
      <c r="M12" s="33">
        <f>K12+L12</f>
        <v>0</v>
      </c>
      <c r="N12" s="19"/>
      <c r="O12" s="47"/>
      <c r="P12" s="48"/>
      <c r="Q12" s="48"/>
      <c r="R12" s="19"/>
      <c r="S12" s="19"/>
    </row>
    <row r="13" spans="1:19" s="7" customFormat="1" ht="23.25" customHeight="1">
      <c r="A13" s="28" t="s">
        <v>16</v>
      </c>
      <c r="B13" s="29"/>
      <c r="C13" s="29"/>
      <c r="D13" s="30"/>
      <c r="E13" s="49"/>
      <c r="F13" s="49"/>
      <c r="G13" s="33"/>
      <c r="H13" s="33"/>
      <c r="I13" s="33"/>
      <c r="J13" s="33"/>
      <c r="K13" s="33"/>
      <c r="L13" s="33"/>
      <c r="M13" s="33"/>
      <c r="N13" s="19"/>
      <c r="O13" s="47"/>
      <c r="P13" s="48"/>
      <c r="Q13" s="48"/>
      <c r="R13" s="19"/>
      <c r="S13" s="19"/>
    </row>
    <row r="14" spans="1:19" s="7" customFormat="1" ht="23.25" customHeight="1">
      <c r="A14" s="28" t="s">
        <v>17</v>
      </c>
      <c r="B14" s="38">
        <f>計畫架構圖表!F101*1000*0.45</f>
        <v>450000</v>
      </c>
      <c r="C14" s="38">
        <f>計畫架構圖表!F101*1000*0.55</f>
        <v>550000</v>
      </c>
      <c r="D14" s="33">
        <f>B14+C14</f>
        <v>1000000</v>
      </c>
      <c r="E14" s="39"/>
      <c r="F14" s="39"/>
      <c r="G14" s="33">
        <f>E14+F14</f>
        <v>0</v>
      </c>
      <c r="H14" s="33">
        <f>IF(J14+G14&gt;=D14,B14-E14,ROUND(J14/D14*B14,0))</f>
        <v>135000</v>
      </c>
      <c r="I14" s="33">
        <f>J14-H14</f>
        <v>165000</v>
      </c>
      <c r="J14" s="41">
        <f>ROUND(技術購買費!F15,0)</f>
        <v>300000</v>
      </c>
      <c r="K14" s="33">
        <f t="shared" ref="K14:L20" si="1">E14+H14</f>
        <v>135000</v>
      </c>
      <c r="L14" s="33">
        <f t="shared" si="1"/>
        <v>165000</v>
      </c>
      <c r="M14" s="33">
        <f>K14+L14</f>
        <v>300000</v>
      </c>
      <c r="N14" s="19"/>
      <c r="O14" s="47"/>
      <c r="P14" s="48"/>
      <c r="Q14" s="48"/>
      <c r="R14" s="19"/>
      <c r="S14" s="19"/>
    </row>
    <row r="15" spans="1:19" s="7" customFormat="1" ht="23.25" customHeight="1">
      <c r="A15" s="28" t="s">
        <v>18</v>
      </c>
      <c r="B15" s="38">
        <f>計畫架構圖表!F100*1000*0.45</f>
        <v>225000</v>
      </c>
      <c r="C15" s="38">
        <f>計畫架構圖表!F100*1000*0.55</f>
        <v>275000</v>
      </c>
      <c r="D15" s="33">
        <f>B15+C15</f>
        <v>500000</v>
      </c>
      <c r="E15" s="39"/>
      <c r="F15" s="39"/>
      <c r="G15" s="33">
        <f>E15+F15</f>
        <v>0</v>
      </c>
      <c r="H15" s="33">
        <f>IF(J15+G15&gt;=D15,B15-E15,ROUND(J15/D15*B15,0))</f>
        <v>157500</v>
      </c>
      <c r="I15" s="33">
        <f>J15-H15</f>
        <v>192500</v>
      </c>
      <c r="J15" s="41">
        <f>ROUND(委託研究費!F15,0)</f>
        <v>350000</v>
      </c>
      <c r="K15" s="33">
        <f t="shared" si="1"/>
        <v>157500</v>
      </c>
      <c r="L15" s="33">
        <f t="shared" si="1"/>
        <v>192500</v>
      </c>
      <c r="M15" s="33">
        <f>K15+L15</f>
        <v>350000</v>
      </c>
      <c r="N15" s="19"/>
      <c r="O15" s="47"/>
      <c r="P15" s="48"/>
      <c r="Q15" s="48"/>
      <c r="R15" s="19"/>
      <c r="S15" s="19"/>
    </row>
    <row r="16" spans="1:19" s="7" customFormat="1" ht="23.25" customHeight="1">
      <c r="A16" s="28" t="s">
        <v>19</v>
      </c>
      <c r="B16" s="38">
        <f>計畫架構圖表!F98*1000*45%</f>
        <v>117000</v>
      </c>
      <c r="C16" s="38">
        <f>計畫架構圖表!F98*1000*55%</f>
        <v>143000</v>
      </c>
      <c r="D16" s="33">
        <f>B16+C16</f>
        <v>260000</v>
      </c>
      <c r="E16" s="39"/>
      <c r="F16" s="39"/>
      <c r="G16" s="33">
        <f>E16+F16</f>
        <v>0</v>
      </c>
      <c r="H16" s="33">
        <f>IF(J16+G16&gt;=D16,B16-E16,ROUND(J16/D16*B16,0))</f>
        <v>117000</v>
      </c>
      <c r="I16" s="33">
        <f>J16-H16</f>
        <v>283000</v>
      </c>
      <c r="J16" s="41">
        <f>ROUND(委託勞務費!F15,0)</f>
        <v>400000</v>
      </c>
      <c r="K16" s="33">
        <f t="shared" si="1"/>
        <v>117000</v>
      </c>
      <c r="L16" s="33">
        <f t="shared" si="1"/>
        <v>283000</v>
      </c>
      <c r="M16" s="33">
        <f>K16+L16</f>
        <v>400000</v>
      </c>
      <c r="N16" s="19"/>
      <c r="O16" s="47"/>
      <c r="P16" s="48"/>
      <c r="Q16" s="48"/>
      <c r="R16" s="19"/>
      <c r="S16" s="19"/>
    </row>
    <row r="17" spans="1:19" s="7" customFormat="1" ht="23.25" customHeight="1">
      <c r="A17" s="28" t="s">
        <v>20</v>
      </c>
      <c r="B17" s="35"/>
      <c r="C17" s="35"/>
      <c r="D17" s="33"/>
      <c r="E17" s="50"/>
      <c r="F17" s="50"/>
      <c r="G17" s="33"/>
      <c r="H17" s="33"/>
      <c r="I17" s="33"/>
      <c r="J17" s="33"/>
      <c r="K17" s="33"/>
      <c r="L17" s="33"/>
      <c r="M17" s="33"/>
      <c r="N17" s="19"/>
      <c r="O17" s="47"/>
      <c r="P17" s="48"/>
      <c r="Q17" s="48"/>
      <c r="R17" s="19"/>
      <c r="S17" s="19"/>
    </row>
    <row r="18" spans="1:19" s="7" customFormat="1" ht="22.5" customHeight="1">
      <c r="A18" s="28" t="s">
        <v>21</v>
      </c>
      <c r="B18" s="38">
        <v>5000</v>
      </c>
      <c r="C18" s="38">
        <v>10000</v>
      </c>
      <c r="D18" s="33">
        <f t="shared" ref="D18:D19" si="2">B18+C18</f>
        <v>15000</v>
      </c>
      <c r="E18" s="39"/>
      <c r="F18" s="39"/>
      <c r="G18" s="33">
        <f t="shared" ref="G18:G19" si="3">E18+F18</f>
        <v>0</v>
      </c>
      <c r="H18" s="33">
        <f t="shared" ref="H18" si="4">IF(J18+G18&gt;=D18,B18-E18,ROUND(J18/D18*B18,0))</f>
        <v>617</v>
      </c>
      <c r="I18" s="33">
        <f t="shared" ref="I18:I19" si="5">J18-H18</f>
        <v>1233</v>
      </c>
      <c r="J18" s="52">
        <f>ROUND(國內差旅費!N14,0)</f>
        <v>1850</v>
      </c>
      <c r="K18" s="33">
        <f t="shared" ref="K18:K19" si="6">E18+H18</f>
        <v>617</v>
      </c>
      <c r="L18" s="33">
        <f t="shared" ref="L18:L19" si="7">F18+I18</f>
        <v>1233</v>
      </c>
      <c r="M18" s="33">
        <f t="shared" ref="M18:M19" si="8">K18+L18</f>
        <v>1850</v>
      </c>
      <c r="N18" s="19"/>
      <c r="O18" s="47"/>
      <c r="P18" s="48"/>
      <c r="Q18" s="48"/>
      <c r="R18" s="19"/>
      <c r="S18" s="19"/>
    </row>
    <row r="19" spans="1:19" s="7" customFormat="1" ht="22.5" customHeight="1">
      <c r="A19" s="28" t="s">
        <v>22</v>
      </c>
      <c r="B19" s="38"/>
      <c r="C19" s="38">
        <v>0</v>
      </c>
      <c r="D19" s="33">
        <f t="shared" si="2"/>
        <v>0</v>
      </c>
      <c r="E19" s="39"/>
      <c r="F19" s="39"/>
      <c r="G19" s="33">
        <f t="shared" si="3"/>
        <v>0</v>
      </c>
      <c r="H19" s="33">
        <v>0</v>
      </c>
      <c r="I19" s="33">
        <f t="shared" si="5"/>
        <v>2000</v>
      </c>
      <c r="J19" s="52">
        <f>ROUND(國外差旅費!N14,0)</f>
        <v>2000</v>
      </c>
      <c r="K19" s="33">
        <f t="shared" si="6"/>
        <v>0</v>
      </c>
      <c r="L19" s="33">
        <f t="shared" si="7"/>
        <v>2000</v>
      </c>
      <c r="M19" s="33">
        <f t="shared" si="8"/>
        <v>2000</v>
      </c>
      <c r="N19" s="19"/>
      <c r="O19" s="47"/>
      <c r="P19" s="48"/>
      <c r="Q19" s="48"/>
      <c r="R19" s="19"/>
      <c r="S19" s="19"/>
    </row>
    <row r="20" spans="1:19" s="7" customFormat="1" ht="22.5" customHeight="1">
      <c r="A20" s="34" t="s">
        <v>23</v>
      </c>
      <c r="B20" s="38">
        <f>計畫架構圖表!F102*1000*0.45</f>
        <v>253890</v>
      </c>
      <c r="C20" s="38">
        <f>計畫架構圖表!F102*1000*0.55</f>
        <v>310310</v>
      </c>
      <c r="D20" s="33">
        <f>B20+C20</f>
        <v>564200</v>
      </c>
      <c r="E20" s="39"/>
      <c r="F20" s="39"/>
      <c r="G20" s="33">
        <f>E20+F20</f>
        <v>0</v>
      </c>
      <c r="H20" s="33">
        <f>IF(J20+G20&gt;=D20,B20-E20,ROUND(J20/D20*B20,0))</f>
        <v>3240</v>
      </c>
      <c r="I20" s="33">
        <f>J20-H20</f>
        <v>3960</v>
      </c>
      <c r="J20" s="52">
        <f>ROUND(市場驗證費!J18,0)</f>
        <v>7200</v>
      </c>
      <c r="K20" s="33">
        <f t="shared" si="1"/>
        <v>3240</v>
      </c>
      <c r="L20" s="33">
        <f t="shared" si="1"/>
        <v>3960</v>
      </c>
      <c r="M20" s="33">
        <f>K20+L20</f>
        <v>7200</v>
      </c>
      <c r="N20" s="19"/>
      <c r="O20" s="47"/>
      <c r="P20" s="48"/>
      <c r="Q20" s="48"/>
      <c r="R20" s="19"/>
      <c r="S20" s="19"/>
    </row>
    <row r="21" spans="1:19" s="7" customFormat="1" ht="22.5" customHeight="1">
      <c r="A21" s="25" t="s">
        <v>24</v>
      </c>
      <c r="B21" s="35">
        <f t="shared" ref="B21:M21" si="9">SUM(B8:B20)</f>
        <v>1790420.6722222224</v>
      </c>
      <c r="C21" s="35">
        <f t="shared" si="9"/>
        <v>2128334.35</v>
      </c>
      <c r="D21" s="35">
        <f t="shared" si="9"/>
        <v>3918755.0222222228</v>
      </c>
      <c r="E21" s="35">
        <f t="shared" si="9"/>
        <v>0</v>
      </c>
      <c r="F21" s="35">
        <f t="shared" si="9"/>
        <v>0</v>
      </c>
      <c r="G21" s="33">
        <f t="shared" si="9"/>
        <v>0</v>
      </c>
      <c r="H21" s="33" t="e">
        <f t="shared" ca="1" si="9"/>
        <v>#VALUE!</v>
      </c>
      <c r="I21" s="33" t="e">
        <f t="shared" ca="1" si="9"/>
        <v>#VALUE!</v>
      </c>
      <c r="J21" s="33" t="e">
        <f t="shared" ca="1" si="9"/>
        <v>#REF!</v>
      </c>
      <c r="K21" s="33" t="e">
        <f t="shared" ca="1" si="9"/>
        <v>#VALUE!</v>
      </c>
      <c r="L21" s="33" t="e">
        <f t="shared" ca="1" si="9"/>
        <v>#VALUE!</v>
      </c>
      <c r="M21" s="33" t="e">
        <f t="shared" ca="1" si="9"/>
        <v>#VALUE!</v>
      </c>
      <c r="N21" s="19"/>
      <c r="O21" s="47"/>
      <c r="P21" s="48"/>
      <c r="Q21" s="48"/>
      <c r="R21" s="19"/>
      <c r="S21" s="19"/>
    </row>
    <row r="22" spans="1:19" s="7" customFormat="1" ht="16.2">
      <c r="A22" s="51"/>
      <c r="B22" s="51"/>
      <c r="C22" s="51"/>
      <c r="D22" s="42"/>
      <c r="E22" s="42"/>
      <c r="F22" s="42"/>
      <c r="G22" s="42"/>
      <c r="H22" s="42"/>
      <c r="I22" s="42"/>
      <c r="J22" s="42"/>
      <c r="K22" s="42"/>
      <c r="L22" s="42"/>
      <c r="M22" s="42"/>
      <c r="N22" s="19"/>
      <c r="O22" s="19"/>
      <c r="P22" s="19"/>
      <c r="Q22" s="19"/>
      <c r="R22" s="19"/>
      <c r="S22" s="19"/>
    </row>
    <row r="23" spans="1:19">
      <c r="A23" s="17" t="s">
        <v>25</v>
      </c>
      <c r="B23" s="40"/>
      <c r="C23" s="40"/>
      <c r="D23" s="40"/>
      <c r="E23" s="40"/>
      <c r="F23" s="40"/>
      <c r="G23" s="40"/>
      <c r="H23" s="40"/>
      <c r="I23" s="40"/>
      <c r="J23" s="40"/>
      <c r="K23" s="17"/>
      <c r="L23" s="17"/>
      <c r="M23" s="17"/>
      <c r="N23" s="17"/>
      <c r="O23" s="17"/>
      <c r="P23" s="17"/>
      <c r="Q23" s="17"/>
      <c r="R23" s="17"/>
      <c r="S23" s="17"/>
    </row>
    <row r="24" spans="1:19" ht="13.5" customHeight="1">
      <c r="A24" s="17" t="s">
        <v>26</v>
      </c>
      <c r="B24" s="40"/>
      <c r="C24" s="40"/>
      <c r="D24" s="40"/>
      <c r="E24" s="40"/>
      <c r="F24" s="40"/>
      <c r="G24" s="20"/>
      <c r="H24" s="20"/>
      <c r="I24" s="40"/>
      <c r="J24" s="40"/>
      <c r="K24" s="17"/>
      <c r="L24" s="17"/>
      <c r="M24" s="17"/>
      <c r="N24" s="17"/>
      <c r="O24" s="17"/>
      <c r="P24" s="17"/>
      <c r="Q24" s="17"/>
      <c r="R24" s="17"/>
      <c r="S24" s="17"/>
    </row>
    <row r="25" spans="1:19">
      <c r="A25" s="17" t="s">
        <v>27</v>
      </c>
      <c r="B25" s="40"/>
      <c r="C25" s="40"/>
      <c r="D25" s="40"/>
      <c r="E25" s="40"/>
      <c r="F25" s="40"/>
      <c r="G25" s="40"/>
      <c r="H25" s="40"/>
      <c r="I25" s="40"/>
      <c r="J25" s="40"/>
      <c r="K25" s="17"/>
      <c r="L25" s="17"/>
      <c r="M25" s="17"/>
      <c r="N25" s="17"/>
      <c r="O25" s="17"/>
      <c r="P25" s="17"/>
      <c r="Q25" s="17"/>
      <c r="R25" s="17"/>
      <c r="S25" s="17"/>
    </row>
    <row r="26" spans="1:19">
      <c r="A26" s="17" t="s">
        <v>28</v>
      </c>
      <c r="B26" s="40"/>
      <c r="C26" s="40"/>
      <c r="D26" s="40"/>
      <c r="E26" s="40"/>
      <c r="F26" s="40"/>
      <c r="G26" s="40"/>
      <c r="H26" s="40"/>
      <c r="I26" s="40"/>
      <c r="J26" s="40"/>
      <c r="K26" s="17"/>
      <c r="L26" s="17"/>
      <c r="M26" s="17"/>
      <c r="N26" s="17"/>
      <c r="O26" s="17"/>
      <c r="P26" s="17"/>
      <c r="Q26" s="17"/>
      <c r="R26" s="17"/>
      <c r="S26" s="17"/>
    </row>
    <row r="27" spans="1:19">
      <c r="A27" s="17"/>
      <c r="B27" s="40"/>
      <c r="C27" s="40"/>
      <c r="D27" s="40"/>
      <c r="E27" s="40"/>
      <c r="F27" s="40"/>
      <c r="G27" s="40"/>
      <c r="H27" s="40"/>
      <c r="I27" s="40"/>
      <c r="J27" s="40"/>
      <c r="K27" s="17"/>
      <c r="L27" s="17"/>
      <c r="M27" s="17"/>
      <c r="N27" s="17"/>
      <c r="O27" s="17"/>
      <c r="P27" s="17"/>
      <c r="Q27" s="17"/>
      <c r="R27" s="17"/>
      <c r="S27" s="17"/>
    </row>
    <row r="28" spans="1:19" s="36" customFormat="1" ht="17.399999999999999">
      <c r="A28" s="43" t="s">
        <v>29</v>
      </c>
      <c r="B28" s="44"/>
      <c r="C28" s="45" t="s">
        <v>30</v>
      </c>
      <c r="D28" s="44"/>
      <c r="E28" s="44"/>
      <c r="F28" s="44"/>
      <c r="G28" s="44"/>
      <c r="H28" s="45" t="s">
        <v>31</v>
      </c>
      <c r="I28" s="43"/>
      <c r="J28" s="44"/>
      <c r="K28" s="46" t="s">
        <v>32</v>
      </c>
      <c r="L28" s="44"/>
      <c r="M28" s="44"/>
      <c r="N28" s="21"/>
      <c r="O28" s="21"/>
      <c r="P28" s="21"/>
      <c r="Q28" s="21"/>
      <c r="R28" s="21"/>
      <c r="S28" s="21"/>
    </row>
    <row r="29" spans="1:19">
      <c r="A29" s="17"/>
      <c r="B29" s="40"/>
      <c r="C29" s="40"/>
      <c r="D29" s="40"/>
      <c r="E29" s="40"/>
      <c r="F29" s="40"/>
      <c r="G29" s="40"/>
      <c r="H29" s="40"/>
      <c r="I29" s="40"/>
      <c r="J29" s="40"/>
      <c r="K29" s="17"/>
      <c r="L29" s="17"/>
      <c r="M29" s="17"/>
      <c r="N29" s="17"/>
      <c r="O29" s="17"/>
      <c r="P29" s="17"/>
      <c r="Q29" s="17"/>
      <c r="R29" s="17"/>
      <c r="S29" s="17"/>
    </row>
    <row r="30" spans="1:19">
      <c r="A30" s="17"/>
      <c r="B30" s="40"/>
      <c r="C30" s="40"/>
      <c r="D30" s="40"/>
      <c r="E30" s="40"/>
      <c r="F30" s="40"/>
      <c r="G30" s="40"/>
      <c r="H30" s="40"/>
      <c r="I30" s="40"/>
      <c r="J30" s="40"/>
      <c r="K30" s="17"/>
      <c r="L30" s="17"/>
      <c r="M30" s="17"/>
      <c r="N30" s="17"/>
      <c r="O30" s="17"/>
      <c r="P30" s="17"/>
      <c r="Q30" s="17"/>
      <c r="R30" s="17"/>
      <c r="S30" s="17"/>
    </row>
    <row r="31" spans="1:19">
      <c r="A31" s="17"/>
      <c r="B31" s="40"/>
      <c r="C31" s="40"/>
      <c r="D31" s="40"/>
      <c r="E31" s="40"/>
      <c r="F31" s="40"/>
      <c r="G31" s="40"/>
      <c r="H31" s="40"/>
      <c r="I31" s="40"/>
      <c r="J31" s="40"/>
      <c r="K31" s="17"/>
      <c r="L31" s="17"/>
      <c r="M31" s="17"/>
      <c r="N31" s="17"/>
      <c r="O31" s="17"/>
      <c r="P31" s="17"/>
      <c r="Q31" s="17"/>
      <c r="R31" s="17"/>
      <c r="S31" s="17"/>
    </row>
    <row r="32" spans="1:19">
      <c r="A32" s="17"/>
      <c r="B32" s="20"/>
      <c r="C32" s="20"/>
      <c r="D32" s="20"/>
      <c r="E32" s="20"/>
      <c r="F32" s="20"/>
      <c r="G32" s="20"/>
      <c r="H32" s="20"/>
      <c r="I32" s="20"/>
      <c r="J32" s="20"/>
      <c r="K32" s="17"/>
      <c r="L32" s="17"/>
      <c r="M32" s="17"/>
      <c r="N32" s="17"/>
      <c r="O32" s="17"/>
      <c r="P32" s="17"/>
      <c r="Q32" s="17"/>
      <c r="R32" s="17"/>
      <c r="S32" s="17"/>
    </row>
    <row r="33" spans="1:19">
      <c r="A33" s="17"/>
      <c r="B33" s="20"/>
      <c r="C33" s="20"/>
      <c r="D33" s="20"/>
      <c r="E33" s="20"/>
      <c r="F33" s="20"/>
      <c r="G33" s="20"/>
      <c r="H33" s="20"/>
      <c r="I33" s="20"/>
      <c r="J33" s="20"/>
      <c r="K33" s="17"/>
      <c r="L33" s="17"/>
      <c r="M33" s="17"/>
      <c r="N33" s="17"/>
      <c r="O33" s="17"/>
      <c r="P33" s="17"/>
      <c r="Q33" s="17"/>
      <c r="R33" s="17"/>
      <c r="S33" s="17"/>
    </row>
    <row r="34" spans="1:19">
      <c r="A34" s="17"/>
      <c r="B34" s="20"/>
      <c r="C34" s="20"/>
      <c r="D34" s="20"/>
      <c r="E34" s="20"/>
      <c r="F34" s="20"/>
      <c r="G34" s="20"/>
      <c r="H34" s="20"/>
      <c r="I34" s="20"/>
      <c r="J34" s="20"/>
      <c r="K34" s="17"/>
      <c r="L34" s="17"/>
      <c r="M34" s="17"/>
      <c r="N34" s="17"/>
      <c r="O34" s="17"/>
      <c r="P34" s="17"/>
      <c r="Q34" s="17"/>
      <c r="R34" s="17"/>
      <c r="S34" s="17"/>
    </row>
    <row r="35" spans="1:19">
      <c r="A35" s="17"/>
      <c r="B35" s="20"/>
      <c r="C35" s="20"/>
      <c r="D35" s="20"/>
      <c r="E35" s="20"/>
      <c r="F35" s="20"/>
      <c r="G35" s="20"/>
      <c r="H35" s="20"/>
      <c r="I35" s="20"/>
      <c r="J35" s="20"/>
      <c r="K35" s="17"/>
      <c r="L35" s="17"/>
      <c r="M35" s="17"/>
      <c r="N35" s="17"/>
      <c r="O35" s="17"/>
      <c r="P35" s="17"/>
      <c r="Q35" s="17"/>
      <c r="R35" s="17"/>
      <c r="S35" s="17"/>
    </row>
    <row r="36" spans="1:19">
      <c r="A36" s="17"/>
      <c r="B36" s="20"/>
      <c r="C36" s="20"/>
      <c r="D36" s="20"/>
      <c r="E36" s="20"/>
      <c r="F36" s="20"/>
      <c r="G36" s="20"/>
      <c r="H36" s="20"/>
      <c r="I36" s="20"/>
      <c r="J36" s="20"/>
      <c r="K36" s="17"/>
      <c r="L36" s="17"/>
      <c r="M36" s="17"/>
      <c r="N36" s="17"/>
      <c r="O36" s="17"/>
      <c r="P36" s="17"/>
      <c r="Q36" s="17"/>
      <c r="R36" s="17"/>
      <c r="S36" s="17"/>
    </row>
    <row r="37" spans="1:19">
      <c r="A37" s="17"/>
      <c r="B37" s="20"/>
      <c r="C37" s="20"/>
      <c r="D37" s="20"/>
      <c r="E37" s="20"/>
      <c r="F37" s="20"/>
      <c r="G37" s="20"/>
      <c r="H37" s="20"/>
      <c r="I37" s="20"/>
      <c r="J37" s="20"/>
      <c r="K37" s="17"/>
      <c r="L37" s="17"/>
      <c r="M37" s="17"/>
      <c r="N37" s="17"/>
      <c r="O37" s="17"/>
      <c r="P37" s="17"/>
      <c r="Q37" s="17"/>
      <c r="R37" s="17"/>
      <c r="S37" s="17"/>
    </row>
    <row r="38" spans="1:19">
      <c r="A38" s="17"/>
      <c r="B38" s="20"/>
      <c r="C38" s="20"/>
      <c r="D38" s="20"/>
      <c r="E38" s="20"/>
      <c r="F38" s="20"/>
      <c r="G38" s="20"/>
      <c r="H38" s="20"/>
      <c r="I38" s="20"/>
      <c r="J38" s="20"/>
      <c r="K38" s="17"/>
      <c r="L38" s="17"/>
      <c r="M38" s="17"/>
      <c r="N38" s="17"/>
      <c r="O38" s="17"/>
      <c r="P38" s="17"/>
      <c r="Q38" s="17"/>
      <c r="R38" s="17"/>
      <c r="S38" s="17"/>
    </row>
    <row r="39" spans="1:19">
      <c r="A39" s="17"/>
      <c r="B39" s="20"/>
      <c r="C39" s="20"/>
      <c r="D39" s="20"/>
      <c r="E39" s="20"/>
      <c r="F39" s="20"/>
      <c r="G39" s="20"/>
      <c r="H39" s="20"/>
      <c r="I39" s="20"/>
      <c r="J39" s="20"/>
      <c r="K39" s="17"/>
      <c r="L39" s="17"/>
      <c r="M39" s="17"/>
      <c r="N39" s="17"/>
      <c r="O39" s="17"/>
      <c r="P39" s="17"/>
      <c r="Q39" s="17"/>
      <c r="R39" s="17"/>
      <c r="S39" s="17"/>
    </row>
    <row r="40" spans="1:19">
      <c r="A40" s="17"/>
      <c r="B40" s="20"/>
      <c r="C40" s="20"/>
      <c r="D40" s="20"/>
      <c r="E40" s="20"/>
      <c r="F40" s="20"/>
      <c r="G40" s="20"/>
      <c r="H40" s="20"/>
      <c r="I40" s="20"/>
      <c r="J40" s="20"/>
      <c r="K40" s="17"/>
      <c r="L40" s="17"/>
      <c r="M40" s="17"/>
      <c r="N40" s="17"/>
      <c r="O40" s="17"/>
      <c r="P40" s="17"/>
      <c r="Q40" s="17"/>
      <c r="R40" s="17"/>
      <c r="S40" s="17"/>
    </row>
    <row r="41" spans="1:19">
      <c r="A41" s="17"/>
      <c r="B41" s="20"/>
      <c r="C41" s="20"/>
      <c r="D41" s="20"/>
      <c r="E41" s="20"/>
      <c r="F41" s="20"/>
      <c r="G41" s="20"/>
      <c r="H41" s="20"/>
      <c r="I41" s="20"/>
      <c r="J41" s="20"/>
      <c r="K41" s="17"/>
      <c r="L41" s="17"/>
      <c r="M41" s="17"/>
      <c r="N41" s="17"/>
      <c r="O41" s="17"/>
      <c r="P41" s="17"/>
      <c r="Q41" s="17"/>
      <c r="R41" s="17"/>
      <c r="S41" s="17"/>
    </row>
    <row r="42" spans="1:19">
      <c r="A42" s="17"/>
      <c r="B42" s="20"/>
      <c r="C42" s="20"/>
      <c r="D42" s="20"/>
      <c r="E42" s="20"/>
      <c r="F42" s="20"/>
      <c r="G42" s="20"/>
      <c r="H42" s="20"/>
      <c r="I42" s="20"/>
      <c r="J42" s="20"/>
      <c r="K42" s="17"/>
      <c r="L42" s="17"/>
      <c r="M42" s="17"/>
      <c r="N42" s="17"/>
      <c r="O42" s="17"/>
      <c r="P42" s="17"/>
      <c r="Q42" s="17"/>
      <c r="R42" s="17"/>
      <c r="S42" s="17"/>
    </row>
    <row r="43" spans="1:19">
      <c r="A43" s="17"/>
      <c r="B43" s="20"/>
      <c r="C43" s="20"/>
      <c r="D43" s="20"/>
      <c r="E43" s="20"/>
      <c r="F43" s="20"/>
      <c r="G43" s="20"/>
      <c r="H43" s="20"/>
      <c r="I43" s="20"/>
      <c r="J43" s="20"/>
      <c r="K43" s="17"/>
      <c r="L43" s="17"/>
      <c r="M43" s="17"/>
      <c r="N43" s="17"/>
      <c r="O43" s="17"/>
      <c r="P43" s="17"/>
      <c r="Q43" s="17"/>
      <c r="R43" s="17"/>
      <c r="S43" s="17"/>
    </row>
    <row r="44" spans="1:19">
      <c r="A44" s="17"/>
      <c r="B44" s="20"/>
      <c r="C44" s="20"/>
      <c r="D44" s="20"/>
      <c r="E44" s="20"/>
      <c r="F44" s="20"/>
      <c r="G44" s="20"/>
      <c r="H44" s="20"/>
      <c r="I44" s="20"/>
      <c r="J44" s="20"/>
      <c r="K44" s="17"/>
      <c r="L44" s="17"/>
      <c r="M44" s="17"/>
      <c r="N44" s="17"/>
      <c r="O44" s="17"/>
      <c r="P44" s="17"/>
      <c r="Q44" s="17"/>
      <c r="R44" s="17"/>
      <c r="S44" s="17"/>
    </row>
    <row r="45" spans="1:19">
      <c r="A45" s="17"/>
      <c r="B45" s="20"/>
      <c r="C45" s="20"/>
      <c r="D45" s="20"/>
      <c r="E45" s="20"/>
      <c r="F45" s="20"/>
      <c r="G45" s="20"/>
      <c r="H45" s="20"/>
      <c r="I45" s="20"/>
      <c r="J45" s="20"/>
      <c r="K45" s="17"/>
      <c r="L45" s="17"/>
      <c r="M45" s="17"/>
      <c r="N45" s="17"/>
      <c r="O45" s="17"/>
      <c r="P45" s="17"/>
      <c r="Q45" s="17"/>
      <c r="R45" s="17"/>
      <c r="S45" s="17"/>
    </row>
    <row r="46" spans="1:19">
      <c r="A46" s="17"/>
      <c r="B46" s="20"/>
      <c r="C46" s="20"/>
      <c r="D46" s="20"/>
      <c r="E46" s="20"/>
      <c r="F46" s="20"/>
      <c r="G46" s="20"/>
      <c r="H46" s="20"/>
      <c r="I46" s="20"/>
      <c r="J46" s="20"/>
      <c r="K46" s="17"/>
      <c r="L46" s="17"/>
      <c r="M46" s="17"/>
      <c r="N46" s="17"/>
      <c r="O46" s="17"/>
      <c r="P46" s="17"/>
      <c r="Q46" s="17"/>
      <c r="R46" s="17"/>
      <c r="S46" s="17"/>
    </row>
    <row r="47" spans="1:19">
      <c r="A47" s="17"/>
      <c r="B47" s="20"/>
      <c r="C47" s="20"/>
      <c r="D47" s="20"/>
      <c r="E47" s="20"/>
      <c r="F47" s="20"/>
      <c r="G47" s="20"/>
      <c r="H47" s="20"/>
      <c r="I47" s="20"/>
      <c r="J47" s="20"/>
      <c r="K47" s="17"/>
      <c r="L47" s="17"/>
      <c r="M47" s="17"/>
      <c r="N47" s="17"/>
      <c r="O47" s="17"/>
      <c r="P47" s="17"/>
      <c r="Q47" s="17"/>
      <c r="R47" s="17"/>
      <c r="S47" s="17"/>
    </row>
    <row r="48" spans="1:19">
      <c r="A48" s="17"/>
      <c r="B48" s="20"/>
      <c r="C48" s="20"/>
      <c r="D48" s="20"/>
      <c r="E48" s="20"/>
      <c r="F48" s="20"/>
      <c r="G48" s="20"/>
      <c r="H48" s="20"/>
      <c r="I48" s="20"/>
      <c r="J48" s="20"/>
      <c r="K48" s="17"/>
      <c r="L48" s="17"/>
      <c r="M48" s="17"/>
      <c r="N48" s="17"/>
      <c r="O48" s="17"/>
      <c r="P48" s="17"/>
      <c r="Q48" s="17"/>
      <c r="R48" s="17"/>
      <c r="S48" s="17"/>
    </row>
    <row r="49" spans="1:19">
      <c r="A49" s="17"/>
      <c r="B49" s="20"/>
      <c r="C49" s="20"/>
      <c r="D49" s="20"/>
      <c r="E49" s="20"/>
      <c r="F49" s="20"/>
      <c r="G49" s="20"/>
      <c r="H49" s="20"/>
      <c r="I49" s="20"/>
      <c r="J49" s="20"/>
      <c r="K49" s="17"/>
      <c r="L49" s="17"/>
      <c r="M49" s="17"/>
      <c r="N49" s="17"/>
      <c r="O49" s="17"/>
      <c r="P49" s="17"/>
      <c r="Q49" s="17"/>
      <c r="R49" s="17"/>
      <c r="S49" s="17"/>
    </row>
    <row r="50" spans="1:19">
      <c r="A50" s="17"/>
      <c r="B50" s="20"/>
      <c r="C50" s="20"/>
      <c r="D50" s="20"/>
      <c r="E50" s="20"/>
      <c r="F50" s="20"/>
      <c r="G50" s="20"/>
      <c r="H50" s="20"/>
      <c r="I50" s="20"/>
      <c r="J50" s="20"/>
      <c r="K50" s="17"/>
      <c r="L50" s="17"/>
      <c r="M50" s="17"/>
      <c r="N50" s="17"/>
      <c r="O50" s="17"/>
      <c r="P50" s="17"/>
      <c r="Q50" s="17"/>
      <c r="R50" s="17"/>
      <c r="S50" s="17"/>
    </row>
  </sheetData>
  <sheetProtection algorithmName="SHA-512" hashValue="qRJe3yFpTdOa0B7FMYXnIuRGkGvc6htuxOMgqTvJfSjF9v5MQ94QXpdGUhhbEFBMZiMG/gGs6i37iHRq1TrYiA==" saltValue="GqXLqhSa1h0NlmnzJagkjQ==" spinCount="100000" sheet="1" formatCells="0" formatColumns="0" formatRows="0"/>
  <mergeCells count="7">
    <mergeCell ref="A1:M1"/>
    <mergeCell ref="A2:M2"/>
    <mergeCell ref="A3:M3"/>
    <mergeCell ref="B5:D5"/>
    <mergeCell ref="E5:G5"/>
    <mergeCell ref="H5:J5"/>
    <mergeCell ref="K5:M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58" fitToWidth="0" fitToHeight="0"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4950-B864-4B9A-9492-D8214A9911DE}">
  <sheetPr>
    <outlinePr applyStyles="1"/>
    <pageSetUpPr fitToPage="1"/>
  </sheetPr>
  <dimension ref="A1:W150"/>
  <sheetViews>
    <sheetView zoomScale="94" zoomScaleNormal="94" workbookViewId="0">
      <selection activeCell="J127" sqref="J127"/>
    </sheetView>
  </sheetViews>
  <sheetFormatPr defaultRowHeight="15.6" outlineLevelRow="1" outlineLevelCol="1"/>
  <cols>
    <col min="2" max="2" width="9.796875" customWidth="1"/>
    <col min="3" max="3" width="46.59765625" customWidth="1"/>
    <col min="4" max="4" width="2.8984375" customWidth="1"/>
    <col min="5" max="5" width="9" customWidth="1" outlineLevel="1"/>
    <col min="6" max="6" width="9.296875" customWidth="1" outlineLevel="1"/>
    <col min="7" max="16" width="8.796875" customWidth="1" outlineLevel="1"/>
    <col min="17" max="17" width="14.796875" bestFit="1" customWidth="1"/>
    <col min="18" max="18" width="9.296875" bestFit="1" customWidth="1"/>
    <col min="20" max="20" width="11" bestFit="1" customWidth="1"/>
  </cols>
  <sheetData>
    <row r="1" spans="2:23" ht="49.8">
      <c r="B1" s="785" t="s">
        <v>217</v>
      </c>
      <c r="C1" s="786"/>
      <c r="D1" s="786"/>
      <c r="E1" s="786"/>
      <c r="F1" s="786"/>
      <c r="G1" s="786"/>
      <c r="H1" s="786"/>
      <c r="I1" s="786"/>
      <c r="J1" s="786"/>
      <c r="K1" s="786"/>
      <c r="L1" s="786"/>
      <c r="M1" s="786"/>
      <c r="N1" s="786"/>
      <c r="O1" s="786"/>
      <c r="P1" s="786"/>
      <c r="Q1" s="787"/>
      <c r="R1" s="786"/>
      <c r="U1" s="100"/>
    </row>
    <row r="2" spans="2:23" ht="29.4" thickBot="1">
      <c r="B2" s="337"/>
      <c r="C2" s="337"/>
      <c r="D2" s="337"/>
      <c r="E2" s="337"/>
      <c r="F2" s="337"/>
      <c r="G2" s="337"/>
      <c r="H2" s="337"/>
      <c r="I2" s="337"/>
      <c r="J2" s="337"/>
      <c r="K2" s="337"/>
      <c r="L2" s="337"/>
      <c r="M2" s="337"/>
      <c r="N2" s="337"/>
      <c r="O2" s="337"/>
      <c r="P2" s="788" t="s">
        <v>243</v>
      </c>
      <c r="Q2" s="789"/>
      <c r="R2" s="790"/>
    </row>
    <row r="3" spans="2:23" ht="31.8" thickBot="1">
      <c r="B3" s="800" t="s">
        <v>203</v>
      </c>
      <c r="C3" s="434" t="str">
        <f>人事費!A7</f>
        <v>1.阮氏泉</v>
      </c>
      <c r="D3" s="435"/>
      <c r="E3" s="436" t="s">
        <v>471</v>
      </c>
      <c r="F3" s="436" t="s">
        <v>472</v>
      </c>
      <c r="G3" s="436" t="s">
        <v>473</v>
      </c>
      <c r="H3" s="436" t="s">
        <v>474</v>
      </c>
      <c r="I3" s="436" t="s">
        <v>475</v>
      </c>
      <c r="J3" s="436" t="s">
        <v>476</v>
      </c>
      <c r="K3" s="436" t="s">
        <v>477</v>
      </c>
      <c r="L3" s="436" t="s">
        <v>478</v>
      </c>
      <c r="M3" s="436" t="s">
        <v>479</v>
      </c>
      <c r="N3" s="436" t="s">
        <v>480</v>
      </c>
      <c r="O3" s="436" t="s">
        <v>481</v>
      </c>
      <c r="P3" s="436" t="s">
        <v>482</v>
      </c>
      <c r="Q3" s="510"/>
      <c r="R3" s="437"/>
    </row>
    <row r="4" spans="2:23" ht="23.4" thickTop="1" thickBot="1">
      <c r="B4" s="801"/>
      <c r="C4" s="492" t="s">
        <v>215</v>
      </c>
      <c r="D4" s="5"/>
      <c r="Q4" s="511" t="s">
        <v>246</v>
      </c>
      <c r="R4" s="439" t="s">
        <v>250</v>
      </c>
    </row>
    <row r="5" spans="2:23">
      <c r="B5" s="801"/>
      <c r="C5" s="803" t="s">
        <v>218</v>
      </c>
      <c r="D5" s="440" t="s">
        <v>206</v>
      </c>
      <c r="E5" s="512">
        <v>0.25</v>
      </c>
      <c r="F5" s="441"/>
      <c r="G5" s="441"/>
      <c r="H5" s="441"/>
      <c r="I5" s="441"/>
      <c r="J5" s="512">
        <v>0.25</v>
      </c>
      <c r="K5" s="441"/>
      <c r="L5" s="441"/>
      <c r="M5" s="441"/>
      <c r="N5" s="441"/>
      <c r="O5" s="441"/>
      <c r="P5" s="441"/>
      <c r="Q5" s="513">
        <f>SUM(E5:P5)*49.849</f>
        <v>24.924499999999998</v>
      </c>
      <c r="R5" s="442">
        <f>Q5+Q6</f>
        <v>1024.9245000000001</v>
      </c>
    </row>
    <row r="6" spans="2:23">
      <c r="B6" s="801"/>
      <c r="C6" s="791"/>
      <c r="D6" s="440" t="s">
        <v>207</v>
      </c>
      <c r="E6" s="514">
        <v>500</v>
      </c>
      <c r="F6" s="443"/>
      <c r="G6" s="444"/>
      <c r="H6" s="443"/>
      <c r="I6" s="443"/>
      <c r="J6" s="514">
        <v>500</v>
      </c>
      <c r="K6" s="443"/>
      <c r="L6" s="443"/>
      <c r="M6" s="443"/>
      <c r="N6" s="443"/>
      <c r="O6" s="443"/>
      <c r="P6" s="443"/>
      <c r="Q6" s="515">
        <f>SUM(E6:E6:P6)</f>
        <v>1000</v>
      </c>
      <c r="R6" s="445">
        <f>R5/F106</f>
        <v>0.27243762180852366</v>
      </c>
      <c r="T6" s="340"/>
      <c r="U6" s="340"/>
      <c r="V6" s="338"/>
    </row>
    <row r="7" spans="2:23">
      <c r="B7" s="801"/>
      <c r="C7" s="792" t="s">
        <v>219</v>
      </c>
      <c r="D7" s="440" t="s">
        <v>206</v>
      </c>
      <c r="E7" s="441"/>
      <c r="F7" s="512">
        <v>0.4</v>
      </c>
      <c r="G7" s="512">
        <v>0.4</v>
      </c>
      <c r="H7" s="512">
        <v>0.4</v>
      </c>
      <c r="I7" s="512">
        <v>0.4</v>
      </c>
      <c r="J7" s="512">
        <v>0.4</v>
      </c>
      <c r="K7" s="512">
        <v>0.4</v>
      </c>
      <c r="L7" s="512">
        <v>0.4</v>
      </c>
      <c r="M7" s="512">
        <v>0.4</v>
      </c>
      <c r="N7" s="512">
        <v>0.4</v>
      </c>
      <c r="O7" s="512">
        <v>0.4</v>
      </c>
      <c r="P7" s="512">
        <v>0.5</v>
      </c>
      <c r="Q7" s="513">
        <f>SUM(E7:P7)*49.849</f>
        <v>224.32049999999998</v>
      </c>
      <c r="R7" s="442">
        <f t="shared" ref="R7" si="0">Q7+Q8</f>
        <v>484.32049999999998</v>
      </c>
      <c r="U7" s="336"/>
      <c r="V7" s="338"/>
    </row>
    <row r="8" spans="2:23">
      <c r="B8" s="801"/>
      <c r="C8" s="792"/>
      <c r="D8" s="440" t="s">
        <v>207</v>
      </c>
      <c r="E8" s="443"/>
      <c r="F8" s="447">
        <v>26</v>
      </c>
      <c r="G8" s="447">
        <v>26</v>
      </c>
      <c r="H8" s="447">
        <v>26</v>
      </c>
      <c r="I8" s="447">
        <v>26</v>
      </c>
      <c r="J8" s="447">
        <v>26</v>
      </c>
      <c r="K8" s="447">
        <v>26</v>
      </c>
      <c r="L8" s="447">
        <v>26</v>
      </c>
      <c r="M8" s="447">
        <v>26</v>
      </c>
      <c r="N8" s="447">
        <v>26</v>
      </c>
      <c r="O8" s="447">
        <v>26</v>
      </c>
      <c r="P8" s="516"/>
      <c r="Q8" s="515">
        <f t="shared" ref="Q8" si="1">SUM(E8:P8)</f>
        <v>260</v>
      </c>
      <c r="R8" s="445">
        <f>R7/F106</f>
        <v>0.12873838532800716</v>
      </c>
      <c r="T8" s="336"/>
      <c r="U8" s="339"/>
      <c r="V8" s="336"/>
    </row>
    <row r="9" spans="2:23">
      <c r="B9" s="801"/>
      <c r="C9" s="791" t="s">
        <v>220</v>
      </c>
      <c r="D9" s="440" t="s">
        <v>206</v>
      </c>
      <c r="E9" s="441"/>
      <c r="F9" s="512">
        <v>0.25</v>
      </c>
      <c r="G9" s="512">
        <v>0.25</v>
      </c>
      <c r="H9" s="512">
        <v>0.25</v>
      </c>
      <c r="I9" s="512">
        <v>0.25</v>
      </c>
      <c r="J9" s="441"/>
      <c r="K9" s="441"/>
      <c r="L9" s="441"/>
      <c r="M9" s="441"/>
      <c r="N9" s="441"/>
      <c r="O9" s="441"/>
      <c r="P9" s="441"/>
      <c r="Q9" s="513">
        <f>SUM(E9:P9)*49.849</f>
        <v>49.848999999999997</v>
      </c>
      <c r="R9" s="442">
        <f>Q9+Q10</f>
        <v>49.848999999999997</v>
      </c>
      <c r="T9" s="336"/>
      <c r="U9" s="339"/>
      <c r="V9" s="336"/>
      <c r="W9" s="336"/>
    </row>
    <row r="10" spans="2:23">
      <c r="B10" s="801"/>
      <c r="C10" s="791"/>
      <c r="D10" s="440" t="s">
        <v>207</v>
      </c>
      <c r="E10" s="443"/>
      <c r="F10" s="443"/>
      <c r="G10" s="443"/>
      <c r="H10" s="443"/>
      <c r="I10" s="443"/>
      <c r="J10" s="443"/>
      <c r="K10" s="443"/>
      <c r="L10" s="443"/>
      <c r="M10" s="443"/>
      <c r="N10" s="443"/>
      <c r="O10" s="443"/>
      <c r="P10" s="443"/>
      <c r="Q10" s="515">
        <f t="shared" ref="Q10" si="2">SUM(E10:P10)</f>
        <v>0</v>
      </c>
      <c r="R10" s="445">
        <f>R9/F106</f>
        <v>1.3250481386222198E-2</v>
      </c>
    </row>
    <row r="11" spans="2:23">
      <c r="B11" s="801"/>
      <c r="C11" s="791" t="s">
        <v>221</v>
      </c>
      <c r="D11" s="440" t="s">
        <v>206</v>
      </c>
      <c r="E11" s="512">
        <v>0.25</v>
      </c>
      <c r="F11" s="512">
        <v>0.25</v>
      </c>
      <c r="G11" s="512">
        <v>0.25</v>
      </c>
      <c r="H11" s="512">
        <v>0.25</v>
      </c>
      <c r="I11" s="441"/>
      <c r="J11" s="441"/>
      <c r="K11" s="441"/>
      <c r="L11" s="441"/>
      <c r="M11" s="441"/>
      <c r="N11" s="441"/>
      <c r="O11" s="441"/>
      <c r="P11" s="441"/>
      <c r="Q11" s="513">
        <f>SUM(E11:P11)*49.849</f>
        <v>49.848999999999997</v>
      </c>
      <c r="R11" s="442">
        <f>Q11+Q10</f>
        <v>49.848999999999997</v>
      </c>
      <c r="T11" s="340"/>
      <c r="U11" s="340"/>
      <c r="V11" s="338"/>
    </row>
    <row r="12" spans="2:23">
      <c r="B12" s="801"/>
      <c r="C12" s="791"/>
      <c r="D12" s="440" t="s">
        <v>207</v>
      </c>
      <c r="E12" s="443"/>
      <c r="F12" s="443"/>
      <c r="G12" s="443"/>
      <c r="H12" s="443"/>
      <c r="I12" s="443"/>
      <c r="J12" s="443"/>
      <c r="K12" s="443"/>
      <c r="L12" s="443"/>
      <c r="M12" s="443"/>
      <c r="N12" s="443"/>
      <c r="O12" s="443"/>
      <c r="P12" s="443"/>
      <c r="Q12" s="515">
        <f t="shared" ref="Q12" si="3">SUM(E12:P12)</f>
        <v>0</v>
      </c>
      <c r="R12" s="445">
        <f>R11/F106</f>
        <v>1.3250481386222198E-2</v>
      </c>
      <c r="U12" s="336"/>
      <c r="V12" s="338"/>
    </row>
    <row r="13" spans="2:23">
      <c r="B13" s="801"/>
      <c r="C13" s="791" t="s">
        <v>811</v>
      </c>
      <c r="D13" s="440" t="s">
        <v>206</v>
      </c>
      <c r="E13" s="441"/>
      <c r="F13" s="441"/>
      <c r="G13" s="441"/>
      <c r="H13" s="441"/>
      <c r="I13" s="441"/>
      <c r="J13" s="512">
        <v>0.25</v>
      </c>
      <c r="K13" s="512">
        <v>0.25</v>
      </c>
      <c r="L13" s="441"/>
      <c r="M13" s="441"/>
      <c r="N13" s="441"/>
      <c r="O13" s="441"/>
      <c r="P13" s="441"/>
      <c r="Q13" s="513">
        <f>SUM(E13:P13)*49.9849</f>
        <v>24.992450000000002</v>
      </c>
      <c r="R13" s="442">
        <f>Q13+Q14</f>
        <v>24.992450000000002</v>
      </c>
      <c r="T13" s="341"/>
      <c r="U13" s="339"/>
      <c r="V13" s="336"/>
    </row>
    <row r="14" spans="2:23">
      <c r="B14" s="801"/>
      <c r="C14" s="791"/>
      <c r="D14" s="440" t="s">
        <v>207</v>
      </c>
      <c r="E14" s="443"/>
      <c r="F14" s="443"/>
      <c r="G14" s="443"/>
      <c r="H14" s="443"/>
      <c r="I14" s="443"/>
      <c r="J14" s="443"/>
      <c r="K14" s="443"/>
      <c r="L14" s="443"/>
      <c r="M14" s="443"/>
      <c r="N14" s="443"/>
      <c r="O14" s="443"/>
      <c r="P14" s="443"/>
      <c r="Q14" s="515">
        <f t="shared" ref="Q14" si="4">SUM(E14:P14)</f>
        <v>0</v>
      </c>
      <c r="R14" s="445">
        <f>R13/F106</f>
        <v>6.6433026444078927E-3</v>
      </c>
      <c r="T14" s="341"/>
      <c r="U14" s="339"/>
      <c r="V14" s="336"/>
      <c r="W14" s="336"/>
    </row>
    <row r="15" spans="2:23">
      <c r="B15" s="801"/>
      <c r="C15" s="792" t="s">
        <v>222</v>
      </c>
      <c r="D15" s="440" t="s">
        <v>206</v>
      </c>
      <c r="E15" s="441"/>
      <c r="F15" s="441"/>
      <c r="G15" s="441"/>
      <c r="H15" s="441"/>
      <c r="I15" s="441"/>
      <c r="J15" s="441"/>
      <c r="K15" s="441"/>
      <c r="L15" s="441"/>
      <c r="M15" s="441"/>
      <c r="N15" s="441"/>
      <c r="O15" s="512">
        <v>0.25</v>
      </c>
      <c r="P15" s="512">
        <v>0.25</v>
      </c>
      <c r="Q15" s="513">
        <f>SUM(E15:P15)*49.849</f>
        <v>24.924499999999998</v>
      </c>
      <c r="R15" s="442">
        <f t="shared" ref="R15" si="5">Q15+Q16</f>
        <v>24.924499999999998</v>
      </c>
    </row>
    <row r="16" spans="2:23" ht="16.2" thickBot="1">
      <c r="B16" s="801"/>
      <c r="C16" s="793"/>
      <c r="D16" s="440" t="s">
        <v>207</v>
      </c>
      <c r="E16" s="443"/>
      <c r="F16" s="443"/>
      <c r="G16" s="443"/>
      <c r="H16" s="443"/>
      <c r="I16" s="443"/>
      <c r="J16" s="443"/>
      <c r="K16" s="443"/>
      <c r="L16" s="443"/>
      <c r="M16" s="443"/>
      <c r="N16" s="443"/>
      <c r="O16" s="443"/>
      <c r="P16" s="443"/>
      <c r="Q16" s="515">
        <f t="shared" ref="Q16" si="6">SUM(E16:P16)</f>
        <v>0</v>
      </c>
      <c r="R16" s="445">
        <f>R15/F106</f>
        <v>6.625240693111099E-3</v>
      </c>
    </row>
    <row r="17" spans="2:20" ht="16.2">
      <c r="B17" s="505"/>
      <c r="C17" s="496" t="s">
        <v>201</v>
      </c>
      <c r="E17" s="517">
        <f>E5+E7+E9+E11+E13+E15</f>
        <v>0.5</v>
      </c>
      <c r="F17" s="517">
        <f t="shared" ref="F17:P17" si="7">F5+F7+F9+F11+F13+F15</f>
        <v>0.9</v>
      </c>
      <c r="G17" s="517">
        <f t="shared" si="7"/>
        <v>0.9</v>
      </c>
      <c r="H17" s="517">
        <f t="shared" si="7"/>
        <v>0.9</v>
      </c>
      <c r="I17" s="517">
        <f t="shared" si="7"/>
        <v>0.65</v>
      </c>
      <c r="J17" s="517">
        <f t="shared" si="7"/>
        <v>0.9</v>
      </c>
      <c r="K17" s="517">
        <f t="shared" si="7"/>
        <v>0.65</v>
      </c>
      <c r="L17" s="517">
        <f t="shared" si="7"/>
        <v>0.4</v>
      </c>
      <c r="M17" s="517">
        <f t="shared" si="7"/>
        <v>0.4</v>
      </c>
      <c r="N17" s="517">
        <f t="shared" si="7"/>
        <v>0.4</v>
      </c>
      <c r="O17" s="517">
        <f t="shared" si="7"/>
        <v>0.65</v>
      </c>
      <c r="P17" s="517">
        <f t="shared" si="7"/>
        <v>0.75</v>
      </c>
      <c r="Q17" s="518">
        <f>SUM(E17:P17)</f>
        <v>8.0000000000000018</v>
      </c>
      <c r="R17" s="449"/>
    </row>
    <row r="18" spans="2:20" ht="16.2" outlineLevel="1">
      <c r="B18" s="505"/>
      <c r="C18" s="496" t="s">
        <v>202</v>
      </c>
      <c r="E18" s="519">
        <f t="shared" ref="E18:K18" si="8">E17*49.849</f>
        <v>24.924499999999998</v>
      </c>
      <c r="F18" s="519">
        <f t="shared" si="8"/>
        <v>44.864100000000001</v>
      </c>
      <c r="G18" s="519">
        <f t="shared" si="8"/>
        <v>44.864100000000001</v>
      </c>
      <c r="H18" s="519">
        <f t="shared" si="8"/>
        <v>44.864100000000001</v>
      </c>
      <c r="I18" s="519">
        <f t="shared" si="8"/>
        <v>32.401849999999996</v>
      </c>
      <c r="J18" s="519">
        <f t="shared" si="8"/>
        <v>44.864100000000001</v>
      </c>
      <c r="K18" s="519">
        <f t="shared" si="8"/>
        <v>32.401849999999996</v>
      </c>
      <c r="L18" s="519">
        <f t="shared" ref="L18:Q18" si="9">L17*49.849</f>
        <v>19.939599999999999</v>
      </c>
      <c r="M18" s="519">
        <f t="shared" si="9"/>
        <v>19.939599999999999</v>
      </c>
      <c r="N18" s="519">
        <f t="shared" si="9"/>
        <v>19.939599999999999</v>
      </c>
      <c r="O18" s="519">
        <f t="shared" si="9"/>
        <v>32.401849999999996</v>
      </c>
      <c r="P18" s="519">
        <f t="shared" si="9"/>
        <v>37.386749999999999</v>
      </c>
      <c r="Q18" s="541">
        <f t="shared" si="9"/>
        <v>398.79200000000009</v>
      </c>
      <c r="R18" s="449"/>
      <c r="S18" t="s">
        <v>484</v>
      </c>
      <c r="T18" s="397">
        <f>SUM(E18:J19)</f>
        <v>1366.7827500000001</v>
      </c>
    </row>
    <row r="19" spans="2:20" ht="16.2" outlineLevel="1">
      <c r="B19" s="505"/>
      <c r="C19" s="496" t="s">
        <v>204</v>
      </c>
      <c r="E19" s="517">
        <f>E6+E8+E10+E12+E14+E16</f>
        <v>500</v>
      </c>
      <c r="F19" s="517">
        <f>F6+F8+F10+F12+F14+F16</f>
        <v>26</v>
      </c>
      <c r="G19" s="517">
        <f>G6+G8+G10+G12+G14+G16</f>
        <v>26</v>
      </c>
      <c r="H19" s="517">
        <f t="shared" ref="H19:P19" si="10">H6+H8+H10+H12+H14+H16</f>
        <v>26</v>
      </c>
      <c r="I19" s="517">
        <f t="shared" si="10"/>
        <v>26</v>
      </c>
      <c r="J19" s="517">
        <f t="shared" si="10"/>
        <v>526</v>
      </c>
      <c r="K19" s="517">
        <f t="shared" si="10"/>
        <v>26</v>
      </c>
      <c r="L19" s="517">
        <f t="shared" si="10"/>
        <v>26</v>
      </c>
      <c r="M19" s="517">
        <f t="shared" si="10"/>
        <v>26</v>
      </c>
      <c r="N19" s="517">
        <f t="shared" si="10"/>
        <v>26</v>
      </c>
      <c r="O19" s="517">
        <f t="shared" si="10"/>
        <v>26</v>
      </c>
      <c r="P19" s="517">
        <f t="shared" si="10"/>
        <v>0</v>
      </c>
      <c r="Q19" s="518">
        <f t="shared" ref="Q19" si="11">Q6+Q8+Q10+Q12+Q14+Q16</f>
        <v>1260</v>
      </c>
      <c r="R19" s="449"/>
      <c r="S19" t="s">
        <v>485</v>
      </c>
      <c r="T19" s="338">
        <f>SUM(K18:P19)</f>
        <v>292.00924999999995</v>
      </c>
    </row>
    <row r="20" spans="2:20" ht="28.2" thickBot="1">
      <c r="B20" s="520"/>
      <c r="C20" s="521" t="s">
        <v>244</v>
      </c>
      <c r="D20" s="522"/>
      <c r="E20" s="521">
        <f>SUM(E18:E19)</f>
        <v>524.92449999999997</v>
      </c>
      <c r="F20" s="521">
        <f t="shared" ref="F20:O20" si="12">SUM(F18:F19)</f>
        <v>70.864100000000008</v>
      </c>
      <c r="G20" s="521">
        <f t="shared" si="12"/>
        <v>70.864100000000008</v>
      </c>
      <c r="H20" s="521">
        <f t="shared" si="12"/>
        <v>70.864100000000008</v>
      </c>
      <c r="I20" s="521">
        <f t="shared" si="12"/>
        <v>58.401849999999996</v>
      </c>
      <c r="J20" s="521">
        <f t="shared" si="12"/>
        <v>570.86410000000001</v>
      </c>
      <c r="K20" s="521">
        <f t="shared" si="12"/>
        <v>58.401849999999996</v>
      </c>
      <c r="L20" s="521">
        <f t="shared" si="12"/>
        <v>45.939599999999999</v>
      </c>
      <c r="M20" s="521">
        <f t="shared" si="12"/>
        <v>45.939599999999999</v>
      </c>
      <c r="N20" s="521">
        <f t="shared" si="12"/>
        <v>45.939599999999999</v>
      </c>
      <c r="O20" s="521">
        <f t="shared" si="12"/>
        <v>58.401849999999996</v>
      </c>
      <c r="P20" s="521" t="s">
        <v>245</v>
      </c>
      <c r="Q20" s="760">
        <f>SUM(Q18:Q19)</f>
        <v>1658.7920000000001</v>
      </c>
      <c r="R20" s="523"/>
      <c r="T20" s="759">
        <f>T18+T19</f>
        <v>1658.7919999999999</v>
      </c>
    </row>
    <row r="21" spans="2:20" ht="16.2" thickBot="1"/>
    <row r="22" spans="2:20" ht="31.8" thickBot="1">
      <c r="B22" s="794" t="s">
        <v>203</v>
      </c>
      <c r="C22" s="434" t="str">
        <f>人事費!A9</f>
        <v>3.蔣明諺</v>
      </c>
      <c r="D22" s="435"/>
      <c r="E22" s="500" t="s">
        <v>471</v>
      </c>
      <c r="F22" s="500" t="s">
        <v>472</v>
      </c>
      <c r="G22" s="500" t="s">
        <v>473</v>
      </c>
      <c r="H22" s="500" t="s">
        <v>474</v>
      </c>
      <c r="I22" s="500" t="s">
        <v>475</v>
      </c>
      <c r="J22" s="500" t="s">
        <v>476</v>
      </c>
      <c r="K22" s="500" t="s">
        <v>477</v>
      </c>
      <c r="L22" s="500" t="s">
        <v>478</v>
      </c>
      <c r="M22" s="500" t="s">
        <v>479</v>
      </c>
      <c r="N22" s="500" t="s">
        <v>480</v>
      </c>
      <c r="O22" s="500" t="s">
        <v>481</v>
      </c>
      <c r="P22" s="500" t="s">
        <v>482</v>
      </c>
      <c r="Q22" s="435"/>
      <c r="R22" s="437"/>
    </row>
    <row r="23" spans="2:20" ht="23.4" thickTop="1" thickBot="1">
      <c r="B23" s="795"/>
      <c r="C23" s="492" t="s">
        <v>799</v>
      </c>
      <c r="D23" s="5"/>
      <c r="R23" s="501" t="s">
        <v>250</v>
      </c>
    </row>
    <row r="24" spans="2:20">
      <c r="B24" s="795"/>
      <c r="C24" s="796" t="s">
        <v>223</v>
      </c>
      <c r="D24" s="502" t="s">
        <v>206</v>
      </c>
      <c r="E24" s="503">
        <v>0.25</v>
      </c>
      <c r="F24" s="503">
        <v>0.5</v>
      </c>
      <c r="G24" s="503">
        <v>0.25</v>
      </c>
      <c r="H24" s="441"/>
      <c r="I24" s="441"/>
      <c r="J24" s="441"/>
      <c r="K24" s="441"/>
      <c r="L24" s="441"/>
      <c r="M24" s="441"/>
      <c r="N24" s="441"/>
      <c r="O24" s="441"/>
      <c r="P24" s="441"/>
      <c r="Q24" s="446">
        <f>SUM(E24:P24)*人事費!E9/1000</f>
        <v>43.84</v>
      </c>
      <c r="R24" s="442">
        <f>Q24+Q25</f>
        <v>43.84</v>
      </c>
    </row>
    <row r="25" spans="2:20">
      <c r="B25" s="795"/>
      <c r="C25" s="797"/>
      <c r="D25" s="502" t="s">
        <v>207</v>
      </c>
      <c r="E25" s="443"/>
      <c r="F25" s="443"/>
      <c r="G25" s="444"/>
      <c r="H25" s="443"/>
      <c r="I25" s="443"/>
      <c r="J25" s="443"/>
      <c r="K25" s="443"/>
      <c r="L25" s="443"/>
      <c r="M25" s="443"/>
      <c r="N25" s="443"/>
      <c r="O25" s="443"/>
      <c r="P25" s="443"/>
      <c r="Q25" s="443">
        <f>SUM(E25:P25)</f>
        <v>0</v>
      </c>
      <c r="R25" s="445">
        <f>R24/F106</f>
        <v>1.1653214788099686E-2</v>
      </c>
    </row>
    <row r="26" spans="2:20">
      <c r="B26" s="795"/>
      <c r="C26" s="798" t="s">
        <v>224</v>
      </c>
      <c r="D26" s="502" t="s">
        <v>206</v>
      </c>
      <c r="E26" s="503">
        <v>0.25</v>
      </c>
      <c r="F26" s="504"/>
      <c r="G26" s="503">
        <v>0.25</v>
      </c>
      <c r="H26" s="441"/>
      <c r="I26" s="441"/>
      <c r="J26" s="441"/>
      <c r="K26" s="441"/>
      <c r="L26" s="441"/>
      <c r="M26" s="441"/>
      <c r="N26" s="441"/>
      <c r="O26" s="441"/>
      <c r="P26" s="441"/>
      <c r="Q26" s="446">
        <f>SUM(E26:P26)*人事費!E9/1000</f>
        <v>21.92</v>
      </c>
      <c r="R26" s="442">
        <f t="shared" ref="R26" si="13">Q26+Q27</f>
        <v>21.92</v>
      </c>
    </row>
    <row r="27" spans="2:20">
      <c r="B27" s="795"/>
      <c r="C27" s="798"/>
      <c r="D27" s="502" t="s">
        <v>207</v>
      </c>
      <c r="E27" s="443"/>
      <c r="F27" s="443"/>
      <c r="G27" s="443"/>
      <c r="H27" s="443"/>
      <c r="I27" s="443"/>
      <c r="J27" s="443"/>
      <c r="K27" s="443"/>
      <c r="L27" s="443"/>
      <c r="M27" s="443"/>
      <c r="N27" s="443"/>
      <c r="O27" s="443"/>
      <c r="P27" s="443"/>
      <c r="Q27" s="443">
        <f t="shared" ref="Q27" si="14">SUM(E27:P27)</f>
        <v>0</v>
      </c>
      <c r="R27" s="445">
        <f>R26/F106</f>
        <v>5.8266073940498432E-3</v>
      </c>
    </row>
    <row r="28" spans="2:20">
      <c r="B28" s="795"/>
      <c r="C28" s="797" t="s">
        <v>225</v>
      </c>
      <c r="D28" s="502" t="s">
        <v>206</v>
      </c>
      <c r="E28" s="441"/>
      <c r="F28" s="441"/>
      <c r="G28" s="503">
        <v>0.25</v>
      </c>
      <c r="H28" s="503">
        <v>0.25</v>
      </c>
      <c r="I28" s="441"/>
      <c r="J28" s="441"/>
      <c r="K28" s="441"/>
      <c r="L28" s="441"/>
      <c r="M28" s="441"/>
      <c r="N28" s="441"/>
      <c r="O28" s="441"/>
      <c r="P28" s="441"/>
      <c r="Q28" s="446">
        <f>SUM(E28:P28)*人事費!E9/1000</f>
        <v>21.92</v>
      </c>
      <c r="R28" s="442">
        <f t="shared" ref="R28" si="15">Q28+Q29</f>
        <v>21.92</v>
      </c>
    </row>
    <row r="29" spans="2:20">
      <c r="B29" s="795"/>
      <c r="C29" s="797"/>
      <c r="D29" s="502" t="s">
        <v>207</v>
      </c>
      <c r="E29" s="443"/>
      <c r="F29" s="443"/>
      <c r="G29" s="443"/>
      <c r="H29" s="443"/>
      <c r="I29" s="443"/>
      <c r="J29" s="443"/>
      <c r="K29" s="443"/>
      <c r="L29" s="443"/>
      <c r="M29" s="443"/>
      <c r="N29" s="443"/>
      <c r="O29" s="443"/>
      <c r="P29" s="443"/>
      <c r="Q29" s="443">
        <f t="shared" ref="Q29" si="16">SUM(E29:P29)</f>
        <v>0</v>
      </c>
      <c r="R29" s="445">
        <f>R28/F106</f>
        <v>5.8266073940498432E-3</v>
      </c>
    </row>
    <row r="30" spans="2:20">
      <c r="B30" s="795"/>
      <c r="C30" s="797" t="s">
        <v>226</v>
      </c>
      <c r="D30" s="502" t="s">
        <v>206</v>
      </c>
      <c r="E30" s="441"/>
      <c r="F30" s="441"/>
      <c r="G30" s="441"/>
      <c r="H30" s="441"/>
      <c r="I30" s="503">
        <v>0.25</v>
      </c>
      <c r="J30" s="503">
        <v>0.25</v>
      </c>
      <c r="K30" s="503">
        <v>0.25</v>
      </c>
      <c r="L30" s="503">
        <v>0.25</v>
      </c>
      <c r="M30" s="503">
        <v>0.25</v>
      </c>
      <c r="N30" s="503">
        <v>0.25</v>
      </c>
      <c r="O30" s="503">
        <v>0.25</v>
      </c>
      <c r="P30" s="503">
        <v>0.25</v>
      </c>
      <c r="Q30" s="446">
        <f>SUM(E30:P30)*人事費!E9/1000</f>
        <v>87.68</v>
      </c>
      <c r="R30" s="442">
        <f>Q30+Q27</f>
        <v>87.68</v>
      </c>
    </row>
    <row r="31" spans="2:20">
      <c r="B31" s="795"/>
      <c r="C31" s="797"/>
      <c r="D31" s="502" t="s">
        <v>207</v>
      </c>
      <c r="E31" s="443"/>
      <c r="F31" s="443"/>
      <c r="G31" s="443"/>
      <c r="H31" s="443"/>
      <c r="I31" s="443"/>
      <c r="J31" s="443"/>
      <c r="K31" s="443"/>
      <c r="L31" s="443"/>
      <c r="M31" s="443"/>
      <c r="N31" s="443"/>
      <c r="O31" s="443"/>
      <c r="P31" s="443"/>
      <c r="Q31" s="443">
        <f t="shared" ref="Q31" si="17">SUM(E31:P31)</f>
        <v>0</v>
      </c>
      <c r="R31" s="445">
        <f>R30/F106</f>
        <v>2.3306429576199373E-2</v>
      </c>
    </row>
    <row r="32" spans="2:20">
      <c r="B32" s="795"/>
      <c r="C32" s="799" t="s">
        <v>227</v>
      </c>
      <c r="D32" s="502" t="s">
        <v>206</v>
      </c>
      <c r="E32" s="441"/>
      <c r="F32" s="441"/>
      <c r="G32" s="441"/>
      <c r="H32" s="441"/>
      <c r="I32" s="441"/>
      <c r="J32" s="441"/>
      <c r="K32" s="441"/>
      <c r="L32" s="503">
        <v>0.25</v>
      </c>
      <c r="M32" s="503">
        <v>0.25</v>
      </c>
      <c r="N32" s="441"/>
      <c r="O32" s="441"/>
      <c r="P32" s="441"/>
      <c r="Q32" s="446">
        <f>SUM(E32:P32)*人事費!E9/1000</f>
        <v>21.92</v>
      </c>
      <c r="R32" s="442">
        <f>Q32+Q86</f>
        <v>21.92</v>
      </c>
    </row>
    <row r="33" spans="2:20">
      <c r="B33" s="795"/>
      <c r="C33" s="799"/>
      <c r="D33" s="502" t="s">
        <v>207</v>
      </c>
      <c r="E33" s="443"/>
      <c r="F33" s="443"/>
      <c r="G33" s="443"/>
      <c r="H33" s="443"/>
      <c r="I33" s="443"/>
      <c r="J33" s="443"/>
      <c r="K33" s="443"/>
      <c r="L33" s="443"/>
      <c r="M33" s="443"/>
      <c r="N33" s="443"/>
      <c r="O33" s="443"/>
      <c r="P33" s="443"/>
      <c r="Q33" s="443">
        <f t="shared" ref="Q33" si="18">SUM(E33:P33)</f>
        <v>0</v>
      </c>
      <c r="R33" s="445">
        <f>R32/F106</f>
        <v>5.8266073940498432E-3</v>
      </c>
    </row>
    <row r="34" spans="2:20">
      <c r="B34" s="795"/>
      <c r="C34" s="798" t="s">
        <v>228</v>
      </c>
      <c r="D34" s="502" t="s">
        <v>206</v>
      </c>
      <c r="E34" s="441"/>
      <c r="F34" s="441"/>
      <c r="G34" s="441"/>
      <c r="H34" s="441"/>
      <c r="I34" s="441"/>
      <c r="J34" s="441"/>
      <c r="K34" s="441"/>
      <c r="L34" s="441"/>
      <c r="M34" s="441"/>
      <c r="N34" s="441"/>
      <c r="O34" s="503">
        <v>0.25</v>
      </c>
      <c r="P34" s="503">
        <v>0.25</v>
      </c>
      <c r="Q34" s="446">
        <f>SUM(E34:P34)*人事費!E9/1000</f>
        <v>21.92</v>
      </c>
      <c r="R34" s="442">
        <f t="shared" ref="R34" si="19">Q34+Q35</f>
        <v>21.92</v>
      </c>
    </row>
    <row r="35" spans="2:20" ht="16.2" thickBot="1">
      <c r="B35" s="795"/>
      <c r="C35" s="802"/>
      <c r="D35" s="502" t="s">
        <v>207</v>
      </c>
      <c r="E35" s="443"/>
      <c r="F35" s="443"/>
      <c r="G35" s="443"/>
      <c r="H35" s="443"/>
      <c r="I35" s="443"/>
      <c r="J35" s="443"/>
      <c r="K35" s="443"/>
      <c r="L35" s="443"/>
      <c r="M35" s="443"/>
      <c r="N35" s="443"/>
      <c r="O35" s="443"/>
      <c r="P35" s="443"/>
      <c r="Q35" s="443">
        <f t="shared" ref="Q35" si="20">SUM(E35:P35)</f>
        <v>0</v>
      </c>
      <c r="R35" s="445">
        <f>R34/F106</f>
        <v>5.8266073940498432E-3</v>
      </c>
    </row>
    <row r="36" spans="2:20" ht="16.2">
      <c r="B36" s="505"/>
      <c r="C36" s="506" t="s">
        <v>201</v>
      </c>
      <c r="E36" s="338">
        <f t="shared" ref="E36:P36" si="21">E24+E26+E28+E30+E32+E34</f>
        <v>0.5</v>
      </c>
      <c r="F36" s="338">
        <f t="shared" si="21"/>
        <v>0.5</v>
      </c>
      <c r="G36" s="338">
        <f t="shared" si="21"/>
        <v>0.75</v>
      </c>
      <c r="H36" s="338">
        <f t="shared" si="21"/>
        <v>0.25</v>
      </c>
      <c r="I36" s="338">
        <f t="shared" si="21"/>
        <v>0.25</v>
      </c>
      <c r="J36" s="338">
        <f>J24+J26+J28+J30+J32+J34</f>
        <v>0.25</v>
      </c>
      <c r="K36" s="338">
        <f t="shared" si="21"/>
        <v>0.25</v>
      </c>
      <c r="L36" s="338">
        <f t="shared" si="21"/>
        <v>0.5</v>
      </c>
      <c r="M36" s="338">
        <f t="shared" si="21"/>
        <v>0.5</v>
      </c>
      <c r="N36" s="338">
        <f t="shared" si="21"/>
        <v>0.25</v>
      </c>
      <c r="O36" s="338">
        <f t="shared" si="21"/>
        <v>0.5</v>
      </c>
      <c r="P36" s="338">
        <f t="shared" si="21"/>
        <v>0.5</v>
      </c>
      <c r="Q36" s="338">
        <f>SUM(E36:P36)</f>
        <v>5</v>
      </c>
      <c r="R36" s="449"/>
    </row>
    <row r="37" spans="2:20" ht="16.2">
      <c r="B37" s="505"/>
      <c r="C37" s="506" t="s">
        <v>202</v>
      </c>
      <c r="E37">
        <f>E36*人事費!E9/1000</f>
        <v>21.92</v>
      </c>
      <c r="F37">
        <f>F36*人事費!E9/1000</f>
        <v>21.92</v>
      </c>
      <c r="G37">
        <f>G36*人事費!E9/1000</f>
        <v>32.880000000000003</v>
      </c>
      <c r="H37">
        <f>H36*人事費!E9/1000</f>
        <v>10.96</v>
      </c>
      <c r="I37">
        <f>I36*人事費!E9/1000</f>
        <v>10.96</v>
      </c>
      <c r="J37">
        <f>J36*人事費!E9/1000</f>
        <v>10.96</v>
      </c>
      <c r="K37">
        <f>K36*人事費!E9/1000</f>
        <v>10.96</v>
      </c>
      <c r="L37">
        <f>L36*人事費!E9/1000</f>
        <v>21.92</v>
      </c>
      <c r="M37">
        <f>N36*人事費!E9/1000</f>
        <v>10.96</v>
      </c>
      <c r="N37">
        <f>N36*人事費!E9/1000</f>
        <v>10.96</v>
      </c>
      <c r="O37">
        <f>O36*人事費!E9/1000</f>
        <v>21.92</v>
      </c>
      <c r="P37">
        <f>P36*人事費!E9/1000</f>
        <v>21.92</v>
      </c>
      <c r="Q37" s="450">
        <f>Q36*人事費!E9/1000</f>
        <v>219.2</v>
      </c>
      <c r="R37" s="449"/>
      <c r="S37" t="s">
        <v>484</v>
      </c>
      <c r="T37" s="338">
        <f>SUM(E37:K38)</f>
        <v>120.56000000000003</v>
      </c>
    </row>
    <row r="38" spans="2:20" ht="16.2">
      <c r="B38" s="505"/>
      <c r="C38" s="506" t="s">
        <v>204</v>
      </c>
      <c r="E38" s="338">
        <f>E25+E27+E29+E31+E33+E35</f>
        <v>0</v>
      </c>
      <c r="F38" s="338">
        <f t="shared" ref="F38" si="22">F25+F27+F29+F31+F33+F35</f>
        <v>0</v>
      </c>
      <c r="G38" s="338">
        <f>G25+G27+G29+G31+G33+G35</f>
        <v>0</v>
      </c>
      <c r="H38" s="338">
        <f t="shared" ref="H38:P38" si="23">H25+H27+H29+H31+H33+H35</f>
        <v>0</v>
      </c>
      <c r="I38" s="338">
        <f t="shared" si="23"/>
        <v>0</v>
      </c>
      <c r="J38" s="338">
        <f t="shared" si="23"/>
        <v>0</v>
      </c>
      <c r="K38" s="338">
        <f t="shared" si="23"/>
        <v>0</v>
      </c>
      <c r="L38" s="338">
        <f t="shared" si="23"/>
        <v>0</v>
      </c>
      <c r="M38" s="338">
        <f t="shared" si="23"/>
        <v>0</v>
      </c>
      <c r="N38" s="338">
        <f t="shared" si="23"/>
        <v>0</v>
      </c>
      <c r="O38" s="338">
        <f t="shared" si="23"/>
        <v>0</v>
      </c>
      <c r="P38" s="338">
        <f t="shared" si="23"/>
        <v>0</v>
      </c>
      <c r="Q38" s="338">
        <f t="shared" ref="Q38" si="24">Q25+Q27+Q29+Q31+Q33+Q35</f>
        <v>0</v>
      </c>
      <c r="R38" s="449"/>
      <c r="S38" t="s">
        <v>485</v>
      </c>
      <c r="T38" s="338">
        <f>SUM(K37:P38)</f>
        <v>98.64</v>
      </c>
    </row>
    <row r="39" spans="2:20" ht="30.6" thickBot="1">
      <c r="B39" s="507"/>
      <c r="C39" s="508" t="s">
        <v>205</v>
      </c>
      <c r="D39" s="451"/>
      <c r="E39" s="451">
        <f>SUM(E37:E38)</f>
        <v>21.92</v>
      </c>
      <c r="F39" s="451">
        <f t="shared" ref="F39" si="25">SUM(F37:F38)</f>
        <v>21.92</v>
      </c>
      <c r="G39" s="451">
        <f t="shared" ref="G39" si="26">SUM(G37:G38)</f>
        <v>32.880000000000003</v>
      </c>
      <c r="H39" s="451">
        <f t="shared" ref="H39" si="27">SUM(H37:H38)</f>
        <v>10.96</v>
      </c>
      <c r="I39" s="451">
        <f t="shared" ref="I39" si="28">SUM(I37:I38)</f>
        <v>10.96</v>
      </c>
      <c r="J39" s="451">
        <f t="shared" ref="J39" si="29">SUM(J37:J38)</f>
        <v>10.96</v>
      </c>
      <c r="K39" s="451">
        <f t="shared" ref="K39" si="30">SUM(K37:K38)</f>
        <v>10.96</v>
      </c>
      <c r="L39" s="451">
        <f t="shared" ref="L39" si="31">SUM(L37:L38)</f>
        <v>21.92</v>
      </c>
      <c r="M39" s="451">
        <f t="shared" ref="M39" si="32">SUM(M37:M38)</f>
        <v>10.96</v>
      </c>
      <c r="N39" s="451">
        <f t="shared" ref="N39" si="33">SUM(N37:N38)</f>
        <v>10.96</v>
      </c>
      <c r="O39" s="451">
        <f t="shared" ref="O39" si="34">SUM(O37:O38)</f>
        <v>21.92</v>
      </c>
      <c r="P39" s="498" t="s">
        <v>208</v>
      </c>
      <c r="Q39" s="509">
        <f>SUM(Q37:Q38)</f>
        <v>219.2</v>
      </c>
      <c r="R39" s="499"/>
      <c r="T39" s="338">
        <f>T37+T38</f>
        <v>219.20000000000005</v>
      </c>
    </row>
    <row r="40" spans="2:20" ht="16.2" thickBot="1"/>
    <row r="41" spans="2:20" ht="31.8" customHeight="1" thickBot="1">
      <c r="B41" s="800" t="s">
        <v>203</v>
      </c>
      <c r="C41" s="434" t="str">
        <f>人事費!A11</f>
        <v>5.李道翔</v>
      </c>
      <c r="D41" s="435"/>
      <c r="E41" s="436" t="s">
        <v>471</v>
      </c>
      <c r="F41" s="436" t="s">
        <v>472</v>
      </c>
      <c r="G41" s="436" t="s">
        <v>473</v>
      </c>
      <c r="H41" s="436" t="s">
        <v>474</v>
      </c>
      <c r="I41" s="436" t="s">
        <v>475</v>
      </c>
      <c r="J41" s="436" t="s">
        <v>476</v>
      </c>
      <c r="K41" s="436" t="s">
        <v>477</v>
      </c>
      <c r="L41" s="436" t="s">
        <v>478</v>
      </c>
      <c r="M41" s="436" t="s">
        <v>479</v>
      </c>
      <c r="N41" s="436" t="s">
        <v>480</v>
      </c>
      <c r="O41" s="436" t="s">
        <v>481</v>
      </c>
      <c r="P41" s="436" t="s">
        <v>482</v>
      </c>
      <c r="Q41" s="435"/>
      <c r="R41" s="437"/>
    </row>
    <row r="42" spans="2:20" ht="23.4" thickTop="1" thickBot="1">
      <c r="B42" s="801"/>
      <c r="C42" s="492" t="s">
        <v>249</v>
      </c>
      <c r="D42" s="5"/>
      <c r="R42" s="439" t="s">
        <v>250</v>
      </c>
    </row>
    <row r="43" spans="2:20">
      <c r="B43" s="801"/>
      <c r="C43" s="808" t="s">
        <v>1053</v>
      </c>
      <c r="D43" s="440" t="s">
        <v>206</v>
      </c>
      <c r="E43" s="493">
        <v>0.5</v>
      </c>
      <c r="F43" s="441"/>
      <c r="G43" s="441"/>
      <c r="H43" s="441"/>
      <c r="I43" s="441"/>
      <c r="J43" s="441"/>
      <c r="K43" s="441"/>
      <c r="L43" s="441"/>
      <c r="M43" s="441"/>
      <c r="N43" s="441"/>
      <c r="O43" s="441"/>
      <c r="P43" s="441"/>
      <c r="Q43" s="446">
        <f>SUM(E43:P43)*40</f>
        <v>20</v>
      </c>
      <c r="R43" s="442">
        <f>Q43+Q44</f>
        <v>520</v>
      </c>
    </row>
    <row r="44" spans="2:20">
      <c r="B44" s="801"/>
      <c r="C44" s="809"/>
      <c r="D44" s="440" t="s">
        <v>207</v>
      </c>
      <c r="E44" s="494">
        <v>100</v>
      </c>
      <c r="F44" s="494">
        <v>30</v>
      </c>
      <c r="G44" s="495">
        <v>30</v>
      </c>
      <c r="H44" s="494">
        <v>30</v>
      </c>
      <c r="I44" s="494">
        <v>30</v>
      </c>
      <c r="J44" s="494">
        <v>30</v>
      </c>
      <c r="K44" s="494">
        <v>30</v>
      </c>
      <c r="L44" s="494">
        <v>30</v>
      </c>
      <c r="M44" s="494">
        <v>30</v>
      </c>
      <c r="N44" s="494">
        <v>30</v>
      </c>
      <c r="O44" s="494">
        <v>30</v>
      </c>
      <c r="P44" s="494">
        <v>100</v>
      </c>
      <c r="Q44" s="443">
        <f>SUM(E44:P44)</f>
        <v>500</v>
      </c>
      <c r="R44" s="445">
        <f>R43/F106</f>
        <v>0.13822243818001451</v>
      </c>
    </row>
    <row r="45" spans="2:20">
      <c r="B45" s="801"/>
      <c r="C45" s="810" t="s">
        <v>230</v>
      </c>
      <c r="D45" s="440" t="s">
        <v>206</v>
      </c>
      <c r="E45" s="441"/>
      <c r="F45" s="493">
        <v>0.25</v>
      </c>
      <c r="G45" s="493">
        <v>0.25</v>
      </c>
      <c r="H45" s="441"/>
      <c r="I45" s="441"/>
      <c r="J45" s="441"/>
      <c r="K45" s="441"/>
      <c r="L45" s="441"/>
      <c r="M45" s="441"/>
      <c r="N45" s="441"/>
      <c r="O45" s="441"/>
      <c r="P45" s="441"/>
      <c r="Q45" s="446">
        <f>SUM(E45:P45)*40</f>
        <v>20</v>
      </c>
      <c r="R45" s="442">
        <f t="shared" ref="R45" si="35">Q45+Q46</f>
        <v>20</v>
      </c>
    </row>
    <row r="46" spans="2:20">
      <c r="B46" s="801"/>
      <c r="C46" s="810"/>
      <c r="D46" s="440" t="s">
        <v>207</v>
      </c>
      <c r="E46" s="443"/>
      <c r="F46" s="443"/>
      <c r="G46" s="443"/>
      <c r="H46" s="443"/>
      <c r="I46" s="443"/>
      <c r="J46" s="443"/>
      <c r="K46" s="443"/>
      <c r="L46" s="443"/>
      <c r="M46" s="443"/>
      <c r="N46" s="443"/>
      <c r="O46" s="443"/>
      <c r="P46" s="443"/>
      <c r="Q46" s="443">
        <f t="shared" ref="Q46" si="36">SUM(E46:P46)</f>
        <v>0</v>
      </c>
      <c r="R46" s="445">
        <f>R45/F106</f>
        <v>5.3162476223082506E-3</v>
      </c>
    </row>
    <row r="47" spans="2:20">
      <c r="B47" s="801"/>
      <c r="C47" s="809" t="s">
        <v>231</v>
      </c>
      <c r="D47" s="440" t="s">
        <v>206</v>
      </c>
      <c r="E47" s="441"/>
      <c r="F47" s="441"/>
      <c r="G47" s="441"/>
      <c r="H47" s="493">
        <v>0.5</v>
      </c>
      <c r="I47" s="441"/>
      <c r="J47" s="441"/>
      <c r="K47" s="441"/>
      <c r="L47" s="441"/>
      <c r="M47" s="441"/>
      <c r="N47" s="441"/>
      <c r="O47" s="441"/>
      <c r="P47" s="441"/>
      <c r="Q47" s="446">
        <f t="shared" ref="Q47" si="37">SUM(F47:P47)*40</f>
        <v>20</v>
      </c>
      <c r="R47" s="442">
        <f t="shared" ref="R47" si="38">Q47+Q48</f>
        <v>20</v>
      </c>
    </row>
    <row r="48" spans="2:20">
      <c r="B48" s="801"/>
      <c r="C48" s="809"/>
      <c r="D48" s="440" t="s">
        <v>207</v>
      </c>
      <c r="E48" s="443"/>
      <c r="F48" s="443"/>
      <c r="G48" s="443"/>
      <c r="H48" s="443"/>
      <c r="I48" s="443"/>
      <c r="J48" s="443"/>
      <c r="K48" s="443"/>
      <c r="L48" s="443"/>
      <c r="M48" s="443"/>
      <c r="N48" s="443"/>
      <c r="O48" s="443"/>
      <c r="P48" s="443"/>
      <c r="Q48" s="443">
        <f t="shared" ref="Q48" si="39">SUM(E48:P48)</f>
        <v>0</v>
      </c>
      <c r="R48" s="445">
        <f>R47/F106</f>
        <v>5.3162476223082506E-3</v>
      </c>
    </row>
    <row r="49" spans="2:20">
      <c r="B49" s="801"/>
      <c r="C49" s="809" t="s">
        <v>232</v>
      </c>
      <c r="D49" s="440" t="s">
        <v>206</v>
      </c>
      <c r="E49" s="493">
        <v>0.25</v>
      </c>
      <c r="F49" s="493"/>
      <c r="G49" s="493">
        <v>0.25</v>
      </c>
      <c r="H49" s="441"/>
      <c r="I49" s="441"/>
      <c r="J49" s="441"/>
      <c r="K49" s="441"/>
      <c r="L49" s="441"/>
      <c r="M49" s="441"/>
      <c r="N49" s="441"/>
      <c r="O49" s="441"/>
      <c r="P49" s="441"/>
      <c r="Q49" s="446">
        <f>SUM(E49:P49)*40</f>
        <v>20</v>
      </c>
      <c r="R49" s="442">
        <f>Q49+Q46</f>
        <v>20</v>
      </c>
    </row>
    <row r="50" spans="2:20">
      <c r="B50" s="801"/>
      <c r="C50" s="809"/>
      <c r="D50" s="440" t="s">
        <v>207</v>
      </c>
      <c r="E50" s="443"/>
      <c r="F50" s="443"/>
      <c r="G50" s="443"/>
      <c r="H50" s="443"/>
      <c r="I50" s="443"/>
      <c r="J50" s="443"/>
      <c r="K50" s="443"/>
      <c r="L50" s="443"/>
      <c r="M50" s="443"/>
      <c r="N50" s="443"/>
      <c r="O50" s="443"/>
      <c r="P50" s="443"/>
      <c r="Q50" s="443">
        <f t="shared" ref="Q50" si="40">SUM(E50:P50)</f>
        <v>0</v>
      </c>
      <c r="R50" s="445">
        <f>R49/F106</f>
        <v>5.3162476223082506E-3</v>
      </c>
    </row>
    <row r="51" spans="2:20">
      <c r="B51" s="801"/>
      <c r="C51" s="809" t="s">
        <v>233</v>
      </c>
      <c r="D51" s="440" t="s">
        <v>206</v>
      </c>
      <c r="E51" s="441"/>
      <c r="F51" s="441"/>
      <c r="G51" s="493">
        <v>0.1</v>
      </c>
      <c r="H51" s="493">
        <v>0.1</v>
      </c>
      <c r="I51" s="493">
        <v>0.1</v>
      </c>
      <c r="J51" s="493">
        <v>0.1</v>
      </c>
      <c r="K51" s="493">
        <v>0.1</v>
      </c>
      <c r="L51" s="441"/>
      <c r="M51" s="441"/>
      <c r="N51" s="441"/>
      <c r="O51" s="441"/>
      <c r="P51" s="441"/>
      <c r="Q51" s="446">
        <f>SUM(E51:P51)*人事費!E10/1000</f>
        <v>20.92</v>
      </c>
      <c r="R51" s="442">
        <f>Q51+Q105</f>
        <v>20.92</v>
      </c>
    </row>
    <row r="52" spans="2:20">
      <c r="B52" s="801"/>
      <c r="C52" s="809"/>
      <c r="D52" s="440" t="s">
        <v>207</v>
      </c>
      <c r="E52" s="443"/>
      <c r="F52" s="443"/>
      <c r="G52" s="443"/>
      <c r="H52" s="443"/>
      <c r="I52" s="443"/>
      <c r="J52" s="443"/>
      <c r="K52" s="443"/>
      <c r="L52" s="443"/>
      <c r="M52" s="443"/>
      <c r="N52" s="443"/>
      <c r="O52" s="443"/>
      <c r="P52" s="443"/>
      <c r="Q52" s="443">
        <f t="shared" ref="Q52" si="41">SUM(E52:P52)</f>
        <v>0</v>
      </c>
      <c r="R52" s="445">
        <f>R51/F106</f>
        <v>5.5607950129344308E-3</v>
      </c>
    </row>
    <row r="53" spans="2:20">
      <c r="B53" s="801"/>
      <c r="C53" s="804" t="s">
        <v>229</v>
      </c>
      <c r="D53" s="440" t="s">
        <v>206</v>
      </c>
      <c r="E53" s="441"/>
      <c r="F53" s="441"/>
      <c r="G53" s="441"/>
      <c r="H53" s="441"/>
      <c r="I53" s="441"/>
      <c r="J53" s="441"/>
      <c r="K53" s="441"/>
      <c r="L53" s="441"/>
      <c r="M53" s="441"/>
      <c r="N53" s="441"/>
      <c r="O53" s="493">
        <v>0.25</v>
      </c>
      <c r="P53" s="493">
        <v>0.25</v>
      </c>
      <c r="Q53" s="446">
        <f>SUM(E53:P53)*人事費!E10/1000</f>
        <v>20.92</v>
      </c>
      <c r="R53" s="442">
        <f t="shared" ref="R53" si="42">Q53+Q54</f>
        <v>20.92</v>
      </c>
    </row>
    <row r="54" spans="2:20">
      <c r="B54" s="801"/>
      <c r="C54" s="804"/>
      <c r="D54" s="440" t="s">
        <v>207</v>
      </c>
      <c r="E54" s="443"/>
      <c r="F54" s="443"/>
      <c r="G54" s="443"/>
      <c r="H54" s="443"/>
      <c r="I54" s="443"/>
      <c r="J54" s="443"/>
      <c r="K54" s="443"/>
      <c r="L54" s="443"/>
      <c r="M54" s="443"/>
      <c r="N54" s="443"/>
      <c r="O54" s="443"/>
      <c r="P54" s="443"/>
      <c r="Q54" s="443">
        <f t="shared" ref="Q54" si="43">SUM(E54:P54)</f>
        <v>0</v>
      </c>
      <c r="R54" s="445">
        <f>R53/F106</f>
        <v>5.5607950129344308E-3</v>
      </c>
    </row>
    <row r="55" spans="2:20" ht="16.2">
      <c r="B55" s="801"/>
      <c r="C55" s="496" t="s">
        <v>201</v>
      </c>
      <c r="E55" s="338">
        <f>E43+E45+E47+E49+E51+E53</f>
        <v>0.75</v>
      </c>
      <c r="F55" s="338">
        <f t="shared" ref="F55:P55" si="44">F43+F45+F47+F49+F51+F53</f>
        <v>0.25</v>
      </c>
      <c r="G55" s="338">
        <f t="shared" si="44"/>
        <v>0.6</v>
      </c>
      <c r="H55" s="338">
        <f t="shared" si="44"/>
        <v>0.6</v>
      </c>
      <c r="I55" s="338">
        <f t="shared" si="44"/>
        <v>0.1</v>
      </c>
      <c r="J55" s="338">
        <f t="shared" si="44"/>
        <v>0.1</v>
      </c>
      <c r="K55" s="338">
        <f>K43+K45+K47+K49+K51+K53</f>
        <v>0.1</v>
      </c>
      <c r="L55" s="338">
        <f t="shared" si="44"/>
        <v>0</v>
      </c>
      <c r="M55" s="338">
        <f t="shared" si="44"/>
        <v>0</v>
      </c>
      <c r="N55" s="338">
        <f t="shared" si="44"/>
        <v>0</v>
      </c>
      <c r="O55" s="338">
        <f t="shared" si="44"/>
        <v>0.25</v>
      </c>
      <c r="P55" s="338">
        <f t="shared" si="44"/>
        <v>0.25</v>
      </c>
      <c r="Q55" s="338">
        <f>SUM(E55:P55)</f>
        <v>3.0000000000000004</v>
      </c>
      <c r="R55" s="449"/>
    </row>
    <row r="56" spans="2:20" ht="16.2">
      <c r="B56" s="801"/>
      <c r="C56" s="496" t="s">
        <v>202</v>
      </c>
      <c r="E56">
        <f>E55*人事費!E10/1000</f>
        <v>31.38</v>
      </c>
      <c r="F56">
        <f t="shared" ref="F56:Q56" si="45">F55*41.84</f>
        <v>10.46</v>
      </c>
      <c r="G56">
        <f t="shared" si="45"/>
        <v>25.104000000000003</v>
      </c>
      <c r="H56">
        <f t="shared" si="45"/>
        <v>25.104000000000003</v>
      </c>
      <c r="I56">
        <f t="shared" si="45"/>
        <v>4.1840000000000002</v>
      </c>
      <c r="J56">
        <f t="shared" si="45"/>
        <v>4.1840000000000002</v>
      </c>
      <c r="K56">
        <f t="shared" si="45"/>
        <v>4.1840000000000002</v>
      </c>
      <c r="L56">
        <f t="shared" si="45"/>
        <v>0</v>
      </c>
      <c r="M56">
        <f t="shared" si="45"/>
        <v>0</v>
      </c>
      <c r="N56">
        <f t="shared" si="45"/>
        <v>0</v>
      </c>
      <c r="O56">
        <f t="shared" si="45"/>
        <v>10.46</v>
      </c>
      <c r="P56">
        <f t="shared" si="45"/>
        <v>10.46</v>
      </c>
      <c r="Q56" s="450">
        <f t="shared" si="45"/>
        <v>125.52000000000002</v>
      </c>
      <c r="R56" s="449"/>
      <c r="S56" t="s">
        <v>484</v>
      </c>
      <c r="T56" s="338">
        <f>SUM(E56:J57)</f>
        <v>350.416</v>
      </c>
    </row>
    <row r="57" spans="2:20" ht="16.2">
      <c r="B57" s="801"/>
      <c r="C57" s="496" t="s">
        <v>204</v>
      </c>
      <c r="E57" s="338">
        <f>E44+E46+E48+E50+E52+E54</f>
        <v>100</v>
      </c>
      <c r="F57" s="338">
        <f>F44+F46+F48+F50+F52+F54</f>
        <v>30</v>
      </c>
      <c r="G57" s="338">
        <f>G44+G46+G48+G50+G52+G54</f>
        <v>30</v>
      </c>
      <c r="H57" s="338">
        <f t="shared" ref="H57:P57" si="46">H44+H46+H48+H50+H52+H54</f>
        <v>30</v>
      </c>
      <c r="I57" s="338">
        <f t="shared" si="46"/>
        <v>30</v>
      </c>
      <c r="J57" s="338">
        <f t="shared" si="46"/>
        <v>30</v>
      </c>
      <c r="K57" s="338">
        <f>K44+K46+K48+K50+K52+K54</f>
        <v>30</v>
      </c>
      <c r="L57" s="338">
        <f t="shared" si="46"/>
        <v>30</v>
      </c>
      <c r="M57" s="338">
        <f t="shared" si="46"/>
        <v>30</v>
      </c>
      <c r="N57" s="338">
        <f t="shared" si="46"/>
        <v>30</v>
      </c>
      <c r="O57" s="338">
        <f t="shared" si="46"/>
        <v>30</v>
      </c>
      <c r="P57" s="338">
        <f t="shared" si="46"/>
        <v>100</v>
      </c>
      <c r="Q57" s="338">
        <f t="shared" ref="Q57" si="47">Q44+Q46+Q48+Q50+Q52+Q54</f>
        <v>500</v>
      </c>
      <c r="R57" s="449"/>
      <c r="S57" t="s">
        <v>485</v>
      </c>
      <c r="T57" s="398">
        <f>SUM(K56:P57)</f>
        <v>275.10399999999998</v>
      </c>
    </row>
    <row r="58" spans="2:20" ht="24" customHeight="1" thickBot="1">
      <c r="B58" s="805"/>
      <c r="C58" s="497" t="s">
        <v>205</v>
      </c>
      <c r="D58" s="451"/>
      <c r="E58" s="451">
        <f>SUM(E56:E57)</f>
        <v>131.38</v>
      </c>
      <c r="F58" s="451">
        <f t="shared" ref="F58" si="48">SUM(F56:F57)</f>
        <v>40.46</v>
      </c>
      <c r="G58" s="451">
        <f t="shared" ref="G58" si="49">SUM(G56:G57)</f>
        <v>55.103999999999999</v>
      </c>
      <c r="H58" s="451">
        <f t="shared" ref="H58" si="50">SUM(H56:H57)</f>
        <v>55.103999999999999</v>
      </c>
      <c r="I58" s="451">
        <f t="shared" ref="I58" si="51">SUM(I56:I57)</f>
        <v>34.183999999999997</v>
      </c>
      <c r="J58" s="451">
        <f t="shared" ref="J58" si="52">SUM(J56:J57)</f>
        <v>34.183999999999997</v>
      </c>
      <c r="K58" s="451">
        <f t="shared" ref="K58" si="53">SUM(K56:K57)</f>
        <v>34.183999999999997</v>
      </c>
      <c r="L58" s="451">
        <f t="shared" ref="L58" si="54">SUM(L56:L57)</f>
        <v>30</v>
      </c>
      <c r="M58" s="451">
        <f t="shared" ref="M58" si="55">SUM(M56:M57)</f>
        <v>30</v>
      </c>
      <c r="N58" s="451">
        <f t="shared" ref="N58" si="56">SUM(N56:N57)</f>
        <v>30</v>
      </c>
      <c r="O58" s="451">
        <f t="shared" ref="O58" si="57">SUM(O56:O57)</f>
        <v>40.46</v>
      </c>
      <c r="P58" s="498" t="s">
        <v>208</v>
      </c>
      <c r="Q58" s="452">
        <f t="shared" ref="Q58" si="58">SUM(Q56:Q57)</f>
        <v>625.52</v>
      </c>
      <c r="R58" s="499"/>
    </row>
    <row r="59" spans="2:20" ht="16.2" thickBot="1"/>
    <row r="60" spans="2:20" ht="31.8" customHeight="1" thickBot="1">
      <c r="B60" s="800" t="s">
        <v>203</v>
      </c>
      <c r="C60" s="434" t="str">
        <f>人事費!A10</f>
        <v>4.林詩妘</v>
      </c>
      <c r="D60" s="435"/>
      <c r="E60" s="436" t="s">
        <v>471</v>
      </c>
      <c r="F60" s="436" t="s">
        <v>472</v>
      </c>
      <c r="G60" s="436" t="s">
        <v>473</v>
      </c>
      <c r="H60" s="436" t="s">
        <v>474</v>
      </c>
      <c r="I60" s="436" t="s">
        <v>475</v>
      </c>
      <c r="J60" s="436" t="s">
        <v>476</v>
      </c>
      <c r="K60" s="436" t="s">
        <v>477</v>
      </c>
      <c r="L60" s="436" t="s">
        <v>478</v>
      </c>
      <c r="M60" s="436" t="s">
        <v>479</v>
      </c>
      <c r="N60" s="436" t="s">
        <v>480</v>
      </c>
      <c r="O60" s="436" t="s">
        <v>481</v>
      </c>
      <c r="P60" s="436" t="s">
        <v>482</v>
      </c>
      <c r="Q60" s="435"/>
      <c r="R60" s="475"/>
    </row>
    <row r="61" spans="2:20" ht="23.4" thickTop="1" thickBot="1">
      <c r="B61" s="801"/>
      <c r="C61" s="476" t="s">
        <v>248</v>
      </c>
      <c r="D61" s="5"/>
      <c r="R61" s="439" t="s">
        <v>250</v>
      </c>
    </row>
    <row r="62" spans="2:20">
      <c r="B62" s="801"/>
      <c r="C62" s="806" t="s">
        <v>234</v>
      </c>
      <c r="D62" s="440" t="s">
        <v>206</v>
      </c>
      <c r="E62" s="477">
        <v>0.25</v>
      </c>
      <c r="F62" s="477">
        <v>0.25</v>
      </c>
      <c r="G62" s="441"/>
      <c r="H62" s="441"/>
      <c r="I62" s="441"/>
      <c r="J62" s="441"/>
      <c r="K62" s="441"/>
      <c r="L62" s="441"/>
      <c r="M62" s="441"/>
      <c r="N62" s="441"/>
      <c r="O62" s="441"/>
      <c r="P62" s="441"/>
      <c r="Q62" s="446">
        <f>SUM(E62:P62)*人事費!E10/1000</f>
        <v>20.92</v>
      </c>
      <c r="R62" s="442">
        <f>Q62+Q63</f>
        <v>20.92</v>
      </c>
    </row>
    <row r="63" spans="2:20">
      <c r="B63" s="801"/>
      <c r="C63" s="807"/>
      <c r="D63" s="440" t="s">
        <v>207</v>
      </c>
      <c r="E63" s="443"/>
      <c r="F63" s="443"/>
      <c r="G63" s="444"/>
      <c r="H63" s="443"/>
      <c r="I63" s="443"/>
      <c r="J63" s="443"/>
      <c r="K63" s="443"/>
      <c r="L63" s="443"/>
      <c r="M63" s="443"/>
      <c r="N63" s="443"/>
      <c r="O63" s="443"/>
      <c r="P63" s="443"/>
      <c r="Q63" s="443">
        <f>SUM(E63:P63)</f>
        <v>0</v>
      </c>
      <c r="R63" s="442">
        <f>Q63+Q64</f>
        <v>20.92</v>
      </c>
    </row>
    <row r="64" spans="2:20">
      <c r="B64" s="801"/>
      <c r="C64" s="807" t="s">
        <v>235</v>
      </c>
      <c r="D64" s="440" t="s">
        <v>206</v>
      </c>
      <c r="E64" s="441"/>
      <c r="F64" s="441"/>
      <c r="G64" s="477">
        <v>0.2</v>
      </c>
      <c r="H64" s="478"/>
      <c r="I64" s="478"/>
      <c r="J64" s="477">
        <v>0.2</v>
      </c>
      <c r="K64" s="441"/>
      <c r="L64" s="441"/>
      <c r="M64" s="441"/>
      <c r="N64" s="441"/>
      <c r="O64" s="441"/>
      <c r="P64" s="479">
        <v>0.1</v>
      </c>
      <c r="Q64" s="446">
        <f>SUM(E64:P64)*人事費!E10/1000</f>
        <v>20.92</v>
      </c>
      <c r="R64" s="442">
        <f t="shared" ref="R64:R65" si="59">Q64+Q65</f>
        <v>170.32</v>
      </c>
    </row>
    <row r="65" spans="1:20">
      <c r="B65" s="801"/>
      <c r="C65" s="807"/>
      <c r="D65" s="440" t="s">
        <v>207</v>
      </c>
      <c r="E65" s="443"/>
      <c r="F65" s="443"/>
      <c r="G65" s="480">
        <f>J65</f>
        <v>49.8</v>
      </c>
      <c r="H65" s="443"/>
      <c r="I65" s="443"/>
      <c r="J65" s="480">
        <f>P65</f>
        <v>49.8</v>
      </c>
      <c r="K65" s="443"/>
      <c r="L65" s="443"/>
      <c r="M65" s="443"/>
      <c r="N65" s="443"/>
      <c r="O65" s="443"/>
      <c r="P65" s="480">
        <f>文字計畫資訊!I730</f>
        <v>49.8</v>
      </c>
      <c r="Q65" s="443">
        <f>SUM(E65:P65)</f>
        <v>149.39999999999998</v>
      </c>
      <c r="R65" s="442">
        <f t="shared" si="59"/>
        <v>170.32</v>
      </c>
    </row>
    <row r="66" spans="1:20">
      <c r="B66" s="801"/>
      <c r="C66" s="807" t="s">
        <v>236</v>
      </c>
      <c r="D66" s="440" t="s">
        <v>206</v>
      </c>
      <c r="E66" s="441"/>
      <c r="F66" s="441"/>
      <c r="G66" s="477">
        <v>0.2</v>
      </c>
      <c r="H66" s="477">
        <v>0.2</v>
      </c>
      <c r="I66" s="477">
        <v>0.1</v>
      </c>
      <c r="J66" s="441"/>
      <c r="K66" s="441"/>
      <c r="L66" s="441"/>
      <c r="M66" s="441"/>
      <c r="N66" s="441"/>
      <c r="O66" s="441"/>
      <c r="P66" s="441"/>
      <c r="Q66" s="446">
        <f>SUM(F66:P66)*人事費!E10/1000</f>
        <v>20.92</v>
      </c>
      <c r="R66" s="442">
        <f t="shared" ref="R66" si="60">Q66+Q67</f>
        <v>176.32</v>
      </c>
    </row>
    <row r="67" spans="1:20">
      <c r="B67" s="801"/>
      <c r="C67" s="807"/>
      <c r="D67" s="440" t="s">
        <v>207</v>
      </c>
      <c r="E67" s="443"/>
      <c r="F67" s="443"/>
      <c r="G67" s="480">
        <v>51.8</v>
      </c>
      <c r="H67" s="480">
        <v>51.8</v>
      </c>
      <c r="I67" s="480">
        <v>51.8</v>
      </c>
      <c r="J67" s="443"/>
      <c r="K67" s="443"/>
      <c r="L67" s="443"/>
      <c r="M67" s="443"/>
      <c r="N67" s="443"/>
      <c r="O67" s="443"/>
      <c r="P67" s="443"/>
      <c r="Q67" s="443">
        <f>SUM(E67:P67)</f>
        <v>155.39999999999998</v>
      </c>
      <c r="R67" s="445">
        <f>R66/F106</f>
        <v>4.6868039038269534E-2</v>
      </c>
    </row>
    <row r="68" spans="1:20" ht="15.6" customHeight="1">
      <c r="B68" s="801"/>
      <c r="C68" s="807" t="s">
        <v>237</v>
      </c>
      <c r="D68" s="440" t="s">
        <v>206</v>
      </c>
      <c r="E68" s="441"/>
      <c r="F68" s="441"/>
      <c r="G68" s="441"/>
      <c r="H68" s="441"/>
      <c r="I68" s="477">
        <v>0.2</v>
      </c>
      <c r="J68" s="441"/>
      <c r="K68" s="477">
        <v>0.1</v>
      </c>
      <c r="L68" s="441"/>
      <c r="M68" s="441"/>
      <c r="N68" s="441"/>
      <c r="O68" s="441"/>
      <c r="P68" s="477">
        <v>0.2</v>
      </c>
      <c r="Q68" s="446">
        <f>SUM(F68:P68)*人事費!E10/1000</f>
        <v>20.92</v>
      </c>
      <c r="R68" s="442">
        <f>Q68+Q65</f>
        <v>170.32</v>
      </c>
    </row>
    <row r="69" spans="1:20">
      <c r="B69" s="801"/>
      <c r="C69" s="807"/>
      <c r="D69" s="440" t="s">
        <v>207</v>
      </c>
      <c r="E69" s="443"/>
      <c r="F69" s="443"/>
      <c r="G69" s="443"/>
      <c r="H69" s="443"/>
      <c r="I69" s="480">
        <f>文字計畫資訊!I763</f>
        <v>63.8</v>
      </c>
      <c r="J69" s="443"/>
      <c r="K69" s="480">
        <f>文字計畫資訊!I763</f>
        <v>63.8</v>
      </c>
      <c r="L69" s="443"/>
      <c r="M69" s="443"/>
      <c r="N69" s="443"/>
      <c r="O69" s="443"/>
      <c r="P69" s="480">
        <f>文字計畫資訊!I763</f>
        <v>63.8</v>
      </c>
      <c r="Q69" s="443">
        <f>SUM(E69:P69)</f>
        <v>191.39999999999998</v>
      </c>
      <c r="R69" s="445">
        <f>R68/F106</f>
        <v>4.5273164751577062E-2</v>
      </c>
    </row>
    <row r="70" spans="1:20">
      <c r="B70" s="801"/>
      <c r="C70" s="807" t="s">
        <v>238</v>
      </c>
      <c r="D70" s="440" t="s">
        <v>206</v>
      </c>
      <c r="E70" s="441"/>
      <c r="F70" s="441"/>
      <c r="G70" s="441"/>
      <c r="H70" s="441"/>
      <c r="I70" s="441"/>
      <c r="J70" s="477">
        <v>0.3</v>
      </c>
      <c r="K70" s="477">
        <v>0.3</v>
      </c>
      <c r="L70" s="477">
        <v>0.4</v>
      </c>
      <c r="M70" s="441"/>
      <c r="N70" s="441"/>
      <c r="O70" s="441"/>
      <c r="P70" s="441"/>
      <c r="Q70" s="446">
        <f t="shared" ref="Q70" si="61">SUM(F70:P70)*40</f>
        <v>40</v>
      </c>
      <c r="R70" s="442">
        <f t="shared" ref="R70" si="62">Q70+Q71</f>
        <v>108</v>
      </c>
    </row>
    <row r="71" spans="1:20">
      <c r="B71" s="801"/>
      <c r="C71" s="807"/>
      <c r="D71" s="440" t="s">
        <v>207</v>
      </c>
      <c r="E71" s="443"/>
      <c r="F71" s="443"/>
      <c r="G71" s="443"/>
      <c r="H71" s="443"/>
      <c r="I71" s="443"/>
      <c r="J71" s="443"/>
      <c r="K71" s="480">
        <v>34</v>
      </c>
      <c r="L71" s="480">
        <v>34</v>
      </c>
      <c r="M71" s="443"/>
      <c r="N71" s="443"/>
      <c r="O71" s="443"/>
      <c r="P71" s="443"/>
      <c r="Q71" s="443">
        <f>SUM(E71:P71)</f>
        <v>68</v>
      </c>
      <c r="R71" s="445">
        <f>R70/F106</f>
        <v>2.8707737160464555E-2</v>
      </c>
    </row>
    <row r="72" spans="1:20">
      <c r="B72" s="801"/>
      <c r="C72" s="815" t="s">
        <v>239</v>
      </c>
      <c r="D72" s="440" t="s">
        <v>206</v>
      </c>
      <c r="E72" s="441"/>
      <c r="F72" s="441"/>
      <c r="G72" s="441"/>
      <c r="H72" s="441"/>
      <c r="I72" s="441"/>
      <c r="J72" s="441"/>
      <c r="K72" s="441"/>
      <c r="L72" s="441"/>
      <c r="M72" s="441"/>
      <c r="N72" s="441"/>
      <c r="O72" s="477">
        <v>0.25</v>
      </c>
      <c r="P72" s="477">
        <v>0.25</v>
      </c>
      <c r="Q72" s="446">
        <f>SUM(F72:P72)*人事費!E10/1000</f>
        <v>20.92</v>
      </c>
      <c r="R72" s="442">
        <f t="shared" ref="R72" si="63">Q72+Q73</f>
        <v>20.92</v>
      </c>
    </row>
    <row r="73" spans="1:20">
      <c r="B73" s="801"/>
      <c r="C73" s="815"/>
      <c r="D73" s="440" t="s">
        <v>207</v>
      </c>
      <c r="E73" s="443"/>
      <c r="F73" s="443"/>
      <c r="G73" s="443"/>
      <c r="H73" s="443"/>
      <c r="I73" s="443"/>
      <c r="J73" s="443"/>
      <c r="K73" s="443"/>
      <c r="L73" s="443"/>
      <c r="M73" s="443"/>
      <c r="N73" s="443"/>
      <c r="O73" s="443"/>
      <c r="P73" s="443"/>
      <c r="Q73" s="443">
        <f t="shared" ref="Q73" si="64">SUM(E73:P73)</f>
        <v>0</v>
      </c>
      <c r="R73" s="445">
        <f>R72/F106</f>
        <v>5.5607950129344308E-3</v>
      </c>
    </row>
    <row r="74" spans="1:20" ht="16.2">
      <c r="B74" s="801"/>
      <c r="C74" s="448" t="s">
        <v>201</v>
      </c>
      <c r="E74" s="338">
        <f>E62+E64+E66+E68+E70+E72</f>
        <v>0.25</v>
      </c>
      <c r="F74" s="338">
        <f t="shared" ref="F74:P74" si="65">F62+F64+F66+F68+F70+F72</f>
        <v>0.25</v>
      </c>
      <c r="G74" s="338">
        <f t="shared" si="65"/>
        <v>0.4</v>
      </c>
      <c r="H74" s="338">
        <f t="shared" si="65"/>
        <v>0.2</v>
      </c>
      <c r="I74" s="338">
        <f t="shared" si="65"/>
        <v>0.30000000000000004</v>
      </c>
      <c r="J74" s="338">
        <f t="shared" si="65"/>
        <v>0.5</v>
      </c>
      <c r="K74" s="338">
        <f t="shared" si="65"/>
        <v>0.4</v>
      </c>
      <c r="L74" s="338">
        <f t="shared" si="65"/>
        <v>0.4</v>
      </c>
      <c r="M74" s="338">
        <f t="shared" si="65"/>
        <v>0</v>
      </c>
      <c r="N74" s="338">
        <f t="shared" si="65"/>
        <v>0</v>
      </c>
      <c r="O74" s="338">
        <f t="shared" si="65"/>
        <v>0.25</v>
      </c>
      <c r="P74" s="338">
        <f t="shared" si="65"/>
        <v>0.55000000000000004</v>
      </c>
      <c r="Q74" s="338">
        <f>SUM(E74:P74)</f>
        <v>3.5</v>
      </c>
      <c r="R74" s="449"/>
    </row>
    <row r="75" spans="1:20" ht="16.2">
      <c r="B75" s="801"/>
      <c r="C75" s="448" t="s">
        <v>202</v>
      </c>
      <c r="E75" s="398">
        <f>E74*人事費!E10/1000</f>
        <v>10.46</v>
      </c>
      <c r="F75" s="398">
        <f>F74*人事費!E10/1000</f>
        <v>10.46</v>
      </c>
      <c r="G75" s="398">
        <f>G74*人事費!E10/1000</f>
        <v>16.736000000000001</v>
      </c>
      <c r="H75" s="398">
        <f>H74*人事費!E10/1000</f>
        <v>8.3680000000000003</v>
      </c>
      <c r="I75" s="398">
        <f>I74*人事費!E10/1000</f>
        <v>12.552000000000001</v>
      </c>
      <c r="J75" s="398">
        <f>J74*人事費!E10/1000</f>
        <v>20.92</v>
      </c>
      <c r="K75" s="398">
        <f>K74*人事費!E10/1000</f>
        <v>16.736000000000001</v>
      </c>
      <c r="L75" s="398">
        <f>L74*人事費!E10/1000</f>
        <v>16.736000000000001</v>
      </c>
      <c r="M75" s="398">
        <f>M74*人事費!B10/1000</f>
        <v>0</v>
      </c>
      <c r="N75" s="398">
        <f>N74*人事費!E10/1000</f>
        <v>0</v>
      </c>
      <c r="O75" s="398">
        <f>O74*人事費!E10/1000</f>
        <v>10.46</v>
      </c>
      <c r="P75" s="398">
        <f>P74*人事費!E10/1000</f>
        <v>23.012000000000004</v>
      </c>
      <c r="Q75" s="450">
        <f>Q74*人事費!E10/1000</f>
        <v>146.44</v>
      </c>
      <c r="R75" s="449"/>
      <c r="S75" t="s">
        <v>484</v>
      </c>
      <c r="T75" s="398">
        <f>SUM(E75:J76)</f>
        <v>398.29599999999999</v>
      </c>
    </row>
    <row r="76" spans="1:20" ht="16.2">
      <c r="B76" s="801"/>
      <c r="C76" s="448" t="s">
        <v>204</v>
      </c>
      <c r="E76" s="338">
        <f>E63+E65+E67+E69+E71+E73</f>
        <v>0</v>
      </c>
      <c r="F76" s="338">
        <f t="shared" ref="F76" si="66">F63+F65+F67+F69+F71+F73</f>
        <v>0</v>
      </c>
      <c r="G76" s="338">
        <f>G63+G65+G67+G69+G71+G73</f>
        <v>101.6</v>
      </c>
      <c r="H76" s="338">
        <f t="shared" ref="H76:P76" si="67">H63+H65+H67+H69+H71+H73</f>
        <v>51.8</v>
      </c>
      <c r="I76" s="338">
        <f t="shared" si="67"/>
        <v>115.6</v>
      </c>
      <c r="J76" s="338">
        <f t="shared" si="67"/>
        <v>49.8</v>
      </c>
      <c r="K76" s="338">
        <f t="shared" si="67"/>
        <v>97.8</v>
      </c>
      <c r="L76" s="338">
        <f t="shared" si="67"/>
        <v>34</v>
      </c>
      <c r="M76" s="338">
        <f t="shared" si="67"/>
        <v>0</v>
      </c>
      <c r="N76" s="338">
        <f t="shared" si="67"/>
        <v>0</v>
      </c>
      <c r="O76" s="338">
        <f t="shared" si="67"/>
        <v>0</v>
      </c>
      <c r="P76" s="338">
        <f t="shared" si="67"/>
        <v>113.6</v>
      </c>
      <c r="Q76" s="338">
        <f>Q63+Q65+Q67+Q69+Q71+Q73</f>
        <v>564.19999999999993</v>
      </c>
      <c r="R76" s="442"/>
      <c r="S76" t="s">
        <v>485</v>
      </c>
      <c r="T76" s="338">
        <f>SUM(K75:P76)</f>
        <v>312.34399999999999</v>
      </c>
    </row>
    <row r="77" spans="1:20" ht="24.6" customHeight="1" thickBot="1">
      <c r="B77" s="805"/>
      <c r="C77" s="481" t="s">
        <v>205</v>
      </c>
      <c r="D77" s="451"/>
      <c r="E77" s="451">
        <f>SUM(E75:E76)</f>
        <v>10.46</v>
      </c>
      <c r="F77" s="451">
        <f t="shared" ref="F77" si="68">SUM(F75:F76)</f>
        <v>10.46</v>
      </c>
      <c r="G77" s="451">
        <f t="shared" ref="G77" si="69">SUM(G75:G76)</f>
        <v>118.336</v>
      </c>
      <c r="H77" s="451">
        <f t="shared" ref="H77" si="70">SUM(H75:H76)</f>
        <v>60.167999999999999</v>
      </c>
      <c r="I77" s="451">
        <f t="shared" ref="I77" si="71">SUM(I75:I76)</f>
        <v>128.15199999999999</v>
      </c>
      <c r="J77" s="451">
        <f t="shared" ref="J77" si="72">SUM(J75:J76)</f>
        <v>70.72</v>
      </c>
      <c r="K77" s="451">
        <f t="shared" ref="K77" si="73">SUM(K75:K76)</f>
        <v>114.536</v>
      </c>
      <c r="L77" s="451">
        <f t="shared" ref="L77" si="74">SUM(L75:L76)</f>
        <v>50.736000000000004</v>
      </c>
      <c r="M77" s="451">
        <f t="shared" ref="M77" si="75">SUM(M75:M76)</f>
        <v>0</v>
      </c>
      <c r="N77" s="451">
        <f t="shared" ref="N77" si="76">SUM(N75:N76)</f>
        <v>0</v>
      </c>
      <c r="O77" s="451">
        <f>SUM(O75:O76)</f>
        <v>10.46</v>
      </c>
      <c r="P77" s="451">
        <f>SUM(P75:P76)</f>
        <v>136.61199999999999</v>
      </c>
      <c r="Q77" s="452">
        <f>SUM(Q75:Q76)</f>
        <v>710.63999999999987</v>
      </c>
      <c r="R77" s="453" t="s">
        <v>208</v>
      </c>
      <c r="T77" s="338">
        <f>T76+T75</f>
        <v>710.64</v>
      </c>
    </row>
    <row r="78" spans="1:20" ht="16.2" thickBot="1"/>
    <row r="79" spans="1:20" ht="31.8" customHeight="1" thickTop="1" thickBot="1">
      <c r="A79" s="474"/>
      <c r="B79" s="812" t="s">
        <v>203</v>
      </c>
      <c r="C79" s="466" t="str">
        <f>人事費!A8</f>
        <v>2.江政隆</v>
      </c>
      <c r="D79" s="467"/>
      <c r="E79" s="468" t="s">
        <v>471</v>
      </c>
      <c r="F79" s="468" t="s">
        <v>472</v>
      </c>
      <c r="G79" s="468" t="s">
        <v>473</v>
      </c>
      <c r="H79" s="468" t="s">
        <v>474</v>
      </c>
      <c r="I79" s="468" t="s">
        <v>475</v>
      </c>
      <c r="J79" s="468" t="s">
        <v>476</v>
      </c>
      <c r="K79" s="468" t="s">
        <v>477</v>
      </c>
      <c r="L79" s="468" t="s">
        <v>478</v>
      </c>
      <c r="M79" s="468" t="s">
        <v>479</v>
      </c>
      <c r="N79" s="468" t="s">
        <v>480</v>
      </c>
      <c r="O79" s="468" t="s">
        <v>481</v>
      </c>
      <c r="P79" s="468" t="s">
        <v>482</v>
      </c>
      <c r="Q79" s="467"/>
      <c r="R79" s="469"/>
    </row>
    <row r="80" spans="1:20" ht="22.8" thickTop="1" thickBot="1">
      <c r="A80" s="474"/>
      <c r="B80" s="813"/>
      <c r="C80" s="438" t="s">
        <v>247</v>
      </c>
      <c r="D80" s="5"/>
      <c r="E80" s="454"/>
      <c r="F80" s="454"/>
      <c r="G80" s="454"/>
      <c r="H80" s="454"/>
      <c r="I80" s="454"/>
      <c r="J80" s="454"/>
      <c r="K80" s="454"/>
      <c r="L80" s="454"/>
      <c r="M80" s="454"/>
      <c r="N80" s="454"/>
      <c r="O80" s="454"/>
      <c r="P80" s="454"/>
      <c r="Q80" s="454"/>
      <c r="R80" s="538" t="s">
        <v>250</v>
      </c>
    </row>
    <row r="81" spans="1:20">
      <c r="A81" s="474"/>
      <c r="B81" s="813"/>
      <c r="C81" s="816" t="s">
        <v>854</v>
      </c>
      <c r="D81" s="440" t="s">
        <v>206</v>
      </c>
      <c r="E81" s="455"/>
      <c r="F81" s="455"/>
      <c r="G81" s="455"/>
      <c r="H81" s="455"/>
      <c r="I81" s="455"/>
      <c r="J81" s="455"/>
      <c r="K81" s="455"/>
      <c r="L81" s="455"/>
      <c r="M81" s="455"/>
      <c r="N81" s="455"/>
      <c r="O81" s="455"/>
      <c r="P81" s="455"/>
      <c r="Q81" s="455">
        <f>SUM(F81:P81)*40</f>
        <v>0</v>
      </c>
      <c r="R81" s="539">
        <f>Q81+Q82</f>
        <v>147.38</v>
      </c>
    </row>
    <row r="82" spans="1:20">
      <c r="A82" s="474"/>
      <c r="B82" s="813"/>
      <c r="C82" s="811"/>
      <c r="D82" s="440" t="s">
        <v>207</v>
      </c>
      <c r="E82" s="456">
        <f>文字計畫資訊!D822/60*12</f>
        <v>76.080000000000013</v>
      </c>
      <c r="F82" s="456"/>
      <c r="G82" s="548">
        <f>文字計畫資訊!I822/60*12</f>
        <v>71.3</v>
      </c>
      <c r="H82" s="456"/>
      <c r="I82" s="456"/>
      <c r="J82" s="456"/>
      <c r="K82" s="456"/>
      <c r="L82" s="456"/>
      <c r="M82" s="456"/>
      <c r="N82" s="456"/>
      <c r="O82" s="456"/>
      <c r="P82" s="456"/>
      <c r="Q82" s="456">
        <f>SUM(E82:P82)</f>
        <v>147.38</v>
      </c>
      <c r="R82" s="540">
        <f>R81/F106</f>
        <v>3.9175428728789499E-2</v>
      </c>
    </row>
    <row r="83" spans="1:20">
      <c r="A83" s="474"/>
      <c r="B83" s="813"/>
      <c r="C83" s="811" t="s">
        <v>241</v>
      </c>
      <c r="D83" s="440" t="s">
        <v>206</v>
      </c>
      <c r="E83" s="457">
        <v>0.4</v>
      </c>
      <c r="F83" s="457">
        <v>0.3</v>
      </c>
      <c r="G83" s="457">
        <v>0.3</v>
      </c>
      <c r="H83" s="455"/>
      <c r="I83" s="455"/>
      <c r="J83" s="455"/>
      <c r="K83" s="455"/>
      <c r="L83" s="455"/>
      <c r="M83" s="455"/>
      <c r="N83" s="455"/>
      <c r="O83" s="455"/>
      <c r="P83" s="455"/>
      <c r="Q83" s="458">
        <f>SUM(E83:P83)*人事費!E8/1000</f>
        <v>46.84</v>
      </c>
      <c r="R83" s="539">
        <f>Q83+Q84</f>
        <v>306.84000000000003</v>
      </c>
    </row>
    <row r="84" spans="1:20">
      <c r="A84" s="474"/>
      <c r="B84" s="813"/>
      <c r="C84" s="811"/>
      <c r="D84" s="440" t="s">
        <v>207</v>
      </c>
      <c r="E84" s="459">
        <v>30</v>
      </c>
      <c r="F84" s="459">
        <v>30</v>
      </c>
      <c r="G84" s="460">
        <v>20</v>
      </c>
      <c r="H84" s="460">
        <v>20</v>
      </c>
      <c r="I84" s="460">
        <v>20</v>
      </c>
      <c r="J84" s="460">
        <v>20</v>
      </c>
      <c r="K84" s="460">
        <v>20</v>
      </c>
      <c r="L84" s="460">
        <v>20</v>
      </c>
      <c r="M84" s="460">
        <v>20</v>
      </c>
      <c r="N84" s="460">
        <v>20</v>
      </c>
      <c r="O84" s="460">
        <v>20</v>
      </c>
      <c r="P84" s="460">
        <v>20</v>
      </c>
      <c r="Q84" s="456">
        <f t="shared" ref="Q84" si="77">SUM(E84:P84)</f>
        <v>260</v>
      </c>
      <c r="R84" s="540">
        <f>R83/F106</f>
        <v>8.1561871021453194E-2</v>
      </c>
    </row>
    <row r="85" spans="1:20">
      <c r="A85" s="474"/>
      <c r="B85" s="813"/>
      <c r="C85" s="811" t="s">
        <v>240</v>
      </c>
      <c r="D85" s="440" t="s">
        <v>206</v>
      </c>
      <c r="E85" s="455"/>
      <c r="F85" s="455"/>
      <c r="G85" s="457">
        <v>0.1</v>
      </c>
      <c r="H85" s="457">
        <v>0.1</v>
      </c>
      <c r="I85" s="457">
        <v>0.1</v>
      </c>
      <c r="J85" s="457">
        <v>0.1</v>
      </c>
      <c r="K85" s="457">
        <v>0.1</v>
      </c>
      <c r="L85" s="457">
        <v>0.1</v>
      </c>
      <c r="M85" s="457">
        <v>0.1</v>
      </c>
      <c r="N85" s="457">
        <v>0.1</v>
      </c>
      <c r="O85" s="457">
        <v>0.1</v>
      </c>
      <c r="P85" s="457">
        <v>0.1</v>
      </c>
      <c r="Q85" s="458">
        <f>SUM(F85:P85)*人事費!E8/1000</f>
        <v>46.839999999999989</v>
      </c>
      <c r="R85" s="539">
        <f>Q85+Q86</f>
        <v>46.839999999999989</v>
      </c>
    </row>
    <row r="86" spans="1:20">
      <c r="A86" s="474"/>
      <c r="B86" s="813"/>
      <c r="C86" s="811"/>
      <c r="D86" s="440" t="s">
        <v>207</v>
      </c>
      <c r="E86" s="456"/>
      <c r="F86" s="456"/>
      <c r="G86" s="456"/>
      <c r="H86" s="456"/>
      <c r="I86" s="456"/>
      <c r="J86" s="456"/>
      <c r="K86" s="456"/>
      <c r="L86" s="456"/>
      <c r="M86" s="456"/>
      <c r="N86" s="456"/>
      <c r="O86" s="456"/>
      <c r="P86" s="456"/>
      <c r="Q86" s="456">
        <f t="shared" ref="Q86" si="78">SUM(E86:P86)</f>
        <v>0</v>
      </c>
      <c r="R86" s="540">
        <f>R85/F106</f>
        <v>1.245065193144592E-2</v>
      </c>
    </row>
    <row r="87" spans="1:20">
      <c r="A87" s="474"/>
      <c r="B87" s="813"/>
      <c r="C87" s="811" t="s">
        <v>242</v>
      </c>
      <c r="D87" s="440" t="s">
        <v>206</v>
      </c>
      <c r="E87" s="455"/>
      <c r="F87" s="455"/>
      <c r="G87" s="455"/>
      <c r="H87" s="455"/>
      <c r="I87" s="455"/>
      <c r="J87" s="455"/>
      <c r="K87" s="455"/>
      <c r="L87" s="455"/>
      <c r="M87" s="455"/>
      <c r="N87" s="455"/>
      <c r="O87" s="461">
        <v>0.5</v>
      </c>
      <c r="P87" s="461">
        <v>0.5</v>
      </c>
      <c r="Q87" s="458">
        <f>SUM(F87:P87)*人事費!E8/1000</f>
        <v>46.84</v>
      </c>
      <c r="R87" s="539">
        <f>Q87+Q88</f>
        <v>46.84</v>
      </c>
    </row>
    <row r="88" spans="1:20">
      <c r="A88" s="474"/>
      <c r="B88" s="813"/>
      <c r="C88" s="811"/>
      <c r="D88" s="440" t="s">
        <v>207</v>
      </c>
      <c r="E88" s="456"/>
      <c r="F88" s="456"/>
      <c r="G88" s="456"/>
      <c r="H88" s="456"/>
      <c r="I88" s="456"/>
      <c r="J88" s="456"/>
      <c r="K88" s="456"/>
      <c r="L88" s="456"/>
      <c r="M88" s="456"/>
      <c r="N88" s="456"/>
      <c r="O88" s="456"/>
      <c r="P88" s="456"/>
      <c r="Q88" s="456">
        <f t="shared" ref="Q88" si="79">SUM(E88:P88)</f>
        <v>0</v>
      </c>
      <c r="R88" s="540">
        <f>R87/F106</f>
        <v>1.2450651931445924E-2</v>
      </c>
    </row>
    <row r="89" spans="1:20" ht="22.2" customHeight="1">
      <c r="A89" s="474"/>
      <c r="B89" s="813"/>
      <c r="D89" s="440" t="s">
        <v>206</v>
      </c>
      <c r="E89" s="455"/>
      <c r="F89" s="455"/>
      <c r="G89" s="455"/>
      <c r="H89" s="455"/>
      <c r="I89" s="455"/>
      <c r="J89" s="455"/>
      <c r="K89" s="455"/>
      <c r="L89" s="455"/>
      <c r="M89" s="455"/>
      <c r="N89" s="455"/>
      <c r="O89" s="455"/>
      <c r="P89" s="455"/>
      <c r="Q89" s="458">
        <f t="shared" ref="Q89" si="80">SUM(F89:P89)*40</f>
        <v>0</v>
      </c>
      <c r="R89" s="470"/>
    </row>
    <row r="90" spans="1:20">
      <c r="A90" s="474"/>
      <c r="B90" s="813"/>
      <c r="D90" s="440" t="s">
        <v>207</v>
      </c>
      <c r="E90" s="456"/>
      <c r="F90" s="456"/>
      <c r="G90" s="456"/>
      <c r="H90" s="456"/>
      <c r="I90" s="456"/>
      <c r="J90" s="456"/>
      <c r="K90" s="456"/>
      <c r="L90" s="456"/>
      <c r="M90" s="456"/>
      <c r="N90" s="456"/>
      <c r="O90" s="456"/>
      <c r="P90" s="456"/>
      <c r="Q90" s="456">
        <f t="shared" ref="Q90" si="81">SUM(E90:P90)</f>
        <v>0</v>
      </c>
      <c r="R90" s="470"/>
    </row>
    <row r="91" spans="1:20">
      <c r="A91" s="474"/>
      <c r="B91" s="813"/>
      <c r="D91" s="440" t="s">
        <v>206</v>
      </c>
      <c r="E91" s="455"/>
      <c r="F91" s="455"/>
      <c r="G91" s="455"/>
      <c r="H91" s="455"/>
      <c r="I91" s="455"/>
      <c r="J91" s="455"/>
      <c r="K91" s="455"/>
      <c r="L91" s="455"/>
      <c r="M91" s="455"/>
      <c r="N91" s="455"/>
      <c r="O91" s="458"/>
      <c r="P91" s="458"/>
      <c r="Q91" s="458">
        <f t="shared" ref="Q91" si="82">SUM(F91:P91)*40</f>
        <v>0</v>
      </c>
      <c r="R91" s="470"/>
    </row>
    <row r="92" spans="1:20">
      <c r="A92" s="474"/>
      <c r="B92" s="813"/>
      <c r="D92" s="440" t="s">
        <v>207</v>
      </c>
      <c r="E92" s="456"/>
      <c r="F92" s="456"/>
      <c r="G92" s="456"/>
      <c r="H92" s="456"/>
      <c r="I92" s="456"/>
      <c r="J92" s="456"/>
      <c r="K92" s="456"/>
      <c r="L92" s="456"/>
      <c r="M92" s="456"/>
      <c r="N92" s="456"/>
      <c r="O92" s="456"/>
      <c r="P92" s="456"/>
      <c r="Q92" s="456">
        <f t="shared" ref="Q92" si="83">SUM(E92:P92)</f>
        <v>0</v>
      </c>
      <c r="R92" s="470"/>
    </row>
    <row r="93" spans="1:20" ht="16.2">
      <c r="A93" s="474"/>
      <c r="B93" s="813"/>
      <c r="C93" s="462" t="s">
        <v>201</v>
      </c>
      <c r="D93" s="454"/>
      <c r="E93" s="463">
        <f t="shared" ref="E93:P93" si="84">E81+E83+E85+E87+E89+E91</f>
        <v>0.4</v>
      </c>
      <c r="F93" s="463">
        <f t="shared" si="84"/>
        <v>0.3</v>
      </c>
      <c r="G93" s="463">
        <f t="shared" si="84"/>
        <v>0.4</v>
      </c>
      <c r="H93" s="463">
        <f t="shared" si="84"/>
        <v>0.1</v>
      </c>
      <c r="I93" s="463">
        <f t="shared" si="84"/>
        <v>0.1</v>
      </c>
      <c r="J93" s="463">
        <f t="shared" si="84"/>
        <v>0.1</v>
      </c>
      <c r="K93" s="463">
        <f t="shared" si="84"/>
        <v>0.1</v>
      </c>
      <c r="L93" s="463">
        <f t="shared" si="84"/>
        <v>0.1</v>
      </c>
      <c r="M93" s="463">
        <f t="shared" si="84"/>
        <v>0.1</v>
      </c>
      <c r="N93" s="463">
        <f t="shared" si="84"/>
        <v>0.1</v>
      </c>
      <c r="O93" s="463">
        <f t="shared" si="84"/>
        <v>0.6</v>
      </c>
      <c r="P93" s="463">
        <f t="shared" si="84"/>
        <v>0.6</v>
      </c>
      <c r="Q93" s="463">
        <f>SUM(E93:P93)</f>
        <v>3.0000000000000009</v>
      </c>
      <c r="R93" s="470"/>
    </row>
    <row r="94" spans="1:20" ht="16.2">
      <c r="A94" s="474"/>
      <c r="B94" s="813"/>
      <c r="C94" s="462" t="s">
        <v>202</v>
      </c>
      <c r="D94" s="454"/>
      <c r="E94" s="454">
        <f t="shared" ref="E94:Q94" si="85">E93*46.84</f>
        <v>18.736000000000001</v>
      </c>
      <c r="F94" s="454">
        <f t="shared" si="85"/>
        <v>14.052000000000001</v>
      </c>
      <c r="G94" s="454">
        <f t="shared" si="85"/>
        <v>18.736000000000001</v>
      </c>
      <c r="H94" s="454">
        <f t="shared" si="85"/>
        <v>4.6840000000000002</v>
      </c>
      <c r="I94" s="454">
        <f t="shared" si="85"/>
        <v>4.6840000000000002</v>
      </c>
      <c r="J94" s="454">
        <f t="shared" si="85"/>
        <v>4.6840000000000002</v>
      </c>
      <c r="K94" s="454">
        <f t="shared" si="85"/>
        <v>4.6840000000000002</v>
      </c>
      <c r="L94" s="454">
        <f t="shared" si="85"/>
        <v>4.6840000000000002</v>
      </c>
      <c r="M94" s="454">
        <f t="shared" si="85"/>
        <v>4.6840000000000002</v>
      </c>
      <c r="N94" s="454">
        <f t="shared" si="85"/>
        <v>4.6840000000000002</v>
      </c>
      <c r="O94" s="454">
        <f t="shared" si="85"/>
        <v>28.104000000000003</v>
      </c>
      <c r="P94" s="454">
        <f t="shared" si="85"/>
        <v>28.104000000000003</v>
      </c>
      <c r="Q94" s="464">
        <f t="shared" si="85"/>
        <v>140.52000000000004</v>
      </c>
      <c r="R94" s="470"/>
      <c r="S94" t="s">
        <v>484</v>
      </c>
      <c r="T94" s="398">
        <f>SUM(E94:J95)</f>
        <v>352.95600000000002</v>
      </c>
    </row>
    <row r="95" spans="1:20" ht="16.2">
      <c r="A95" s="474"/>
      <c r="B95" s="813"/>
      <c r="C95" s="462" t="s">
        <v>204</v>
      </c>
      <c r="D95" s="454"/>
      <c r="E95" s="463">
        <f t="shared" ref="E95:Q95" si="86">E82+E84+E86+E88+E90+E92</f>
        <v>106.08000000000001</v>
      </c>
      <c r="F95" s="463">
        <f t="shared" si="86"/>
        <v>30</v>
      </c>
      <c r="G95" s="463">
        <f t="shared" si="86"/>
        <v>91.3</v>
      </c>
      <c r="H95" s="463">
        <f t="shared" si="86"/>
        <v>20</v>
      </c>
      <c r="I95" s="463">
        <f t="shared" si="86"/>
        <v>20</v>
      </c>
      <c r="J95" s="463">
        <f t="shared" si="86"/>
        <v>20</v>
      </c>
      <c r="K95" s="463">
        <f t="shared" si="86"/>
        <v>20</v>
      </c>
      <c r="L95" s="463">
        <f t="shared" si="86"/>
        <v>20</v>
      </c>
      <c r="M95" s="463">
        <f t="shared" si="86"/>
        <v>20</v>
      </c>
      <c r="N95" s="463">
        <f t="shared" si="86"/>
        <v>20</v>
      </c>
      <c r="O95" s="463">
        <f t="shared" si="86"/>
        <v>20</v>
      </c>
      <c r="P95" s="463">
        <f t="shared" si="86"/>
        <v>20</v>
      </c>
      <c r="Q95" s="463">
        <f t="shared" si="86"/>
        <v>407.38</v>
      </c>
      <c r="R95" s="470"/>
      <c r="S95" t="s">
        <v>485</v>
      </c>
      <c r="T95" s="398">
        <f>SUM(K96:P96)</f>
        <v>194.94400000000002</v>
      </c>
    </row>
    <row r="96" spans="1:20" ht="30.6" thickBot="1">
      <c r="A96" s="474"/>
      <c r="B96" s="814"/>
      <c r="C96" s="465" t="s">
        <v>205</v>
      </c>
      <c r="D96" s="758"/>
      <c r="E96" s="758">
        <f>SUM(E94:E95)</f>
        <v>124.81600000000002</v>
      </c>
      <c r="F96" s="758">
        <f t="shared" ref="F96" si="87">SUM(F94:F95)</f>
        <v>44.052</v>
      </c>
      <c r="G96" s="471">
        <f t="shared" ref="G96" si="88">SUM(G94:G95)</f>
        <v>110.036</v>
      </c>
      <c r="H96" s="471">
        <f t="shared" ref="H96" si="89">SUM(H94:H95)</f>
        <v>24.684000000000001</v>
      </c>
      <c r="I96" s="471">
        <f t="shared" ref="I96" si="90">SUM(I94:I95)</f>
        <v>24.684000000000001</v>
      </c>
      <c r="J96" s="471">
        <f t="shared" ref="J96" si="91">SUM(J94:J95)</f>
        <v>24.684000000000001</v>
      </c>
      <c r="K96" s="471">
        <f t="shared" ref="K96" si="92">SUM(K94:K95)</f>
        <v>24.684000000000001</v>
      </c>
      <c r="L96" s="471">
        <f t="shared" ref="L96" si="93">SUM(L94:L95)</f>
        <v>24.684000000000001</v>
      </c>
      <c r="M96" s="471">
        <f t="shared" ref="M96" si="94">SUM(M94:M95)</f>
        <v>24.684000000000001</v>
      </c>
      <c r="N96" s="471">
        <f t="shared" ref="N96" si="95">SUM(N94:N95)</f>
        <v>24.684000000000001</v>
      </c>
      <c r="O96" s="471">
        <f t="shared" ref="O96:P96" si="96">SUM(O94:O95)</f>
        <v>48.103999999999999</v>
      </c>
      <c r="P96" s="471">
        <f t="shared" si="96"/>
        <v>48.103999999999999</v>
      </c>
      <c r="Q96" s="472">
        <f>SUM(Q94:Q95)</f>
        <v>547.90000000000009</v>
      </c>
      <c r="R96" s="473" t="s">
        <v>208</v>
      </c>
      <c r="T96" s="761">
        <f>T94+T95</f>
        <v>547.90000000000009</v>
      </c>
    </row>
    <row r="97" spans="3:21" ht="16.8" thickTop="1" thickBot="1">
      <c r="P97" s="336"/>
    </row>
    <row r="98" spans="3:21" ht="15.6" customHeight="1" thickBot="1">
      <c r="D98" s="764" t="s">
        <v>1558</v>
      </c>
      <c r="E98" s="752" t="s">
        <v>301</v>
      </c>
      <c r="F98" s="753">
        <f>SUM(F8:O8)</f>
        <v>260</v>
      </c>
      <c r="I98" s="768" t="s">
        <v>1559</v>
      </c>
      <c r="J98" s="769"/>
      <c r="L98" s="768" t="s">
        <v>1561</v>
      </c>
      <c r="M98" s="769"/>
      <c r="P98" s="336"/>
    </row>
    <row r="99" spans="3:21">
      <c r="D99" s="765"/>
      <c r="E99" s="745" t="s">
        <v>853</v>
      </c>
      <c r="F99" s="754">
        <f>SUM(E82+F82+G82)</f>
        <v>147.38</v>
      </c>
      <c r="I99" t="str">
        <f>C4</f>
        <v>A分項計畫  商業資訊中心設置計畫</v>
      </c>
      <c r="J99">
        <f>Q20</f>
        <v>1658.7920000000001</v>
      </c>
      <c r="L99" t="s">
        <v>484</v>
      </c>
      <c r="M99" t="s">
        <v>485</v>
      </c>
    </row>
    <row r="100" spans="3:21">
      <c r="C100" s="335"/>
      <c r="D100" s="765"/>
      <c r="E100" s="746" t="s">
        <v>214</v>
      </c>
      <c r="F100" s="754">
        <f>SUM(E44:P44)</f>
        <v>500</v>
      </c>
      <c r="I100" t="str">
        <f>C23</f>
        <v>B分項計畫 物業安全中心設置</v>
      </c>
      <c r="J100">
        <f>Q39</f>
        <v>219.2</v>
      </c>
      <c r="L100" s="399">
        <f>T18+T37+T56+T75+T94</f>
        <v>2589.0107499999999</v>
      </c>
      <c r="M100" s="338">
        <f>T19+T38+T57+T76+T95</f>
        <v>1173.04125</v>
      </c>
    </row>
    <row r="101" spans="3:21" ht="16.2" thickBot="1">
      <c r="C101" s="335"/>
      <c r="D101" s="765"/>
      <c r="E101" s="747" t="s">
        <v>212</v>
      </c>
      <c r="F101" s="754">
        <f>E6+J6</f>
        <v>1000</v>
      </c>
      <c r="I101" t="str">
        <f>C42</f>
        <v>C分項計畫 資訊、勞務系統開發</v>
      </c>
      <c r="J101">
        <f>Q58</f>
        <v>625.52</v>
      </c>
      <c r="L101" s="339">
        <f>L100/J104*100%</f>
        <v>0.68819111219090001</v>
      </c>
      <c r="M101" s="339">
        <f>M100/J104</f>
        <v>0.31180888780909993</v>
      </c>
    </row>
    <row r="102" spans="3:21">
      <c r="C102" s="335"/>
      <c r="D102" s="765"/>
      <c r="E102" s="748" t="s">
        <v>211</v>
      </c>
      <c r="F102" s="754">
        <f>G65+J65+P65+G67+H67+I67+I69+K69+P69+K71+L71</f>
        <v>564.20000000000005</v>
      </c>
      <c r="I102" t="str">
        <f>C61</f>
        <v>D分項計畫 各分项計畫串接結合及驗證控管</v>
      </c>
      <c r="J102">
        <f>Q77</f>
        <v>710.63999999999987</v>
      </c>
      <c r="Q102" s="770" t="s">
        <v>855</v>
      </c>
      <c r="R102" s="771"/>
      <c r="S102" s="772"/>
      <c r="T102" s="779">
        <f>文字計畫資訊!I823</f>
        <v>736.90000000000009</v>
      </c>
      <c r="U102" s="780"/>
    </row>
    <row r="103" spans="3:21">
      <c r="D103" s="765"/>
      <c r="E103" s="749" t="s">
        <v>210</v>
      </c>
      <c r="F103" s="754">
        <f>SUM(G84:P84)</f>
        <v>200</v>
      </c>
      <c r="I103" t="str">
        <f>C80</f>
        <v>E分項計畫  計畫管考設備採購暨友善勞動制度及產業需求研發</v>
      </c>
      <c r="J103">
        <f>Q96</f>
        <v>547.90000000000009</v>
      </c>
      <c r="Q103" s="773" t="s">
        <v>302</v>
      </c>
      <c r="R103" s="774"/>
      <c r="S103" s="775"/>
      <c r="T103" s="781">
        <f>40000*12/1000</f>
        <v>480</v>
      </c>
      <c r="U103" s="782"/>
    </row>
    <row r="104" spans="3:21" ht="16.2" thickBot="1">
      <c r="D104" s="765"/>
      <c r="E104" s="750" t="s">
        <v>209</v>
      </c>
      <c r="F104" s="754">
        <f>E84+F84</f>
        <v>60</v>
      </c>
      <c r="I104" s="336" t="s">
        <v>1560</v>
      </c>
      <c r="J104" s="398">
        <f>SUM(J99:J103)</f>
        <v>3762.0520000000001</v>
      </c>
      <c r="Q104" s="776" t="s">
        <v>303</v>
      </c>
      <c r="R104" s="777"/>
      <c r="S104" s="778"/>
      <c r="T104" s="783">
        <f>SUM(人事費!E7:E12)*111%*12/1000</f>
        <v>2999.6640000000007</v>
      </c>
      <c r="U104" s="784"/>
    </row>
    <row r="105" spans="3:21">
      <c r="D105" s="765"/>
      <c r="E105" s="751" t="s">
        <v>213</v>
      </c>
      <c r="F105" s="755">
        <f>Q94+Q75+Q56+Q37+Q18</f>
        <v>1030.4720000000002</v>
      </c>
    </row>
    <row r="106" spans="3:21" ht="16.2" thickBot="1">
      <c r="D106" s="766"/>
      <c r="E106" s="756" t="s">
        <v>1557</v>
      </c>
      <c r="F106" s="757">
        <f>SUM(F98:F105)</f>
        <v>3762.0520000000001</v>
      </c>
    </row>
    <row r="107" spans="3:21" ht="25.8" customHeight="1">
      <c r="D107" s="767" t="s">
        <v>1556</v>
      </c>
      <c r="E107" s="767"/>
      <c r="F107">
        <f>F106*40%</f>
        <v>1504.8208000000002</v>
      </c>
    </row>
    <row r="148" spans="11:14">
      <c r="K148" s="336"/>
      <c r="L148" s="336"/>
      <c r="M148" s="336"/>
      <c r="N148" s="433"/>
    </row>
    <row r="149" spans="11:14">
      <c r="L149" s="336"/>
      <c r="N149" s="433"/>
    </row>
    <row r="150" spans="11:14">
      <c r="L150" s="336"/>
      <c r="N150" s="336"/>
    </row>
  </sheetData>
  <mergeCells count="45">
    <mergeCell ref="C83:C84"/>
    <mergeCell ref="C85:C86"/>
    <mergeCell ref="C87:C88"/>
    <mergeCell ref="B79:B96"/>
    <mergeCell ref="C68:C69"/>
    <mergeCell ref="C70:C71"/>
    <mergeCell ref="C72:C73"/>
    <mergeCell ref="B60:B77"/>
    <mergeCell ref="C81:C82"/>
    <mergeCell ref="C62:C63"/>
    <mergeCell ref="C64:C65"/>
    <mergeCell ref="C66:C67"/>
    <mergeCell ref="C43:C44"/>
    <mergeCell ref="C45:C46"/>
    <mergeCell ref="C47:C48"/>
    <mergeCell ref="C49:C50"/>
    <mergeCell ref="C51:C52"/>
    <mergeCell ref="C34:C35"/>
    <mergeCell ref="C5:C6"/>
    <mergeCell ref="C7:C8"/>
    <mergeCell ref="C53:C54"/>
    <mergeCell ref="B41:B58"/>
    <mergeCell ref="T102:U102"/>
    <mergeCell ref="T103:U103"/>
    <mergeCell ref="T104:U104"/>
    <mergeCell ref="B1:R1"/>
    <mergeCell ref="P2:R2"/>
    <mergeCell ref="C9:C10"/>
    <mergeCell ref="C11:C12"/>
    <mergeCell ref="C13:C14"/>
    <mergeCell ref="C15:C16"/>
    <mergeCell ref="B22:B35"/>
    <mergeCell ref="C24:C25"/>
    <mergeCell ref="C26:C27"/>
    <mergeCell ref="C28:C29"/>
    <mergeCell ref="C30:C31"/>
    <mergeCell ref="C32:C33"/>
    <mergeCell ref="B3:B16"/>
    <mergeCell ref="D98:D106"/>
    <mergeCell ref="D107:E107"/>
    <mergeCell ref="I98:J98"/>
    <mergeCell ref="L98:M98"/>
    <mergeCell ref="Q102:S102"/>
    <mergeCell ref="Q103:S103"/>
    <mergeCell ref="Q104:S104"/>
  </mergeCells>
  <phoneticPr fontId="9" type="noConversion"/>
  <conditionalFormatting sqref="I99:J103">
    <cfRule type="dataBar" priority="1">
      <dataBar>
        <cfvo type="min"/>
        <cfvo type="max"/>
        <color rgb="FFFFB628"/>
      </dataBar>
      <extLst>
        <ext xmlns:x14="http://schemas.microsoft.com/office/spreadsheetml/2009/9/main" uri="{B025F937-C7B1-47D3-B67F-A62EFF666E3E}">
          <x14:id>{E31DDCD7-47EA-41C5-8D4C-CBA961D43E38}</x14:id>
        </ext>
      </extLst>
    </cfRule>
  </conditionalFormatting>
  <pageMargins left="0.25" right="0.25" top="0.75" bottom="0.75" header="0.3" footer="0.3"/>
  <pageSetup paperSize="9" scale="34" orientation="portrait" r:id="rId1"/>
  <ignoredErrors>
    <ignoredError sqref="R25 R6 Q27 R71 Q8 Q15" formula="1"/>
  </ignoredErrors>
  <drawing r:id="rId2"/>
  <extLst>
    <ext xmlns:x14="http://schemas.microsoft.com/office/spreadsheetml/2009/9/main" uri="{78C0D931-6437-407d-A8EE-F0AAD7539E65}">
      <x14:conditionalFormattings>
        <x14:conditionalFormatting xmlns:xm="http://schemas.microsoft.com/office/excel/2006/main">
          <x14:cfRule type="dataBar" id="{E31DDCD7-47EA-41C5-8D4C-CBA961D43E38}">
            <x14:dataBar minLength="0" maxLength="100" gradient="0">
              <x14:cfvo type="autoMin"/>
              <x14:cfvo type="autoMax"/>
              <x14:negativeFillColor rgb="FFFF0000"/>
              <x14:axisColor rgb="FF000000"/>
            </x14:dataBar>
          </x14:cfRule>
          <xm:sqref>I99:J103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6DA9-3921-4233-9D56-E995915F9508}">
  <dimension ref="A1:T1162"/>
  <sheetViews>
    <sheetView tabSelected="1" view="pageLayout" topLeftCell="A1120" zoomScale="128" zoomScaleNormal="100" zoomScalePageLayoutView="128" workbookViewId="0">
      <selection activeCell="B942" sqref="B942:I957"/>
    </sheetView>
  </sheetViews>
  <sheetFormatPr defaultRowHeight="16.2"/>
  <cols>
    <col min="1" max="1" width="6.296875" style="6" customWidth="1"/>
    <col min="2" max="2" width="13.59765625" style="6" customWidth="1"/>
    <col min="3" max="3" width="12.59765625" style="6" customWidth="1"/>
    <col min="4" max="4" width="9.3984375" style="6" customWidth="1"/>
    <col min="5" max="5" width="8.3984375" style="6" customWidth="1"/>
    <col min="6" max="6" width="7.19921875" style="6" customWidth="1"/>
    <col min="7" max="7" width="11.09765625" style="6" customWidth="1"/>
    <col min="8" max="8" width="8.796875" style="6" customWidth="1"/>
    <col min="9" max="9" width="10.69921875" style="6" customWidth="1"/>
    <col min="10" max="19" width="0" style="6" hidden="1" customWidth="1"/>
    <col min="20" max="24" width="8.796875" style="6"/>
    <col min="25" max="25" width="8.796875" style="6" customWidth="1"/>
    <col min="26" max="16384" width="8.796875" style="6"/>
  </cols>
  <sheetData>
    <row r="1" spans="2:9" ht="46.8" customHeight="1" thickBot="1"/>
    <row r="2" spans="2:9" ht="29.4" thickTop="1" thickBot="1">
      <c r="B2" s="550"/>
      <c r="F2" s="1138" t="s">
        <v>383</v>
      </c>
      <c r="G2" s="1139"/>
      <c r="H2" s="1140"/>
    </row>
    <row r="3" spans="2:9" ht="33.6" thickTop="1">
      <c r="B3" s="1142" t="s">
        <v>381</v>
      </c>
      <c r="C3" s="1142"/>
      <c r="D3" s="1142"/>
      <c r="E3" s="1142"/>
      <c r="F3" s="1142"/>
      <c r="G3" s="1142"/>
      <c r="H3" s="1142"/>
      <c r="I3" s="1142"/>
    </row>
    <row r="4" spans="2:9" ht="19.8">
      <c r="B4" s="545"/>
    </row>
    <row r="5" spans="2:9" ht="39">
      <c r="B5" s="1141" t="s">
        <v>382</v>
      </c>
      <c r="C5" s="1141"/>
      <c r="D5" s="1141"/>
      <c r="E5" s="1141"/>
      <c r="F5" s="1141"/>
      <c r="G5" s="1141"/>
      <c r="H5" s="1141"/>
      <c r="I5" s="1141"/>
    </row>
    <row r="6" spans="2:9" ht="19.8">
      <c r="B6" s="545"/>
    </row>
    <row r="7" spans="2:9" ht="19.8">
      <c r="B7" s="545"/>
    </row>
    <row r="8" spans="2:9" ht="28.2" customHeight="1">
      <c r="B8" s="1143" t="s">
        <v>872</v>
      </c>
      <c r="C8" s="1143"/>
      <c r="D8" s="1143"/>
      <c r="E8" s="1143"/>
      <c r="F8" s="1143"/>
      <c r="G8" s="1143"/>
      <c r="H8" s="1143"/>
      <c r="I8" s="1143"/>
    </row>
    <row r="9" spans="2:9">
      <c r="B9" s="1143"/>
      <c r="C9" s="1143"/>
      <c r="D9" s="1143"/>
      <c r="E9" s="1143"/>
      <c r="F9" s="1143"/>
      <c r="G9" s="1143"/>
      <c r="H9" s="1143"/>
      <c r="I9" s="1143"/>
    </row>
    <row r="10" spans="2:9">
      <c r="B10" s="1143"/>
      <c r="C10" s="1143"/>
      <c r="D10" s="1143"/>
      <c r="E10" s="1143"/>
      <c r="F10" s="1143"/>
      <c r="G10" s="1143"/>
      <c r="H10" s="1143"/>
      <c r="I10" s="1143"/>
    </row>
    <row r="14" spans="2:9" ht="88.8" customHeight="1"/>
    <row r="15" spans="2:9" ht="24.6">
      <c r="B15" s="1158" t="s">
        <v>873</v>
      </c>
      <c r="C15" s="1158"/>
      <c r="D15" s="1158"/>
      <c r="E15" s="1158"/>
      <c r="F15" s="1158"/>
      <c r="G15" s="1158"/>
      <c r="H15" s="1158"/>
      <c r="I15" s="1158"/>
    </row>
    <row r="16" spans="2:9" ht="19.8">
      <c r="B16" s="545"/>
    </row>
    <row r="17" spans="2:9" ht="19.8">
      <c r="B17" s="545"/>
    </row>
    <row r="18" spans="2:9" ht="19.8">
      <c r="B18" s="545"/>
    </row>
    <row r="19" spans="2:9" ht="58.2" customHeight="1">
      <c r="B19" s="551"/>
    </row>
    <row r="20" spans="2:9" ht="19.8">
      <c r="B20" s="545"/>
    </row>
    <row r="21" spans="2:9" ht="19.8">
      <c r="B21" s="545"/>
    </row>
    <row r="22" spans="2:9" ht="24.6">
      <c r="B22" s="1159" t="s">
        <v>384</v>
      </c>
      <c r="C22" s="1159"/>
      <c r="D22" s="1159"/>
      <c r="E22" s="1159"/>
      <c r="F22" s="1159"/>
      <c r="G22" s="1159"/>
      <c r="H22" s="1159"/>
      <c r="I22" s="1159"/>
    </row>
    <row r="23" spans="2:9" ht="28.2">
      <c r="B23" s="1159" t="s">
        <v>874</v>
      </c>
      <c r="C23" s="1159"/>
      <c r="D23" s="1159"/>
      <c r="E23" s="1159"/>
      <c r="F23" s="1159"/>
      <c r="G23" s="1159"/>
      <c r="H23" s="1159"/>
      <c r="I23" s="1159"/>
    </row>
    <row r="24" spans="2:9" ht="19.8">
      <c r="B24" s="545"/>
    </row>
    <row r="25" spans="2:9" ht="19.8">
      <c r="B25" s="545"/>
    </row>
    <row r="26" spans="2:9" ht="28.2">
      <c r="B26" s="1161" t="s">
        <v>875</v>
      </c>
      <c r="C26" s="1161"/>
      <c r="D26" s="1161"/>
      <c r="E26" s="1161"/>
      <c r="F26" s="1161"/>
      <c r="G26" s="1161"/>
      <c r="H26" s="1161"/>
      <c r="I26" s="1161"/>
    </row>
    <row r="27" spans="2:9" ht="28.2">
      <c r="B27" s="726"/>
      <c r="C27" s="726"/>
      <c r="D27" s="726"/>
      <c r="E27" s="726"/>
      <c r="F27" s="726"/>
      <c r="G27" s="726"/>
      <c r="H27" s="726"/>
      <c r="I27" s="726"/>
    </row>
    <row r="28" spans="2:9" ht="28.2">
      <c r="B28" s="726"/>
      <c r="C28" s="726"/>
      <c r="D28" s="726"/>
      <c r="E28" s="726"/>
      <c r="F28" s="726"/>
      <c r="G28" s="726"/>
      <c r="H28" s="726"/>
      <c r="I28" s="726"/>
    </row>
    <row r="29" spans="2:9" ht="15.6" customHeight="1">
      <c r="D29" s="828" t="s">
        <v>1537</v>
      </c>
      <c r="E29" s="828"/>
      <c r="F29" s="828"/>
    </row>
    <row r="30" spans="2:9" ht="15.6" customHeight="1">
      <c r="D30" s="828"/>
      <c r="E30" s="828"/>
      <c r="F30" s="828"/>
    </row>
    <row r="31" spans="2:9">
      <c r="D31" s="828"/>
      <c r="E31" s="828"/>
      <c r="F31" s="828"/>
    </row>
    <row r="32" spans="2:9">
      <c r="D32" s="828"/>
      <c r="E32" s="828"/>
      <c r="F32" s="828"/>
    </row>
    <row r="33" spans="4:6">
      <c r="D33" s="828"/>
      <c r="E33" s="828"/>
      <c r="F33" s="828"/>
    </row>
    <row r="34" spans="4:6">
      <c r="D34" s="828"/>
      <c r="E34" s="828"/>
      <c r="F34" s="828"/>
    </row>
    <row r="35" spans="4:6">
      <c r="D35" s="828"/>
      <c r="E35" s="828"/>
      <c r="F35" s="828"/>
    </row>
    <row r="36" spans="4:6">
      <c r="D36" s="828"/>
      <c r="E36" s="828"/>
      <c r="F36" s="828"/>
    </row>
    <row r="37" spans="4:6">
      <c r="D37" s="828"/>
      <c r="E37" s="828"/>
      <c r="F37" s="828"/>
    </row>
    <row r="38" spans="4:6">
      <c r="D38" s="828"/>
      <c r="E38" s="828"/>
      <c r="F38" s="828"/>
    </row>
    <row r="39" spans="4:6">
      <c r="D39" s="828"/>
      <c r="E39" s="828"/>
      <c r="F39" s="828"/>
    </row>
    <row r="40" spans="4:6">
      <c r="D40" s="828"/>
      <c r="E40" s="828"/>
      <c r="F40" s="828"/>
    </row>
    <row r="41" spans="4:6">
      <c r="D41" s="828"/>
      <c r="E41" s="828"/>
      <c r="F41" s="828"/>
    </row>
    <row r="42" spans="4:6">
      <c r="D42" s="828"/>
      <c r="E42" s="828"/>
      <c r="F42" s="828"/>
    </row>
    <row r="43" spans="4:6">
      <c r="D43" s="828"/>
      <c r="E43" s="828"/>
      <c r="F43" s="828"/>
    </row>
    <row r="44" spans="4:6">
      <c r="D44" s="828"/>
      <c r="E44" s="828"/>
      <c r="F44" s="828"/>
    </row>
    <row r="45" spans="4:6">
      <c r="D45" s="828"/>
      <c r="E45" s="828"/>
      <c r="F45" s="828"/>
    </row>
    <row r="46" spans="4:6">
      <c r="D46" s="828"/>
      <c r="E46" s="828"/>
      <c r="F46" s="828"/>
    </row>
    <row r="47" spans="4:6">
      <c r="D47" s="828"/>
      <c r="E47" s="828"/>
      <c r="F47" s="828"/>
    </row>
    <row r="48" spans="4:6">
      <c r="D48" s="828"/>
      <c r="E48" s="828"/>
      <c r="F48" s="828"/>
    </row>
    <row r="49" spans="4:6">
      <c r="D49" s="828"/>
      <c r="E49" s="828"/>
      <c r="F49" s="828"/>
    </row>
    <row r="50" spans="4:6">
      <c r="D50" s="828"/>
      <c r="E50" s="828"/>
      <c r="F50" s="828"/>
    </row>
    <row r="51" spans="4:6">
      <c r="D51" s="828"/>
      <c r="E51" s="828"/>
      <c r="F51" s="828"/>
    </row>
    <row r="52" spans="4:6">
      <c r="D52" s="828"/>
      <c r="E52" s="828"/>
      <c r="F52" s="828"/>
    </row>
    <row r="53" spans="4:6">
      <c r="D53" s="828"/>
      <c r="E53" s="828"/>
      <c r="F53" s="828"/>
    </row>
    <row r="54" spans="4:6">
      <c r="D54" s="828"/>
      <c r="E54" s="828"/>
      <c r="F54" s="828"/>
    </row>
    <row r="55" spans="4:6">
      <c r="D55" s="828"/>
      <c r="E55" s="828"/>
      <c r="F55" s="828"/>
    </row>
    <row r="56" spans="4:6">
      <c r="D56" s="828"/>
      <c r="E56" s="828"/>
      <c r="F56" s="828"/>
    </row>
    <row r="57" spans="4:6">
      <c r="D57" s="828"/>
      <c r="E57" s="828"/>
      <c r="F57" s="828"/>
    </row>
    <row r="58" spans="4:6">
      <c r="D58" s="828"/>
      <c r="E58" s="828"/>
      <c r="F58" s="828"/>
    </row>
    <row r="59" spans="4:6">
      <c r="D59" s="828"/>
      <c r="E59" s="828"/>
      <c r="F59" s="828"/>
    </row>
    <row r="60" spans="4:6">
      <c r="D60" s="828"/>
      <c r="E60" s="828"/>
      <c r="F60" s="828"/>
    </row>
    <row r="61" spans="4:6">
      <c r="D61" s="828"/>
      <c r="E61" s="828"/>
      <c r="F61" s="828"/>
    </row>
    <row r="62" spans="4:6">
      <c r="D62" s="828"/>
      <c r="E62" s="828"/>
      <c r="F62" s="828"/>
    </row>
    <row r="63" spans="4:6">
      <c r="D63" s="828"/>
      <c r="E63" s="828"/>
      <c r="F63" s="828"/>
    </row>
    <row r="64" spans="4:6">
      <c r="D64" s="828"/>
      <c r="E64" s="828"/>
      <c r="F64" s="828"/>
    </row>
    <row r="65" spans="1:9">
      <c r="D65" s="828"/>
      <c r="E65" s="828"/>
      <c r="F65" s="828"/>
    </row>
    <row r="66" spans="1:9">
      <c r="D66" s="828"/>
      <c r="E66" s="828"/>
      <c r="F66" s="828"/>
    </row>
    <row r="67" spans="1:9">
      <c r="D67" s="828"/>
      <c r="E67" s="828"/>
      <c r="F67" s="828"/>
    </row>
    <row r="68" spans="1:9">
      <c r="D68" s="828"/>
      <c r="E68" s="828"/>
      <c r="F68" s="828"/>
    </row>
    <row r="69" spans="1:9">
      <c r="D69" s="828"/>
      <c r="E69" s="828"/>
      <c r="F69" s="828"/>
    </row>
    <row r="70" spans="1:9">
      <c r="D70" s="828"/>
      <c r="E70" s="828"/>
      <c r="F70" s="828"/>
    </row>
    <row r="71" spans="1:9">
      <c r="D71" s="828"/>
      <c r="E71" s="828"/>
      <c r="F71" s="828"/>
    </row>
    <row r="72" spans="1:9">
      <c r="D72" s="828"/>
      <c r="E72" s="828"/>
      <c r="F72" s="828"/>
    </row>
    <row r="73" spans="1:9" ht="46.2" customHeight="1">
      <c r="A73" s="1157" t="s">
        <v>1538</v>
      </c>
      <c r="B73" s="1157"/>
    </row>
    <row r="74" spans="1:9">
      <c r="B74" s="383" t="s">
        <v>385</v>
      </c>
    </row>
    <row r="75" spans="1:9" ht="16.2" customHeight="1" thickBot="1">
      <c r="F75" s="1160" t="s">
        <v>386</v>
      </c>
      <c r="G75" s="1160"/>
      <c r="H75" s="1160"/>
      <c r="I75" s="1160"/>
    </row>
    <row r="76" spans="1:9" ht="32.4" customHeight="1" thickBot="1">
      <c r="A76" s="924" t="s">
        <v>387</v>
      </c>
      <c r="B76" s="924"/>
      <c r="C76" s="1156" t="s">
        <v>388</v>
      </c>
      <c r="D76" s="1156"/>
      <c r="E76" s="1156"/>
      <c r="F76" s="1156"/>
      <c r="G76" s="1156"/>
      <c r="H76" s="1156"/>
      <c r="I76" s="1061"/>
    </row>
    <row r="77" spans="1:9" ht="16.2" customHeight="1" thickBot="1">
      <c r="A77" s="924" t="s">
        <v>389</v>
      </c>
      <c r="B77" s="924"/>
      <c r="C77" s="1146" t="s">
        <v>390</v>
      </c>
      <c r="D77" s="1147"/>
      <c r="E77" s="1147"/>
      <c r="F77" s="1144" t="s">
        <v>876</v>
      </c>
      <c r="G77" s="1144"/>
      <c r="H77" s="1144"/>
      <c r="I77" s="1145"/>
    </row>
    <row r="78" spans="1:9" ht="16.2" customHeight="1" thickBot="1">
      <c r="A78" s="924" t="s">
        <v>391</v>
      </c>
      <c r="B78" s="924"/>
      <c r="C78" s="1148" t="s">
        <v>392</v>
      </c>
      <c r="D78" s="1149"/>
      <c r="E78" s="1149"/>
      <c r="F78" s="1144" t="s">
        <v>876</v>
      </c>
      <c r="G78" s="1144"/>
      <c r="H78" s="1144"/>
      <c r="I78" s="1145"/>
    </row>
    <row r="79" spans="1:9" ht="16.8" thickBot="1">
      <c r="A79" s="1090" t="s">
        <v>393</v>
      </c>
      <c r="B79" s="1090"/>
      <c r="C79" s="1102" t="s">
        <v>877</v>
      </c>
      <c r="D79" s="1102"/>
      <c r="E79" s="1102"/>
      <c r="F79" s="1102"/>
      <c r="G79" s="1102"/>
      <c r="H79" s="1102"/>
      <c r="I79" s="1101"/>
    </row>
    <row r="80" spans="1:9" ht="30.6" customHeight="1" thickBot="1">
      <c r="A80" s="924" t="s">
        <v>394</v>
      </c>
      <c r="B80" s="924"/>
      <c r="C80" s="384" t="s">
        <v>57</v>
      </c>
      <c r="D80" s="1100" t="s">
        <v>395</v>
      </c>
      <c r="E80" s="1101"/>
      <c r="F80" s="1100" t="s">
        <v>396</v>
      </c>
      <c r="G80" s="1102"/>
      <c r="H80" s="1101"/>
      <c r="I80" s="384" t="s">
        <v>397</v>
      </c>
    </row>
    <row r="81" spans="1:9" ht="24.6" customHeight="1" thickBot="1">
      <c r="A81" s="924"/>
      <c r="B81" s="924"/>
      <c r="C81" s="385" t="s">
        <v>157</v>
      </c>
      <c r="D81" s="1100" t="s">
        <v>398</v>
      </c>
      <c r="E81" s="1101"/>
      <c r="F81" s="1100" t="s">
        <v>399</v>
      </c>
      <c r="G81" s="1102"/>
      <c r="H81" s="1101"/>
      <c r="I81" s="552" t="s">
        <v>400</v>
      </c>
    </row>
    <row r="82" spans="1:9" ht="30.6" customHeight="1" thickBot="1">
      <c r="A82" s="924" t="s">
        <v>401</v>
      </c>
      <c r="B82" s="924"/>
      <c r="C82" s="386" t="s">
        <v>57</v>
      </c>
      <c r="D82" s="1100" t="s">
        <v>402</v>
      </c>
      <c r="E82" s="1101"/>
      <c r="F82" s="1100" t="s">
        <v>396</v>
      </c>
      <c r="G82" s="1102"/>
      <c r="H82" s="1101"/>
      <c r="I82" s="552">
        <v>907565121</v>
      </c>
    </row>
    <row r="83" spans="1:9" ht="16.8" thickBot="1">
      <c r="A83" s="924"/>
      <c r="B83" s="924"/>
      <c r="C83" s="386" t="s">
        <v>157</v>
      </c>
      <c r="D83" s="1100" t="s">
        <v>489</v>
      </c>
      <c r="E83" s="1101"/>
      <c r="F83" s="1100" t="s">
        <v>399</v>
      </c>
      <c r="G83" s="1102"/>
      <c r="H83" s="1101"/>
      <c r="I83" s="384"/>
    </row>
    <row r="84" spans="1:9">
      <c r="A84" s="924" t="s">
        <v>403</v>
      </c>
      <c r="B84" s="924"/>
      <c r="C84" s="1105" t="s">
        <v>878</v>
      </c>
      <c r="D84" s="1104"/>
      <c r="E84" s="1103" t="s">
        <v>879</v>
      </c>
      <c r="F84" s="1105"/>
      <c r="G84" s="1104"/>
      <c r="H84" s="1103" t="s">
        <v>880</v>
      </c>
      <c r="I84" s="1104"/>
    </row>
    <row r="85" spans="1:9" ht="16.8" thickBot="1">
      <c r="A85" s="924"/>
      <c r="B85" s="924"/>
      <c r="C85" s="1136" t="s">
        <v>7</v>
      </c>
      <c r="D85" s="1117"/>
      <c r="E85" s="1116" t="s">
        <v>8</v>
      </c>
      <c r="F85" s="1136"/>
      <c r="G85" s="1117"/>
      <c r="H85" s="1116" t="s">
        <v>404</v>
      </c>
      <c r="I85" s="1117"/>
    </row>
    <row r="86" spans="1:9" ht="16.8" thickBot="1">
      <c r="A86" s="924" t="s">
        <v>881</v>
      </c>
      <c r="B86" s="924"/>
      <c r="C86" s="1118">
        <f>H86-E86</f>
        <v>1165.0548374999998</v>
      </c>
      <c r="D86" s="1119"/>
      <c r="E86" s="1120">
        <f>H86*0.55</f>
        <v>1423.9559125000001</v>
      </c>
      <c r="F86" s="1121"/>
      <c r="G86" s="1122"/>
      <c r="H86" s="1120">
        <f>計畫架構圖表!L100</f>
        <v>2589.0107499999999</v>
      </c>
      <c r="I86" s="1122"/>
    </row>
    <row r="87" spans="1:9" ht="16.8" thickBot="1">
      <c r="A87" s="924"/>
      <c r="B87" s="924"/>
      <c r="C87" s="1102" t="s">
        <v>882</v>
      </c>
      <c r="D87" s="1101"/>
      <c r="E87" s="1100"/>
      <c r="F87" s="1102"/>
      <c r="G87" s="1101"/>
      <c r="H87" s="1100"/>
      <c r="I87" s="1101"/>
    </row>
    <row r="88" spans="1:9" ht="16.8" thickBot="1">
      <c r="A88" s="924" t="s">
        <v>883</v>
      </c>
      <c r="B88" s="924"/>
      <c r="C88" s="1118">
        <f>H88-E88</f>
        <v>410.56443749999994</v>
      </c>
      <c r="D88" s="1119"/>
      <c r="E88" s="1120">
        <f>H88*65%</f>
        <v>762.47681250000005</v>
      </c>
      <c r="F88" s="1121"/>
      <c r="G88" s="1122"/>
      <c r="H88" s="1120">
        <f>計畫架構圖表!M100</f>
        <v>1173.04125</v>
      </c>
      <c r="I88" s="1122"/>
    </row>
    <row r="89" spans="1:9" ht="16.8" thickBot="1">
      <c r="A89" s="924"/>
      <c r="B89" s="924"/>
      <c r="C89" s="1102" t="s">
        <v>882</v>
      </c>
      <c r="D89" s="1101"/>
      <c r="E89" s="1100"/>
      <c r="F89" s="1102"/>
      <c r="G89" s="1101"/>
      <c r="H89" s="1100"/>
      <c r="I89" s="1101"/>
    </row>
    <row r="90" spans="1:9" ht="16.8" thickBot="1">
      <c r="A90" s="924" t="s">
        <v>405</v>
      </c>
      <c r="B90" s="924"/>
      <c r="C90" s="1102" t="s">
        <v>884</v>
      </c>
      <c r="D90" s="1101"/>
      <c r="E90" s="1100"/>
      <c r="F90" s="1102"/>
      <c r="G90" s="1101"/>
      <c r="H90" s="1100"/>
      <c r="I90" s="1101"/>
    </row>
    <row r="91" spans="1:9" ht="16.8" thickBot="1">
      <c r="A91" s="924"/>
      <c r="B91" s="924"/>
      <c r="C91" s="1102" t="s">
        <v>882</v>
      </c>
      <c r="D91" s="1101"/>
      <c r="E91" s="1100"/>
      <c r="F91" s="1102"/>
      <c r="G91" s="1101"/>
      <c r="H91" s="1100"/>
      <c r="I91" s="1101"/>
    </row>
    <row r="92" spans="1:9" ht="16.8" thickBot="1">
      <c r="A92" s="924" t="s">
        <v>56</v>
      </c>
      <c r="B92" s="924"/>
      <c r="C92" s="1102"/>
      <c r="D92" s="1101"/>
      <c r="E92" s="1100"/>
      <c r="F92" s="1102"/>
      <c r="G92" s="1101"/>
      <c r="H92" s="1100"/>
      <c r="I92" s="1101"/>
    </row>
    <row r="93" spans="1:9">
      <c r="A93" s="924" t="s">
        <v>885</v>
      </c>
      <c r="B93" s="924"/>
      <c r="C93" s="1129">
        <v>0.45</v>
      </c>
      <c r="D93" s="1130"/>
      <c r="E93" s="1133">
        <v>0.55000000000000004</v>
      </c>
      <c r="F93" s="1134"/>
      <c r="G93" s="1130"/>
      <c r="H93" s="1133">
        <v>1</v>
      </c>
      <c r="I93" s="1130"/>
    </row>
    <row r="94" spans="1:9" ht="16.8" thickBot="1">
      <c r="A94" s="924" t="s">
        <v>886</v>
      </c>
      <c r="B94" s="924"/>
      <c r="C94" s="1131"/>
      <c r="D94" s="1132"/>
      <c r="E94" s="1135"/>
      <c r="F94" s="1131"/>
      <c r="G94" s="1132"/>
      <c r="H94" s="1135"/>
      <c r="I94" s="1132"/>
    </row>
    <row r="95" spans="1:9" ht="30.6" customHeight="1" thickBot="1">
      <c r="A95" s="924" t="s">
        <v>406</v>
      </c>
      <c r="B95" s="924"/>
      <c r="C95" s="384" t="s">
        <v>57</v>
      </c>
      <c r="D95" s="1100" t="s">
        <v>887</v>
      </c>
      <c r="E95" s="1101"/>
      <c r="F95" s="1100" t="s">
        <v>396</v>
      </c>
      <c r="G95" s="1102"/>
      <c r="H95" s="1101"/>
      <c r="I95" s="384" t="s">
        <v>397</v>
      </c>
    </row>
    <row r="96" spans="1:9" ht="16.8" thickBot="1">
      <c r="A96" s="1094"/>
      <c r="B96" s="1094"/>
      <c r="C96" s="385" t="s">
        <v>157</v>
      </c>
      <c r="D96" s="1103" t="s">
        <v>407</v>
      </c>
      <c r="E96" s="1104"/>
      <c r="F96" s="1103" t="s">
        <v>399</v>
      </c>
      <c r="G96" s="1105"/>
      <c r="H96" s="1104"/>
      <c r="I96" s="385"/>
    </row>
    <row r="97" spans="1:9" ht="16.2" customHeight="1">
      <c r="A97" s="1095" t="s">
        <v>408</v>
      </c>
      <c r="B97" s="1096"/>
      <c r="C97" s="392"/>
      <c r="D97" s="392"/>
      <c r="E97" s="392"/>
      <c r="F97" s="392"/>
      <c r="G97" s="392"/>
      <c r="H97" s="392"/>
      <c r="I97" s="393"/>
    </row>
    <row r="98" spans="1:9" ht="16.2" customHeight="1">
      <c r="A98" s="553"/>
      <c r="B98" s="831" t="s">
        <v>888</v>
      </c>
      <c r="C98" s="831"/>
      <c r="D98" s="831"/>
      <c r="E98" s="831"/>
      <c r="F98" s="831"/>
      <c r="G98" s="831"/>
      <c r="H98" s="831"/>
      <c r="I98" s="844"/>
    </row>
    <row r="99" spans="1:9" ht="16.2" customHeight="1">
      <c r="A99" s="553"/>
      <c r="B99" s="831" t="s">
        <v>889</v>
      </c>
      <c r="C99" s="831"/>
      <c r="D99" s="831"/>
      <c r="E99" s="831"/>
      <c r="F99" s="831"/>
      <c r="G99" s="831"/>
      <c r="H99" s="831"/>
      <c r="I99" s="844"/>
    </row>
    <row r="100" spans="1:9" ht="16.2" customHeight="1">
      <c r="A100" s="553"/>
      <c r="B100" s="1108" t="s">
        <v>890</v>
      </c>
      <c r="C100" s="1108"/>
      <c r="D100" s="1108"/>
      <c r="E100" s="1108"/>
      <c r="F100" s="1108"/>
      <c r="G100" s="1108"/>
      <c r="H100" s="1108"/>
      <c r="I100" s="1109"/>
    </row>
    <row r="101" spans="1:9" ht="16.2" customHeight="1">
      <c r="A101" s="553"/>
      <c r="B101" s="831" t="s">
        <v>891</v>
      </c>
      <c r="C101" s="831"/>
      <c r="D101" s="831"/>
      <c r="E101" s="831"/>
      <c r="F101" s="831"/>
      <c r="G101" s="831"/>
      <c r="H101" s="831"/>
      <c r="I101" s="844"/>
    </row>
    <row r="102" spans="1:9" ht="64.8" customHeight="1">
      <c r="A102" s="553"/>
      <c r="B102" s="831" t="s">
        <v>409</v>
      </c>
      <c r="C102" s="831"/>
      <c r="D102" s="831"/>
      <c r="E102" s="831"/>
      <c r="F102" s="831"/>
      <c r="G102" s="831"/>
      <c r="H102" s="831"/>
      <c r="I102" s="844"/>
    </row>
    <row r="103" spans="1:9" ht="16.2" customHeight="1">
      <c r="A103" s="1112" t="s">
        <v>410</v>
      </c>
      <c r="B103" s="1113"/>
      <c r="C103" s="389"/>
      <c r="D103" s="389"/>
      <c r="E103" s="389"/>
      <c r="F103" s="389"/>
      <c r="G103" s="389"/>
      <c r="H103" s="389"/>
      <c r="I103" s="394"/>
    </row>
    <row r="104" spans="1:9" ht="16.2" customHeight="1">
      <c r="A104" s="553"/>
      <c r="B104" s="833" t="s">
        <v>892</v>
      </c>
      <c r="C104" s="833"/>
      <c r="D104" s="833"/>
      <c r="E104" s="833"/>
      <c r="F104" s="833"/>
      <c r="G104" s="833"/>
      <c r="H104" s="833"/>
      <c r="I104" s="1097"/>
    </row>
    <row r="105" spans="1:9" ht="16.2" customHeight="1">
      <c r="A105" s="553"/>
      <c r="B105" s="833" t="s">
        <v>893</v>
      </c>
      <c r="C105" s="833"/>
      <c r="D105" s="833"/>
      <c r="E105" s="833"/>
      <c r="F105" s="833"/>
      <c r="G105" s="833"/>
      <c r="H105" s="833"/>
      <c r="I105" s="1097"/>
    </row>
    <row r="106" spans="1:9" ht="32.4" customHeight="1">
      <c r="A106" s="553"/>
      <c r="B106" s="833" t="s">
        <v>894</v>
      </c>
      <c r="C106" s="833"/>
      <c r="D106" s="833"/>
      <c r="E106" s="833"/>
      <c r="F106" s="833"/>
      <c r="G106" s="833"/>
      <c r="H106" s="833"/>
      <c r="I106" s="1097"/>
    </row>
    <row r="107" spans="1:9" ht="16.2" customHeight="1">
      <c r="A107" s="553"/>
      <c r="B107" s="833" t="s">
        <v>411</v>
      </c>
      <c r="C107" s="833"/>
      <c r="D107" s="833"/>
      <c r="E107" s="833"/>
      <c r="F107" s="833"/>
      <c r="G107" s="833"/>
      <c r="H107" s="833"/>
      <c r="I107" s="1097"/>
    </row>
    <row r="108" spans="1:9" ht="144.6" customHeight="1">
      <c r="A108" s="553"/>
      <c r="B108" s="832" t="s">
        <v>895</v>
      </c>
      <c r="C108" s="832"/>
      <c r="D108" s="832"/>
      <c r="E108" s="832"/>
      <c r="F108" s="832"/>
      <c r="G108" s="832"/>
      <c r="H108" s="832"/>
      <c r="I108" s="1010"/>
    </row>
    <row r="109" spans="1:9" ht="16.2" customHeight="1">
      <c r="A109" s="1112" t="s">
        <v>412</v>
      </c>
      <c r="B109" s="1113"/>
      <c r="C109" s="389"/>
      <c r="D109" s="389"/>
      <c r="E109" s="389"/>
      <c r="F109" s="389"/>
      <c r="G109" s="389"/>
      <c r="H109" s="389"/>
      <c r="I109" s="394"/>
    </row>
    <row r="110" spans="1:9" ht="16.2" customHeight="1">
      <c r="A110" s="553"/>
      <c r="B110" s="833" t="s">
        <v>413</v>
      </c>
      <c r="C110" s="833"/>
      <c r="D110" s="833"/>
      <c r="E110" s="833"/>
      <c r="F110" s="833"/>
      <c r="G110" s="833"/>
      <c r="H110" s="833"/>
      <c r="I110" s="1097"/>
    </row>
    <row r="111" spans="1:9" ht="32.4" customHeight="1">
      <c r="A111" s="553"/>
      <c r="B111" s="833" t="s">
        <v>414</v>
      </c>
      <c r="C111" s="833"/>
      <c r="D111" s="833"/>
      <c r="E111" s="833"/>
      <c r="F111" s="833"/>
      <c r="G111" s="833"/>
      <c r="H111" s="833"/>
      <c r="I111" s="1097"/>
    </row>
    <row r="112" spans="1:9" ht="48.6" customHeight="1">
      <c r="A112" s="553"/>
      <c r="B112" s="833" t="s">
        <v>415</v>
      </c>
      <c r="C112" s="833"/>
      <c r="D112" s="833"/>
      <c r="E112" s="833"/>
      <c r="F112" s="833"/>
      <c r="G112" s="833"/>
      <c r="H112" s="833"/>
      <c r="I112" s="1097"/>
    </row>
    <row r="113" spans="1:9" ht="16.2" customHeight="1">
      <c r="A113" s="553"/>
      <c r="B113" s="1098" t="s">
        <v>896</v>
      </c>
      <c r="C113" s="1098"/>
      <c r="D113" s="1098"/>
      <c r="E113" s="1098"/>
      <c r="F113" s="1098"/>
      <c r="G113" s="1098"/>
      <c r="H113" s="1098"/>
      <c r="I113" s="1099"/>
    </row>
    <row r="114" spans="1:9" ht="16.2" customHeight="1">
      <c r="A114" s="1123" t="s">
        <v>416</v>
      </c>
      <c r="B114" s="1110" t="s">
        <v>417</v>
      </c>
      <c r="C114" s="387" t="s">
        <v>418</v>
      </c>
      <c r="D114" s="1111" t="s">
        <v>419</v>
      </c>
      <c r="E114" s="1111"/>
      <c r="F114" s="1127" t="s">
        <v>420</v>
      </c>
      <c r="G114" s="1127"/>
      <c r="H114" s="1091" t="s">
        <v>461</v>
      </c>
      <c r="I114" s="1091"/>
    </row>
    <row r="115" spans="1:9" ht="30">
      <c r="A115" s="1123"/>
      <c r="B115" s="1110"/>
      <c r="C115" s="388" t="s">
        <v>421</v>
      </c>
      <c r="D115" s="1093">
        <f>營運財務規劃預測!E9/1000/12</f>
        <v>243.80035833333332</v>
      </c>
      <c r="E115" s="1093"/>
      <c r="F115" s="1093" t="s">
        <v>462</v>
      </c>
      <c r="G115" s="1093"/>
      <c r="H115" s="1125" t="s">
        <v>463</v>
      </c>
      <c r="I115" s="1125"/>
    </row>
    <row r="116" spans="1:9" ht="30">
      <c r="A116" s="1123"/>
      <c r="B116" s="1110"/>
      <c r="C116" s="388" t="s">
        <v>422</v>
      </c>
      <c r="D116" s="1093">
        <f>營運財務規劃預測!E9/1000/12</f>
        <v>243.80035833333332</v>
      </c>
      <c r="E116" s="1093"/>
      <c r="F116" s="1093">
        <v>20</v>
      </c>
      <c r="G116" s="1093"/>
      <c r="H116" s="1125">
        <v>90</v>
      </c>
      <c r="I116" s="1125"/>
    </row>
    <row r="117" spans="1:9" ht="45">
      <c r="A117" s="1123"/>
      <c r="B117" s="1110"/>
      <c r="C117" s="388" t="s">
        <v>423</v>
      </c>
      <c r="D117" s="1093">
        <f>營運財務規劃預測!E9/1000</f>
        <v>2925.6043</v>
      </c>
      <c r="E117" s="1093"/>
      <c r="F117" s="1093">
        <v>240</v>
      </c>
      <c r="G117" s="1093"/>
      <c r="H117" s="1125">
        <v>1080</v>
      </c>
      <c r="I117" s="1125"/>
    </row>
    <row r="118" spans="1:9">
      <c r="A118" s="1123"/>
      <c r="B118" s="1110"/>
      <c r="C118" s="395" t="s">
        <v>424</v>
      </c>
      <c r="D118" s="1128" t="s">
        <v>425</v>
      </c>
      <c r="E118" s="1128"/>
      <c r="F118" s="1126">
        <v>6.9000000000000006E-2</v>
      </c>
      <c r="G118" s="1126"/>
      <c r="H118" s="1126">
        <v>0.23699999999999999</v>
      </c>
      <c r="I118" s="1126"/>
    </row>
    <row r="119" spans="1:9" ht="23.4" customHeight="1">
      <c r="A119" s="1123"/>
      <c r="B119" s="1107" t="s">
        <v>426</v>
      </c>
      <c r="C119" s="926" t="s">
        <v>427</v>
      </c>
      <c r="D119" s="1124" t="s">
        <v>428</v>
      </c>
      <c r="E119" s="1124"/>
      <c r="F119" s="1124" t="s">
        <v>1539</v>
      </c>
      <c r="G119" s="1124"/>
      <c r="H119" s="1124" t="s">
        <v>430</v>
      </c>
      <c r="I119" s="1124"/>
    </row>
    <row r="120" spans="1:9">
      <c r="A120" s="1123"/>
      <c r="B120" s="1107"/>
      <c r="C120" s="926"/>
      <c r="D120" s="1124"/>
      <c r="E120" s="1124"/>
      <c r="F120" s="1124"/>
      <c r="G120" s="1124"/>
      <c r="H120" s="1124"/>
      <c r="I120" s="1124"/>
    </row>
    <row r="121" spans="1:9" ht="30">
      <c r="A121" s="1123"/>
      <c r="B121" s="1107"/>
      <c r="C121" s="388" t="s">
        <v>431</v>
      </c>
      <c r="D121" s="1106">
        <v>0.02</v>
      </c>
      <c r="E121" s="1106"/>
      <c r="F121" s="1106">
        <v>0.04</v>
      </c>
      <c r="G121" s="1106"/>
      <c r="H121" s="1106">
        <v>0.1</v>
      </c>
      <c r="I121" s="1106"/>
    </row>
    <row r="122" spans="1:9" ht="15.6" customHeight="1">
      <c r="A122" s="1123"/>
      <c r="B122" s="1107"/>
      <c r="C122" s="926" t="s">
        <v>432</v>
      </c>
      <c r="D122" s="1114">
        <f>計畫架構圖表!F106-計畫架構圖表!F99</f>
        <v>3614.672</v>
      </c>
      <c r="E122" s="1114"/>
      <c r="F122" s="1093">
        <v>500</v>
      </c>
      <c r="G122" s="1093"/>
      <c r="H122" s="1093">
        <v>500</v>
      </c>
      <c r="I122" s="1093"/>
    </row>
    <row r="123" spans="1:9" ht="16.2" customHeight="1">
      <c r="A123" s="1123"/>
      <c r="B123" s="1107"/>
      <c r="C123" s="926"/>
      <c r="D123" s="1114"/>
      <c r="E123" s="1114"/>
      <c r="F123" s="1093"/>
      <c r="G123" s="1093"/>
      <c r="H123" s="1093"/>
      <c r="I123" s="1093"/>
    </row>
    <row r="124" spans="1:9" ht="30">
      <c r="A124" s="1123"/>
      <c r="B124" s="1107"/>
      <c r="C124" s="388" t="s">
        <v>433</v>
      </c>
      <c r="D124" s="1115">
        <f>計畫架構圖表!T102</f>
        <v>736.90000000000009</v>
      </c>
      <c r="E124" s="925"/>
      <c r="F124" s="1093">
        <v>500</v>
      </c>
      <c r="G124" s="1093"/>
      <c r="H124" s="1093">
        <v>500</v>
      </c>
      <c r="I124" s="1093"/>
    </row>
    <row r="125" spans="1:9" ht="30">
      <c r="A125" s="1123"/>
      <c r="B125" s="1107"/>
      <c r="C125" s="388" t="s">
        <v>434</v>
      </c>
      <c r="D125" s="925">
        <v>0</v>
      </c>
      <c r="E125" s="925"/>
      <c r="F125" s="1093">
        <v>300</v>
      </c>
      <c r="G125" s="1093"/>
      <c r="H125" s="1093">
        <v>360</v>
      </c>
      <c r="I125" s="1093"/>
    </row>
    <row r="126" spans="1:9" ht="15.6" customHeight="1">
      <c r="A126" s="1123"/>
      <c r="B126" s="1107"/>
      <c r="C126" s="926" t="s">
        <v>435</v>
      </c>
      <c r="D126" s="925" t="s">
        <v>436</v>
      </c>
      <c r="E126" s="925"/>
      <c r="F126" s="925" t="s">
        <v>437</v>
      </c>
      <c r="G126" s="925"/>
      <c r="H126" s="925" t="s">
        <v>438</v>
      </c>
      <c r="I126" s="925"/>
    </row>
    <row r="127" spans="1:9" ht="16.2" customHeight="1">
      <c r="A127" s="1123"/>
      <c r="B127" s="1107"/>
      <c r="C127" s="926"/>
      <c r="D127" s="925"/>
      <c r="E127" s="925"/>
      <c r="F127" s="925"/>
      <c r="G127" s="925"/>
      <c r="H127" s="925"/>
      <c r="I127" s="925"/>
    </row>
    <row r="128" spans="1:9" ht="30">
      <c r="A128" s="924" t="s">
        <v>439</v>
      </c>
      <c r="B128" s="924"/>
      <c r="C128" s="388" t="s">
        <v>440</v>
      </c>
      <c r="D128" s="925">
        <v>2</v>
      </c>
      <c r="E128" s="925"/>
      <c r="F128" s="925"/>
      <c r="G128" s="925"/>
      <c r="H128" s="1091"/>
      <c r="I128" s="1091"/>
    </row>
    <row r="129" spans="1:9" ht="30">
      <c r="A129" s="924"/>
      <c r="B129" s="924"/>
      <c r="C129" s="388" t="s">
        <v>441</v>
      </c>
      <c r="D129" s="1091"/>
      <c r="E129" s="1091"/>
      <c r="F129" s="925"/>
      <c r="G129" s="925"/>
      <c r="H129" s="1091"/>
      <c r="I129" s="1091"/>
    </row>
    <row r="130" spans="1:9" ht="30">
      <c r="A130" s="924"/>
      <c r="B130" s="924"/>
      <c r="C130" s="388" t="s">
        <v>442</v>
      </c>
      <c r="D130" s="925" t="s">
        <v>443</v>
      </c>
      <c r="E130" s="925"/>
      <c r="F130" s="925" t="s">
        <v>443</v>
      </c>
      <c r="G130" s="925"/>
      <c r="H130" s="925" t="s">
        <v>444</v>
      </c>
      <c r="I130" s="925"/>
    </row>
    <row r="131" spans="1:9" ht="30">
      <c r="A131" s="924" t="s">
        <v>445</v>
      </c>
      <c r="B131" s="924"/>
      <c r="C131" s="388" t="s">
        <v>446</v>
      </c>
      <c r="D131" s="925" t="s">
        <v>447</v>
      </c>
      <c r="E131" s="925"/>
      <c r="F131" s="925" t="s">
        <v>448</v>
      </c>
      <c r="G131" s="925"/>
      <c r="H131" s="925" t="s">
        <v>449</v>
      </c>
      <c r="I131" s="925"/>
    </row>
    <row r="132" spans="1:9" ht="30">
      <c r="A132" s="924"/>
      <c r="B132" s="924"/>
      <c r="C132" s="388" t="s">
        <v>450</v>
      </c>
      <c r="D132" s="925">
        <v>1</v>
      </c>
      <c r="E132" s="925"/>
      <c r="F132" s="925">
        <v>1</v>
      </c>
      <c r="G132" s="925"/>
      <c r="H132" s="925">
        <v>1</v>
      </c>
      <c r="I132" s="925"/>
    </row>
    <row r="133" spans="1:9" ht="45">
      <c r="A133" s="924"/>
      <c r="B133" s="924"/>
      <c r="C133" s="388" t="s">
        <v>451</v>
      </c>
      <c r="D133" s="924" t="s">
        <v>452</v>
      </c>
      <c r="E133" s="924"/>
      <c r="F133" s="924" t="s">
        <v>453</v>
      </c>
      <c r="G133" s="924"/>
      <c r="H133" s="924" t="s">
        <v>454</v>
      </c>
      <c r="I133" s="924"/>
    </row>
    <row r="134" spans="1:9" ht="30">
      <c r="A134" s="924" t="s">
        <v>455</v>
      </c>
      <c r="B134" s="924"/>
      <c r="C134" s="388" t="s">
        <v>456</v>
      </c>
      <c r="D134" s="925">
        <v>1</v>
      </c>
      <c r="E134" s="925"/>
      <c r="F134" s="925">
        <v>1</v>
      </c>
      <c r="G134" s="925"/>
      <c r="H134" s="925">
        <v>1</v>
      </c>
      <c r="I134" s="925"/>
    </row>
    <row r="135" spans="1:9" ht="32.4">
      <c r="A135" s="924"/>
      <c r="B135" s="924"/>
      <c r="C135" s="391" t="s">
        <v>457</v>
      </c>
      <c r="D135" s="925">
        <v>1</v>
      </c>
      <c r="E135" s="925"/>
      <c r="F135" s="925">
        <v>1</v>
      </c>
      <c r="G135" s="925"/>
      <c r="H135" s="925">
        <v>2</v>
      </c>
      <c r="I135" s="925"/>
    </row>
    <row r="136" spans="1:9" ht="33.6" customHeight="1">
      <c r="A136" s="1084" t="s">
        <v>458</v>
      </c>
      <c r="B136" s="1085"/>
      <c r="C136" s="957" t="s">
        <v>464</v>
      </c>
      <c r="D136" s="957"/>
      <c r="E136" s="957"/>
      <c r="F136" s="957"/>
      <c r="G136" s="957"/>
      <c r="H136" s="957"/>
      <c r="I136" s="957"/>
    </row>
    <row r="137" spans="1:9" ht="15.6" customHeight="1">
      <c r="A137" s="1086"/>
      <c r="B137" s="1087"/>
      <c r="C137" s="957"/>
      <c r="D137" s="957"/>
      <c r="E137" s="957"/>
      <c r="F137" s="957"/>
      <c r="G137" s="957"/>
      <c r="H137" s="957"/>
      <c r="I137" s="957"/>
    </row>
    <row r="138" spans="1:9" ht="81" customHeight="1">
      <c r="A138" s="1088"/>
      <c r="B138" s="1089"/>
      <c r="C138" s="957"/>
      <c r="D138" s="957"/>
      <c r="E138" s="957"/>
      <c r="F138" s="957"/>
      <c r="G138" s="957"/>
      <c r="H138" s="957"/>
      <c r="I138" s="957"/>
    </row>
    <row r="139" spans="1:9" ht="36" customHeight="1">
      <c r="A139" s="390" t="s">
        <v>459</v>
      </c>
      <c r="B139" s="1090" t="s">
        <v>460</v>
      </c>
      <c r="C139" s="1090"/>
      <c r="D139" s="1090"/>
      <c r="E139" s="1090"/>
      <c r="F139" s="1090"/>
      <c r="G139" s="1090"/>
      <c r="H139" s="1090"/>
      <c r="I139" s="1090"/>
    </row>
    <row r="141" spans="1:9" ht="19.8">
      <c r="A141" s="834" t="s">
        <v>552</v>
      </c>
      <c r="B141" s="1025"/>
      <c r="C141" s="1025"/>
      <c r="D141" s="1025"/>
      <c r="E141" s="1025"/>
      <c r="F141" s="1025"/>
    </row>
    <row r="142" spans="1:9" ht="19.8">
      <c r="A142" s="1152" t="s">
        <v>512</v>
      </c>
      <c r="B142" s="1152"/>
      <c r="C142" s="1152"/>
      <c r="D142" s="1152"/>
    </row>
    <row r="143" spans="1:9">
      <c r="B143" s="383" t="s">
        <v>513</v>
      </c>
    </row>
    <row r="144" spans="1:9">
      <c r="A144" s="383" t="s">
        <v>897</v>
      </c>
      <c r="B144" s="383" t="s">
        <v>897</v>
      </c>
    </row>
    <row r="145" spans="1:8">
      <c r="A145" s="383"/>
      <c r="B145" s="1025" t="s">
        <v>554</v>
      </c>
      <c r="C145" s="1025"/>
      <c r="D145" s="1025"/>
    </row>
    <row r="146" spans="1:8">
      <c r="B146" s="427" t="s">
        <v>553</v>
      </c>
      <c r="C146" s="428"/>
      <c r="D146" s="428"/>
    </row>
    <row r="147" spans="1:8">
      <c r="B147" s="426" t="s">
        <v>555</v>
      </c>
      <c r="C147" s="427"/>
      <c r="D147" s="427"/>
      <c r="E147" s="427"/>
    </row>
    <row r="148" spans="1:8">
      <c r="A148" s="383"/>
    </row>
    <row r="149" spans="1:8" ht="16.8" thickBot="1">
      <c r="A149" s="383"/>
    </row>
    <row r="150" spans="1:8" ht="16.8" customHeight="1" thickBot="1">
      <c r="A150" s="554"/>
      <c r="B150" s="1153" t="s">
        <v>898</v>
      </c>
      <c r="C150" s="1154"/>
      <c r="D150" s="1155"/>
      <c r="E150" s="848" t="s">
        <v>899</v>
      </c>
      <c r="F150" s="848"/>
      <c r="G150" s="849"/>
      <c r="H150" s="707"/>
    </row>
    <row r="151" spans="1:8" ht="65.400000000000006" customHeight="1">
      <c r="B151" s="839" t="s">
        <v>900</v>
      </c>
      <c r="C151" s="1075"/>
      <c r="D151" s="1076"/>
      <c r="E151" s="1078" t="s">
        <v>1540</v>
      </c>
      <c r="F151" s="1079"/>
      <c r="G151" s="1080"/>
      <c r="H151" s="1150">
        <v>0.3</v>
      </c>
    </row>
    <row r="152" spans="1:8" ht="16.8" customHeight="1">
      <c r="B152" s="1077"/>
      <c r="C152" s="851"/>
      <c r="D152" s="852"/>
      <c r="E152" s="1081"/>
      <c r="F152" s="1082"/>
      <c r="G152" s="1083"/>
      <c r="H152" s="1151"/>
    </row>
    <row r="153" spans="1:8" ht="15.6" customHeight="1">
      <c r="B153" s="1073" t="s">
        <v>901</v>
      </c>
      <c r="C153" s="1074"/>
      <c r="D153" s="1074"/>
      <c r="E153" s="1137">
        <v>10000</v>
      </c>
      <c r="F153" s="1137"/>
      <c r="G153" s="1137"/>
      <c r="H153" s="1151">
        <v>1.6500000000000001E-2</v>
      </c>
    </row>
    <row r="154" spans="1:8" ht="30" customHeight="1">
      <c r="B154" s="1073"/>
      <c r="C154" s="1074"/>
      <c r="D154" s="1074"/>
      <c r="E154" s="1137"/>
      <c r="F154" s="1137"/>
      <c r="G154" s="1137"/>
      <c r="H154" s="1151"/>
    </row>
    <row r="155" spans="1:8" ht="49.2" customHeight="1">
      <c r="B155" s="1073" t="s">
        <v>557</v>
      </c>
      <c r="C155" s="1074"/>
      <c r="D155" s="1074"/>
      <c r="E155" s="1137">
        <v>10000</v>
      </c>
      <c r="F155" s="1137"/>
      <c r="G155" s="1137"/>
      <c r="H155" s="740">
        <v>1.6500000000000001E-2</v>
      </c>
    </row>
    <row r="156" spans="1:8" ht="33" customHeight="1" thickBot="1">
      <c r="B156" s="1070" t="s">
        <v>558</v>
      </c>
      <c r="C156" s="1071"/>
      <c r="D156" s="1071"/>
      <c r="E156" s="1170">
        <v>107000</v>
      </c>
      <c r="F156" s="1170"/>
      <c r="G156" s="1170"/>
      <c r="H156" s="741">
        <v>4.4999999999999998E-2</v>
      </c>
    </row>
    <row r="157" spans="1:8" ht="64.2" customHeight="1">
      <c r="B157" s="1072" t="s">
        <v>556</v>
      </c>
      <c r="C157" s="1072"/>
      <c r="D157" s="1072"/>
      <c r="E157" s="1169" t="s">
        <v>1541</v>
      </c>
      <c r="F157" s="1169"/>
      <c r="G157" s="1169"/>
      <c r="H157" s="739">
        <v>0.378</v>
      </c>
    </row>
    <row r="158" spans="1:8" ht="16.2" customHeight="1">
      <c r="B158" s="856" t="s">
        <v>559</v>
      </c>
      <c r="C158" s="857"/>
      <c r="D158" s="858"/>
      <c r="E158" s="1137">
        <v>180000</v>
      </c>
      <c r="F158" s="1137"/>
      <c r="G158" s="1137"/>
      <c r="H158" s="555">
        <v>0.3</v>
      </c>
    </row>
    <row r="159" spans="1:8" ht="16.2" customHeight="1">
      <c r="B159" s="856" t="s">
        <v>560</v>
      </c>
      <c r="C159" s="857"/>
      <c r="D159" s="858"/>
      <c r="E159" s="1137">
        <v>25000</v>
      </c>
      <c r="F159" s="1137"/>
      <c r="G159" s="1137"/>
      <c r="H159" s="555">
        <v>4.2000000000000003E-2</v>
      </c>
    </row>
    <row r="160" spans="1:8" ht="16.2" customHeight="1">
      <c r="B160" s="856" t="s">
        <v>561</v>
      </c>
      <c r="C160" s="857"/>
      <c r="D160" s="858"/>
      <c r="E160" s="1137">
        <v>168000</v>
      </c>
      <c r="F160" s="1137"/>
      <c r="G160" s="1137"/>
      <c r="H160" s="555">
        <v>0.28000000000000003</v>
      </c>
    </row>
    <row r="161" spans="1:9" ht="16.2" customHeight="1">
      <c r="B161" s="856" t="s">
        <v>112</v>
      </c>
      <c r="C161" s="857"/>
      <c r="D161" s="858"/>
      <c r="E161" s="1137">
        <v>600000</v>
      </c>
      <c r="F161" s="1137"/>
      <c r="G161" s="1137"/>
      <c r="H161" s="556">
        <v>1</v>
      </c>
    </row>
    <row r="162" spans="1:9">
      <c r="A162" s="383"/>
    </row>
    <row r="163" spans="1:9">
      <c r="A163" s="1035" t="s">
        <v>902</v>
      </c>
      <c r="B163" s="1035"/>
      <c r="C163" s="1035"/>
    </row>
    <row r="164" spans="1:9" ht="67.8" customHeight="1">
      <c r="B164" s="1168" t="s">
        <v>903</v>
      </c>
      <c r="C164" s="1168"/>
      <c r="D164" s="1168"/>
      <c r="E164" s="1168"/>
      <c r="F164" s="1168"/>
      <c r="G164" s="1168"/>
      <c r="H164" s="1168"/>
      <c r="I164" s="1168"/>
    </row>
    <row r="165" spans="1:9">
      <c r="A165" s="413" t="s">
        <v>386</v>
      </c>
    </row>
    <row r="166" spans="1:9">
      <c r="B166" s="1025" t="s">
        <v>904</v>
      </c>
      <c r="C166" s="1025"/>
      <c r="D166" s="1025"/>
      <c r="E166" s="1025"/>
      <c r="F166" s="1025"/>
      <c r="G166" s="1025"/>
      <c r="H166" s="1025"/>
      <c r="I166" s="1025"/>
    </row>
    <row r="167" spans="1:9" ht="156" customHeight="1">
      <c r="B167" s="998" t="s">
        <v>514</v>
      </c>
      <c r="C167" s="998"/>
      <c r="D167" s="998"/>
      <c r="E167" s="998"/>
      <c r="F167" s="998"/>
      <c r="G167" s="998"/>
      <c r="H167" s="998"/>
      <c r="I167" s="998"/>
    </row>
    <row r="168" spans="1:9" ht="174" customHeight="1">
      <c r="B168" s="831" t="s">
        <v>515</v>
      </c>
      <c r="C168" s="831"/>
      <c r="D168" s="831"/>
      <c r="E168" s="831"/>
      <c r="F168" s="831"/>
      <c r="G168" s="831"/>
      <c r="H168" s="831"/>
      <c r="I168" s="831"/>
    </row>
    <row r="169" spans="1:9" ht="147" customHeight="1">
      <c r="B169" s="831" t="s">
        <v>516</v>
      </c>
      <c r="C169" s="831"/>
      <c r="D169" s="831"/>
      <c r="E169" s="831"/>
      <c r="F169" s="831"/>
      <c r="G169" s="831"/>
      <c r="H169" s="831"/>
      <c r="I169" s="831"/>
    </row>
    <row r="170" spans="1:9" ht="19.8">
      <c r="A170" s="1152" t="s">
        <v>517</v>
      </c>
      <c r="B170" s="1152"/>
      <c r="C170" s="1152"/>
      <c r="D170" s="1152"/>
    </row>
    <row r="171" spans="1:9">
      <c r="A171" s="383" t="s">
        <v>897</v>
      </c>
      <c r="B171" s="383" t="s">
        <v>518</v>
      </c>
    </row>
    <row r="173" spans="1:9">
      <c r="A173" s="383"/>
    </row>
    <row r="174" spans="1:9">
      <c r="A174" s="383"/>
    </row>
    <row r="175" spans="1:9">
      <c r="A175" s="383"/>
    </row>
    <row r="176" spans="1:9" ht="157.19999999999999" customHeight="1" thickBot="1">
      <c r="A176" s="1165" t="s">
        <v>1542</v>
      </c>
      <c r="B176" s="1165"/>
    </row>
    <row r="177" spans="1:9" ht="17.399999999999999" thickTop="1" thickBot="1"/>
    <row r="178" spans="1:9" ht="17.399999999999999" thickTop="1" thickBot="1">
      <c r="B178" s="414" t="s">
        <v>905</v>
      </c>
      <c r="C178" s="417"/>
      <c r="D178" s="418" t="s">
        <v>519</v>
      </c>
      <c r="E178" s="417"/>
      <c r="F178" s="418" t="s">
        <v>520</v>
      </c>
      <c r="G178" s="417"/>
      <c r="H178" s="418" t="s">
        <v>521</v>
      </c>
      <c r="I178" s="417"/>
    </row>
    <row r="179" spans="1:9" ht="18.600000000000001" customHeight="1" thickBot="1">
      <c r="B179" s="1060" t="s">
        <v>523</v>
      </c>
      <c r="C179" s="1061"/>
      <c r="D179" s="416" t="s">
        <v>524</v>
      </c>
      <c r="E179" s="416" t="s">
        <v>525</v>
      </c>
      <c r="F179" s="416" t="s">
        <v>524</v>
      </c>
      <c r="G179" s="416" t="s">
        <v>525</v>
      </c>
      <c r="H179" s="416" t="s">
        <v>524</v>
      </c>
      <c r="I179" s="416" t="s">
        <v>525</v>
      </c>
    </row>
    <row r="180" spans="1:9" ht="16.8" thickBot="1">
      <c r="B180" s="1062" t="s">
        <v>526</v>
      </c>
      <c r="C180" s="384" t="s">
        <v>527</v>
      </c>
      <c r="D180" s="1064" t="s">
        <v>906</v>
      </c>
      <c r="E180" s="1061"/>
      <c r="F180" s="416">
        <v>1</v>
      </c>
      <c r="G180" s="416"/>
      <c r="H180" s="416"/>
      <c r="I180" s="416"/>
    </row>
    <row r="181" spans="1:9" ht="16.8" thickBot="1">
      <c r="B181" s="1063"/>
      <c r="C181" s="384" t="s">
        <v>528</v>
      </c>
      <c r="D181" s="416"/>
      <c r="E181" s="416"/>
      <c r="F181" s="416"/>
      <c r="G181" s="416">
        <v>2</v>
      </c>
      <c r="H181" s="416"/>
      <c r="I181" s="416"/>
    </row>
    <row r="182" spans="1:9" ht="16.8" thickBot="1">
      <c r="B182" s="1065" t="s">
        <v>529</v>
      </c>
      <c r="C182" s="384" t="s">
        <v>530</v>
      </c>
      <c r="D182" s="416"/>
      <c r="E182" s="416"/>
      <c r="F182" s="416"/>
      <c r="G182" s="416"/>
      <c r="H182" s="416"/>
      <c r="I182" s="416"/>
    </row>
    <row r="183" spans="1:9" ht="16.8" thickBot="1">
      <c r="B183" s="1066"/>
      <c r="C183" s="384" t="s">
        <v>531</v>
      </c>
      <c r="D183" s="416"/>
      <c r="E183" s="416"/>
      <c r="F183" s="416"/>
      <c r="G183" s="416"/>
      <c r="H183" s="416"/>
      <c r="I183" s="416"/>
    </row>
    <row r="184" spans="1:9" ht="16.8" thickBot="1">
      <c r="B184" s="1067"/>
      <c r="C184" s="384" t="s">
        <v>532</v>
      </c>
      <c r="D184" s="416"/>
      <c r="E184" s="416"/>
      <c r="F184" s="416"/>
      <c r="G184" s="416"/>
      <c r="H184" s="416"/>
      <c r="I184" s="416"/>
    </row>
    <row r="185" spans="1:9" ht="16.8" thickBot="1">
      <c r="A185" s="396"/>
      <c r="B185" s="1162" t="s">
        <v>544</v>
      </c>
      <c r="C185" s="1163"/>
      <c r="D185" s="424"/>
      <c r="E185" s="424"/>
      <c r="F185" s="424">
        <v>1</v>
      </c>
      <c r="G185" s="424">
        <v>2</v>
      </c>
      <c r="H185" s="424">
        <v>1</v>
      </c>
      <c r="I185" s="424"/>
    </row>
    <row r="186" spans="1:9" ht="17.399999999999999" thickTop="1" thickBot="1">
      <c r="A186" s="396"/>
    </row>
    <row r="187" spans="1:9" ht="17.399999999999999" thickTop="1" thickBot="1">
      <c r="A187" s="396"/>
      <c r="D187" s="1166" t="s">
        <v>166</v>
      </c>
      <c r="E187" s="1167"/>
      <c r="F187" s="1166" t="s">
        <v>64</v>
      </c>
      <c r="G187" s="1167"/>
      <c r="H187" s="415" t="s">
        <v>522</v>
      </c>
    </row>
    <row r="188" spans="1:9" ht="16.8" thickBot="1">
      <c r="A188" s="396"/>
      <c r="D188" s="416" t="s">
        <v>524</v>
      </c>
      <c r="E188" s="416" t="s">
        <v>525</v>
      </c>
      <c r="F188" s="416" t="s">
        <v>524</v>
      </c>
      <c r="G188" s="416" t="s">
        <v>525</v>
      </c>
      <c r="H188" s="557"/>
    </row>
    <row r="189" spans="1:9" ht="16.8" thickBot="1">
      <c r="A189" s="396"/>
      <c r="D189" s="416"/>
      <c r="E189" s="416">
        <v>1</v>
      </c>
      <c r="F189" s="416">
        <v>1</v>
      </c>
      <c r="G189" s="416">
        <v>1</v>
      </c>
      <c r="H189" s="558">
        <v>8.3000000000000004E-2</v>
      </c>
    </row>
    <row r="190" spans="1:9" ht="19.8" customHeight="1" thickBot="1">
      <c r="D190" s="416">
        <v>1</v>
      </c>
      <c r="E190" s="416"/>
      <c r="F190" s="416">
        <v>1</v>
      </c>
      <c r="G190" s="416">
        <v>2</v>
      </c>
      <c r="H190" s="558">
        <v>0.125</v>
      </c>
    </row>
    <row r="191" spans="1:9" ht="16.8" thickBot="1">
      <c r="D191" s="416"/>
      <c r="E191" s="416"/>
      <c r="F191" s="416">
        <v>1</v>
      </c>
      <c r="G191" s="416"/>
      <c r="H191" s="558">
        <v>4.2000000000000003E-2</v>
      </c>
    </row>
    <row r="192" spans="1:9" ht="16.8" thickBot="1">
      <c r="D192" s="416"/>
      <c r="E192" s="416"/>
      <c r="F192" s="416"/>
      <c r="G192" s="416"/>
      <c r="H192" s="559">
        <v>0</v>
      </c>
    </row>
    <row r="193" spans="1:8" ht="16.8" thickBot="1">
      <c r="A193" s="542"/>
      <c r="C193" s="396"/>
      <c r="D193" s="416">
        <v>8</v>
      </c>
      <c r="E193" s="416">
        <v>10</v>
      </c>
      <c r="F193" s="416">
        <v>8</v>
      </c>
      <c r="G193" s="416">
        <v>10</v>
      </c>
      <c r="H193" s="558">
        <v>0.78249999999999997</v>
      </c>
    </row>
    <row r="194" spans="1:8" ht="46.8" customHeight="1" thickBot="1">
      <c r="A194" s="542"/>
      <c r="D194" s="424">
        <v>9</v>
      </c>
      <c r="E194" s="424">
        <v>11</v>
      </c>
      <c r="F194" s="424">
        <v>11</v>
      </c>
      <c r="G194" s="424">
        <v>13</v>
      </c>
      <c r="H194" s="560">
        <v>1</v>
      </c>
    </row>
    <row r="195" spans="1:8" ht="133.19999999999999" customHeight="1" thickTop="1">
      <c r="A195" s="420"/>
    </row>
    <row r="196" spans="1:8" ht="28.8" customHeight="1">
      <c r="A196" s="420"/>
      <c r="B196" s="1025" t="s">
        <v>562</v>
      </c>
      <c r="C196" s="1025"/>
      <c r="D196" s="1025"/>
    </row>
    <row r="197" spans="1:8">
      <c r="A197" s="542"/>
      <c r="B197" s="1049" t="s">
        <v>907</v>
      </c>
      <c r="C197" s="1049"/>
      <c r="D197" s="1049"/>
    </row>
    <row r="198" spans="1:8">
      <c r="A198" s="420"/>
    </row>
    <row r="199" spans="1:8">
      <c r="A199" s="420"/>
    </row>
    <row r="200" spans="1:8">
      <c r="A200" s="420"/>
    </row>
    <row r="201" spans="1:8">
      <c r="A201" s="420"/>
    </row>
    <row r="202" spans="1:8">
      <c r="A202" s="420"/>
    </row>
    <row r="203" spans="1:8">
      <c r="A203" s="383"/>
    </row>
    <row r="204" spans="1:8">
      <c r="A204" s="383"/>
    </row>
    <row r="205" spans="1:8">
      <c r="A205" s="383"/>
    </row>
    <row r="206" spans="1:8">
      <c r="A206" s="383"/>
    </row>
    <row r="207" spans="1:8">
      <c r="A207" s="383"/>
    </row>
    <row r="208" spans="1:8">
      <c r="A208" s="383"/>
    </row>
    <row r="209" spans="1:9">
      <c r="A209" s="383"/>
    </row>
    <row r="210" spans="1:9">
      <c r="A210" s="383"/>
    </row>
    <row r="211" spans="1:9">
      <c r="A211" s="383"/>
    </row>
    <row r="212" spans="1:9">
      <c r="A212" s="383"/>
    </row>
    <row r="213" spans="1:9">
      <c r="A213" s="383"/>
    </row>
    <row r="214" spans="1:9">
      <c r="A214" s="383"/>
    </row>
    <row r="215" spans="1:9">
      <c r="A215" s="383"/>
    </row>
    <row r="216" spans="1:9" ht="16.8" thickBot="1">
      <c r="A216" s="383"/>
      <c r="B216" s="6" t="s">
        <v>563</v>
      </c>
    </row>
    <row r="217" spans="1:9" ht="17.399999999999999" thickTop="1" thickBot="1">
      <c r="A217" s="383"/>
      <c r="B217" s="421" t="s">
        <v>533</v>
      </c>
      <c r="C217" s="417" t="s">
        <v>534</v>
      </c>
      <c r="D217" s="417" t="s">
        <v>535</v>
      </c>
      <c r="E217" s="417" t="s">
        <v>536</v>
      </c>
      <c r="F217" s="417" t="s">
        <v>537</v>
      </c>
      <c r="G217" s="417" t="s">
        <v>538</v>
      </c>
      <c r="H217" s="417" t="s">
        <v>539</v>
      </c>
      <c r="I217" s="415" t="s">
        <v>522</v>
      </c>
    </row>
    <row r="218" spans="1:9" ht="16.8" thickBot="1">
      <c r="A218" s="383"/>
      <c r="B218" s="419" t="s">
        <v>540</v>
      </c>
      <c r="C218" s="416"/>
      <c r="D218" s="416"/>
      <c r="E218" s="416">
        <v>1</v>
      </c>
      <c r="F218" s="416"/>
      <c r="G218" s="416"/>
      <c r="H218" s="416">
        <v>1</v>
      </c>
      <c r="I218" s="422">
        <v>0.2</v>
      </c>
    </row>
    <row r="219" spans="1:9" ht="16.8" thickBot="1">
      <c r="A219" s="383"/>
      <c r="B219" s="419" t="s">
        <v>541</v>
      </c>
      <c r="C219" s="416"/>
      <c r="D219" s="416"/>
      <c r="E219" s="416"/>
      <c r="F219" s="416"/>
      <c r="G219" s="416">
        <v>1</v>
      </c>
      <c r="H219" s="416">
        <v>1</v>
      </c>
      <c r="I219" s="422">
        <v>0.2</v>
      </c>
    </row>
    <row r="220" spans="1:9" ht="16.8" thickBot="1">
      <c r="A220" s="383"/>
      <c r="B220" s="419" t="s">
        <v>542</v>
      </c>
      <c r="C220" s="416"/>
      <c r="D220" s="416"/>
      <c r="E220" s="416"/>
      <c r="F220" s="416"/>
      <c r="G220" s="416">
        <v>1</v>
      </c>
      <c r="H220" s="416">
        <v>1</v>
      </c>
      <c r="I220" s="422">
        <v>0.20399999999999999</v>
      </c>
    </row>
    <row r="221" spans="1:9" ht="16.8" thickBot="1">
      <c r="B221" s="419" t="s">
        <v>543</v>
      </c>
      <c r="C221" s="416"/>
      <c r="D221" s="416">
        <v>1</v>
      </c>
      <c r="E221" s="416">
        <v>1</v>
      </c>
      <c r="F221" s="416"/>
      <c r="G221" s="416"/>
      <c r="H221" s="416">
        <v>2</v>
      </c>
      <c r="I221" s="422">
        <v>0.4</v>
      </c>
    </row>
    <row r="222" spans="1:9" ht="16.8" thickBot="1">
      <c r="A222" s="561" t="s">
        <v>908</v>
      </c>
      <c r="B222" s="423" t="s">
        <v>544</v>
      </c>
      <c r="C222" s="424"/>
      <c r="D222" s="424">
        <v>1</v>
      </c>
      <c r="E222" s="424">
        <v>3</v>
      </c>
      <c r="F222" s="424"/>
      <c r="G222" s="424">
        <v>2</v>
      </c>
      <c r="H222" s="424">
        <v>5</v>
      </c>
      <c r="I222" s="425">
        <v>1</v>
      </c>
    </row>
    <row r="223" spans="1:9" ht="16.8" thickTop="1"/>
    <row r="224" spans="1:9">
      <c r="A224" s="383"/>
    </row>
    <row r="225" spans="1:9">
      <c r="A225" s="1164" t="s">
        <v>909</v>
      </c>
      <c r="B225" s="1164"/>
      <c r="C225" s="1164"/>
      <c r="D225" s="1164"/>
      <c r="E225" s="1164"/>
      <c r="F225" s="562"/>
      <c r="G225" s="562"/>
      <c r="H225" s="562"/>
      <c r="I225" s="562"/>
    </row>
    <row r="226" spans="1:9">
      <c r="A226" s="1091"/>
      <c r="B226" s="1091"/>
      <c r="C226" s="430" t="s">
        <v>545</v>
      </c>
      <c r="D226" s="430" t="s">
        <v>546</v>
      </c>
      <c r="E226" s="980" t="s">
        <v>547</v>
      </c>
      <c r="F226" s="980"/>
      <c r="G226" s="980"/>
      <c r="H226" s="980"/>
      <c r="I226" s="980"/>
    </row>
    <row r="227" spans="1:9" ht="94.2" customHeight="1">
      <c r="A227" s="1171" t="s">
        <v>548</v>
      </c>
      <c r="B227" s="1171"/>
      <c r="C227" s="429" t="s">
        <v>910</v>
      </c>
      <c r="D227" s="637">
        <v>1</v>
      </c>
      <c r="E227" s="980" t="s">
        <v>549</v>
      </c>
      <c r="F227" s="980"/>
      <c r="G227" s="980"/>
      <c r="H227" s="980"/>
      <c r="I227" s="980"/>
    </row>
    <row r="228" spans="1:9" ht="16.2" hidden="1" customHeight="1">
      <c r="A228" s="743"/>
      <c r="B228" s="742"/>
      <c r="C228" s="429"/>
      <c r="D228" s="429"/>
      <c r="E228" s="429" t="s">
        <v>550</v>
      </c>
      <c r="F228" s="429"/>
      <c r="G228" s="429"/>
      <c r="H228" s="429"/>
      <c r="I228" s="429"/>
    </row>
    <row r="229" spans="1:9" ht="79.8" customHeight="1">
      <c r="A229" s="1171" t="s">
        <v>564</v>
      </c>
      <c r="B229" s="1171"/>
      <c r="C229" s="429" t="s">
        <v>911</v>
      </c>
      <c r="D229" s="637">
        <v>2</v>
      </c>
      <c r="E229" s="980"/>
      <c r="F229" s="980"/>
      <c r="G229" s="980"/>
      <c r="H229" s="980"/>
      <c r="I229" s="980"/>
    </row>
    <row r="230" spans="1:9" ht="71.400000000000006" customHeight="1">
      <c r="A230" s="1179" t="s">
        <v>912</v>
      </c>
      <c r="B230" s="1179"/>
      <c r="C230" s="980" t="s">
        <v>913</v>
      </c>
      <c r="D230" s="980">
        <v>3</v>
      </c>
      <c r="E230" s="980" t="s">
        <v>565</v>
      </c>
      <c r="F230" s="980"/>
      <c r="G230" s="980"/>
      <c r="H230" s="980"/>
      <c r="I230" s="980"/>
    </row>
    <row r="231" spans="1:9" ht="52.2" customHeight="1">
      <c r="A231" s="1179"/>
      <c r="B231" s="1179"/>
      <c r="C231" s="980"/>
      <c r="D231" s="980"/>
      <c r="E231" s="980"/>
      <c r="F231" s="980"/>
      <c r="G231" s="980"/>
      <c r="H231" s="980"/>
      <c r="I231" s="980"/>
    </row>
    <row r="232" spans="1:9" ht="99" customHeight="1">
      <c r="A232" s="1171" t="s">
        <v>551</v>
      </c>
      <c r="B232" s="1171"/>
      <c r="C232" s="429" t="s">
        <v>914</v>
      </c>
      <c r="D232" s="637">
        <v>4</v>
      </c>
      <c r="E232" s="980" t="s">
        <v>915</v>
      </c>
      <c r="F232" s="980"/>
      <c r="G232" s="980"/>
      <c r="H232" s="980"/>
      <c r="I232" s="980"/>
    </row>
    <row r="233" spans="1:9" ht="16.2" hidden="1" customHeight="1">
      <c r="A233" s="562"/>
      <c r="B233" s="429"/>
      <c r="C233" s="430"/>
      <c r="D233" s="430"/>
      <c r="E233" s="980"/>
      <c r="F233" s="980"/>
      <c r="G233" s="980"/>
      <c r="H233" s="980"/>
      <c r="I233" s="980"/>
    </row>
    <row r="234" spans="1:9" ht="17.399999999999999">
      <c r="B234" s="563" t="s">
        <v>916</v>
      </c>
      <c r="C234" s="563"/>
    </row>
    <row r="235" spans="1:9" ht="17.399999999999999">
      <c r="A235" s="1172"/>
      <c r="B235" s="1172"/>
      <c r="C235" s="1172"/>
      <c r="D235" s="1172"/>
      <c r="E235" s="1172"/>
      <c r="F235" s="1172"/>
      <c r="G235" s="1172"/>
    </row>
    <row r="236" spans="1:9" ht="19.8">
      <c r="A236" s="837" t="s">
        <v>566</v>
      </c>
      <c r="B236" s="837"/>
      <c r="C236" s="837"/>
      <c r="D236" s="837"/>
      <c r="E236" s="837"/>
      <c r="F236" s="837"/>
      <c r="G236" s="837"/>
    </row>
    <row r="237" spans="1:9">
      <c r="A237" s="1035" t="s">
        <v>917</v>
      </c>
      <c r="B237" s="1035"/>
      <c r="C237" s="1035"/>
    </row>
    <row r="238" spans="1:9" ht="173.4" customHeight="1">
      <c r="A238" s="1173" t="s">
        <v>567</v>
      </c>
      <c r="B238" s="1173"/>
      <c r="C238" s="1173"/>
      <c r="D238" s="1173"/>
      <c r="E238" s="1173"/>
      <c r="F238" s="1173"/>
      <c r="G238" s="1173"/>
      <c r="H238" s="1173"/>
      <c r="I238" s="1173"/>
    </row>
    <row r="239" spans="1:9" ht="175.8" customHeight="1">
      <c r="A239" s="1173" t="s">
        <v>568</v>
      </c>
      <c r="B239" s="1173"/>
      <c r="C239" s="1173"/>
      <c r="D239" s="1173"/>
      <c r="E239" s="1173"/>
      <c r="F239" s="1173"/>
      <c r="G239" s="1173"/>
      <c r="H239" s="1173"/>
      <c r="I239" s="1173"/>
    </row>
    <row r="240" spans="1:9">
      <c r="A240" s="383"/>
    </row>
    <row r="241" spans="1:9">
      <c r="A241" s="1183" t="s">
        <v>918</v>
      </c>
      <c r="B241" s="1183"/>
      <c r="C241" s="1183"/>
      <c r="D241" s="1183"/>
      <c r="E241" s="1183"/>
      <c r="F241" s="1183"/>
      <c r="G241" s="1183"/>
      <c r="H241" s="1183"/>
      <c r="I241" s="1183"/>
    </row>
    <row r="242" spans="1:9">
      <c r="A242" s="564" t="s">
        <v>919</v>
      </c>
      <c r="B242" s="564"/>
      <c r="C242" s="564"/>
      <c r="D242" s="564"/>
      <c r="E242" s="564"/>
      <c r="F242" s="564"/>
      <c r="G242" s="564"/>
      <c r="H242" s="564"/>
      <c r="I242" s="564"/>
    </row>
    <row r="243" spans="1:9" ht="50.4" customHeight="1">
      <c r="A243" s="1173" t="s">
        <v>569</v>
      </c>
      <c r="B243" s="1173"/>
      <c r="C243" s="1173"/>
      <c r="D243" s="1173"/>
      <c r="E243" s="1173"/>
      <c r="F243" s="1173"/>
      <c r="G243" s="1173"/>
      <c r="H243" s="1173"/>
      <c r="I243" s="1173"/>
    </row>
    <row r="244" spans="1:9">
      <c r="A244" s="1092" t="s">
        <v>920</v>
      </c>
      <c r="B244" s="1092"/>
      <c r="C244" s="1092"/>
      <c r="D244" s="1092"/>
      <c r="E244" s="1092"/>
      <c r="F244" s="1092"/>
      <c r="G244" s="1092"/>
      <c r="H244" s="566"/>
      <c r="I244" s="566"/>
    </row>
    <row r="245" spans="1:9" ht="38.4" customHeight="1">
      <c r="A245" s="1185" t="s">
        <v>570</v>
      </c>
      <c r="B245" s="1185"/>
      <c r="C245" s="1185"/>
      <c r="D245" s="1185"/>
      <c r="E245" s="1185"/>
      <c r="F245" s="1185"/>
      <c r="G245" s="1185"/>
      <c r="H245" s="1185"/>
      <c r="I245" s="1185"/>
    </row>
    <row r="246" spans="1:9">
      <c r="A246" s="1092" t="s">
        <v>921</v>
      </c>
      <c r="B246" s="1092"/>
      <c r="C246" s="1092"/>
      <c r="D246" s="1092"/>
      <c r="E246" s="1092"/>
      <c r="F246" s="1092"/>
      <c r="G246" s="1092"/>
      <c r="H246" s="1092"/>
      <c r="I246" s="566"/>
    </row>
    <row r="247" spans="1:9" s="567" customFormat="1" ht="33.6" customHeight="1">
      <c r="A247" s="1185" t="s">
        <v>571</v>
      </c>
      <c r="B247" s="1185"/>
      <c r="C247" s="1185"/>
      <c r="D247" s="1185"/>
      <c r="E247" s="1185"/>
      <c r="F247" s="1185"/>
      <c r="G247" s="1185"/>
      <c r="H247" s="1185"/>
      <c r="I247" s="1185"/>
    </row>
    <row r="248" spans="1:9">
      <c r="A248" s="1092" t="s">
        <v>922</v>
      </c>
      <c r="B248" s="1092"/>
      <c r="C248" s="1092"/>
      <c r="D248" s="1092"/>
      <c r="E248" s="1092"/>
      <c r="F248" s="1092"/>
      <c r="G248" s="1092"/>
      <c r="H248" s="1092"/>
      <c r="I248" s="1092"/>
    </row>
    <row r="249" spans="1:9">
      <c r="A249" s="1180" t="s">
        <v>923</v>
      </c>
      <c r="B249" s="1180"/>
      <c r="C249" s="1180"/>
      <c r="D249" s="1180"/>
      <c r="E249" s="1180"/>
      <c r="F249" s="1180"/>
      <c r="G249" s="1180"/>
      <c r="H249" s="1180"/>
      <c r="I249" s="1180"/>
    </row>
    <row r="250" spans="1:9">
      <c r="A250" s="1092" t="s">
        <v>924</v>
      </c>
      <c r="B250" s="1092"/>
      <c r="C250" s="1092"/>
      <c r="D250" s="1092"/>
      <c r="E250" s="1092"/>
      <c r="F250" s="1092"/>
      <c r="G250" s="1092"/>
      <c r="H250" s="1092"/>
      <c r="I250" s="1092"/>
    </row>
    <row r="251" spans="1:9">
      <c r="A251" s="1180" t="s">
        <v>572</v>
      </c>
      <c r="B251" s="1180"/>
      <c r="C251" s="1180"/>
      <c r="D251" s="1180"/>
      <c r="E251" s="1180"/>
      <c r="F251" s="1180"/>
      <c r="G251" s="1180"/>
      <c r="H251" s="1180"/>
      <c r="I251" s="1180"/>
    </row>
    <row r="252" spans="1:9">
      <c r="A252" s="565" t="s">
        <v>925</v>
      </c>
      <c r="B252" s="566"/>
      <c r="C252" s="566"/>
      <c r="D252" s="566"/>
      <c r="E252" s="566"/>
      <c r="F252" s="566"/>
      <c r="G252" s="566"/>
      <c r="H252" s="566"/>
      <c r="I252" s="566"/>
    </row>
    <row r="253" spans="1:9">
      <c r="A253" s="1180" t="s">
        <v>926</v>
      </c>
      <c r="B253" s="1180"/>
      <c r="C253" s="1180"/>
      <c r="D253" s="1180"/>
      <c r="E253" s="1180"/>
      <c r="F253" s="1180"/>
      <c r="G253" s="1180"/>
      <c r="H253" s="1180"/>
      <c r="I253" s="1180"/>
    </row>
    <row r="254" spans="1:9">
      <c r="A254" s="431"/>
      <c r="B254" s="566"/>
      <c r="C254" s="566"/>
      <c r="D254" s="566"/>
      <c r="E254" s="566"/>
      <c r="F254" s="566"/>
      <c r="G254" s="566"/>
      <c r="H254" s="566"/>
      <c r="I254" s="566"/>
    </row>
    <row r="255" spans="1:9">
      <c r="A255" s="1181" t="s">
        <v>927</v>
      </c>
      <c r="B255" s="1181"/>
      <c r="C255" s="1181"/>
      <c r="D255" s="1181"/>
      <c r="E255" s="1181"/>
      <c r="F255" s="1181"/>
      <c r="G255" s="1181"/>
      <c r="H255" s="1181"/>
      <c r="I255" s="1181"/>
    </row>
    <row r="256" spans="1:9" s="568" customFormat="1" ht="94.2" customHeight="1">
      <c r="A256" s="1182" t="s">
        <v>928</v>
      </c>
      <c r="B256" s="1182"/>
      <c r="C256" s="1182"/>
      <c r="D256" s="1182"/>
      <c r="E256" s="1182"/>
      <c r="F256" s="1182"/>
      <c r="G256" s="1182"/>
      <c r="H256" s="1182"/>
      <c r="I256" s="1182"/>
    </row>
    <row r="257" spans="1:9">
      <c r="A257" s="1183" t="s">
        <v>929</v>
      </c>
      <c r="B257" s="1183"/>
      <c r="C257" s="1183"/>
      <c r="D257" s="1183"/>
      <c r="E257" s="1183"/>
      <c r="F257" s="1183"/>
      <c r="G257" s="1183"/>
      <c r="H257" s="1183"/>
      <c r="I257" s="1183"/>
    </row>
    <row r="258" spans="1:9" ht="54.6" customHeight="1">
      <c r="A258" s="1182" t="s">
        <v>930</v>
      </c>
      <c r="B258" s="1182"/>
      <c r="C258" s="1182"/>
      <c r="D258" s="1182"/>
      <c r="E258" s="1182"/>
      <c r="F258" s="1182"/>
      <c r="G258" s="1182"/>
      <c r="H258" s="1182"/>
      <c r="I258" s="1182"/>
    </row>
    <row r="259" spans="1:9">
      <c r="A259" s="431" t="s">
        <v>573</v>
      </c>
      <c r="B259" s="566"/>
      <c r="C259" s="566"/>
      <c r="D259" s="566"/>
      <c r="E259" s="566"/>
      <c r="F259" s="566"/>
      <c r="G259" s="566"/>
      <c r="H259" s="566"/>
      <c r="I259" s="566"/>
    </row>
    <row r="260" spans="1:9" ht="29.4" customHeight="1">
      <c r="A260" s="1184" t="s">
        <v>931</v>
      </c>
      <c r="B260" s="1184"/>
      <c r="C260" s="1184"/>
      <c r="D260" s="1184"/>
      <c r="E260" s="1184"/>
      <c r="F260" s="1184"/>
      <c r="G260" s="1184"/>
      <c r="H260" s="1184"/>
      <c r="I260" s="1184"/>
    </row>
    <row r="261" spans="1:9" s="544" customFormat="1" ht="114" customHeight="1" thickBot="1">
      <c r="A261" s="1178" t="s">
        <v>574</v>
      </c>
      <c r="B261" s="1178"/>
      <c r="C261" s="1178"/>
      <c r="D261" s="1178"/>
      <c r="E261" s="1178"/>
      <c r="F261" s="1178"/>
      <c r="G261" s="1178"/>
      <c r="H261" s="1178"/>
      <c r="I261" s="1178"/>
    </row>
    <row r="262" spans="1:9" ht="48.6" customHeight="1">
      <c r="A262" s="1175" t="s">
        <v>575</v>
      </c>
      <c r="B262" s="1176"/>
      <c r="C262" s="1176"/>
      <c r="D262" s="1176"/>
      <c r="E262" s="1176"/>
      <c r="F262" s="1176"/>
      <c r="G262" s="1176"/>
      <c r="H262" s="1176"/>
      <c r="I262" s="1177"/>
    </row>
    <row r="263" spans="1:9" ht="27.6" customHeight="1">
      <c r="A263" s="1211" t="s">
        <v>576</v>
      </c>
      <c r="B263" s="987"/>
      <c r="C263" s="946" t="s">
        <v>578</v>
      </c>
      <c r="D263" s="946"/>
      <c r="E263" s="946"/>
      <c r="F263" s="946"/>
      <c r="G263" s="946"/>
      <c r="H263" s="562"/>
      <c r="I263" s="569"/>
    </row>
    <row r="264" spans="1:9" ht="28.2" customHeight="1">
      <c r="A264" s="1211" t="s">
        <v>577</v>
      </c>
      <c r="B264" s="987"/>
      <c r="C264" s="946"/>
      <c r="D264" s="946"/>
      <c r="E264" s="946"/>
      <c r="F264" s="946"/>
      <c r="G264" s="946"/>
      <c r="H264" s="946"/>
      <c r="I264" s="1204"/>
    </row>
    <row r="265" spans="1:9" ht="24.6" customHeight="1">
      <c r="A265" s="1209" t="s">
        <v>623</v>
      </c>
      <c r="B265" s="1210"/>
      <c r="C265" s="1200" t="s">
        <v>579</v>
      </c>
      <c r="D265" s="1200"/>
      <c r="E265" s="1200"/>
      <c r="F265" s="1200"/>
      <c r="G265" s="1200"/>
      <c r="H265" s="946"/>
      <c r="I265" s="1204"/>
    </row>
    <row r="266" spans="1:9" ht="26.4" customHeight="1">
      <c r="A266" s="1209"/>
      <c r="B266" s="1210"/>
      <c r="C266" s="1200" t="s">
        <v>580</v>
      </c>
      <c r="D266" s="1200"/>
      <c r="E266" s="1200"/>
      <c r="F266" s="1200"/>
      <c r="G266" s="1200"/>
      <c r="H266" s="946"/>
      <c r="I266" s="1204"/>
    </row>
    <row r="267" spans="1:9" ht="41.4" customHeight="1">
      <c r="A267" s="1209"/>
      <c r="B267" s="1210"/>
      <c r="C267" s="1199" t="s">
        <v>581</v>
      </c>
      <c r="D267" s="1199"/>
      <c r="E267" s="1199"/>
      <c r="F267" s="1199"/>
      <c r="G267" s="1199"/>
      <c r="H267" s="946"/>
      <c r="I267" s="1204"/>
    </row>
    <row r="268" spans="1:9" ht="154.80000000000001" customHeight="1">
      <c r="A268" s="1209"/>
      <c r="B268" s="1210"/>
      <c r="C268" s="1199" t="s">
        <v>582</v>
      </c>
      <c r="D268" s="1199"/>
      <c r="E268" s="1199"/>
      <c r="F268" s="1199"/>
      <c r="G268" s="1199"/>
      <c r="H268" s="946"/>
      <c r="I268" s="1204"/>
    </row>
    <row r="269" spans="1:9" ht="16.2" customHeight="1">
      <c r="A269" s="1209"/>
      <c r="B269" s="1210"/>
      <c r="C269" s="1174" t="s">
        <v>932</v>
      </c>
      <c r="D269" s="1174"/>
      <c r="E269" s="1174"/>
      <c r="F269" s="1174"/>
      <c r="G269" s="1174"/>
      <c r="H269" s="946"/>
      <c r="I269" s="1204"/>
    </row>
    <row r="270" spans="1:9" ht="16.2" customHeight="1">
      <c r="A270" s="1209"/>
      <c r="B270" s="1210"/>
      <c r="C270" s="1174" t="s">
        <v>933</v>
      </c>
      <c r="D270" s="1174"/>
      <c r="E270" s="1174"/>
      <c r="F270" s="1174"/>
      <c r="G270" s="1174"/>
      <c r="H270" s="946"/>
      <c r="I270" s="1204"/>
    </row>
    <row r="271" spans="1:9" ht="16.2" customHeight="1">
      <c r="A271" s="1209"/>
      <c r="B271" s="1210"/>
      <c r="C271" s="1174" t="s">
        <v>934</v>
      </c>
      <c r="D271" s="1174"/>
      <c r="E271" s="1174"/>
      <c r="F271" s="1174"/>
      <c r="G271" s="1174"/>
      <c r="H271" s="946"/>
      <c r="I271" s="1204"/>
    </row>
    <row r="272" spans="1:9" ht="16.2" customHeight="1">
      <c r="A272" s="1209"/>
      <c r="B272" s="1210"/>
      <c r="C272" s="1174" t="s">
        <v>935</v>
      </c>
      <c r="D272" s="1174"/>
      <c r="E272" s="1174"/>
      <c r="F272" s="1174"/>
      <c r="G272" s="1174"/>
      <c r="H272" s="946"/>
      <c r="I272" s="1204"/>
    </row>
    <row r="273" spans="1:9" ht="16.2" customHeight="1">
      <c r="A273" s="1209"/>
      <c r="B273" s="1210"/>
      <c r="C273" s="1174" t="s">
        <v>936</v>
      </c>
      <c r="D273" s="1174"/>
      <c r="E273" s="1174"/>
      <c r="F273" s="1174"/>
      <c r="G273" s="1174"/>
      <c r="H273" s="946"/>
      <c r="I273" s="1204"/>
    </row>
    <row r="274" spans="1:9" ht="16.2" customHeight="1">
      <c r="A274" s="1209"/>
      <c r="B274" s="1210"/>
      <c r="C274" s="1174" t="s">
        <v>937</v>
      </c>
      <c r="D274" s="1174"/>
      <c r="E274" s="1174"/>
      <c r="F274" s="1174"/>
      <c r="G274" s="1174"/>
      <c r="H274" s="946"/>
      <c r="I274" s="1204"/>
    </row>
    <row r="275" spans="1:9" ht="16.2" customHeight="1">
      <c r="A275" s="1209"/>
      <c r="B275" s="1210"/>
      <c r="C275" s="1174" t="s">
        <v>938</v>
      </c>
      <c r="D275" s="1174"/>
      <c r="E275" s="1174"/>
      <c r="F275" s="1174"/>
      <c r="G275" s="1174"/>
      <c r="H275" s="946"/>
      <c r="I275" s="1204"/>
    </row>
    <row r="276" spans="1:9" ht="16.2" customHeight="1">
      <c r="A276" s="1209"/>
      <c r="B276" s="1210"/>
      <c r="C276" s="1174" t="s">
        <v>939</v>
      </c>
      <c r="D276" s="1174"/>
      <c r="E276" s="1174"/>
      <c r="F276" s="1174"/>
      <c r="G276" s="1174"/>
      <c r="H276" s="946"/>
      <c r="I276" s="1204"/>
    </row>
    <row r="277" spans="1:9" ht="37.200000000000003" customHeight="1">
      <c r="A277" s="1209"/>
      <c r="B277" s="1210"/>
      <c r="C277" s="1174" t="s">
        <v>940</v>
      </c>
      <c r="D277" s="1174"/>
      <c r="E277" s="1174"/>
      <c r="F277" s="1174"/>
      <c r="G277" s="1174"/>
      <c r="H277" s="946"/>
      <c r="I277" s="1204"/>
    </row>
    <row r="278" spans="1:9" ht="16.2" customHeight="1">
      <c r="A278" s="1209"/>
      <c r="B278" s="1210"/>
      <c r="C278" s="1174" t="s">
        <v>941</v>
      </c>
      <c r="D278" s="1174"/>
      <c r="E278" s="1174"/>
      <c r="F278" s="1174"/>
      <c r="G278" s="1174"/>
      <c r="H278" s="946"/>
      <c r="I278" s="1204"/>
    </row>
    <row r="279" spans="1:9" ht="15.6" customHeight="1">
      <c r="A279" s="1209"/>
      <c r="B279" s="1210"/>
      <c r="C279" s="1174" t="s">
        <v>942</v>
      </c>
      <c r="D279" s="1174"/>
      <c r="E279" s="1174"/>
      <c r="F279" s="1174"/>
      <c r="G279" s="1174"/>
      <c r="H279" s="946"/>
      <c r="I279" s="1204"/>
    </row>
    <row r="280" spans="1:9" ht="16.2" customHeight="1">
      <c r="A280" s="1209"/>
      <c r="B280" s="1210"/>
      <c r="C280" s="1174" t="s">
        <v>943</v>
      </c>
      <c r="D280" s="1174"/>
      <c r="E280" s="1174"/>
      <c r="F280" s="1174"/>
      <c r="G280" s="1174"/>
      <c r="H280" s="946"/>
      <c r="I280" s="1204"/>
    </row>
    <row r="281" spans="1:9" ht="16.2" customHeight="1">
      <c r="A281" s="1209"/>
      <c r="B281" s="1210"/>
      <c r="C281" s="1174" t="s">
        <v>944</v>
      </c>
      <c r="D281" s="1174"/>
      <c r="E281" s="1174"/>
      <c r="F281" s="1174"/>
      <c r="G281" s="1174"/>
      <c r="H281" s="946"/>
      <c r="I281" s="1204"/>
    </row>
    <row r="282" spans="1:9" ht="16.2" customHeight="1">
      <c r="A282" s="1209"/>
      <c r="B282" s="1210"/>
      <c r="C282" s="1174" t="s">
        <v>945</v>
      </c>
      <c r="D282" s="1174"/>
      <c r="E282" s="1174"/>
      <c r="F282" s="1174"/>
      <c r="G282" s="1174"/>
      <c r="H282" s="946"/>
      <c r="I282" s="1204"/>
    </row>
    <row r="283" spans="1:9" ht="16.2" customHeight="1">
      <c r="A283" s="1209"/>
      <c r="B283" s="1210"/>
      <c r="C283" s="1174" t="s">
        <v>946</v>
      </c>
      <c r="D283" s="1174"/>
      <c r="E283" s="1174"/>
      <c r="F283" s="1174"/>
      <c r="G283" s="1174"/>
      <c r="H283" s="946"/>
      <c r="I283" s="1204"/>
    </row>
    <row r="284" spans="1:9" ht="16.2" customHeight="1">
      <c r="A284" s="1209"/>
      <c r="B284" s="1210"/>
      <c r="C284" s="1174" t="s">
        <v>947</v>
      </c>
      <c r="D284" s="1174"/>
      <c r="E284" s="1174"/>
      <c r="F284" s="1174"/>
      <c r="G284" s="1174"/>
      <c r="H284" s="946"/>
      <c r="I284" s="1204"/>
    </row>
    <row r="285" spans="1:9" ht="16.2" customHeight="1">
      <c r="A285" s="1209"/>
      <c r="B285" s="1210"/>
      <c r="C285" s="1174" t="s">
        <v>948</v>
      </c>
      <c r="D285" s="1174"/>
      <c r="E285" s="1174"/>
      <c r="F285" s="1174"/>
      <c r="G285" s="1174"/>
      <c r="H285" s="946"/>
      <c r="I285" s="1204"/>
    </row>
    <row r="286" spans="1:9" ht="57" customHeight="1">
      <c r="A286" s="1209"/>
      <c r="B286" s="1210"/>
      <c r="C286" s="1212" t="s">
        <v>583</v>
      </c>
      <c r="D286" s="1212"/>
      <c r="E286" s="1212"/>
      <c r="F286" s="1212"/>
      <c r="G286" s="1212"/>
      <c r="H286" s="946"/>
      <c r="I286" s="1204"/>
    </row>
    <row r="287" spans="1:9" ht="33.9" customHeight="1">
      <c r="A287" s="1209"/>
      <c r="B287" s="1210"/>
      <c r="C287" s="946" t="s">
        <v>949</v>
      </c>
      <c r="D287" s="946"/>
      <c r="E287" s="946"/>
      <c r="F287" s="946"/>
      <c r="G287" s="946"/>
      <c r="H287" s="946"/>
      <c r="I287" s="1204"/>
    </row>
    <row r="288" spans="1:9" ht="93.6" customHeight="1">
      <c r="A288" s="1209"/>
      <c r="B288" s="1210"/>
      <c r="C288" s="946" t="s">
        <v>950</v>
      </c>
      <c r="D288" s="946"/>
      <c r="E288" s="946"/>
      <c r="F288" s="946"/>
      <c r="G288" s="946"/>
      <c r="H288" s="946"/>
      <c r="I288" s="1204"/>
    </row>
    <row r="289" spans="1:9" ht="71.400000000000006" customHeight="1">
      <c r="A289" s="1209"/>
      <c r="B289" s="1210"/>
      <c r="C289" s="946" t="s">
        <v>951</v>
      </c>
      <c r="D289" s="946"/>
      <c r="E289" s="946"/>
      <c r="F289" s="946"/>
      <c r="G289" s="946"/>
      <c r="H289" s="946"/>
      <c r="I289" s="1204"/>
    </row>
    <row r="290" spans="1:9" ht="60" customHeight="1">
      <c r="A290" s="1209"/>
      <c r="B290" s="1210"/>
      <c r="C290" s="946" t="s">
        <v>952</v>
      </c>
      <c r="D290" s="946"/>
      <c r="E290" s="946"/>
      <c r="F290" s="946"/>
      <c r="G290" s="946"/>
      <c r="H290" s="946"/>
      <c r="I290" s="1204"/>
    </row>
    <row r="291" spans="1:9" ht="26.4" customHeight="1">
      <c r="A291" s="1209"/>
      <c r="B291" s="1210"/>
      <c r="C291" s="946" t="s">
        <v>953</v>
      </c>
      <c r="D291" s="946"/>
      <c r="E291" s="946"/>
      <c r="F291" s="946"/>
      <c r="G291" s="946"/>
      <c r="H291" s="946"/>
      <c r="I291" s="1204"/>
    </row>
    <row r="292" spans="1:9" ht="52.8" customHeight="1">
      <c r="A292" s="1209"/>
      <c r="B292" s="1210"/>
      <c r="C292" s="946" t="s">
        <v>954</v>
      </c>
      <c r="D292" s="946"/>
      <c r="E292" s="946"/>
      <c r="F292" s="946"/>
      <c r="G292" s="946"/>
      <c r="H292" s="946"/>
      <c r="I292" s="1204"/>
    </row>
    <row r="293" spans="1:9" ht="16.2" customHeight="1">
      <c r="A293" s="1209"/>
      <c r="B293" s="1210"/>
      <c r="C293" s="1186"/>
      <c r="D293" s="1186"/>
      <c r="E293" s="1186"/>
      <c r="F293" s="1186"/>
      <c r="G293" s="1186"/>
      <c r="H293" s="946"/>
      <c r="I293" s="1204"/>
    </row>
    <row r="294" spans="1:9" ht="42.6" customHeight="1">
      <c r="A294" s="1209"/>
      <c r="B294" s="1210"/>
      <c r="C294" s="946" t="s">
        <v>955</v>
      </c>
      <c r="D294" s="946"/>
      <c r="E294" s="946"/>
      <c r="F294" s="946"/>
      <c r="G294" s="946"/>
      <c r="H294" s="946"/>
      <c r="I294" s="1204"/>
    </row>
    <row r="295" spans="1:9" ht="96" customHeight="1">
      <c r="A295" s="1209"/>
      <c r="B295" s="1210"/>
      <c r="C295" s="1187" t="s">
        <v>584</v>
      </c>
      <c r="D295" s="1187"/>
      <c r="E295" s="1187"/>
      <c r="F295" s="1187"/>
      <c r="G295" s="1187"/>
      <c r="H295" s="946"/>
      <c r="I295" s="1204"/>
    </row>
    <row r="296" spans="1:9" ht="16.2" customHeight="1">
      <c r="A296" s="1209"/>
      <c r="B296" s="1210"/>
      <c r="C296" s="946" t="s">
        <v>956</v>
      </c>
      <c r="D296" s="946"/>
      <c r="E296" s="946"/>
      <c r="F296" s="946"/>
      <c r="G296" s="946"/>
      <c r="H296" s="946"/>
      <c r="I296" s="1204"/>
    </row>
    <row r="297" spans="1:9" ht="32.4" customHeight="1">
      <c r="A297" s="1209"/>
      <c r="B297" s="1210"/>
      <c r="C297" s="1187" t="s">
        <v>585</v>
      </c>
      <c r="D297" s="1187"/>
      <c r="E297" s="1187"/>
      <c r="F297" s="1187"/>
      <c r="G297" s="1187"/>
      <c r="H297" s="946"/>
      <c r="I297" s="1204"/>
    </row>
    <row r="298" spans="1:9" ht="17.399999999999999" customHeight="1">
      <c r="A298" s="1209"/>
      <c r="B298" s="1210"/>
      <c r="C298" s="946" t="s">
        <v>957</v>
      </c>
      <c r="D298" s="946"/>
      <c r="E298" s="946"/>
      <c r="F298" s="946"/>
      <c r="G298" s="946"/>
      <c r="H298" s="946"/>
      <c r="I298" s="1204"/>
    </row>
    <row r="299" spans="1:9" ht="66.599999999999994" customHeight="1">
      <c r="A299" s="1209"/>
      <c r="B299" s="1210"/>
      <c r="C299" s="1187" t="s">
        <v>586</v>
      </c>
      <c r="D299" s="1187"/>
      <c r="E299" s="1187"/>
      <c r="F299" s="1187"/>
      <c r="G299" s="1187"/>
      <c r="H299" s="946"/>
      <c r="I299" s="1204"/>
    </row>
    <row r="300" spans="1:9" ht="19.2" customHeight="1">
      <c r="A300" s="1209"/>
      <c r="B300" s="1210"/>
      <c r="C300" s="946" t="s">
        <v>958</v>
      </c>
      <c r="D300" s="946"/>
      <c r="E300" s="946"/>
      <c r="F300" s="946"/>
      <c r="G300" s="946"/>
      <c r="H300" s="946"/>
      <c r="I300" s="1204"/>
    </row>
    <row r="301" spans="1:9" ht="103.8" customHeight="1">
      <c r="A301" s="1209"/>
      <c r="B301" s="1210"/>
      <c r="C301" s="1199" t="s">
        <v>587</v>
      </c>
      <c r="D301" s="1199"/>
      <c r="E301" s="1199"/>
      <c r="F301" s="1199"/>
      <c r="G301" s="1199"/>
      <c r="H301" s="946"/>
      <c r="I301" s="1204"/>
    </row>
    <row r="302" spans="1:9" ht="15.6" customHeight="1">
      <c r="A302" s="1209"/>
      <c r="B302" s="1210"/>
      <c r="C302" s="1186"/>
      <c r="D302" s="1186"/>
      <c r="E302" s="1186"/>
      <c r="F302" s="1186"/>
      <c r="G302" s="1186"/>
      <c r="H302" s="946"/>
      <c r="I302" s="1204"/>
    </row>
    <row r="303" spans="1:9" ht="15.6" customHeight="1">
      <c r="A303" s="1209"/>
      <c r="B303" s="1210"/>
      <c r="C303" s="1186"/>
      <c r="D303" s="1186"/>
      <c r="E303" s="1186"/>
      <c r="F303" s="1186"/>
      <c r="G303" s="1186"/>
      <c r="H303" s="946"/>
      <c r="I303" s="1204"/>
    </row>
    <row r="304" spans="1:9" ht="16.2" customHeight="1">
      <c r="A304" s="1209"/>
      <c r="B304" s="1210"/>
      <c r="C304" s="1186"/>
      <c r="D304" s="1186"/>
      <c r="E304" s="1186"/>
      <c r="F304" s="1186"/>
      <c r="G304" s="1186"/>
      <c r="H304" s="946"/>
      <c r="I304" s="1204"/>
    </row>
    <row r="305" spans="1:9" ht="33" customHeight="1">
      <c r="A305" s="1192" t="s">
        <v>588</v>
      </c>
      <c r="B305" s="1193"/>
      <c r="C305" s="1207" t="s">
        <v>589</v>
      </c>
      <c r="D305" s="1207"/>
      <c r="E305" s="1207"/>
      <c r="F305" s="1207"/>
      <c r="G305" s="1207"/>
      <c r="H305" s="946"/>
      <c r="I305" s="1204"/>
    </row>
    <row r="306" spans="1:9" ht="33" customHeight="1">
      <c r="A306" s="1192"/>
      <c r="B306" s="1193"/>
      <c r="C306" s="946" t="s">
        <v>590</v>
      </c>
      <c r="D306" s="946"/>
      <c r="E306" s="946"/>
      <c r="F306" s="946"/>
      <c r="G306" s="946"/>
      <c r="H306" s="946"/>
      <c r="I306" s="1204"/>
    </row>
    <row r="307" spans="1:9" ht="30" customHeight="1">
      <c r="A307" s="1192"/>
      <c r="B307" s="1193"/>
      <c r="C307" s="946" t="s">
        <v>959</v>
      </c>
      <c r="D307" s="946"/>
      <c r="E307" s="946"/>
      <c r="F307" s="946"/>
      <c r="G307" s="946"/>
      <c r="H307" s="946"/>
      <c r="I307" s="1204"/>
    </row>
    <row r="308" spans="1:9" ht="24.6" customHeight="1">
      <c r="A308" s="1192"/>
      <c r="B308" s="1193"/>
      <c r="C308" s="946" t="s">
        <v>960</v>
      </c>
      <c r="D308" s="946"/>
      <c r="E308" s="946"/>
      <c r="F308" s="946"/>
      <c r="G308" s="946"/>
      <c r="H308" s="946"/>
      <c r="I308" s="1204"/>
    </row>
    <row r="309" spans="1:9" ht="16.2" customHeight="1">
      <c r="A309" s="1192"/>
      <c r="B309" s="1193"/>
      <c r="C309" s="946" t="s">
        <v>961</v>
      </c>
      <c r="D309" s="946"/>
      <c r="E309" s="946"/>
      <c r="F309" s="946"/>
      <c r="G309" s="946"/>
      <c r="H309" s="946"/>
      <c r="I309" s="1204"/>
    </row>
    <row r="310" spans="1:9" ht="16.2" customHeight="1">
      <c r="A310" s="1192"/>
      <c r="B310" s="1193"/>
      <c r="C310" s="946" t="s">
        <v>962</v>
      </c>
      <c r="D310" s="946"/>
      <c r="E310" s="946"/>
      <c r="F310" s="946"/>
      <c r="G310" s="946"/>
      <c r="H310" s="946"/>
      <c r="I310" s="1204"/>
    </row>
    <row r="311" spans="1:9" ht="16.2" customHeight="1">
      <c r="A311" s="1192"/>
      <c r="B311" s="1193"/>
      <c r="C311" s="946" t="s">
        <v>963</v>
      </c>
      <c r="D311" s="946"/>
      <c r="E311" s="946"/>
      <c r="F311" s="946"/>
      <c r="G311" s="946"/>
      <c r="H311" s="946"/>
      <c r="I311" s="1204"/>
    </row>
    <row r="312" spans="1:9" ht="16.2" customHeight="1">
      <c r="A312" s="1192"/>
      <c r="B312" s="1193"/>
      <c r="C312" s="946" t="s">
        <v>964</v>
      </c>
      <c r="D312" s="946"/>
      <c r="E312" s="946"/>
      <c r="F312" s="946"/>
      <c r="G312" s="946"/>
      <c r="H312" s="946"/>
      <c r="I312" s="1204"/>
    </row>
    <row r="313" spans="1:9" ht="15.6" customHeight="1">
      <c r="A313" s="1192"/>
      <c r="B313" s="1193"/>
      <c r="C313" s="946" t="s">
        <v>965</v>
      </c>
      <c r="D313" s="946"/>
      <c r="E313" s="946"/>
      <c r="F313" s="946"/>
      <c r="G313" s="946"/>
      <c r="H313" s="946"/>
      <c r="I313" s="1204"/>
    </row>
    <row r="314" spans="1:9" ht="15.6" customHeight="1">
      <c r="A314" s="1192"/>
      <c r="B314" s="1193"/>
      <c r="C314" s="1207" t="s">
        <v>591</v>
      </c>
      <c r="D314" s="1207"/>
      <c r="E314" s="1207"/>
      <c r="F314" s="1207"/>
      <c r="G314" s="1207"/>
      <c r="H314" s="946"/>
      <c r="I314" s="1204"/>
    </row>
    <row r="315" spans="1:9" ht="159" customHeight="1">
      <c r="A315" s="1192"/>
      <c r="B315" s="1193"/>
      <c r="C315" s="946" t="s">
        <v>592</v>
      </c>
      <c r="D315" s="946"/>
      <c r="E315" s="946"/>
      <c r="F315" s="946"/>
      <c r="G315" s="946"/>
      <c r="H315" s="946"/>
      <c r="I315" s="1204"/>
    </row>
    <row r="316" spans="1:9" ht="21.6" customHeight="1">
      <c r="A316" s="1192"/>
      <c r="B316" s="1193"/>
      <c r="C316" s="1200" t="s">
        <v>593</v>
      </c>
      <c r="D316" s="1200"/>
      <c r="E316" s="1200"/>
      <c r="F316" s="1200"/>
      <c r="G316" s="1200"/>
      <c r="H316" s="946"/>
      <c r="I316" s="1204"/>
    </row>
    <row r="317" spans="1:9" ht="41.4" customHeight="1">
      <c r="A317" s="1192"/>
      <c r="B317" s="1193"/>
      <c r="C317" s="946" t="s">
        <v>966</v>
      </c>
      <c r="D317" s="946"/>
      <c r="E317" s="946"/>
      <c r="F317" s="946"/>
      <c r="G317" s="946"/>
      <c r="H317" s="946"/>
      <c r="I317" s="1204"/>
    </row>
    <row r="318" spans="1:9" ht="160.19999999999999" customHeight="1">
      <c r="A318" s="1192"/>
      <c r="B318" s="1193"/>
      <c r="C318" s="1208" t="s">
        <v>594</v>
      </c>
      <c r="D318" s="1208"/>
      <c r="E318" s="1208"/>
      <c r="F318" s="1208"/>
      <c r="G318" s="1208"/>
      <c r="H318" s="946"/>
      <c r="I318" s="1204"/>
    </row>
    <row r="319" spans="1:9" ht="27.6" customHeight="1">
      <c r="A319" s="1192"/>
      <c r="B319" s="1193"/>
      <c r="C319" s="946" t="s">
        <v>967</v>
      </c>
      <c r="D319" s="946"/>
      <c r="E319" s="946"/>
      <c r="F319" s="946"/>
      <c r="G319" s="946"/>
      <c r="H319" s="946"/>
      <c r="I319" s="1204"/>
    </row>
    <row r="320" spans="1:9" ht="95.4" customHeight="1">
      <c r="A320" s="1192"/>
      <c r="B320" s="1193"/>
      <c r="C320" s="1208" t="s">
        <v>595</v>
      </c>
      <c r="D320" s="1208"/>
      <c r="E320" s="1208"/>
      <c r="F320" s="1208"/>
      <c r="G320" s="1208"/>
      <c r="H320" s="946"/>
      <c r="I320" s="1204"/>
    </row>
    <row r="321" spans="1:9" ht="28.2" customHeight="1">
      <c r="A321" s="1192"/>
      <c r="B321" s="1193"/>
      <c r="C321" s="946" t="s">
        <v>968</v>
      </c>
      <c r="D321" s="946"/>
      <c r="E321" s="946"/>
      <c r="F321" s="946"/>
      <c r="G321" s="946"/>
      <c r="H321" s="946"/>
      <c r="I321" s="1204"/>
    </row>
    <row r="322" spans="1:9" ht="80.400000000000006" customHeight="1">
      <c r="A322" s="1192"/>
      <c r="B322" s="1193"/>
      <c r="C322" s="1208" t="s">
        <v>596</v>
      </c>
      <c r="D322" s="1208"/>
      <c r="E322" s="1208"/>
      <c r="F322" s="1208"/>
      <c r="G322" s="1208"/>
      <c r="H322" s="946"/>
      <c r="I322" s="1204"/>
    </row>
    <row r="323" spans="1:9" ht="28.2" customHeight="1">
      <c r="A323" s="1192"/>
      <c r="B323" s="1193"/>
      <c r="C323" s="946" t="s">
        <v>969</v>
      </c>
      <c r="D323" s="946"/>
      <c r="E323" s="946"/>
      <c r="F323" s="946"/>
      <c r="G323" s="946"/>
      <c r="H323" s="946"/>
      <c r="I323" s="1204"/>
    </row>
    <row r="324" spans="1:9" ht="66.599999999999994" customHeight="1">
      <c r="A324" s="1192"/>
      <c r="B324" s="1193"/>
      <c r="C324" s="1199" t="s">
        <v>597</v>
      </c>
      <c r="D324" s="1199"/>
      <c r="E324" s="1199"/>
      <c r="F324" s="1199"/>
      <c r="G324" s="1199"/>
      <c r="H324" s="946"/>
      <c r="I324" s="1204"/>
    </row>
    <row r="325" spans="1:9" ht="26.4" customHeight="1">
      <c r="A325" s="1192"/>
      <c r="B325" s="1193"/>
      <c r="C325" s="1207" t="s">
        <v>598</v>
      </c>
      <c r="D325" s="1207"/>
      <c r="E325" s="1207"/>
      <c r="F325" s="1207"/>
      <c r="G325" s="1207"/>
      <c r="H325" s="946"/>
      <c r="I325" s="1204"/>
    </row>
    <row r="326" spans="1:9" ht="108.6" customHeight="1">
      <c r="A326" s="1192"/>
      <c r="B326" s="1193"/>
      <c r="C326" s="946" t="s">
        <v>970</v>
      </c>
      <c r="D326" s="946"/>
      <c r="E326" s="946"/>
      <c r="F326" s="946"/>
      <c r="G326" s="946"/>
      <c r="H326" s="946"/>
      <c r="I326" s="1204"/>
    </row>
    <row r="327" spans="1:9" ht="67.8" customHeight="1">
      <c r="A327" s="1192"/>
      <c r="B327" s="1193"/>
      <c r="C327" s="946" t="s">
        <v>971</v>
      </c>
      <c r="D327" s="946"/>
      <c r="E327" s="946"/>
      <c r="F327" s="946"/>
      <c r="G327" s="946"/>
      <c r="H327" s="946"/>
      <c r="I327" s="1204"/>
    </row>
    <row r="328" spans="1:9" ht="93" customHeight="1">
      <c r="A328" s="1192"/>
      <c r="B328" s="1193"/>
      <c r="C328" s="946" t="s">
        <v>972</v>
      </c>
      <c r="D328" s="946"/>
      <c r="E328" s="946"/>
      <c r="F328" s="946"/>
      <c r="G328" s="946"/>
      <c r="H328" s="946"/>
      <c r="I328" s="1204"/>
    </row>
    <row r="329" spans="1:9" ht="73.8" customHeight="1">
      <c r="A329" s="1192"/>
      <c r="B329" s="1193"/>
      <c r="C329" s="946" t="s">
        <v>973</v>
      </c>
      <c r="D329" s="946"/>
      <c r="E329" s="946"/>
      <c r="F329" s="946"/>
      <c r="G329" s="946"/>
      <c r="H329" s="946"/>
      <c r="I329" s="1204"/>
    </row>
    <row r="330" spans="1:9" ht="45.6" customHeight="1">
      <c r="A330" s="1192" t="s">
        <v>624</v>
      </c>
      <c r="B330" s="1193"/>
      <c r="C330" s="946" t="s">
        <v>974</v>
      </c>
      <c r="D330" s="946"/>
      <c r="E330" s="946"/>
      <c r="F330" s="946"/>
      <c r="G330" s="946"/>
      <c r="H330" s="946"/>
      <c r="I330" s="1204"/>
    </row>
    <row r="331" spans="1:9" ht="45.6" customHeight="1">
      <c r="A331" s="1192"/>
      <c r="B331" s="1193"/>
      <c r="C331" s="946" t="s">
        <v>599</v>
      </c>
      <c r="D331" s="946"/>
      <c r="E331" s="946"/>
      <c r="F331" s="946"/>
      <c r="G331" s="946"/>
      <c r="H331" s="946"/>
      <c r="I331" s="1204"/>
    </row>
    <row r="332" spans="1:9" ht="45.6" customHeight="1">
      <c r="A332" s="1192"/>
      <c r="B332" s="1193"/>
      <c r="C332" s="1199" t="s">
        <v>600</v>
      </c>
      <c r="D332" s="1199"/>
      <c r="E332" s="1199"/>
      <c r="F332" s="1199"/>
      <c r="G332" s="1199"/>
      <c r="H332" s="946"/>
      <c r="I332" s="1204"/>
    </row>
    <row r="333" spans="1:9" ht="45.6" customHeight="1">
      <c r="A333" s="1192"/>
      <c r="B333" s="1193"/>
      <c r="C333" s="946" t="s">
        <v>601</v>
      </c>
      <c r="D333" s="946"/>
      <c r="E333" s="946"/>
      <c r="F333" s="946"/>
      <c r="G333" s="946"/>
      <c r="H333" s="946"/>
      <c r="I333" s="1204"/>
    </row>
    <row r="334" spans="1:9" ht="61.2" customHeight="1">
      <c r="A334" s="1192"/>
      <c r="B334" s="1193"/>
      <c r="C334" s="1199" t="s">
        <v>602</v>
      </c>
      <c r="D334" s="1199"/>
      <c r="E334" s="1199"/>
      <c r="F334" s="1199"/>
      <c r="G334" s="1199"/>
      <c r="H334" s="946"/>
      <c r="I334" s="1204"/>
    </row>
    <row r="335" spans="1:9" ht="45.6" customHeight="1">
      <c r="A335" s="1192"/>
      <c r="B335" s="1193"/>
      <c r="C335" s="946" t="s">
        <v>603</v>
      </c>
      <c r="D335" s="946"/>
      <c r="E335" s="946"/>
      <c r="F335" s="946"/>
      <c r="G335" s="946"/>
      <c r="H335" s="946"/>
      <c r="I335" s="1204"/>
    </row>
    <row r="336" spans="1:9" ht="60" customHeight="1">
      <c r="A336" s="1192"/>
      <c r="B336" s="1193"/>
      <c r="C336" s="1199" t="s">
        <v>604</v>
      </c>
      <c r="D336" s="1199"/>
      <c r="E336" s="1199"/>
      <c r="F336" s="1199"/>
      <c r="G336" s="1199"/>
      <c r="H336" s="946"/>
      <c r="I336" s="1204"/>
    </row>
    <row r="337" spans="1:9" ht="45.6" customHeight="1">
      <c r="A337" s="1192"/>
      <c r="B337" s="1193"/>
      <c r="C337" s="946" t="s">
        <v>605</v>
      </c>
      <c r="D337" s="946"/>
      <c r="E337" s="946"/>
      <c r="F337" s="946"/>
      <c r="G337" s="946"/>
      <c r="H337" s="946"/>
      <c r="I337" s="1204"/>
    </row>
    <row r="338" spans="1:9" ht="105" customHeight="1">
      <c r="A338" s="1192"/>
      <c r="B338" s="1193"/>
      <c r="C338" s="1199" t="s">
        <v>606</v>
      </c>
      <c r="D338" s="1199"/>
      <c r="E338" s="1199"/>
      <c r="F338" s="1199"/>
      <c r="G338" s="1199"/>
      <c r="H338" s="946"/>
      <c r="I338" s="1204"/>
    </row>
    <row r="339" spans="1:9" ht="45.6" customHeight="1">
      <c r="A339" s="1192"/>
      <c r="B339" s="1193"/>
      <c r="C339" s="946" t="s">
        <v>607</v>
      </c>
      <c r="D339" s="946"/>
      <c r="E339" s="946"/>
      <c r="F339" s="946"/>
      <c r="G339" s="946"/>
      <c r="H339" s="946"/>
      <c r="I339" s="1204"/>
    </row>
    <row r="340" spans="1:9" ht="94.8" customHeight="1">
      <c r="A340" s="1192"/>
      <c r="B340" s="1193"/>
      <c r="C340" s="1199" t="s">
        <v>608</v>
      </c>
      <c r="D340" s="1199"/>
      <c r="E340" s="1199"/>
      <c r="F340" s="1199"/>
      <c r="G340" s="1199"/>
      <c r="H340" s="946"/>
      <c r="I340" s="1204"/>
    </row>
    <row r="341" spans="1:9" ht="45.6" customHeight="1">
      <c r="A341" s="1192"/>
      <c r="B341" s="1193"/>
      <c r="C341" s="946" t="s">
        <v>975</v>
      </c>
      <c r="D341" s="946"/>
      <c r="E341" s="946"/>
      <c r="F341" s="946"/>
      <c r="G341" s="946"/>
      <c r="H341" s="946"/>
      <c r="I341" s="1204"/>
    </row>
    <row r="342" spans="1:9" ht="171.6" customHeight="1">
      <c r="A342" s="1192"/>
      <c r="B342" s="1193"/>
      <c r="C342" s="1199" t="s">
        <v>609</v>
      </c>
      <c r="D342" s="1199"/>
      <c r="E342" s="1199"/>
      <c r="F342" s="1199"/>
      <c r="G342" s="1199"/>
      <c r="H342" s="946"/>
      <c r="I342" s="1204"/>
    </row>
    <row r="343" spans="1:9" ht="63" customHeight="1">
      <c r="A343" s="1192" t="s">
        <v>625</v>
      </c>
      <c r="B343" s="1193"/>
      <c r="C343" s="861" t="s">
        <v>622</v>
      </c>
      <c r="D343" s="861"/>
      <c r="E343" s="861"/>
      <c r="F343" s="861"/>
      <c r="G343" s="861"/>
      <c r="H343" s="946"/>
      <c r="I343" s="1204"/>
    </row>
    <row r="344" spans="1:9" ht="43.8" customHeight="1">
      <c r="A344" s="1192"/>
      <c r="B344" s="1193"/>
      <c r="C344" s="1191" t="s">
        <v>610</v>
      </c>
      <c r="D344" s="1191"/>
      <c r="E344" s="1191"/>
      <c r="F344" s="1191"/>
      <c r="G344" s="1191"/>
      <c r="H344" s="946"/>
      <c r="I344" s="1204"/>
    </row>
    <row r="345" spans="1:9" ht="67.8" customHeight="1">
      <c r="A345" s="1192"/>
      <c r="B345" s="1193"/>
      <c r="C345" s="1191" t="s">
        <v>611</v>
      </c>
      <c r="D345" s="1191"/>
      <c r="E345" s="1191"/>
      <c r="F345" s="1191"/>
      <c r="G345" s="1191"/>
      <c r="H345" s="946"/>
      <c r="I345" s="1204"/>
    </row>
    <row r="346" spans="1:9" ht="72.599999999999994" customHeight="1">
      <c r="A346" s="1192"/>
      <c r="B346" s="1193"/>
      <c r="C346" s="1191" t="s">
        <v>612</v>
      </c>
      <c r="D346" s="1191"/>
      <c r="E346" s="1191"/>
      <c r="F346" s="1191"/>
      <c r="G346" s="1191"/>
      <c r="H346" s="946"/>
      <c r="I346" s="1204"/>
    </row>
    <row r="347" spans="1:9" ht="76.2" customHeight="1">
      <c r="A347" s="1192"/>
      <c r="B347" s="1193"/>
      <c r="C347" s="1191" t="s">
        <v>613</v>
      </c>
      <c r="D347" s="1191"/>
      <c r="E347" s="1191"/>
      <c r="F347" s="1191"/>
      <c r="G347" s="1191"/>
      <c r="H347" s="946"/>
      <c r="I347" s="1204"/>
    </row>
    <row r="348" spans="1:9" ht="21" customHeight="1">
      <c r="A348" s="1192"/>
      <c r="B348" s="1193"/>
      <c r="C348" s="861" t="s">
        <v>614</v>
      </c>
      <c r="D348" s="861"/>
      <c r="E348" s="861"/>
      <c r="F348" s="861"/>
      <c r="G348" s="861"/>
      <c r="H348" s="946"/>
      <c r="I348" s="1204"/>
    </row>
    <row r="349" spans="1:9" ht="93" customHeight="1">
      <c r="A349" s="1192"/>
      <c r="B349" s="1193"/>
      <c r="C349" s="1187" t="s">
        <v>615</v>
      </c>
      <c r="D349" s="1187"/>
      <c r="E349" s="1187"/>
      <c r="F349" s="1187"/>
      <c r="G349" s="1187"/>
      <c r="H349" s="946"/>
      <c r="I349" s="1204"/>
    </row>
    <row r="350" spans="1:9" ht="21" customHeight="1">
      <c r="A350" s="1192"/>
      <c r="B350" s="1193"/>
      <c r="C350" s="1196" t="s">
        <v>616</v>
      </c>
      <c r="D350" s="1197"/>
      <c r="E350" s="1197"/>
      <c r="F350" s="1197"/>
      <c r="G350" s="1198"/>
      <c r="H350" s="946"/>
      <c r="I350" s="1204"/>
    </row>
    <row r="351" spans="1:9" ht="90" customHeight="1">
      <c r="A351" s="1192"/>
      <c r="B351" s="1193"/>
      <c r="C351" s="1199" t="s">
        <v>617</v>
      </c>
      <c r="D351" s="1199"/>
      <c r="E351" s="1199"/>
      <c r="F351" s="1199"/>
      <c r="G351" s="1199"/>
      <c r="H351" s="946"/>
      <c r="I351" s="1204"/>
    </row>
    <row r="352" spans="1:9" ht="21" customHeight="1">
      <c r="A352" s="1192"/>
      <c r="B352" s="1193"/>
      <c r="C352" s="1200" t="s">
        <v>618</v>
      </c>
      <c r="D352" s="1200"/>
      <c r="E352" s="1200"/>
      <c r="F352" s="1200"/>
      <c r="G352" s="1200"/>
      <c r="H352" s="946"/>
      <c r="I352" s="1204"/>
    </row>
    <row r="353" spans="1:9" ht="89.4" customHeight="1">
      <c r="A353" s="1192"/>
      <c r="B353" s="1193"/>
      <c r="C353" s="1199" t="s">
        <v>619</v>
      </c>
      <c r="D353" s="1199"/>
      <c r="E353" s="1199"/>
      <c r="F353" s="1199"/>
      <c r="G353" s="1199"/>
      <c r="H353" s="946"/>
      <c r="I353" s="1204"/>
    </row>
    <row r="354" spans="1:9" ht="16.2" customHeight="1">
      <c r="A354" s="1192"/>
      <c r="B354" s="1193"/>
      <c r="C354" s="861" t="s">
        <v>620</v>
      </c>
      <c r="D354" s="861"/>
      <c r="E354" s="861"/>
      <c r="F354" s="861"/>
      <c r="G354" s="861"/>
      <c r="H354" s="946"/>
      <c r="I354" s="1204"/>
    </row>
    <row r="355" spans="1:9" ht="56.4" customHeight="1" thickBot="1">
      <c r="A355" s="1194"/>
      <c r="B355" s="1195"/>
      <c r="C355" s="1201" t="s">
        <v>621</v>
      </c>
      <c r="D355" s="1201"/>
      <c r="E355" s="1201"/>
      <c r="F355" s="1201"/>
      <c r="G355" s="1201"/>
      <c r="H355" s="1205"/>
      <c r="I355" s="1206"/>
    </row>
    <row r="356" spans="1:9" ht="174" customHeight="1">
      <c r="A356" s="1203"/>
      <c r="B356" s="998"/>
      <c r="C356" s="998"/>
      <c r="D356" s="998"/>
      <c r="E356" s="998"/>
      <c r="F356" s="998"/>
      <c r="G356" s="998"/>
      <c r="H356" s="998"/>
      <c r="I356" s="998"/>
    </row>
    <row r="358" spans="1:9">
      <c r="B358" s="611"/>
    </row>
    <row r="377" spans="1:8">
      <c r="B377" s="1202"/>
      <c r="C377" s="1202"/>
      <c r="D377" s="1202"/>
      <c r="E377" s="1202"/>
      <c r="F377" s="1202"/>
      <c r="G377" s="1202"/>
      <c r="H377" s="1202"/>
    </row>
    <row r="378" spans="1:8" ht="59.4" customHeight="1">
      <c r="A378" s="829" t="s">
        <v>626</v>
      </c>
      <c r="B378" s="829"/>
      <c r="C378" s="829"/>
      <c r="D378" s="829"/>
      <c r="E378" s="829"/>
      <c r="F378" s="829"/>
      <c r="G378" s="829"/>
      <c r="H378" s="829"/>
    </row>
    <row r="379" spans="1:8" ht="39.6" customHeight="1">
      <c r="B379" s="1188" t="s">
        <v>627</v>
      </c>
      <c r="C379" s="1188"/>
      <c r="D379" s="1188"/>
      <c r="E379" s="1188"/>
      <c r="F379" s="1188"/>
      <c r="G379" s="1188"/>
      <c r="H379" s="1188"/>
    </row>
    <row r="380" spans="1:8" ht="32.4" customHeight="1">
      <c r="B380" s="1189" t="s">
        <v>976</v>
      </c>
      <c r="C380" s="1189"/>
      <c r="D380" s="1189"/>
      <c r="E380" s="1189"/>
      <c r="F380" s="1189"/>
      <c r="G380" s="1189"/>
      <c r="H380" s="1189"/>
    </row>
    <row r="381" spans="1:8" ht="30.6" customHeight="1">
      <c r="B381" s="1190" t="s">
        <v>628</v>
      </c>
      <c r="C381" s="1190"/>
      <c r="D381" s="1190"/>
      <c r="E381" s="1190"/>
      <c r="F381" s="1190"/>
      <c r="G381" s="1190"/>
      <c r="H381" s="1190"/>
    </row>
    <row r="382" spans="1:8" ht="79.8" customHeight="1">
      <c r="B382" s="1042" t="s">
        <v>629</v>
      </c>
      <c r="C382" s="1042"/>
      <c r="D382" s="1042"/>
      <c r="E382" s="1042"/>
      <c r="F382" s="1042"/>
      <c r="G382" s="1042"/>
      <c r="H382" s="1042"/>
    </row>
    <row r="383" spans="1:8" ht="15.6" customHeight="1">
      <c r="B383" s="1190" t="s">
        <v>630</v>
      </c>
      <c r="C383" s="1190"/>
      <c r="D383" s="1190"/>
      <c r="E383" s="1190"/>
      <c r="F383" s="1190"/>
      <c r="G383" s="1190"/>
      <c r="H383" s="1190"/>
    </row>
    <row r="384" spans="1:8" ht="85.2" customHeight="1">
      <c r="B384" s="1213" t="s">
        <v>631</v>
      </c>
      <c r="C384" s="1213"/>
      <c r="D384" s="1213"/>
      <c r="E384" s="1213"/>
      <c r="F384" s="1213"/>
      <c r="G384" s="1213"/>
      <c r="H384" s="1213"/>
    </row>
    <row r="385" spans="2:20" ht="32.4" customHeight="1">
      <c r="B385" s="1189" t="s">
        <v>977</v>
      </c>
      <c r="C385" s="1189"/>
      <c r="D385" s="1189"/>
      <c r="E385" s="1189"/>
      <c r="F385" s="1189"/>
      <c r="G385" s="1189"/>
      <c r="H385" s="1189"/>
    </row>
    <row r="386" spans="2:20" ht="39" customHeight="1">
      <c r="B386" s="1214" t="s">
        <v>632</v>
      </c>
      <c r="C386" s="1214"/>
      <c r="D386" s="1214"/>
      <c r="E386" s="1214"/>
      <c r="F386" s="1214"/>
      <c r="G386" s="1214"/>
      <c r="H386" s="1214"/>
    </row>
    <row r="387" spans="2:20" ht="90.6" customHeight="1">
      <c r="B387" s="1215" t="s">
        <v>633</v>
      </c>
      <c r="C387" s="1215"/>
      <c r="D387" s="1215"/>
      <c r="E387" s="1215"/>
      <c r="F387" s="1215"/>
      <c r="G387" s="1215"/>
      <c r="H387" s="1215"/>
    </row>
    <row r="388" spans="2:20" ht="49.8" customHeight="1">
      <c r="B388" s="1214" t="s">
        <v>634</v>
      </c>
      <c r="C388" s="1214"/>
      <c r="D388" s="1214"/>
      <c r="E388" s="1214"/>
      <c r="F388" s="1214"/>
      <c r="G388" s="1214"/>
      <c r="H388" s="1214"/>
    </row>
    <row r="389" spans="2:20" ht="144.6" customHeight="1">
      <c r="B389" s="1215" t="s">
        <v>635</v>
      </c>
      <c r="C389" s="1215"/>
      <c r="D389" s="1215"/>
      <c r="E389" s="1215"/>
      <c r="F389" s="1215"/>
      <c r="G389" s="1215"/>
      <c r="H389" s="1215"/>
    </row>
    <row r="390" spans="2:20" ht="59.4" customHeight="1">
      <c r="B390" s="1215" t="s">
        <v>636</v>
      </c>
      <c r="C390" s="1215"/>
      <c r="D390" s="1215"/>
      <c r="E390" s="1215"/>
      <c r="F390" s="1215"/>
      <c r="G390" s="1215"/>
      <c r="H390" s="1215"/>
    </row>
    <row r="391" spans="2:20" s="427" customFormat="1" ht="46.2" customHeight="1">
      <c r="B391" s="1215" t="s">
        <v>637</v>
      </c>
      <c r="C391" s="1215"/>
      <c r="D391" s="1215"/>
      <c r="E391" s="1215"/>
      <c r="F391" s="1215"/>
      <c r="G391" s="1215"/>
      <c r="H391" s="1215"/>
      <c r="T391" s="6"/>
    </row>
    <row r="392" spans="2:20">
      <c r="B392" s="1042"/>
      <c r="C392" s="1042"/>
      <c r="D392" s="1042"/>
      <c r="E392" s="1042"/>
      <c r="F392" s="1042"/>
      <c r="G392" s="1042"/>
      <c r="H392" s="1042"/>
      <c r="T392" s="427"/>
    </row>
    <row r="393" spans="2:20" ht="32.4" customHeight="1">
      <c r="B393" s="1042" t="s">
        <v>978</v>
      </c>
      <c r="C393" s="1042"/>
      <c r="D393" s="1042"/>
      <c r="E393" s="1042"/>
      <c r="F393" s="1042"/>
      <c r="G393" s="1042"/>
      <c r="H393" s="1042"/>
    </row>
    <row r="394" spans="2:20" ht="50.4" customHeight="1">
      <c r="B394" s="1214" t="s">
        <v>979</v>
      </c>
      <c r="C394" s="1214"/>
      <c r="D394" s="1214"/>
      <c r="E394" s="1214"/>
      <c r="F394" s="1214"/>
      <c r="G394" s="1214"/>
      <c r="H394" s="1214"/>
    </row>
    <row r="395" spans="2:20" ht="243" customHeight="1">
      <c r="B395" s="1008" t="s">
        <v>980</v>
      </c>
      <c r="C395" s="1008"/>
      <c r="D395" s="1008"/>
      <c r="E395" s="1008"/>
      <c r="F395" s="1008"/>
      <c r="G395" s="1008"/>
      <c r="H395" s="1008"/>
    </row>
    <row r="396" spans="2:20" ht="32.4" customHeight="1">
      <c r="B396" s="1052" t="s">
        <v>638</v>
      </c>
      <c r="C396" s="1052"/>
      <c r="D396" s="1052"/>
      <c r="E396" s="1052"/>
      <c r="F396" s="1052"/>
      <c r="G396" s="1052"/>
      <c r="H396" s="1052"/>
    </row>
    <row r="397" spans="2:20" ht="130.80000000000001" customHeight="1">
      <c r="B397" s="1042" t="s">
        <v>639</v>
      </c>
      <c r="C397" s="1042"/>
      <c r="D397" s="1042"/>
      <c r="E397" s="1042"/>
      <c r="F397" s="1042"/>
      <c r="G397" s="1042"/>
      <c r="H397" s="1042"/>
    </row>
    <row r="398" spans="2:20" ht="87" customHeight="1">
      <c r="B398" s="1042" t="s">
        <v>640</v>
      </c>
      <c r="C398" s="1042"/>
      <c r="D398" s="1042"/>
      <c r="E398" s="1042"/>
      <c r="F398" s="1042"/>
      <c r="G398" s="1042"/>
      <c r="H398" s="1042"/>
    </row>
    <row r="399" spans="2:20" ht="37.799999999999997" customHeight="1">
      <c r="B399" s="1042" t="s">
        <v>641</v>
      </c>
      <c r="C399" s="1042"/>
      <c r="D399" s="1042"/>
      <c r="E399" s="1042"/>
      <c r="F399" s="1042"/>
      <c r="G399" s="1042"/>
      <c r="H399" s="1042"/>
    </row>
    <row r="400" spans="2:20" ht="30.6" customHeight="1">
      <c r="B400" s="1042"/>
      <c r="C400" s="1042"/>
      <c r="D400" s="1042"/>
      <c r="E400" s="1042"/>
      <c r="F400" s="1042"/>
      <c r="G400" s="1042"/>
      <c r="H400" s="1042"/>
    </row>
    <row r="401" spans="1:20" s="432" customFormat="1" ht="30.6" customHeight="1">
      <c r="A401" s="537" t="s">
        <v>642</v>
      </c>
      <c r="T401" s="6"/>
    </row>
    <row r="402" spans="1:20" ht="32.4" customHeight="1">
      <c r="B402" s="1042" t="s">
        <v>981</v>
      </c>
      <c r="C402" s="1042"/>
      <c r="D402" s="1042"/>
      <c r="E402" s="1042"/>
      <c r="F402" s="1042"/>
      <c r="G402" s="1042"/>
      <c r="H402" s="1042"/>
      <c r="T402" s="432"/>
    </row>
    <row r="403" spans="1:20" ht="32.4" customHeight="1" thickBot="1">
      <c r="B403" s="1052" t="s">
        <v>643</v>
      </c>
      <c r="C403" s="1052"/>
      <c r="D403" s="1052"/>
      <c r="E403" s="1052"/>
      <c r="F403" s="1052"/>
      <c r="G403" s="1052"/>
      <c r="H403" s="1052"/>
    </row>
    <row r="404" spans="1:20" ht="32.4" customHeight="1" thickBot="1">
      <c r="B404" s="1219" t="s">
        <v>644</v>
      </c>
      <c r="C404" s="1220"/>
      <c r="D404" s="1220"/>
      <c r="E404" s="1220"/>
      <c r="F404" s="1220"/>
      <c r="G404" s="1220"/>
      <c r="H404" s="1221"/>
    </row>
    <row r="405" spans="1:20" ht="46.2" customHeight="1">
      <c r="B405" s="1042" t="s">
        <v>645</v>
      </c>
      <c r="C405" s="1042"/>
      <c r="D405" s="1042"/>
      <c r="E405" s="1042"/>
      <c r="F405" s="1042"/>
      <c r="G405" s="1042"/>
      <c r="H405" s="1042"/>
    </row>
    <row r="406" spans="1:20" ht="46.2" customHeight="1">
      <c r="B406" s="1052" t="s">
        <v>646</v>
      </c>
      <c r="C406" s="1052"/>
      <c r="D406" s="1052"/>
      <c r="E406" s="1052"/>
      <c r="F406" s="1052"/>
      <c r="G406" s="1052"/>
      <c r="H406" s="1052"/>
    </row>
    <row r="407" spans="1:20" ht="42" customHeight="1">
      <c r="B407" s="1052" t="s">
        <v>647</v>
      </c>
      <c r="C407" s="1052"/>
      <c r="D407" s="1052"/>
      <c r="E407" s="1052"/>
      <c r="F407" s="1052"/>
      <c r="G407" s="1052"/>
      <c r="H407" s="1052"/>
    </row>
    <row r="408" spans="1:20" ht="37.200000000000003" customHeight="1">
      <c r="B408" s="1052" t="s">
        <v>648</v>
      </c>
      <c r="C408" s="1052"/>
      <c r="D408" s="1052"/>
      <c r="E408" s="1052"/>
      <c r="F408" s="1052"/>
      <c r="G408" s="1052"/>
      <c r="H408" s="1052"/>
    </row>
    <row r="409" spans="1:20" ht="24.6" customHeight="1">
      <c r="B409" s="1052" t="s">
        <v>649</v>
      </c>
      <c r="C409" s="1052"/>
      <c r="D409" s="1052"/>
      <c r="E409" s="1052"/>
      <c r="F409" s="1052"/>
      <c r="G409" s="1052"/>
      <c r="H409" s="1052"/>
    </row>
    <row r="410" spans="1:20" ht="33.6" customHeight="1">
      <c r="B410" s="1042" t="s">
        <v>650</v>
      </c>
      <c r="C410" s="1042"/>
      <c r="D410" s="1042"/>
      <c r="E410" s="1042"/>
      <c r="F410" s="1042"/>
      <c r="G410" s="1042"/>
      <c r="H410" s="1042"/>
    </row>
    <row r="411" spans="1:20" ht="90.6" customHeight="1">
      <c r="B411" s="1052" t="s">
        <v>651</v>
      </c>
      <c r="C411" s="1052"/>
      <c r="D411" s="1052"/>
      <c r="E411" s="1052"/>
      <c r="F411" s="1052"/>
      <c r="G411" s="1052"/>
      <c r="H411" s="1052"/>
    </row>
    <row r="412" spans="1:20" ht="29.4" customHeight="1">
      <c r="B412" s="1052" t="s">
        <v>652</v>
      </c>
      <c r="C412" s="1052"/>
      <c r="D412" s="1052"/>
      <c r="E412" s="1052"/>
      <c r="F412" s="1052"/>
      <c r="G412" s="1052"/>
      <c r="H412" s="1052"/>
    </row>
    <row r="413" spans="1:20" ht="38.4" customHeight="1">
      <c r="B413" s="1052" t="s">
        <v>653</v>
      </c>
      <c r="C413" s="1052"/>
      <c r="D413" s="1052"/>
      <c r="E413" s="1052"/>
      <c r="F413" s="1052"/>
      <c r="G413" s="1052"/>
      <c r="H413" s="1052"/>
    </row>
    <row r="414" spans="1:20" ht="29.4" customHeight="1">
      <c r="B414" s="1052" t="s">
        <v>654</v>
      </c>
      <c r="C414" s="1052"/>
      <c r="D414" s="1052"/>
      <c r="E414" s="1052"/>
      <c r="F414" s="1052"/>
      <c r="G414" s="1052"/>
      <c r="H414" s="1052"/>
    </row>
    <row r="415" spans="1:20" ht="57.6" customHeight="1" thickBot="1">
      <c r="B415" s="1042" t="s">
        <v>655</v>
      </c>
      <c r="C415" s="1042"/>
      <c r="D415" s="1042"/>
      <c r="E415" s="1042"/>
      <c r="F415" s="1042"/>
      <c r="G415" s="1042"/>
      <c r="H415" s="1042"/>
    </row>
    <row r="416" spans="1:20" ht="22.8" thickBot="1">
      <c r="B416" s="1219" t="s">
        <v>656</v>
      </c>
      <c r="C416" s="1220"/>
      <c r="D416" s="1220"/>
      <c r="E416" s="1220"/>
      <c r="F416" s="1220"/>
      <c r="G416" s="1220"/>
      <c r="H416" s="1221"/>
    </row>
    <row r="417" spans="2:8" ht="88.8" customHeight="1">
      <c r="B417" s="1052" t="s">
        <v>657</v>
      </c>
      <c r="C417" s="1052"/>
      <c r="D417" s="1052"/>
      <c r="E417" s="1052"/>
      <c r="F417" s="1052"/>
      <c r="G417" s="1052"/>
      <c r="H417" s="1052"/>
    </row>
    <row r="418" spans="2:8" ht="33.6" customHeight="1">
      <c r="B418" s="1052" t="s">
        <v>982</v>
      </c>
      <c r="C418" s="1052"/>
      <c r="D418" s="1052"/>
      <c r="E418" s="1052"/>
      <c r="F418" s="1052"/>
      <c r="G418" s="1052"/>
      <c r="H418" s="1052"/>
    </row>
    <row r="419" spans="2:8" ht="58.8" customHeight="1">
      <c r="B419" s="1052" t="s">
        <v>658</v>
      </c>
      <c r="C419" s="1052"/>
      <c r="D419" s="1052"/>
      <c r="E419" s="1052"/>
      <c r="F419" s="1052"/>
      <c r="G419" s="1052"/>
      <c r="H419" s="1052"/>
    </row>
    <row r="420" spans="2:8" ht="40.799999999999997" customHeight="1" thickBot="1">
      <c r="B420" s="1052" t="s">
        <v>659</v>
      </c>
      <c r="C420" s="1052"/>
      <c r="D420" s="1052"/>
      <c r="E420" s="1052"/>
      <c r="F420" s="1052"/>
      <c r="G420" s="1052"/>
      <c r="H420" s="1052"/>
    </row>
    <row r="421" spans="2:8" ht="32.4" customHeight="1" thickBot="1">
      <c r="B421" s="1219" t="s">
        <v>1543</v>
      </c>
      <c r="C421" s="1220"/>
      <c r="D421" s="1220"/>
      <c r="E421" s="1220"/>
      <c r="F421" s="1220"/>
      <c r="G421" s="1220"/>
      <c r="H421" s="1221"/>
    </row>
    <row r="422" spans="2:8" ht="144.6" customHeight="1">
      <c r="B422" s="1240" t="s">
        <v>660</v>
      </c>
      <c r="C422" s="1240"/>
      <c r="D422" s="1240"/>
      <c r="E422" s="1240"/>
      <c r="F422" s="1240"/>
      <c r="G422" s="1240"/>
      <c r="H422" s="1240"/>
    </row>
    <row r="423" spans="2:8" ht="23.4" customHeight="1">
      <c r="B423" s="1050" t="s">
        <v>661</v>
      </c>
      <c r="C423" s="1050"/>
      <c r="D423" s="1050"/>
      <c r="E423" s="1050"/>
      <c r="F423" s="1050"/>
      <c r="G423" s="1050"/>
      <c r="H423" s="1050"/>
    </row>
    <row r="424" spans="2:8" ht="32.4" customHeight="1">
      <c r="B424" s="1052" t="s">
        <v>983</v>
      </c>
      <c r="C424" s="1052"/>
      <c r="D424" s="1052"/>
      <c r="E424" s="1052"/>
      <c r="F424" s="1052"/>
      <c r="G424" s="1052"/>
      <c r="H424" s="1052"/>
    </row>
    <row r="425" spans="2:8" ht="33.9" customHeight="1">
      <c r="B425" s="1052" t="s">
        <v>662</v>
      </c>
      <c r="C425" s="1052"/>
      <c r="D425" s="1052"/>
      <c r="E425" s="1052"/>
      <c r="F425" s="1052"/>
      <c r="G425" s="1052"/>
      <c r="H425" s="1052"/>
    </row>
    <row r="426" spans="2:8" ht="33.9" customHeight="1">
      <c r="B426" s="1052" t="s">
        <v>663</v>
      </c>
      <c r="C426" s="1052"/>
      <c r="D426" s="1052"/>
      <c r="E426" s="1052"/>
      <c r="F426" s="1052"/>
      <c r="G426" s="1052"/>
      <c r="H426" s="1052"/>
    </row>
    <row r="427" spans="2:8" ht="70.2" customHeight="1" thickBot="1">
      <c r="B427" s="1215" t="s">
        <v>664</v>
      </c>
      <c r="C427" s="1215"/>
      <c r="D427" s="1215"/>
      <c r="E427" s="1215"/>
      <c r="F427" s="1215"/>
      <c r="G427" s="1215"/>
      <c r="H427" s="1215"/>
    </row>
    <row r="428" spans="2:8" ht="33.9" customHeight="1" thickBot="1">
      <c r="B428" s="1216" t="s">
        <v>665</v>
      </c>
      <c r="C428" s="1217"/>
      <c r="D428" s="1217"/>
      <c r="E428" s="1217"/>
      <c r="F428" s="1217"/>
      <c r="G428" s="1217"/>
      <c r="H428" s="1218"/>
    </row>
    <row r="429" spans="2:8" ht="33.9" customHeight="1" thickBot="1">
      <c r="B429" s="1216" t="s">
        <v>1544</v>
      </c>
      <c r="C429" s="1217"/>
      <c r="D429" s="1217"/>
      <c r="E429" s="1217"/>
      <c r="F429" s="1217"/>
      <c r="G429" s="1217"/>
      <c r="H429" s="1218"/>
    </row>
    <row r="430" spans="2:8" ht="34.200000000000003" customHeight="1" thickBot="1">
      <c r="B430" s="1215" t="s">
        <v>666</v>
      </c>
      <c r="C430" s="1215"/>
      <c r="D430" s="1215"/>
      <c r="E430" s="1215"/>
      <c r="F430" s="1215"/>
      <c r="G430" s="1215"/>
      <c r="H430" s="1215"/>
    </row>
    <row r="431" spans="2:8" ht="26.4" customHeight="1" thickBot="1">
      <c r="B431" s="1216" t="s">
        <v>667</v>
      </c>
      <c r="C431" s="1217"/>
      <c r="D431" s="1217"/>
      <c r="E431" s="1217"/>
      <c r="F431" s="1217"/>
      <c r="G431" s="1217"/>
      <c r="H431" s="1218"/>
    </row>
    <row r="432" spans="2:8" ht="109.8" customHeight="1" thickBot="1">
      <c r="B432" s="1042" t="s">
        <v>672</v>
      </c>
      <c r="C432" s="1042"/>
      <c r="D432" s="1042"/>
      <c r="E432" s="1042"/>
      <c r="F432" s="1042"/>
      <c r="G432" s="1042"/>
      <c r="H432" s="1042"/>
    </row>
    <row r="433" spans="2:9" ht="33.9" customHeight="1" thickBot="1">
      <c r="B433" s="1216" t="s">
        <v>668</v>
      </c>
      <c r="C433" s="1217"/>
      <c r="D433" s="1217"/>
      <c r="E433" s="1217"/>
      <c r="F433" s="1217"/>
      <c r="G433" s="1217"/>
      <c r="H433" s="1218"/>
    </row>
    <row r="434" spans="2:9" ht="202.8" customHeight="1" thickBot="1">
      <c r="B434" s="1042" t="s">
        <v>669</v>
      </c>
      <c r="C434" s="1042"/>
      <c r="D434" s="1042"/>
      <c r="E434" s="1042"/>
      <c r="F434" s="1042"/>
      <c r="G434" s="1042"/>
      <c r="H434" s="1042"/>
    </row>
    <row r="435" spans="2:9" ht="33.9" customHeight="1" thickBot="1">
      <c r="B435" s="1216" t="s">
        <v>714</v>
      </c>
      <c r="C435" s="1217"/>
      <c r="D435" s="1217"/>
      <c r="E435" s="1217"/>
      <c r="F435" s="1217"/>
      <c r="G435" s="1217"/>
      <c r="H435" s="1218"/>
    </row>
    <row r="436" spans="2:9" ht="120.6" customHeight="1" thickBot="1">
      <c r="B436" s="1042" t="s">
        <v>670</v>
      </c>
      <c r="C436" s="1042"/>
      <c r="D436" s="1042"/>
      <c r="E436" s="1042"/>
      <c r="F436" s="1042"/>
      <c r="G436" s="1042"/>
      <c r="H436" s="1042"/>
    </row>
    <row r="437" spans="2:9" ht="33.9" customHeight="1" thickBot="1">
      <c r="B437" s="887" t="s">
        <v>673</v>
      </c>
      <c r="C437" s="888"/>
      <c r="D437" s="888"/>
      <c r="E437" s="888"/>
      <c r="F437" s="888"/>
      <c r="G437" s="888"/>
      <c r="H437" s="889"/>
    </row>
    <row r="438" spans="2:9" ht="97.8" customHeight="1">
      <c r="B438" s="831" t="s">
        <v>671</v>
      </c>
      <c r="C438" s="831"/>
      <c r="D438" s="831"/>
      <c r="E438" s="831"/>
      <c r="F438" s="831"/>
      <c r="G438" s="831"/>
      <c r="H438" s="831"/>
    </row>
    <row r="439" spans="2:9" ht="33.9" customHeight="1">
      <c r="B439" s="1238" t="s">
        <v>984</v>
      </c>
      <c r="C439" s="1238"/>
      <c r="D439" s="1238"/>
      <c r="E439" s="1238"/>
      <c r="F439" s="1238"/>
      <c r="G439" s="1238"/>
      <c r="H439" s="1238"/>
      <c r="I439" s="1238"/>
    </row>
    <row r="440" spans="2:9" ht="409.6" customHeight="1"/>
    <row r="441" spans="2:9" ht="13.8" customHeight="1" thickBot="1"/>
    <row r="442" spans="2:9" ht="16.8" hidden="1" thickBot="1"/>
    <row r="443" spans="2:9" ht="50.4" customHeight="1" thickBot="1">
      <c r="H443" s="570" t="s">
        <v>680</v>
      </c>
      <c r="I443" s="571"/>
    </row>
    <row r="444" spans="2:9" ht="17.399999999999999" thickTop="1" thickBot="1">
      <c r="B444" s="572" t="s">
        <v>675</v>
      </c>
      <c r="D444" s="1241" t="s">
        <v>985</v>
      </c>
      <c r="E444" s="1242"/>
      <c r="F444" s="1243"/>
      <c r="H444" s="571"/>
      <c r="I444" s="571"/>
    </row>
    <row r="445" spans="2:9" ht="33.6" thickBot="1">
      <c r="B445" s="1228" t="str">
        <f>計畫架構圖表!C64</f>
        <v>D2 機動保全、特勤保全、定點保全狀況個突發狀態默契訓練及SOP制定及驗證9/10、12/10、6/10</v>
      </c>
      <c r="C445" s="573"/>
      <c r="D445" s="574" t="str">
        <f>計畫架構圖表!C43</f>
        <v>C1 AI智慧社區服務系統及及無人保全開發商123招攬及合約簽訂7/30</v>
      </c>
      <c r="E445" s="575" t="str">
        <f>計畫架構圖表!C45</f>
        <v>C2 AI智慧社區服務系統完成商業及物業系統開發。9/1</v>
      </c>
      <c r="F445" s="576" t="str">
        <f>計畫架構圖表!C47</f>
        <v>C3 AI智慧社區服務系統完成社區專勤隊串接10/1</v>
      </c>
      <c r="H445" s="571"/>
      <c r="I445" s="570" t="s">
        <v>680</v>
      </c>
    </row>
    <row r="446" spans="2:9" ht="34.200000000000003" thickTop="1" thickBot="1">
      <c r="B446" s="1229"/>
      <c r="C446" s="573"/>
      <c r="D446" s="577" t="str">
        <f>計畫架構圖表!C24</f>
        <v>B1物業管理及保全協力廠商探詢及轄內物業管理8/1</v>
      </c>
      <c r="E446" s="578" t="str">
        <f>計畫架構圖表!C26</f>
        <v>B2分析各管委會及承攬物業資訊製作物業資訊庫10/1</v>
      </c>
      <c r="F446" s="579" t="str">
        <f>計畫架構圖表!C49</f>
        <v>C4 AI智慧社區服務系統、無人保全系統及完成串接10/1</v>
      </c>
      <c r="H446" s="532" t="s">
        <v>674</v>
      </c>
      <c r="I446" s="571"/>
    </row>
    <row r="447" spans="2:9" ht="33.6" thickBot="1">
      <c r="B447" s="580"/>
      <c r="C447" s="573"/>
      <c r="D447" s="581" t="str">
        <f>計畫架構圖表!C30</f>
        <v>B4進行全區域的物業拜訪開拓創新社區安全網業務11/1</v>
      </c>
      <c r="E447" s="582" t="str">
        <f>計畫架構圖表!C30</f>
        <v>B4進行全區域的物業拜訪開拓創新社區安全網業務11/1</v>
      </c>
      <c r="F447" s="579" t="str">
        <f>計畫架構圖表!C51</f>
        <v>C5各使用端意見收集及系統改善項目表提出1/15</v>
      </c>
      <c r="H447" s="571"/>
      <c r="I447" s="571"/>
    </row>
    <row r="448" spans="2:9" ht="33" thickBot="1">
      <c r="B448" s="580"/>
      <c r="C448" s="573"/>
      <c r="D448" s="583" t="str">
        <f>計畫架構圖表!C30</f>
        <v>B4進行全區域的物業拜訪開拓創新社區安全網業務11/1</v>
      </c>
      <c r="E448" s="584" t="s">
        <v>692</v>
      </c>
      <c r="F448" s="585" t="s">
        <v>679</v>
      </c>
      <c r="H448" s="571"/>
      <c r="I448" s="586" t="s">
        <v>678</v>
      </c>
    </row>
    <row r="449" spans="2:20" ht="40.200000000000003" thickTop="1" thickBot="1">
      <c r="B449" s="1230" t="str">
        <f>計畫架構圖表!C68</f>
        <v>D3串接雲端點餐系統執行聯合銷售服務量能測9/1、11/1  1/01</v>
      </c>
      <c r="C449" s="573"/>
      <c r="D449" s="587" t="str">
        <f>計畫架構圖表!C81</f>
        <v>E1本計畫各項新購設備使用費7/1</v>
      </c>
      <c r="E449" s="588" t="str">
        <f>計畫架構圖表!C83</f>
        <v>E2顧問選任聘用，協助社區發展協會開發社區專勤隊9/1</v>
      </c>
      <c r="F449" s="589" t="str">
        <f>計畫架構圖表!C85</f>
        <v>E3計畫進度管考及協調指、各計畫開發研發工作職務代理ALLTIME</v>
      </c>
      <c r="H449" s="571"/>
      <c r="I449" s="571"/>
    </row>
    <row r="450" spans="2:20" ht="48" thickTop="1" thickBot="1">
      <c r="B450" s="1231"/>
      <c r="C450" s="573"/>
      <c r="D450" s="590" t="str">
        <f>計畫架構圖表!C5</f>
        <v>A1直營商店營運權力取得及技術轉移7/10</v>
      </c>
      <c r="E450" s="591" t="str">
        <f>計畫架構圖表!C13</f>
        <v>A5完成全區域內商業分析報告及擬定顧問企劃，提高直營商業營業額至每月20萬元。4/1</v>
      </c>
      <c r="F450" s="592" t="str">
        <f>計畫架構圖表!C87</f>
        <v>E4辦理產官學民四方專案研討會6/10</v>
      </c>
      <c r="H450" s="571"/>
      <c r="I450" s="571"/>
    </row>
    <row r="451" spans="2:20" ht="41.4" customHeight="1" thickBot="1">
      <c r="B451" s="593"/>
      <c r="C451" s="573"/>
      <c r="D451" s="594" t="str">
        <f>計畫架構圖表!C7</f>
        <v>A2直營咖啡店營運、進行員工教學及產品開發研究、並導入點餐系統8/1</v>
      </c>
      <c r="E451" s="1248" t="s">
        <v>676</v>
      </c>
      <c r="F451" s="1249"/>
      <c r="H451" s="595" t="s">
        <v>680</v>
      </c>
      <c r="I451" s="571"/>
    </row>
    <row r="452" spans="2:20" ht="31.8" customHeight="1" thickBot="1">
      <c r="B452" s="593"/>
      <c r="C452" s="573"/>
      <c r="D452" s="596" t="str">
        <f>計畫架構圖表!C9</f>
        <v>A3轄內商業資訊收集建檔及資料分析11/1</v>
      </c>
      <c r="E452" s="1244" t="s">
        <v>986</v>
      </c>
      <c r="F452" s="1245"/>
      <c r="H452" s="571"/>
      <c r="I452" s="595" t="s">
        <v>680</v>
      </c>
    </row>
    <row r="453" spans="2:20" ht="28.2" customHeight="1" thickBot="1">
      <c r="B453" s="1232" t="str">
        <f>計畫架構圖表!C64</f>
        <v>D2 機動保全、特勤保全、定點保全狀況個突發狀態默契訓練及SOP制定及驗證9/10、12/10、6/10</v>
      </c>
      <c r="C453" s="573"/>
      <c r="D453" s="597" t="str">
        <f>計畫架構圖表!C11</f>
        <v>A4開發商業會員參與聯合營運計畫10/1</v>
      </c>
      <c r="E453" s="1246"/>
      <c r="F453" s="1247"/>
      <c r="H453" s="571"/>
      <c r="I453" s="571"/>
    </row>
    <row r="454" spans="2:20" ht="17.399999999999999" thickTop="1" thickBot="1">
      <c r="B454" s="1233"/>
      <c r="H454" s="571" t="s">
        <v>713</v>
      </c>
      <c r="I454" s="486"/>
    </row>
    <row r="455" spans="2:20" ht="16.8" thickBot="1">
      <c r="B455" s="1233"/>
      <c r="D455" s="483"/>
      <c r="E455" s="598"/>
      <c r="F455" s="484"/>
      <c r="G455" s="598"/>
      <c r="H455" s="599"/>
    </row>
    <row r="456" spans="2:20" ht="16.8" thickBot="1">
      <c r="B456" s="580"/>
      <c r="D456" s="531"/>
      <c r="E456" s="600"/>
      <c r="F456" s="600"/>
      <c r="G456" s="600"/>
      <c r="H456" s="601" t="s">
        <v>677</v>
      </c>
    </row>
    <row r="457" spans="2:20" ht="16.8" thickBot="1">
      <c r="B457" s="580"/>
      <c r="D457" s="531"/>
      <c r="E457" s="600"/>
      <c r="F457" s="600"/>
      <c r="G457" s="600"/>
      <c r="H457" s="602"/>
    </row>
    <row r="458" spans="2:20" ht="17.399999999999999" thickTop="1" thickBot="1">
      <c r="B458" s="580"/>
      <c r="D458" s="531"/>
      <c r="E458" s="658" t="s">
        <v>677</v>
      </c>
      <c r="F458" s="600"/>
      <c r="G458" s="603" t="s">
        <v>677</v>
      </c>
      <c r="H458" s="602"/>
    </row>
    <row r="459" spans="2:20" ht="16.8" thickTop="1">
      <c r="B459" s="580"/>
      <c r="D459" s="531" t="s">
        <v>674</v>
      </c>
      <c r="E459" s="600"/>
      <c r="F459" s="600"/>
      <c r="G459" s="600"/>
      <c r="H459" s="602"/>
    </row>
    <row r="460" spans="2:20" ht="16.8" thickBot="1">
      <c r="B460" s="580"/>
      <c r="D460" s="531"/>
      <c r="E460" s="600"/>
      <c r="F460" s="600"/>
      <c r="G460" s="600"/>
      <c r="H460" s="602"/>
    </row>
    <row r="461" spans="2:20" ht="17.399999999999999" thickTop="1" thickBot="1">
      <c r="B461" s="580"/>
      <c r="D461" s="531"/>
      <c r="E461" s="600"/>
      <c r="F461" s="659" t="s">
        <v>677</v>
      </c>
      <c r="G461" s="600"/>
      <c r="H461" s="602"/>
    </row>
    <row r="462" spans="2:20" ht="17.399999999999999" thickTop="1" thickBot="1">
      <c r="B462" s="604"/>
      <c r="D462" s="485" t="s">
        <v>674</v>
      </c>
      <c r="E462" s="605"/>
      <c r="F462" s="606"/>
      <c r="G462" s="607" t="s">
        <v>712</v>
      </c>
      <c r="H462" s="608"/>
    </row>
    <row r="463" spans="2:20" ht="16.8" thickTop="1"/>
    <row r="464" spans="2:20" s="526" customFormat="1" ht="16.8" customHeight="1" thickBot="1">
      <c r="B464" s="1239" t="s">
        <v>681</v>
      </c>
      <c r="C464" s="1239"/>
      <c r="D464" s="1239"/>
      <c r="E464" s="1239"/>
      <c r="F464" s="1239"/>
      <c r="G464" s="1239"/>
      <c r="H464" s="1239"/>
      <c r="I464" s="1239"/>
      <c r="T464" s="6"/>
    </row>
    <row r="465" spans="2:20" ht="16.8" thickBot="1">
      <c r="B465" s="1222" t="s">
        <v>682</v>
      </c>
      <c r="C465" s="1222"/>
      <c r="D465" s="524">
        <f>I454</f>
        <v>0</v>
      </c>
      <c r="E465" s="1058" t="s">
        <v>683</v>
      </c>
      <c r="F465" s="1226"/>
      <c r="G465" s="1223" t="str">
        <f>D444</f>
        <v>物業商業AI社區服務中心</v>
      </c>
      <c r="H465" s="1224"/>
      <c r="I465" s="1225"/>
      <c r="T465" s="526"/>
    </row>
    <row r="466" spans="2:20" ht="17.399999999999999" thickTop="1" thickBot="1">
      <c r="B466" s="1227" t="s">
        <v>708</v>
      </c>
      <c r="C466" s="1227"/>
      <c r="D466" s="1227"/>
      <c r="E466" s="1227"/>
      <c r="F466" s="1053" t="str">
        <f>E458</f>
        <v>餐飲商家</v>
      </c>
      <c r="G466" s="1053"/>
      <c r="H466" s="428" t="s">
        <v>684</v>
      </c>
      <c r="I466" s="609" t="s">
        <v>685</v>
      </c>
    </row>
    <row r="467" spans="2:20" ht="17.399999999999999" thickTop="1" thickBot="1">
      <c r="B467" s="610" t="s">
        <v>686</v>
      </c>
      <c r="C467" s="428" t="s">
        <v>687</v>
      </c>
      <c r="D467" s="1054" t="s">
        <v>987</v>
      </c>
      <c r="E467" s="1055"/>
      <c r="F467" s="1056"/>
      <c r="G467" s="1058" t="s">
        <v>709</v>
      </c>
      <c r="H467" s="954"/>
      <c r="I467" s="1059"/>
    </row>
    <row r="468" spans="2:20">
      <c r="B468" s="1222" t="s">
        <v>711</v>
      </c>
      <c r="C468" s="1222"/>
      <c r="D468" s="482" t="str">
        <f>D462</f>
        <v>專勤隊員</v>
      </c>
      <c r="E468" s="954" t="s">
        <v>688</v>
      </c>
      <c r="F468" s="954"/>
      <c r="G468" s="954"/>
      <c r="H468" s="954"/>
      <c r="I468" s="6" t="s">
        <v>710</v>
      </c>
    </row>
    <row r="469" spans="2:20">
      <c r="B469" s="428"/>
      <c r="C469" s="428"/>
      <c r="D469" s="530"/>
      <c r="E469" s="428"/>
      <c r="F469" s="428"/>
      <c r="G469" s="428"/>
      <c r="H469" s="428"/>
    </row>
    <row r="470" spans="2:20" s="526" customFormat="1">
      <c r="B470" s="526" t="s">
        <v>706</v>
      </c>
      <c r="D470" s="1057" t="str">
        <f>H451</f>
        <v>管委會</v>
      </c>
      <c r="E470" s="1057"/>
      <c r="F470" s="954" t="s">
        <v>707</v>
      </c>
      <c r="G470" s="954"/>
      <c r="H470" s="954"/>
      <c r="I470" s="954"/>
      <c r="T470" s="6"/>
    </row>
    <row r="471" spans="2:20" s="526" customFormat="1">
      <c r="B471" s="526" t="s">
        <v>689</v>
      </c>
      <c r="D471" s="527"/>
      <c r="E471" s="528"/>
      <c r="F471" s="428"/>
      <c r="G471" s="428"/>
      <c r="H471" s="428"/>
      <c r="I471" s="428"/>
    </row>
    <row r="472" spans="2:20" s="526" customFormat="1">
      <c r="B472" s="526" t="s">
        <v>690</v>
      </c>
      <c r="D472" s="527"/>
      <c r="E472" s="528"/>
      <c r="F472" s="428"/>
      <c r="G472" s="428"/>
      <c r="H472" s="428"/>
      <c r="I472" s="428"/>
    </row>
    <row r="473" spans="2:20" s="526" customFormat="1">
      <c r="B473" s="526" t="s">
        <v>691</v>
      </c>
      <c r="D473" s="527"/>
      <c r="E473" s="528"/>
      <c r="F473" s="428"/>
      <c r="G473" s="428"/>
      <c r="H473" s="428"/>
      <c r="I473" s="428"/>
    </row>
    <row r="474" spans="2:20" s="526" customFormat="1" ht="16.8" thickBot="1">
      <c r="B474" s="526" t="s">
        <v>693</v>
      </c>
      <c r="D474" s="527"/>
      <c r="E474" s="1234" t="str">
        <f>E448</f>
        <v>社區安全中心    菁英保全員</v>
      </c>
      <c r="F474" s="1234"/>
      <c r="G474" s="1234"/>
      <c r="H474" s="428" t="s">
        <v>694</v>
      </c>
      <c r="I474" s="428" t="s">
        <v>695</v>
      </c>
    </row>
    <row r="475" spans="2:20" s="526" customFormat="1" ht="16.8" thickBot="1">
      <c r="B475" s="526" t="s">
        <v>696</v>
      </c>
      <c r="C475" s="1235" t="str">
        <f>D444</f>
        <v>物業商業AI社區服務中心</v>
      </c>
      <c r="D475" s="1224"/>
      <c r="E475" s="1225"/>
      <c r="F475" s="6" t="s">
        <v>697</v>
      </c>
      <c r="G475" s="428"/>
      <c r="H475" s="6"/>
      <c r="I475" s="6"/>
    </row>
    <row r="476" spans="2:20" s="526" customFormat="1">
      <c r="B476" s="526" t="s">
        <v>698</v>
      </c>
      <c r="D476" s="527"/>
      <c r="E476" s="528" t="s">
        <v>699</v>
      </c>
      <c r="F476" s="428"/>
      <c r="G476" s="428"/>
      <c r="H476" s="428"/>
      <c r="I476" s="428"/>
    </row>
    <row r="477" spans="2:20">
      <c r="B477" s="529" t="s">
        <v>700</v>
      </c>
      <c r="T477" s="526"/>
    </row>
    <row r="478" spans="2:20" ht="16.8" thickBot="1">
      <c r="B478" s="529" t="s">
        <v>701</v>
      </c>
      <c r="I478" s="5" t="s">
        <v>702</v>
      </c>
    </row>
    <row r="479" spans="2:20" ht="16.8" thickBot="1">
      <c r="B479" s="529" t="s">
        <v>703</v>
      </c>
      <c r="C479" s="1054" t="s">
        <v>987</v>
      </c>
      <c r="D479" s="1236"/>
      <c r="E479" s="1237"/>
      <c r="F479" s="6" t="s">
        <v>704</v>
      </c>
    </row>
    <row r="480" spans="2:20">
      <c r="B480" s="526" t="s">
        <v>705</v>
      </c>
    </row>
    <row r="482" spans="2:9">
      <c r="B482" s="525" t="s">
        <v>715</v>
      </c>
      <c r="E482" s="1068" t="str">
        <f>I448</f>
        <v>物業管理公司</v>
      </c>
      <c r="F482" s="1068"/>
      <c r="G482" s="6" t="s">
        <v>716</v>
      </c>
    </row>
    <row r="483" spans="2:9">
      <c r="B483" s="526" t="s">
        <v>717</v>
      </c>
      <c r="C483" s="6" t="str">
        <f>D444</f>
        <v>物業商業AI社區服務中心</v>
      </c>
      <c r="E483" s="6" t="s">
        <v>718</v>
      </c>
      <c r="F483" s="1069" t="str">
        <f>C479</f>
        <v>社區專勤隊工作派遣平台</v>
      </c>
      <c r="G483" s="1069"/>
      <c r="H483" s="1069"/>
      <c r="I483" s="6" t="s">
        <v>719</v>
      </c>
    </row>
    <row r="484" spans="2:9">
      <c r="B484" s="526" t="s">
        <v>720</v>
      </c>
      <c r="D484" s="482">
        <f>D455</f>
        <v>0</v>
      </c>
      <c r="E484" s="6" t="s">
        <v>721</v>
      </c>
    </row>
    <row r="485" spans="2:9">
      <c r="B485" s="526" t="s">
        <v>722</v>
      </c>
    </row>
    <row r="487" spans="2:9">
      <c r="B487" s="1238" t="s">
        <v>988</v>
      </c>
      <c r="C487" s="1238"/>
      <c r="D487" s="1238"/>
      <c r="E487" s="1238"/>
      <c r="F487" s="1238"/>
      <c r="G487" s="1238"/>
    </row>
    <row r="488" spans="2:9" ht="21.15" customHeight="1">
      <c r="B488" s="1049" t="s">
        <v>989</v>
      </c>
      <c r="C488" s="1049"/>
      <c r="D488" s="1049"/>
      <c r="E488" s="1049"/>
      <c r="F488" s="1049"/>
      <c r="G488" s="1049"/>
      <c r="H488" s="1049"/>
    </row>
    <row r="489" spans="2:9" ht="21.15" customHeight="1">
      <c r="B489" s="1049" t="s">
        <v>990</v>
      </c>
      <c r="C489" s="1049"/>
      <c r="D489" s="1049"/>
      <c r="E489" s="1049"/>
      <c r="F489" s="1049"/>
      <c r="G489" s="1049"/>
      <c r="H489" s="1049"/>
    </row>
    <row r="490" spans="2:9" ht="21.15" customHeight="1">
      <c r="B490" s="1049" t="s">
        <v>991</v>
      </c>
      <c r="C490" s="1049"/>
      <c r="D490" s="1049"/>
      <c r="E490" s="1049"/>
      <c r="F490" s="1049"/>
      <c r="G490" s="1049"/>
      <c r="H490" s="1049"/>
    </row>
    <row r="491" spans="2:9" ht="21.15" customHeight="1">
      <c r="B491" s="1052" t="s">
        <v>992</v>
      </c>
      <c r="C491" s="1052"/>
      <c r="D491" s="1052"/>
      <c r="E491" s="1052"/>
      <c r="F491" s="1052"/>
      <c r="G491" s="1052"/>
      <c r="H491" s="1052"/>
    </row>
    <row r="492" spans="2:9" ht="21.15" customHeight="1">
      <c r="B492" s="1049" t="s">
        <v>993</v>
      </c>
      <c r="C492" s="1049"/>
      <c r="D492" s="1049"/>
      <c r="E492" s="1049"/>
      <c r="F492" s="1049"/>
      <c r="G492" s="1049"/>
      <c r="H492" s="1049"/>
    </row>
    <row r="493" spans="2:9" ht="21.15" customHeight="1">
      <c r="B493" s="1052" t="s">
        <v>723</v>
      </c>
      <c r="C493" s="1052"/>
      <c r="D493" s="1052"/>
      <c r="E493" s="1052"/>
      <c r="F493" s="1052"/>
      <c r="G493" s="1052"/>
      <c r="H493" s="1052"/>
    </row>
    <row r="494" spans="2:9" ht="39.6" customHeight="1">
      <c r="B494" s="1008" t="s">
        <v>724</v>
      </c>
      <c r="C494" s="1008"/>
      <c r="D494" s="1008"/>
      <c r="E494" s="1008"/>
      <c r="F494" s="1008"/>
      <c r="G494" s="1008"/>
      <c r="H494" s="1008"/>
    </row>
    <row r="495" spans="2:9" ht="51" customHeight="1">
      <c r="B495" s="1008" t="s">
        <v>994</v>
      </c>
      <c r="C495" s="1008"/>
      <c r="D495" s="1008"/>
      <c r="E495" s="1008"/>
      <c r="F495" s="1008"/>
      <c r="G495" s="1008"/>
      <c r="H495" s="1008"/>
    </row>
    <row r="496" spans="2:9" ht="21.15" customHeight="1">
      <c r="B496" s="1049" t="s">
        <v>725</v>
      </c>
      <c r="C496" s="1049"/>
      <c r="D496" s="1049"/>
      <c r="E496" s="1049"/>
      <c r="F496" s="1049"/>
      <c r="G496" s="1049"/>
      <c r="H496" s="1049"/>
    </row>
    <row r="497" spans="2:20" ht="21.15" customHeight="1">
      <c r="B497" s="1049" t="s">
        <v>726</v>
      </c>
      <c r="C497" s="1049"/>
      <c r="D497" s="1049"/>
      <c r="E497" s="1049"/>
      <c r="F497" s="1049"/>
      <c r="G497" s="1049"/>
      <c r="H497" s="1049"/>
    </row>
    <row r="498" spans="2:20" ht="21.15" customHeight="1">
      <c r="B498" s="1049" t="s">
        <v>727</v>
      </c>
      <c r="C498" s="1049"/>
      <c r="D498" s="1049"/>
      <c r="E498" s="1049"/>
      <c r="F498" s="1049"/>
      <c r="G498" s="1049"/>
      <c r="H498" s="1049"/>
    </row>
    <row r="499" spans="2:20" ht="21.15" customHeight="1">
      <c r="B499" s="1051" t="s">
        <v>728</v>
      </c>
      <c r="C499" s="1051"/>
      <c r="D499" s="1051"/>
      <c r="E499" s="1051"/>
      <c r="F499" s="1051"/>
      <c r="G499" s="1051"/>
      <c r="H499" s="1051"/>
    </row>
    <row r="500" spans="2:20" s="611" customFormat="1" ht="21.15" customHeight="1">
      <c r="B500" s="1049" t="s">
        <v>729</v>
      </c>
      <c r="C500" s="1049"/>
      <c r="D500" s="1049"/>
      <c r="E500" s="1049"/>
      <c r="F500" s="1049"/>
      <c r="G500" s="1049"/>
      <c r="H500" s="1049"/>
      <c r="T500" s="6"/>
    </row>
    <row r="501" spans="2:20" s="611" customFormat="1" ht="37.200000000000003" customHeight="1">
      <c r="B501" s="1049" t="s">
        <v>730</v>
      </c>
      <c r="C501" s="1049"/>
      <c r="D501" s="1049"/>
      <c r="E501" s="1049"/>
      <c r="F501" s="1049"/>
      <c r="G501" s="1049"/>
      <c r="H501" s="1049"/>
    </row>
    <row r="502" spans="2:20" s="611" customFormat="1" ht="41.4" customHeight="1">
      <c r="B502" s="1049" t="s">
        <v>731</v>
      </c>
      <c r="C502" s="1049"/>
      <c r="D502" s="1049"/>
      <c r="E502" s="1049"/>
      <c r="F502" s="1049"/>
      <c r="G502" s="1049"/>
      <c r="H502" s="1049"/>
    </row>
    <row r="503" spans="2:20" s="611" customFormat="1" ht="21.15" customHeight="1">
      <c r="B503" s="1049" t="s">
        <v>732</v>
      </c>
      <c r="C503" s="1049"/>
      <c r="D503" s="1049"/>
      <c r="E503" s="1049"/>
      <c r="F503" s="1049"/>
      <c r="G503" s="1049"/>
      <c r="H503" s="1049"/>
    </row>
    <row r="504" spans="2:20" ht="21.15" customHeight="1">
      <c r="B504" s="1042"/>
      <c r="C504" s="1042"/>
      <c r="D504" s="1042"/>
      <c r="E504" s="1042"/>
      <c r="F504" s="1042"/>
      <c r="G504" s="1042"/>
      <c r="H504" s="1042"/>
      <c r="T504" s="611"/>
    </row>
    <row r="505" spans="2:20" ht="21.15" customHeight="1">
      <c r="B505" s="1052" t="s">
        <v>733</v>
      </c>
      <c r="C505" s="1052"/>
      <c r="D505" s="1052"/>
      <c r="E505" s="1052"/>
      <c r="F505" s="1052"/>
      <c r="G505" s="1052"/>
      <c r="H505" s="1052"/>
    </row>
    <row r="506" spans="2:20" ht="33" customHeight="1">
      <c r="B506" s="1049" t="s">
        <v>995</v>
      </c>
      <c r="C506" s="1049"/>
      <c r="D506" s="1049"/>
      <c r="E506" s="1049"/>
      <c r="F506" s="1049"/>
      <c r="G506" s="1049"/>
      <c r="H506" s="1049"/>
    </row>
    <row r="507" spans="2:20" ht="21.15" customHeight="1">
      <c r="B507" s="1049" t="s">
        <v>996</v>
      </c>
      <c r="C507" s="1049"/>
      <c r="D507" s="1049"/>
      <c r="E507" s="1049"/>
      <c r="F507" s="1049"/>
      <c r="G507" s="1049"/>
      <c r="H507" s="1049"/>
    </row>
    <row r="508" spans="2:20" ht="21.15" customHeight="1">
      <c r="B508" s="1049" t="s">
        <v>997</v>
      </c>
      <c r="C508" s="1049"/>
      <c r="D508" s="1049"/>
      <c r="E508" s="1049"/>
      <c r="F508" s="1049"/>
      <c r="G508" s="1049"/>
      <c r="H508" s="1049"/>
    </row>
    <row r="509" spans="2:20" ht="21.15" customHeight="1">
      <c r="B509" s="1051" t="s">
        <v>734</v>
      </c>
      <c r="C509" s="1051"/>
      <c r="D509" s="1051"/>
      <c r="E509" s="1051"/>
      <c r="F509" s="1051"/>
      <c r="G509" s="1051"/>
      <c r="H509" s="1051"/>
    </row>
    <row r="510" spans="2:20" ht="21.15" customHeight="1">
      <c r="B510" s="1049" t="s">
        <v>998</v>
      </c>
      <c r="C510" s="1049"/>
      <c r="D510" s="1049"/>
      <c r="E510" s="1049"/>
      <c r="F510" s="1049"/>
      <c r="G510" s="1049"/>
      <c r="H510" s="1049"/>
    </row>
    <row r="511" spans="2:20" ht="21.15" customHeight="1">
      <c r="B511" s="1049" t="s">
        <v>999</v>
      </c>
      <c r="C511" s="1049"/>
      <c r="D511" s="1049"/>
      <c r="E511" s="1049"/>
      <c r="F511" s="1049"/>
      <c r="G511" s="1049"/>
      <c r="H511" s="1049"/>
    </row>
    <row r="512" spans="2:20" ht="42" customHeight="1">
      <c r="B512" s="1049" t="s">
        <v>1000</v>
      </c>
      <c r="C512" s="1049"/>
      <c r="D512" s="1049"/>
      <c r="E512" s="1049"/>
      <c r="F512" s="1049"/>
      <c r="G512" s="1049"/>
      <c r="H512" s="1049"/>
    </row>
    <row r="513" spans="2:8" ht="21.15" customHeight="1">
      <c r="B513" s="1049" t="s">
        <v>1001</v>
      </c>
      <c r="C513" s="1049"/>
      <c r="D513" s="1049"/>
      <c r="E513" s="1049"/>
      <c r="F513" s="1049"/>
      <c r="G513" s="1049"/>
      <c r="H513" s="1049"/>
    </row>
    <row r="514" spans="2:8" ht="21.15" customHeight="1">
      <c r="B514" s="1051" t="s">
        <v>735</v>
      </c>
      <c r="C514" s="1051"/>
      <c r="D514" s="1051"/>
      <c r="E514" s="1051"/>
      <c r="F514" s="1051"/>
      <c r="G514" s="1051"/>
      <c r="H514" s="1051"/>
    </row>
    <row r="515" spans="2:8" ht="21.15" customHeight="1">
      <c r="B515" s="1049" t="s">
        <v>1002</v>
      </c>
      <c r="C515" s="1049"/>
      <c r="D515" s="1049"/>
      <c r="E515" s="1049"/>
      <c r="F515" s="1049"/>
      <c r="G515" s="1049"/>
      <c r="H515" s="1049"/>
    </row>
    <row r="516" spans="2:8" ht="21.15" customHeight="1">
      <c r="B516" s="1049" t="s">
        <v>1003</v>
      </c>
      <c r="C516" s="1049"/>
      <c r="D516" s="1049"/>
      <c r="E516" s="1049"/>
      <c r="F516" s="1049"/>
      <c r="G516" s="1049"/>
      <c r="H516" s="1049"/>
    </row>
    <row r="517" spans="2:8" ht="21.15" customHeight="1">
      <c r="B517" s="1051" t="s">
        <v>736</v>
      </c>
      <c r="C517" s="1051"/>
      <c r="D517" s="1051"/>
      <c r="E517" s="1051"/>
      <c r="F517" s="1051"/>
      <c r="G517" s="1051"/>
      <c r="H517" s="1051"/>
    </row>
    <row r="518" spans="2:8" ht="21.15" customHeight="1">
      <c r="B518" s="1049" t="s">
        <v>1004</v>
      </c>
      <c r="C518" s="1049"/>
      <c r="D518" s="1049"/>
      <c r="E518" s="1049"/>
      <c r="F518" s="1049"/>
      <c r="G518" s="1049"/>
      <c r="H518" s="1049"/>
    </row>
    <row r="519" spans="2:8" ht="21.15" customHeight="1">
      <c r="B519" s="1049" t="s">
        <v>1005</v>
      </c>
      <c r="C519" s="1049"/>
      <c r="D519" s="1049"/>
      <c r="E519" s="1049"/>
      <c r="F519" s="1049"/>
      <c r="G519" s="1049"/>
      <c r="H519" s="1049"/>
    </row>
    <row r="520" spans="2:8" ht="21.15" customHeight="1">
      <c r="B520" s="1049" t="s">
        <v>1006</v>
      </c>
      <c r="C520" s="1049"/>
      <c r="D520" s="1049"/>
      <c r="E520" s="1049"/>
      <c r="F520" s="1049"/>
      <c r="G520" s="1049"/>
      <c r="H520" s="1049"/>
    </row>
    <row r="521" spans="2:8" ht="21.15" customHeight="1">
      <c r="B521" s="744" t="s">
        <v>1545</v>
      </c>
      <c r="C521" s="725"/>
      <c r="D521" s="725"/>
      <c r="E521" s="725"/>
      <c r="F521" s="725"/>
      <c r="G521" s="725"/>
      <c r="H521" s="725"/>
    </row>
    <row r="522" spans="2:8" ht="21.15" customHeight="1">
      <c r="B522" s="1049" t="s">
        <v>1546</v>
      </c>
      <c r="C522" s="1049"/>
      <c r="D522" s="1049"/>
      <c r="E522" s="1049"/>
      <c r="F522" s="1049"/>
      <c r="G522" s="1049"/>
      <c r="H522" s="1049"/>
    </row>
    <row r="523" spans="2:8" ht="21.15" customHeight="1">
      <c r="B523" s="1049" t="s">
        <v>1007</v>
      </c>
      <c r="C523" s="1049"/>
      <c r="D523" s="1049"/>
      <c r="E523" s="1049"/>
      <c r="F523" s="1049"/>
      <c r="G523" s="1049"/>
      <c r="H523" s="1049"/>
    </row>
    <row r="524" spans="2:8" ht="21.15" customHeight="1">
      <c r="B524" s="1049" t="s">
        <v>1008</v>
      </c>
      <c r="C524" s="1049"/>
      <c r="D524" s="1049"/>
      <c r="E524" s="1049"/>
      <c r="F524" s="1049"/>
      <c r="G524" s="1049"/>
      <c r="H524" s="1049"/>
    </row>
    <row r="525" spans="2:8" ht="21.15" customHeight="1">
      <c r="B525" s="1049" t="s">
        <v>1009</v>
      </c>
      <c r="C525" s="1049"/>
      <c r="D525" s="1049"/>
      <c r="E525" s="1049"/>
      <c r="F525" s="1049"/>
      <c r="G525" s="1049"/>
      <c r="H525" s="1049"/>
    </row>
    <row r="526" spans="2:8" ht="21.15" customHeight="1">
      <c r="B526" s="1049" t="s">
        <v>1010</v>
      </c>
      <c r="C526" s="1049"/>
      <c r="D526" s="1049"/>
      <c r="E526" s="1049"/>
      <c r="F526" s="1049"/>
      <c r="G526" s="1049"/>
      <c r="H526" s="1049"/>
    </row>
    <row r="527" spans="2:8" ht="21.15" customHeight="1">
      <c r="B527" s="1050" t="s">
        <v>1011</v>
      </c>
      <c r="C527" s="1050"/>
      <c r="D527" s="1050"/>
      <c r="E527" s="1050"/>
      <c r="F527" s="1050"/>
      <c r="G527" s="1050"/>
      <c r="H527" s="1050"/>
    </row>
    <row r="528" spans="2:8" ht="21.15" customHeight="1">
      <c r="B528" s="1041" t="s">
        <v>737</v>
      </c>
      <c r="C528" s="1041"/>
      <c r="D528" s="1041"/>
      <c r="E528" s="1041"/>
      <c r="F528" s="1041"/>
      <c r="G528" s="1041"/>
      <c r="H528" s="1041"/>
    </row>
    <row r="529" spans="2:20" s="612" customFormat="1">
      <c r="B529" s="1043" t="s">
        <v>738</v>
      </c>
      <c r="C529" s="1043"/>
      <c r="D529" s="1043"/>
      <c r="E529" s="1043"/>
      <c r="F529" s="1043"/>
      <c r="G529" s="1043"/>
      <c r="H529" s="1043"/>
      <c r="T529" s="6"/>
    </row>
    <row r="530" spans="2:20" s="612" customFormat="1" ht="32.4" customHeight="1">
      <c r="B530" s="1044" t="s">
        <v>1012</v>
      </c>
      <c r="C530" s="1045"/>
      <c r="D530" s="1045"/>
      <c r="E530" s="1045"/>
      <c r="F530" s="1045"/>
      <c r="G530" s="1045"/>
      <c r="H530" s="1045"/>
    </row>
    <row r="531" spans="2:20" s="612" customFormat="1" ht="21.15" customHeight="1">
      <c r="B531" s="1046" t="s">
        <v>739</v>
      </c>
      <c r="C531" s="1046"/>
      <c r="D531" s="1046"/>
      <c r="E531" s="1046"/>
      <c r="F531" s="1046"/>
      <c r="G531" s="1046"/>
      <c r="H531" s="1046"/>
    </row>
    <row r="532" spans="2:20" ht="21.15" customHeight="1">
      <c r="B532" s="1047" t="s">
        <v>740</v>
      </c>
      <c r="C532" s="1047"/>
      <c r="D532" s="1047"/>
      <c r="E532" s="1047"/>
      <c r="F532" s="1047"/>
      <c r="G532" s="1047"/>
      <c r="H532" s="1047"/>
      <c r="T532" s="612"/>
    </row>
    <row r="533" spans="2:20" ht="33.6" customHeight="1">
      <c r="B533" s="1047" t="s">
        <v>741</v>
      </c>
      <c r="C533" s="1047"/>
      <c r="D533" s="1047"/>
      <c r="E533" s="1047"/>
      <c r="F533" s="1047"/>
      <c r="G533" s="1047"/>
      <c r="H533" s="1047"/>
    </row>
    <row r="534" spans="2:20" ht="36.6" customHeight="1">
      <c r="B534" s="1047" t="s">
        <v>742</v>
      </c>
      <c r="C534" s="1047"/>
      <c r="D534" s="1047"/>
      <c r="E534" s="1047"/>
      <c r="F534" s="1047"/>
      <c r="G534" s="1047"/>
      <c r="H534" s="1047"/>
    </row>
    <row r="535" spans="2:20" ht="31.8" customHeight="1">
      <c r="B535" s="1047" t="s">
        <v>743</v>
      </c>
      <c r="C535" s="1047"/>
      <c r="D535" s="1047"/>
      <c r="E535" s="1047"/>
      <c r="F535" s="1047"/>
      <c r="G535" s="1047"/>
      <c r="H535" s="1047"/>
    </row>
    <row r="536" spans="2:20" ht="21.15" customHeight="1">
      <c r="B536" s="1047" t="s">
        <v>744</v>
      </c>
      <c r="C536" s="1047"/>
      <c r="D536" s="1047"/>
      <c r="E536" s="1047"/>
      <c r="F536" s="1047"/>
      <c r="G536" s="1047"/>
      <c r="H536" s="1047"/>
    </row>
    <row r="537" spans="2:20" ht="21.15" customHeight="1">
      <c r="B537" s="1048" t="s">
        <v>745</v>
      </c>
      <c r="C537" s="1048"/>
      <c r="D537" s="1048"/>
      <c r="E537" s="1048"/>
      <c r="F537" s="1048"/>
      <c r="G537" s="1048"/>
      <c r="H537" s="1048"/>
    </row>
    <row r="538" spans="2:20" ht="21.15" customHeight="1">
      <c r="B538" s="1025" t="s">
        <v>746</v>
      </c>
      <c r="C538" s="1025"/>
      <c r="D538" s="1025"/>
      <c r="E538" s="1025"/>
      <c r="F538" s="1025"/>
      <c r="G538" s="1025"/>
      <c r="H538" s="1025"/>
    </row>
    <row r="539" spans="2:20" ht="70.2" customHeight="1">
      <c r="B539" s="1043" t="s">
        <v>1547</v>
      </c>
      <c r="C539" s="1043"/>
      <c r="D539" s="1043"/>
      <c r="E539" s="1043"/>
      <c r="F539" s="1043"/>
      <c r="G539" s="1043"/>
      <c r="H539" s="1043"/>
    </row>
    <row r="540" spans="2:20" ht="21.15" customHeight="1">
      <c r="B540" s="1042" t="s">
        <v>747</v>
      </c>
      <c r="C540" s="1042"/>
      <c r="D540" s="1042"/>
      <c r="E540" s="1042"/>
      <c r="F540" s="1042"/>
      <c r="G540" s="1042"/>
      <c r="H540" s="1042"/>
    </row>
    <row r="541" spans="2:20" ht="38.4" customHeight="1">
      <c r="B541" s="1029" t="s">
        <v>1548</v>
      </c>
      <c r="C541" s="1029"/>
      <c r="D541" s="1029"/>
      <c r="E541" s="1029"/>
      <c r="F541" s="1029"/>
      <c r="G541" s="1029"/>
      <c r="H541" s="1029"/>
    </row>
    <row r="542" spans="2:20" ht="21.15" customHeight="1">
      <c r="B542" s="1040" t="s">
        <v>1013</v>
      </c>
      <c r="C542" s="1040"/>
      <c r="D542" s="1040"/>
      <c r="E542" s="1040"/>
      <c r="F542" s="1040"/>
      <c r="G542" s="1040"/>
      <c r="H542" s="1040"/>
    </row>
    <row r="543" spans="2:20" ht="21.15" customHeight="1">
      <c r="B543" s="1040" t="s">
        <v>1014</v>
      </c>
      <c r="C543" s="1040"/>
      <c r="D543" s="1040"/>
      <c r="E543" s="1040"/>
      <c r="F543" s="1040"/>
      <c r="G543" s="1040"/>
      <c r="H543" s="1040"/>
    </row>
    <row r="544" spans="2:20" ht="21.15" customHeight="1">
      <c r="B544" s="1040" t="s">
        <v>1015</v>
      </c>
      <c r="C544" s="1040"/>
      <c r="D544" s="1040"/>
      <c r="E544" s="1040"/>
      <c r="F544" s="1040"/>
      <c r="G544" s="1040"/>
      <c r="H544" s="1040"/>
    </row>
    <row r="545" spans="2:20" ht="21.15" customHeight="1">
      <c r="B545" s="1040" t="s">
        <v>1016</v>
      </c>
      <c r="C545" s="1040"/>
      <c r="D545" s="1040"/>
      <c r="E545" s="1040"/>
      <c r="F545" s="1040"/>
      <c r="G545" s="1040"/>
      <c r="H545" s="1040"/>
    </row>
    <row r="546" spans="2:20" ht="21.15" customHeight="1">
      <c r="B546" s="1040" t="s">
        <v>1017</v>
      </c>
      <c r="C546" s="1040"/>
      <c r="D546" s="1040"/>
      <c r="E546" s="1040"/>
      <c r="F546" s="1040"/>
      <c r="G546" s="1040"/>
      <c r="H546" s="1040"/>
    </row>
    <row r="547" spans="2:20" ht="21.15" customHeight="1">
      <c r="B547" s="1041" t="s">
        <v>1549</v>
      </c>
      <c r="C547" s="1041"/>
      <c r="D547" s="1041"/>
      <c r="E547" s="1041"/>
      <c r="F547" s="1041"/>
      <c r="G547" s="1041"/>
      <c r="H547" s="1041"/>
    </row>
    <row r="548" spans="2:20" ht="83.4" customHeight="1">
      <c r="B548" s="1029" t="s">
        <v>1550</v>
      </c>
      <c r="C548" s="1029"/>
      <c r="D548" s="1029"/>
      <c r="E548" s="1029"/>
      <c r="F548" s="1029"/>
      <c r="G548" s="1029"/>
      <c r="H548" s="1029"/>
    </row>
    <row r="549" spans="2:20" ht="90.6" customHeight="1">
      <c r="B549" s="1029" t="s">
        <v>1551</v>
      </c>
      <c r="C549" s="1029"/>
      <c r="D549" s="1029"/>
      <c r="E549" s="1029"/>
      <c r="F549" s="1029"/>
      <c r="G549" s="1029"/>
      <c r="H549" s="1029"/>
    </row>
    <row r="550" spans="2:20" ht="24.6" customHeight="1">
      <c r="B550" s="830" t="s">
        <v>1552</v>
      </c>
      <c r="C550" s="830"/>
      <c r="D550" s="830"/>
      <c r="E550" s="830"/>
      <c r="F550" s="830"/>
      <c r="G550" s="830"/>
      <c r="H550" s="724"/>
    </row>
    <row r="551" spans="2:20" ht="74.400000000000006" customHeight="1">
      <c r="B551" s="1029" t="s">
        <v>1553</v>
      </c>
      <c r="C551" s="1029"/>
      <c r="D551" s="1029"/>
      <c r="E551" s="1029"/>
      <c r="F551" s="1029"/>
      <c r="G551" s="1029"/>
      <c r="H551" s="1029"/>
    </row>
    <row r="552" spans="2:20" ht="37.200000000000003" customHeight="1">
      <c r="B552" s="1029" t="s">
        <v>796</v>
      </c>
      <c r="C552" s="1029"/>
      <c r="D552" s="1029"/>
      <c r="E552" s="1029"/>
      <c r="F552" s="1029"/>
      <c r="G552" s="1029"/>
      <c r="H552" s="1029"/>
    </row>
    <row r="553" spans="2:20" ht="85.2" customHeight="1">
      <c r="C553" s="831" t="s">
        <v>795</v>
      </c>
      <c r="D553" s="831"/>
      <c r="E553" s="831"/>
      <c r="F553" s="831"/>
      <c r="G553" s="831"/>
      <c r="H553" s="831"/>
    </row>
    <row r="554" spans="2:20" s="612" customFormat="1" ht="44.4" customHeight="1">
      <c r="C554" s="831" t="s">
        <v>794</v>
      </c>
      <c r="D554" s="831"/>
      <c r="E554" s="831"/>
      <c r="F554" s="831"/>
      <c r="G554" s="831"/>
      <c r="H554" s="831"/>
      <c r="T554" s="6"/>
    </row>
    <row r="555" spans="2:20" ht="25.8" customHeight="1">
      <c r="B555" s="1042" t="s">
        <v>793</v>
      </c>
      <c r="C555" s="1042"/>
      <c r="D555" s="1042"/>
      <c r="E555" s="1042"/>
      <c r="F555" s="1042"/>
      <c r="G555" s="1042"/>
      <c r="H555" s="1042"/>
      <c r="T555" s="612"/>
    </row>
    <row r="556" spans="2:20" ht="99" customHeight="1">
      <c r="C556" s="831" t="s">
        <v>1554</v>
      </c>
      <c r="D556" s="831"/>
      <c r="E556" s="831"/>
      <c r="F556" s="831"/>
      <c r="G556" s="831"/>
      <c r="H556" s="831"/>
    </row>
    <row r="557" spans="2:20" ht="74.400000000000006" customHeight="1">
      <c r="C557" s="832" t="s">
        <v>1555</v>
      </c>
      <c r="D557" s="832"/>
      <c r="E557" s="832"/>
      <c r="F557" s="832"/>
      <c r="G557" s="832"/>
      <c r="H557" s="832"/>
      <c r="I557" s="832"/>
    </row>
    <row r="558" spans="2:20" ht="21.15" customHeight="1">
      <c r="C558" s="833" t="s">
        <v>748</v>
      </c>
      <c r="D558" s="833"/>
      <c r="E558" s="833"/>
      <c r="F558" s="833"/>
      <c r="G558" s="833"/>
      <c r="H558" s="833"/>
      <c r="I558" s="833"/>
    </row>
    <row r="559" spans="2:20" ht="22.8">
      <c r="C559" s="533" t="s">
        <v>749</v>
      </c>
      <c r="D559" s="533" t="s">
        <v>757</v>
      </c>
      <c r="E559" s="535" t="s">
        <v>769</v>
      </c>
      <c r="F559" s="535" t="s">
        <v>780</v>
      </c>
      <c r="G559" s="533" t="s">
        <v>788</v>
      </c>
    </row>
    <row r="560" spans="2:20" ht="34.200000000000003">
      <c r="C560" s="534" t="s">
        <v>750</v>
      </c>
      <c r="D560" s="534" t="s">
        <v>758</v>
      </c>
      <c r="E560" s="536" t="s">
        <v>770</v>
      </c>
      <c r="F560" s="536" t="s">
        <v>781</v>
      </c>
      <c r="G560" s="536" t="s">
        <v>789</v>
      </c>
    </row>
    <row r="561" spans="1:9" ht="45.6">
      <c r="C561" s="534" t="s">
        <v>751</v>
      </c>
      <c r="D561" s="534" t="s">
        <v>759</v>
      </c>
      <c r="E561" s="536" t="s">
        <v>771</v>
      </c>
      <c r="F561" s="536" t="s">
        <v>782</v>
      </c>
      <c r="G561" s="536" t="s">
        <v>790</v>
      </c>
    </row>
    <row r="562" spans="1:9" ht="45.6">
      <c r="C562" s="534" t="s">
        <v>752</v>
      </c>
      <c r="D562" s="534" t="s">
        <v>760</v>
      </c>
      <c r="E562" s="536" t="s">
        <v>772</v>
      </c>
      <c r="F562" s="536" t="s">
        <v>783</v>
      </c>
      <c r="G562" s="534" t="s">
        <v>791</v>
      </c>
    </row>
    <row r="563" spans="1:9" ht="34.200000000000003">
      <c r="C563" s="534" t="s">
        <v>753</v>
      </c>
      <c r="D563" s="534" t="s">
        <v>761</v>
      </c>
      <c r="E563" s="536" t="s">
        <v>773</v>
      </c>
      <c r="F563" s="536" t="s">
        <v>784</v>
      </c>
      <c r="G563" s="613"/>
    </row>
    <row r="564" spans="1:9" ht="45.6">
      <c r="C564" s="534" t="s">
        <v>754</v>
      </c>
      <c r="D564" s="534" t="s">
        <v>762</v>
      </c>
      <c r="E564" s="536" t="s">
        <v>774</v>
      </c>
      <c r="F564" s="536" t="s">
        <v>785</v>
      </c>
      <c r="G564" s="613"/>
    </row>
    <row r="565" spans="1:9" ht="34.200000000000003">
      <c r="C565" s="534" t="s">
        <v>755</v>
      </c>
      <c r="D565" s="534" t="s">
        <v>763</v>
      </c>
      <c r="E565" s="536" t="s">
        <v>775</v>
      </c>
      <c r="F565" s="536" t="s">
        <v>786</v>
      </c>
      <c r="G565" s="613"/>
    </row>
    <row r="566" spans="1:9" ht="45.6">
      <c r="C566" s="534" t="s">
        <v>756</v>
      </c>
      <c r="D566" s="534" t="s">
        <v>764</v>
      </c>
      <c r="E566" s="536" t="s">
        <v>776</v>
      </c>
      <c r="F566" s="536" t="s">
        <v>787</v>
      </c>
      <c r="G566" s="613"/>
    </row>
    <row r="567" spans="1:9" ht="34.200000000000003">
      <c r="C567" s="613"/>
      <c r="D567" s="534" t="s">
        <v>765</v>
      </c>
      <c r="E567" s="536" t="s">
        <v>777</v>
      </c>
      <c r="F567" s="613"/>
      <c r="G567" s="613"/>
    </row>
    <row r="568" spans="1:9" ht="34.200000000000003">
      <c r="C568" s="613"/>
      <c r="D568" s="534" t="s">
        <v>766</v>
      </c>
      <c r="E568" s="536" t="s">
        <v>778</v>
      </c>
      <c r="F568" s="613"/>
      <c r="G568" s="613"/>
    </row>
    <row r="569" spans="1:9" ht="22.8">
      <c r="C569" s="613"/>
      <c r="D569" s="534" t="s">
        <v>767</v>
      </c>
      <c r="E569" s="536" t="s">
        <v>779</v>
      </c>
      <c r="F569" s="613"/>
      <c r="G569" s="613"/>
    </row>
    <row r="570" spans="1:9" ht="146.4" customHeight="1">
      <c r="C570" s="613"/>
      <c r="D570" s="534" t="s">
        <v>768</v>
      </c>
      <c r="E570" s="533"/>
      <c r="F570" s="613"/>
      <c r="G570" s="613"/>
    </row>
    <row r="571" spans="1:9" ht="18.600000000000001" customHeight="1" thickBot="1">
      <c r="A571" s="537" t="s">
        <v>792</v>
      </c>
      <c r="B571" s="432"/>
      <c r="C571" s="432"/>
      <c r="D571" s="432"/>
      <c r="E571" s="432"/>
      <c r="F571" s="432"/>
      <c r="G571" s="432"/>
      <c r="H571" s="432"/>
    </row>
    <row r="572" spans="1:9" ht="63" customHeight="1" thickBot="1">
      <c r="B572" s="1027" t="s">
        <v>1018</v>
      </c>
      <c r="C572" s="1028"/>
      <c r="D572" s="1028"/>
      <c r="E572" s="1028"/>
      <c r="F572" s="1028"/>
      <c r="G572" s="1028"/>
      <c r="H572" s="1028"/>
      <c r="I572" s="475"/>
    </row>
    <row r="573" spans="1:9" ht="14.4" customHeight="1">
      <c r="B573" s="1037" t="str">
        <f>計畫架構圖表!C3</f>
        <v>1.阮氏泉</v>
      </c>
      <c r="C573" s="1034" t="e" vm="1">
        <v>#VALUE!</v>
      </c>
      <c r="D573" s="1038" t="s">
        <v>1139</v>
      </c>
      <c r="E573" s="1038"/>
      <c r="F573" s="1038"/>
      <c r="G573" s="1038"/>
      <c r="H573" s="1038"/>
      <c r="I573" s="1039"/>
    </row>
    <row r="574" spans="1:9" ht="14.4" customHeight="1">
      <c r="B574" s="1032"/>
      <c r="C574" s="1035"/>
      <c r="D574" s="1025" t="s">
        <v>1136</v>
      </c>
      <c r="E574" s="1025"/>
      <c r="F574" s="1025"/>
      <c r="G574" s="1025"/>
      <c r="H574" s="1025"/>
      <c r="I574" s="1026"/>
    </row>
    <row r="575" spans="1:9" ht="14.4" customHeight="1">
      <c r="B575" s="1032"/>
      <c r="C575" s="1035"/>
      <c r="D575" s="1025" t="s">
        <v>1138</v>
      </c>
      <c r="E575" s="1025"/>
      <c r="F575" s="1025"/>
      <c r="G575" s="1025"/>
      <c r="H575" s="1025"/>
      <c r="I575" s="1026"/>
    </row>
    <row r="576" spans="1:9" ht="14.4" customHeight="1">
      <c r="B576" s="1032"/>
      <c r="C576" s="1035"/>
      <c r="D576" s="614" t="s">
        <v>1137</v>
      </c>
      <c r="E576" s="614"/>
      <c r="F576" s="614"/>
      <c r="G576" s="614"/>
      <c r="H576" s="614"/>
      <c r="I576" s="646"/>
    </row>
    <row r="577" spans="2:9" ht="16.2" customHeight="1">
      <c r="B577" s="1032"/>
      <c r="C577" s="1035"/>
      <c r="D577" s="831" t="s">
        <v>1140</v>
      </c>
      <c r="E577" s="831"/>
      <c r="F577" s="831"/>
      <c r="G577" s="831"/>
      <c r="H577" s="831"/>
      <c r="I577" s="844"/>
    </row>
    <row r="578" spans="2:9" ht="20.399999999999999" customHeight="1" thickBot="1">
      <c r="B578" s="1033"/>
      <c r="C578" s="1036"/>
      <c r="D578" s="853"/>
      <c r="E578" s="853"/>
      <c r="F578" s="853"/>
      <c r="G578" s="853"/>
      <c r="H578" s="853"/>
      <c r="I578" s="846"/>
    </row>
    <row r="579" spans="2:9" ht="16.8" thickBot="1">
      <c r="B579" s="648" t="str">
        <f>計畫架構圖表!C4</f>
        <v>A分項計畫  商業資訊中心設置計畫</v>
      </c>
      <c r="C579" s="649"/>
      <c r="D579" s="649"/>
      <c r="E579" s="649"/>
      <c r="F579" s="498"/>
      <c r="G579" s="498"/>
      <c r="H579" s="498"/>
      <c r="I579" s="453"/>
    </row>
    <row r="580" spans="2:9" ht="16.8" thickBot="1">
      <c r="B580" s="631" t="str">
        <f>計畫架構圖表!C5</f>
        <v>A1直營商店營運權力取得及技術轉移7/10</v>
      </c>
      <c r="C580" s="632"/>
      <c r="D580" s="632"/>
      <c r="E580" s="632"/>
      <c r="F580" s="632"/>
      <c r="G580" s="632"/>
      <c r="H580" s="632"/>
      <c r="I580" s="633"/>
    </row>
    <row r="581" spans="2:9" ht="69" customHeight="1">
      <c r="B581" s="616"/>
      <c r="E581" s="1030" t="s">
        <v>800</v>
      </c>
      <c r="F581" s="1030"/>
      <c r="G581" s="1030"/>
      <c r="H581" s="1030"/>
      <c r="I581" s="1031"/>
    </row>
    <row r="582" spans="2:9" ht="18.600000000000001" customHeight="1" thickBot="1">
      <c r="B582" s="616"/>
      <c r="E582" s="954" t="s">
        <v>360</v>
      </c>
      <c r="F582" s="954"/>
      <c r="G582" s="629">
        <f>計畫架構圖表!Q5</f>
        <v>24.924499999999998</v>
      </c>
      <c r="H582" s="6" t="s">
        <v>801</v>
      </c>
      <c r="I582" s="622">
        <f>計畫架構圖表!Q6</f>
        <v>1000</v>
      </c>
    </row>
    <row r="583" spans="2:9" ht="16.8" thickBot="1">
      <c r="B583" s="631" t="str">
        <f>計畫架構圖表!C7</f>
        <v>A2直營咖啡店營運、進行員工教學及產品開發研究、並導入點餐系統8/1</v>
      </c>
      <c r="C583" s="638"/>
      <c r="D583" s="638"/>
      <c r="E583" s="647"/>
      <c r="F583" s="638"/>
      <c r="G583" s="638"/>
      <c r="H583" s="638"/>
      <c r="I583" s="639"/>
    </row>
    <row r="584" spans="2:9" ht="46.8" customHeight="1">
      <c r="B584" s="616"/>
      <c r="E584" s="831" t="s">
        <v>803</v>
      </c>
      <c r="F584" s="831"/>
      <c r="G584" s="831"/>
      <c r="H584" s="831"/>
      <c r="I584" s="844"/>
    </row>
    <row r="585" spans="2:9" ht="16.8" thickBot="1">
      <c r="B585" s="616"/>
      <c r="E585" s="954" t="s">
        <v>360</v>
      </c>
      <c r="F585" s="954"/>
      <c r="G585" s="629">
        <f>計畫架構圖表!Q7</f>
        <v>224.32049999999998</v>
      </c>
      <c r="H585" s="6" t="s">
        <v>802</v>
      </c>
      <c r="I585" s="622">
        <f>計畫架構圖表!Q8</f>
        <v>260</v>
      </c>
    </row>
    <row r="586" spans="2:9" ht="16.8" thickBot="1">
      <c r="B586" s="631" t="str">
        <f>計畫架構圖表!C9</f>
        <v>A3轄內商業資訊收集建檔及資料分析11/1</v>
      </c>
      <c r="C586" s="638"/>
      <c r="D586" s="638"/>
      <c r="E586" s="638"/>
      <c r="F586" s="638"/>
      <c r="G586" s="638"/>
      <c r="H586" s="638"/>
      <c r="I586" s="639"/>
    </row>
    <row r="587" spans="2:9">
      <c r="B587" s="616"/>
      <c r="E587" s="426" t="s">
        <v>804</v>
      </c>
      <c r="I587" s="617"/>
    </row>
    <row r="588" spans="2:9">
      <c r="B588" s="616"/>
      <c r="E588" s="426" t="s">
        <v>805</v>
      </c>
      <c r="I588" s="617"/>
    </row>
    <row r="589" spans="2:9">
      <c r="B589" s="616"/>
      <c r="E589" s="426" t="s">
        <v>806</v>
      </c>
      <c r="I589" s="617"/>
    </row>
    <row r="590" spans="2:9" ht="15" customHeight="1">
      <c r="B590" s="616"/>
      <c r="E590" s="426" t="s">
        <v>807</v>
      </c>
      <c r="I590" s="617"/>
    </row>
    <row r="591" spans="2:9">
      <c r="B591" s="616"/>
      <c r="E591" s="426" t="s">
        <v>808</v>
      </c>
      <c r="I591" s="617"/>
    </row>
    <row r="592" spans="2:9">
      <c r="B592" s="616"/>
      <c r="E592" s="426" t="s">
        <v>809</v>
      </c>
      <c r="I592" s="617"/>
    </row>
    <row r="593" spans="2:9" ht="16.8" thickBot="1">
      <c r="B593" s="616"/>
      <c r="E593" s="954" t="s">
        <v>360</v>
      </c>
      <c r="F593" s="954"/>
      <c r="G593" s="629">
        <f>計畫架構圖表!Q9</f>
        <v>49.848999999999997</v>
      </c>
      <c r="I593" s="617"/>
    </row>
    <row r="594" spans="2:9" ht="16.8" thickBot="1">
      <c r="B594" s="631" t="str">
        <f>計畫架構圖表!C11</f>
        <v>A4開發商業會員參與聯合營運計畫10/1</v>
      </c>
      <c r="C594" s="632"/>
      <c r="D594" s="632"/>
      <c r="E594" s="632"/>
      <c r="F594" s="632"/>
      <c r="G594" s="632"/>
      <c r="H594" s="632"/>
      <c r="I594" s="633"/>
    </row>
    <row r="595" spans="2:9">
      <c r="B595" s="616"/>
      <c r="E595" s="426" t="s">
        <v>810</v>
      </c>
      <c r="I595" s="617"/>
    </row>
    <row r="596" spans="2:9" ht="35.4" customHeight="1">
      <c r="B596" s="616"/>
      <c r="E596" s="831" t="s">
        <v>1059</v>
      </c>
      <c r="F596" s="831"/>
      <c r="G596" s="831"/>
      <c r="H596" s="831"/>
      <c r="I596" s="844"/>
    </row>
    <row r="597" spans="2:9" ht="16.8" thickBot="1">
      <c r="B597" s="616"/>
      <c r="C597" s="629"/>
      <c r="E597" s="954" t="s">
        <v>360</v>
      </c>
      <c r="F597" s="954"/>
      <c r="G597" s="629">
        <f>計畫架構圖表!Q11</f>
        <v>49.848999999999997</v>
      </c>
      <c r="I597" s="617"/>
    </row>
    <row r="598" spans="2:9" ht="16.8" thickBot="1">
      <c r="B598" s="641" t="str">
        <f>計畫架構圖表!C13</f>
        <v>A5完成全區域內商業分析報告及擬定顧問企劃，提高直營商業營業額至每月20萬元。4/1</v>
      </c>
      <c r="C598" s="632"/>
      <c r="D598" s="632"/>
      <c r="E598" s="632"/>
      <c r="F598" s="632"/>
      <c r="G598" s="632"/>
      <c r="H598" s="632"/>
      <c r="I598" s="633"/>
    </row>
    <row r="599" spans="2:9" ht="35.4" customHeight="1">
      <c r="B599" s="616"/>
      <c r="E599" s="831" t="s">
        <v>1058</v>
      </c>
      <c r="F599" s="831"/>
      <c r="G599" s="831"/>
      <c r="H599" s="831"/>
      <c r="I599" s="844"/>
    </row>
    <row r="600" spans="2:9" ht="32.4" customHeight="1">
      <c r="B600" s="616"/>
      <c r="E600" s="831" t="s">
        <v>1060</v>
      </c>
      <c r="F600" s="831"/>
      <c r="G600" s="831"/>
      <c r="H600" s="831"/>
      <c r="I600" s="844"/>
    </row>
    <row r="601" spans="2:9" ht="16.2" customHeight="1">
      <c r="B601" s="616"/>
      <c r="E601" s="831" t="s">
        <v>812</v>
      </c>
      <c r="F601" s="831"/>
      <c r="G601" s="831"/>
      <c r="H601" s="831"/>
      <c r="I601" s="844"/>
    </row>
    <row r="602" spans="2:9" ht="15" customHeight="1">
      <c r="B602" s="616"/>
      <c r="E602" s="831" t="s">
        <v>813</v>
      </c>
      <c r="F602" s="831"/>
      <c r="G602" s="831"/>
      <c r="H602" s="831"/>
      <c r="I602" s="844"/>
    </row>
    <row r="603" spans="2:9" ht="16.8" thickBot="1">
      <c r="B603" s="616"/>
      <c r="E603" s="954" t="s">
        <v>360</v>
      </c>
      <c r="F603" s="954"/>
      <c r="G603" s="629">
        <f>計畫架構圖表!Q13</f>
        <v>24.992450000000002</v>
      </c>
      <c r="I603" s="622">
        <f>計畫架構圖表!W12</f>
        <v>0</v>
      </c>
    </row>
    <row r="604" spans="2:9" ht="16.8" thickBot="1">
      <c r="B604" s="641" t="str">
        <f>計畫架構圖表!C15</f>
        <v>A6出席研討會並收集本分項計畫有關之訊息6/10</v>
      </c>
      <c r="C604" s="632"/>
      <c r="D604" s="632"/>
      <c r="E604" s="632"/>
      <c r="F604" s="632"/>
      <c r="G604" s="632"/>
      <c r="H604" s="632"/>
      <c r="I604" s="633"/>
    </row>
    <row r="605" spans="2:9">
      <c r="B605" s="616"/>
      <c r="E605" s="1042" t="s">
        <v>1026</v>
      </c>
      <c r="F605" s="1042"/>
      <c r="G605" s="1042"/>
      <c r="H605" s="1042"/>
      <c r="I605" s="1250"/>
    </row>
    <row r="606" spans="2:9">
      <c r="B606" s="616"/>
      <c r="C606" s="629"/>
      <c r="E606" s="1042" t="s">
        <v>1027</v>
      </c>
      <c r="F606" s="1042"/>
      <c r="G606" s="1042"/>
      <c r="H606" s="1042"/>
      <c r="I606" s="1250"/>
    </row>
    <row r="607" spans="2:9" ht="16.8" thickBot="1">
      <c r="B607" s="618"/>
      <c r="C607" s="620"/>
      <c r="D607" s="498"/>
      <c r="E607" s="993" t="s">
        <v>360</v>
      </c>
      <c r="F607" s="993"/>
      <c r="G607" s="620">
        <f>計畫架構圖表!Q15</f>
        <v>24.924499999999998</v>
      </c>
      <c r="H607" s="498"/>
      <c r="I607" s="621">
        <f>計畫架構圖表!Q16</f>
        <v>0</v>
      </c>
    </row>
    <row r="609" spans="2:20">
      <c r="E609" s="6" t="str">
        <f>計畫架構圖表!C17</f>
        <v>合計人月</v>
      </c>
      <c r="F609" s="1016">
        <f>計畫架構圖表!Q17</f>
        <v>8.0000000000000018</v>
      </c>
      <c r="G609" s="1016"/>
      <c r="H609" s="6" t="s">
        <v>797</v>
      </c>
    </row>
    <row r="610" spans="2:20">
      <c r="E610" s="6" t="str">
        <f>計畫架構圖表!C18</f>
        <v>合計薪資</v>
      </c>
      <c r="F610" s="1016">
        <f>計畫架構圖表!Q18</f>
        <v>398.79200000000009</v>
      </c>
      <c r="G610" s="1016"/>
      <c r="H610" s="6" t="s">
        <v>798</v>
      </c>
    </row>
    <row r="611" spans="2:20">
      <c r="E611" s="6" t="s">
        <v>802</v>
      </c>
      <c r="F611" s="1016">
        <f>計畫架構圖表!Q19</f>
        <v>1260</v>
      </c>
      <c r="G611" s="1016"/>
      <c r="H611" s="6" t="s">
        <v>798</v>
      </c>
    </row>
    <row r="612" spans="2:20">
      <c r="E612" s="6" t="str">
        <f>計畫架構圖表!C20</f>
        <v>費用小計</v>
      </c>
      <c r="F612" s="1016">
        <f>計畫架構圖表!Q20</f>
        <v>1658.7920000000001</v>
      </c>
      <c r="G612" s="1016"/>
      <c r="H612" s="6" t="s">
        <v>798</v>
      </c>
    </row>
    <row r="613" spans="2:20">
      <c r="F613" s="549"/>
      <c r="G613" s="549"/>
    </row>
    <row r="614" spans="2:20">
      <c r="F614" s="549"/>
      <c r="G614" s="549"/>
    </row>
    <row r="615" spans="2:20">
      <c r="F615" s="549"/>
      <c r="G615" s="549"/>
    </row>
    <row r="616" spans="2:20">
      <c r="F616" s="549"/>
      <c r="G616" s="549"/>
    </row>
    <row r="617" spans="2:20" ht="16.8" thickBot="1">
      <c r="F617" s="629"/>
      <c r="G617" s="629"/>
    </row>
    <row r="618" spans="2:20">
      <c r="B618" s="642"/>
      <c r="C618" s="615"/>
      <c r="D618" s="615" t="s">
        <v>1134</v>
      </c>
      <c r="E618" s="615"/>
      <c r="F618" s="615"/>
      <c r="G618" s="615"/>
      <c r="H618" s="615"/>
      <c r="I618" s="475"/>
    </row>
    <row r="619" spans="2:20">
      <c r="B619" s="1032" t="str">
        <f>計畫架構圖表!C22</f>
        <v>3.蔣明諺</v>
      </c>
      <c r="C619" s="1014"/>
      <c r="D619" s="6" t="s">
        <v>1133</v>
      </c>
      <c r="I619" s="617"/>
    </row>
    <row r="620" spans="2:20">
      <c r="B620" s="1032"/>
      <c r="C620" s="1014"/>
      <c r="D620" s="6" t="s">
        <v>1019</v>
      </c>
      <c r="I620" s="617"/>
    </row>
    <row r="621" spans="2:20" ht="19.2" customHeight="1">
      <c r="B621" s="1032"/>
      <c r="C621" s="1014"/>
      <c r="D621" s="6" t="s">
        <v>1135</v>
      </c>
      <c r="H621" s="614"/>
      <c r="I621" s="646"/>
    </row>
    <row r="622" spans="2:20" s="614" customFormat="1" ht="19.8" customHeight="1" thickBot="1">
      <c r="B622" s="1033"/>
      <c r="C622" s="1015"/>
      <c r="D622" s="853" t="s">
        <v>1132</v>
      </c>
      <c r="E622" s="853"/>
      <c r="F622" s="853"/>
      <c r="G622" s="853"/>
      <c r="H622" s="853"/>
      <c r="I622" s="846"/>
      <c r="T622" s="6"/>
    </row>
    <row r="623" spans="2:20" ht="16.8" thickBot="1">
      <c r="B623" s="631" t="str">
        <f>計畫架構圖表!C23</f>
        <v>B分項計畫 物業安全中心設置</v>
      </c>
      <c r="C623" s="650"/>
      <c r="D623" s="651"/>
      <c r="E623" s="632"/>
      <c r="F623" s="632"/>
      <c r="G623" s="632"/>
      <c r="H623" s="632"/>
      <c r="I623" s="633"/>
      <c r="T623" s="614"/>
    </row>
    <row r="624" spans="2:20">
      <c r="B624" s="624" t="str">
        <f>計畫架構圖表!C24</f>
        <v>B1物業管理及保全協力廠商探詢及轄內物業管理8/1</v>
      </c>
      <c r="C624" s="625"/>
      <c r="D624" s="625"/>
      <c r="E624" s="625"/>
      <c r="F624" s="625"/>
      <c r="G624" s="625"/>
      <c r="H624" s="625"/>
      <c r="I624" s="626"/>
    </row>
    <row r="625" spans="2:9" ht="48.6" customHeight="1">
      <c r="B625" s="616"/>
      <c r="E625" s="831" t="s">
        <v>1061</v>
      </c>
      <c r="F625" s="831"/>
      <c r="G625" s="831"/>
      <c r="H625" s="831"/>
      <c r="I625" s="844"/>
    </row>
    <row r="626" spans="2:9" ht="23.4" customHeight="1">
      <c r="B626" s="616"/>
      <c r="E626" s="831" t="s">
        <v>814</v>
      </c>
      <c r="F626" s="831"/>
      <c r="G626" s="831"/>
      <c r="H626" s="831"/>
      <c r="I626" s="844"/>
    </row>
    <row r="627" spans="2:9" ht="18.600000000000001" customHeight="1">
      <c r="B627" s="616"/>
      <c r="E627" s="831" t="s">
        <v>815</v>
      </c>
      <c r="F627" s="831"/>
      <c r="G627" s="831"/>
      <c r="H627" s="831"/>
      <c r="I627" s="844"/>
    </row>
    <row r="628" spans="2:9" ht="16.8" thickBot="1">
      <c r="B628" s="618"/>
      <c r="C628" s="498"/>
      <c r="D628" s="498"/>
      <c r="E628" s="993" t="s">
        <v>360</v>
      </c>
      <c r="F628" s="993"/>
      <c r="G628" s="620">
        <f>計畫架構圖表!Q24</f>
        <v>43.84</v>
      </c>
      <c r="H628" s="498"/>
      <c r="I628" s="621">
        <f>計畫架構圖表!Q25</f>
        <v>0</v>
      </c>
    </row>
    <row r="629" spans="2:9" ht="16.8" thickBot="1">
      <c r="B629" s="631" t="str">
        <f>計畫架構圖表!C26</f>
        <v>B2分析各管委會及承攬物業資訊製作物業資訊庫10/1</v>
      </c>
      <c r="C629" s="638"/>
      <c r="D629" s="638"/>
      <c r="E629" s="638"/>
      <c r="F629" s="638"/>
      <c r="G629" s="632"/>
      <c r="H629" s="632"/>
      <c r="I629" s="633"/>
    </row>
    <row r="630" spans="2:9" ht="31.2" customHeight="1">
      <c r="B630" s="616"/>
      <c r="E630" s="831" t="s">
        <v>1062</v>
      </c>
      <c r="F630" s="831"/>
      <c r="G630" s="831"/>
      <c r="H630" s="831"/>
      <c r="I630" s="844"/>
    </row>
    <row r="631" spans="2:9" ht="16.8" thickBot="1">
      <c r="B631" s="618"/>
      <c r="C631" s="498"/>
      <c r="D631" s="498"/>
      <c r="E631" s="993" t="s">
        <v>360</v>
      </c>
      <c r="F631" s="993"/>
      <c r="G631" s="620">
        <f>計畫架構圖表!Q26</f>
        <v>21.92</v>
      </c>
      <c r="H631" s="498"/>
      <c r="I631" s="621">
        <f>計畫架構圖表!Q27</f>
        <v>0</v>
      </c>
    </row>
    <row r="632" spans="2:9" ht="16.8" thickBot="1">
      <c r="B632" s="631" t="str">
        <f>計畫架構圖表!C28</f>
        <v>B3選定5家測試合作業物業並前往洽談合作事宜10/15</v>
      </c>
      <c r="C632" s="638"/>
      <c r="D632" s="638"/>
      <c r="E632" s="638"/>
      <c r="F632" s="638"/>
      <c r="G632" s="638"/>
      <c r="H632" s="632"/>
      <c r="I632" s="633"/>
    </row>
    <row r="633" spans="2:9" ht="49.8" customHeight="1">
      <c r="B633" s="616"/>
      <c r="E633" s="831" t="s">
        <v>1063</v>
      </c>
      <c r="F633" s="831"/>
      <c r="G633" s="831"/>
      <c r="H633" s="831"/>
      <c r="I633" s="844"/>
    </row>
    <row r="634" spans="2:9">
      <c r="B634" s="616"/>
      <c r="E634" s="831" t="s">
        <v>816</v>
      </c>
      <c r="F634" s="831"/>
      <c r="G634" s="831"/>
      <c r="H634" s="831"/>
      <c r="I634" s="844"/>
    </row>
    <row r="635" spans="2:9">
      <c r="B635" s="616"/>
      <c r="E635" s="636"/>
      <c r="F635" s="636"/>
      <c r="G635" s="636"/>
      <c r="H635" s="636"/>
      <c r="I635" s="547"/>
    </row>
    <row r="636" spans="2:9" ht="16.8" thickBot="1">
      <c r="B636" s="618"/>
      <c r="C636" s="498"/>
      <c r="D636" s="498"/>
      <c r="E636" s="993" t="s">
        <v>360</v>
      </c>
      <c r="F636" s="993"/>
      <c r="G636" s="620">
        <f>計畫架構圖表!Q28</f>
        <v>21.92</v>
      </c>
      <c r="H636" s="498"/>
      <c r="I636" s="621">
        <f>計畫架構圖表!Q29</f>
        <v>0</v>
      </c>
    </row>
    <row r="637" spans="2:9" ht="16.8" thickBot="1">
      <c r="B637" s="631" t="str">
        <f>計畫架構圖表!C30</f>
        <v>B4進行全區域的物業拜訪開拓創新社區安全網業務11/1</v>
      </c>
      <c r="C637" s="638"/>
      <c r="D637" s="638"/>
      <c r="E637" s="638"/>
      <c r="F637" s="638"/>
      <c r="G637" s="638"/>
      <c r="H637" s="632"/>
      <c r="I637" s="633"/>
    </row>
    <row r="638" spans="2:9">
      <c r="B638" s="616"/>
      <c r="E638" s="1202" t="s">
        <v>817</v>
      </c>
      <c r="F638" s="1202"/>
      <c r="G638" s="1202"/>
      <c r="H638" s="1202"/>
      <c r="I638" s="1251"/>
    </row>
    <row r="639" spans="2:9" ht="66" customHeight="1">
      <c r="B639" s="616"/>
      <c r="E639" s="831" t="s">
        <v>1022</v>
      </c>
      <c r="F639" s="831"/>
      <c r="G639" s="831"/>
      <c r="H639" s="831"/>
      <c r="I639" s="844"/>
    </row>
    <row r="640" spans="2:9" ht="16.8" thickBot="1">
      <c r="B640" s="618"/>
      <c r="C640" s="620"/>
      <c r="D640" s="498"/>
      <c r="E640" s="993" t="s">
        <v>360</v>
      </c>
      <c r="F640" s="993"/>
      <c r="G640" s="620">
        <f>計畫架構圖表!Q30</f>
        <v>87.68</v>
      </c>
      <c r="H640" s="498"/>
      <c r="I640" s="453">
        <f>計畫架構圖表!C31</f>
        <v>0</v>
      </c>
    </row>
    <row r="641" spans="2:9" ht="16.8" thickBot="1">
      <c r="B641" s="631" t="str">
        <f>計畫架構圖表!C32</f>
        <v>B5完成全區域內物業分析報告及擬定安保顧問企劃3/11</v>
      </c>
      <c r="C641" s="638"/>
      <c r="D641" s="638"/>
      <c r="E641" s="638"/>
      <c r="F641" s="638"/>
      <c r="G641" s="632"/>
      <c r="H641" s="632"/>
      <c r="I641" s="633"/>
    </row>
    <row r="642" spans="2:9">
      <c r="B642" s="616"/>
      <c r="E642" s="1202" t="s">
        <v>818</v>
      </c>
      <c r="F642" s="1202"/>
      <c r="G642" s="1202"/>
      <c r="H642" s="1202"/>
      <c r="I642" s="1251"/>
    </row>
    <row r="643" spans="2:9">
      <c r="B643" s="616"/>
      <c r="E643" s="1202" t="s">
        <v>819</v>
      </c>
      <c r="F643" s="1202"/>
      <c r="G643" s="1202"/>
      <c r="H643" s="1202"/>
      <c r="I643" s="1251"/>
    </row>
    <row r="644" spans="2:9">
      <c r="B644" s="616"/>
      <c r="I644" s="617"/>
    </row>
    <row r="645" spans="2:9" ht="16.8" thickBot="1">
      <c r="B645" s="618"/>
      <c r="C645" s="620">
        <f>計畫架構圖表!Q33</f>
        <v>0</v>
      </c>
      <c r="D645" s="498"/>
      <c r="E645" s="993" t="s">
        <v>360</v>
      </c>
      <c r="F645" s="993"/>
      <c r="G645" s="620">
        <f>計畫架構圖表!Q32</f>
        <v>21.92</v>
      </c>
      <c r="H645" s="498"/>
      <c r="I645" s="453">
        <f>計畫架構圖表!C33</f>
        <v>0</v>
      </c>
    </row>
    <row r="646" spans="2:9">
      <c r="B646" s="624" t="str">
        <f>計畫架構圖表!C34</f>
        <v>B6出席研討會並收集本分項計畫有關之訊息6/10</v>
      </c>
      <c r="C646" s="625"/>
      <c r="D646" s="625"/>
      <c r="E646" s="625"/>
      <c r="F646" s="625"/>
      <c r="G646" s="625"/>
      <c r="H646" s="625"/>
      <c r="I646" s="626"/>
    </row>
    <row r="647" spans="2:9">
      <c r="B647" s="616"/>
      <c r="E647" s="1025" t="s">
        <v>820</v>
      </c>
      <c r="F647" s="1025"/>
      <c r="G647" s="1025"/>
      <c r="H647" s="1025"/>
      <c r="I647" s="1026"/>
    </row>
    <row r="648" spans="2:9">
      <c r="B648" s="616"/>
      <c r="E648" s="1025" t="s">
        <v>821</v>
      </c>
      <c r="F648" s="1025"/>
      <c r="G648" s="1025"/>
      <c r="H648" s="1025"/>
      <c r="I648" s="1026"/>
    </row>
    <row r="649" spans="2:9">
      <c r="B649" s="616"/>
      <c r="E649" s="1025" t="s">
        <v>822</v>
      </c>
      <c r="F649" s="1025"/>
      <c r="G649" s="1025"/>
      <c r="H649" s="1025"/>
      <c r="I649" s="1026"/>
    </row>
    <row r="650" spans="2:9">
      <c r="B650" s="616"/>
      <c r="E650" s="1025" t="s">
        <v>823</v>
      </c>
      <c r="F650" s="1025"/>
      <c r="G650" s="1025"/>
      <c r="H650" s="1025"/>
      <c r="I650" s="1026"/>
    </row>
    <row r="651" spans="2:9">
      <c r="B651" s="616"/>
      <c r="E651" s="426"/>
      <c r="F651" s="426"/>
      <c r="G651" s="426"/>
      <c r="H651" s="426"/>
      <c r="I651" s="645"/>
    </row>
    <row r="652" spans="2:9" ht="16.8" thickBot="1">
      <c r="B652" s="618"/>
      <c r="C652" s="498"/>
      <c r="D652" s="498"/>
      <c r="E652" s="993" t="s">
        <v>360</v>
      </c>
      <c r="F652" s="993"/>
      <c r="G652" s="620">
        <f>計畫架構圖表!Q34</f>
        <v>21.92</v>
      </c>
      <c r="H652" s="498"/>
      <c r="I652" s="453">
        <f>計畫架構圖表!C35</f>
        <v>0</v>
      </c>
    </row>
    <row r="655" spans="2:9">
      <c r="G655" s="6" t="str">
        <f>計畫架構圖表!C36</f>
        <v>合計人月</v>
      </c>
      <c r="H655" s="1016">
        <f>計畫架構圖表!Q36</f>
        <v>5</v>
      </c>
      <c r="I655" s="1016"/>
    </row>
    <row r="656" spans="2:9">
      <c r="G656" s="6" t="str">
        <f>計畫架構圖表!C37</f>
        <v>合計薪資</v>
      </c>
      <c r="H656" s="1016">
        <f>計畫架構圖表!Q37</f>
        <v>219.2</v>
      </c>
      <c r="I656" s="1016"/>
    </row>
    <row r="657" spans="2:9">
      <c r="C657" s="549"/>
      <c r="G657" s="6" t="str">
        <f>計畫架構圖表!C38</f>
        <v>非屬薪資</v>
      </c>
      <c r="H657" s="1016">
        <f>計畫架構圖表!Q38</f>
        <v>0</v>
      </c>
      <c r="I657" s="1016"/>
    </row>
    <row r="658" spans="2:9">
      <c r="C658" s="549"/>
      <c r="G658" s="6" t="str">
        <f>計畫架構圖表!C39</f>
        <v>費用小計</v>
      </c>
      <c r="H658" s="1016">
        <f>計畫架構圖表!Q39</f>
        <v>219.2</v>
      </c>
      <c r="I658" s="1016"/>
    </row>
    <row r="659" spans="2:9" ht="16.8" thickBot="1">
      <c r="C659" s="549"/>
      <c r="H659" s="549"/>
      <c r="I659" s="549"/>
    </row>
    <row r="660" spans="2:9">
      <c r="B660" s="1254" t="str">
        <f>人事費!A11</f>
        <v>5.李道翔</v>
      </c>
      <c r="C660" s="1013"/>
      <c r="D660" s="615" t="s">
        <v>1023</v>
      </c>
      <c r="E660" s="615"/>
      <c r="F660" s="615"/>
      <c r="G660" s="615"/>
      <c r="H660" s="652"/>
      <c r="I660" s="653"/>
    </row>
    <row r="661" spans="2:9">
      <c r="B661" s="1255"/>
      <c r="C661" s="1014"/>
      <c r="D661" s="6" t="s">
        <v>829</v>
      </c>
      <c r="H661" s="629"/>
      <c r="I661" s="622"/>
    </row>
    <row r="662" spans="2:9" ht="19.2" customHeight="1">
      <c r="B662" s="1255"/>
      <c r="C662" s="1014"/>
      <c r="D662" s="6" t="s">
        <v>1025</v>
      </c>
      <c r="H662" s="629"/>
      <c r="I662" s="622"/>
    </row>
    <row r="663" spans="2:9" ht="13.8" customHeight="1">
      <c r="B663" s="1255"/>
      <c r="C663" s="1014"/>
      <c r="D663" s="6" t="s">
        <v>1024</v>
      </c>
      <c r="H663" s="629"/>
      <c r="I663" s="622"/>
    </row>
    <row r="664" spans="2:9" ht="16.8" thickBot="1">
      <c r="B664" s="1256"/>
      <c r="C664" s="1015"/>
      <c r="D664" s="498" t="s">
        <v>1028</v>
      </c>
      <c r="E664" s="498"/>
      <c r="F664" s="498"/>
      <c r="G664" s="498"/>
      <c r="H664" s="498"/>
      <c r="I664" s="453"/>
    </row>
    <row r="665" spans="2:9">
      <c r="B665" s="624" t="str">
        <f>計畫架構圖表!C42</f>
        <v>C分項計畫 資訊、勞務系統開發</v>
      </c>
      <c r="C665" s="652"/>
      <c r="D665" s="615"/>
      <c r="E665" s="615"/>
      <c r="F665" s="615"/>
      <c r="G665" s="615"/>
      <c r="H665" s="615"/>
      <c r="I665" s="475"/>
    </row>
    <row r="666" spans="2:9" ht="16.8" thickBot="1">
      <c r="B666" s="648" t="str">
        <f>計畫架構圖表!C43</f>
        <v>C1 AI智慧社區服務系統及及無人保全開發商123招攬及合約簽訂7/30</v>
      </c>
      <c r="C666" s="498"/>
      <c r="D666" s="498"/>
      <c r="E666" s="498"/>
      <c r="F666" s="498"/>
      <c r="G666" s="498"/>
      <c r="H666" s="498"/>
      <c r="I666" s="453"/>
    </row>
    <row r="667" spans="2:9">
      <c r="B667" s="616"/>
      <c r="C667" s="426"/>
      <c r="E667" s="1025" t="s">
        <v>824</v>
      </c>
      <c r="F667" s="1025"/>
      <c r="G667" s="1025"/>
      <c r="H667" s="1025"/>
      <c r="I667" s="1026"/>
    </row>
    <row r="668" spans="2:9">
      <c r="B668" s="616"/>
      <c r="C668" s="426"/>
      <c r="E668" s="1025" t="s">
        <v>827</v>
      </c>
      <c r="F668" s="1025"/>
      <c r="G668" s="1025"/>
      <c r="H668" s="1025"/>
      <c r="I668" s="1026"/>
    </row>
    <row r="669" spans="2:9">
      <c r="B669" s="616"/>
      <c r="C669" s="426"/>
      <c r="E669" s="1025" t="s">
        <v>825</v>
      </c>
      <c r="F669" s="1025"/>
      <c r="G669" s="1025"/>
      <c r="H669" s="1025"/>
      <c r="I669" s="1026"/>
    </row>
    <row r="670" spans="2:9">
      <c r="B670" s="616"/>
      <c r="C670" s="426"/>
      <c r="E670" s="1025" t="s">
        <v>826</v>
      </c>
      <c r="F670" s="1025"/>
      <c r="G670" s="1025"/>
      <c r="H670" s="1025"/>
      <c r="I670" s="1026"/>
    </row>
    <row r="671" spans="2:9" ht="16.8" thickBot="1">
      <c r="B671" s="616"/>
      <c r="C671" s="6" t="s">
        <v>1033</v>
      </c>
      <c r="E671" s="954" t="s">
        <v>360</v>
      </c>
      <c r="F671" s="954"/>
      <c r="G671" s="629">
        <f>計畫架構圖表!Q43</f>
        <v>20</v>
      </c>
      <c r="H671" s="6" t="s">
        <v>1020</v>
      </c>
      <c r="I671" s="622">
        <f>計畫架構圖表!Q44</f>
        <v>500</v>
      </c>
    </row>
    <row r="672" spans="2:9" ht="16.8" thickBot="1">
      <c r="B672" s="631" t="str">
        <f>計畫架構圖表!C45</f>
        <v>C2 AI智慧社區服務系統完成商業及物業系統開發。9/1</v>
      </c>
      <c r="C672" s="632"/>
      <c r="D672" s="632"/>
      <c r="E672" s="632"/>
      <c r="F672" s="632"/>
      <c r="G672" s="632"/>
      <c r="H672" s="632"/>
      <c r="I672" s="633"/>
    </row>
    <row r="673" spans="2:9">
      <c r="B673" s="616"/>
      <c r="E673" s="426" t="s">
        <v>1030</v>
      </c>
      <c r="I673" s="617"/>
    </row>
    <row r="674" spans="2:9">
      <c r="B674" s="616"/>
      <c r="E674" s="426" t="s">
        <v>1031</v>
      </c>
      <c r="I674" s="617"/>
    </row>
    <row r="675" spans="2:9">
      <c r="B675" s="616"/>
      <c r="E675" s="426" t="s">
        <v>1032</v>
      </c>
      <c r="I675" s="617"/>
    </row>
    <row r="676" spans="2:9">
      <c r="B676" s="616"/>
      <c r="I676" s="617"/>
    </row>
    <row r="677" spans="2:9">
      <c r="B677" s="616"/>
      <c r="I677" s="617"/>
    </row>
    <row r="678" spans="2:9" ht="16.8" thickBot="1">
      <c r="B678" s="616"/>
      <c r="C678" s="629"/>
      <c r="E678" s="954" t="s">
        <v>360</v>
      </c>
      <c r="F678" s="954"/>
      <c r="G678" s="629">
        <f>計畫架構圖表!Q45</f>
        <v>20</v>
      </c>
      <c r="I678" s="617"/>
    </row>
    <row r="679" spans="2:9" ht="16.8" thickBot="1">
      <c r="B679" s="631" t="str">
        <f>計畫架構圖表!C47</f>
        <v>C3 AI智慧社區服務系統完成社區專勤隊串接10/1</v>
      </c>
      <c r="C679" s="638"/>
      <c r="D679" s="638"/>
      <c r="E679" s="638"/>
      <c r="F679" s="638"/>
      <c r="G679" s="638"/>
      <c r="H679" s="638"/>
      <c r="I679" s="639"/>
    </row>
    <row r="680" spans="2:9">
      <c r="B680" s="616"/>
      <c r="E680" s="426" t="s">
        <v>1034</v>
      </c>
      <c r="I680" s="617"/>
    </row>
    <row r="681" spans="2:9">
      <c r="B681" s="616"/>
      <c r="E681" s="426" t="s">
        <v>1035</v>
      </c>
      <c r="I681" s="617"/>
    </row>
    <row r="682" spans="2:9">
      <c r="B682" s="616"/>
      <c r="I682" s="617"/>
    </row>
    <row r="683" spans="2:9">
      <c r="B683" s="616"/>
      <c r="I683" s="617"/>
    </row>
    <row r="684" spans="2:9" ht="16.8" thickBot="1">
      <c r="B684" s="616"/>
      <c r="C684" s="629"/>
      <c r="E684" s="954" t="s">
        <v>360</v>
      </c>
      <c r="F684" s="954"/>
      <c r="G684" s="629">
        <f>計畫架構圖表!Q47</f>
        <v>20</v>
      </c>
      <c r="I684" s="617"/>
    </row>
    <row r="685" spans="2:9" ht="16.8" thickBot="1">
      <c r="B685" s="631" t="str">
        <f>計畫架構圖表!C49</f>
        <v>C4 AI智慧社區服務系統、無人保全系統及完成串接10/1</v>
      </c>
      <c r="C685" s="638"/>
      <c r="D685" s="638"/>
      <c r="E685" s="638"/>
      <c r="F685" s="638"/>
      <c r="G685" s="638"/>
      <c r="H685" s="638"/>
      <c r="I685" s="639"/>
    </row>
    <row r="686" spans="2:9" ht="30.6" customHeight="1">
      <c r="B686" s="616"/>
      <c r="E686" s="1269" t="s">
        <v>1130</v>
      </c>
      <c r="F686" s="1269"/>
      <c r="G686" s="1269"/>
      <c r="H686" s="1269"/>
      <c r="I686" s="1270"/>
    </row>
    <row r="687" spans="2:9" ht="37.200000000000003" customHeight="1">
      <c r="B687" s="616"/>
      <c r="E687" s="831" t="s">
        <v>1041</v>
      </c>
      <c r="F687" s="831"/>
      <c r="G687" s="831"/>
      <c r="H687" s="831"/>
      <c r="I687" s="844"/>
    </row>
    <row r="688" spans="2:9">
      <c r="B688" s="616"/>
      <c r="E688" s="831" t="s">
        <v>1037</v>
      </c>
      <c r="F688" s="831"/>
      <c r="G688" s="831"/>
      <c r="H688" s="831"/>
      <c r="I688" s="844"/>
    </row>
    <row r="689" spans="2:9">
      <c r="B689" s="616"/>
      <c r="I689" s="617"/>
    </row>
    <row r="690" spans="2:9" ht="16.8" thickBot="1">
      <c r="B690" s="616">
        <f>計畫架構圖表!C50</f>
        <v>0</v>
      </c>
      <c r="C690" s="629">
        <f>計畫架構圖表!Q50</f>
        <v>0</v>
      </c>
      <c r="E690" s="954" t="s">
        <v>360</v>
      </c>
      <c r="F690" s="954"/>
      <c r="G690" s="629">
        <f>計畫架構圖表!Q49</f>
        <v>20</v>
      </c>
      <c r="I690" s="617"/>
    </row>
    <row r="691" spans="2:9" ht="16.8" thickBot="1">
      <c r="B691" s="631" t="str">
        <f>計畫架構圖表!C51</f>
        <v>C5各使用端意見收集及系統改善項目表提出1/15</v>
      </c>
      <c r="C691" s="638"/>
      <c r="D691" s="638"/>
      <c r="E691" s="638"/>
      <c r="F691" s="638"/>
      <c r="G691" s="638"/>
      <c r="H691" s="638"/>
      <c r="I691" s="639"/>
    </row>
    <row r="692" spans="2:9">
      <c r="B692" s="616"/>
      <c r="E692" s="614" t="s">
        <v>1131</v>
      </c>
      <c r="I692" s="617"/>
    </row>
    <row r="693" spans="2:9">
      <c r="B693" s="616"/>
      <c r="E693" s="426" t="s">
        <v>1036</v>
      </c>
      <c r="I693" s="617"/>
    </row>
    <row r="694" spans="2:9">
      <c r="B694" s="616"/>
      <c r="E694" s="426" t="s">
        <v>1037</v>
      </c>
      <c r="I694" s="617"/>
    </row>
    <row r="695" spans="2:9">
      <c r="B695" s="616"/>
      <c r="I695" s="617"/>
    </row>
    <row r="696" spans="2:9" ht="16.8" thickBot="1">
      <c r="B696" s="616">
        <f>計畫架構圖表!C52</f>
        <v>0</v>
      </c>
      <c r="C696" s="629">
        <f>計畫架構圖表!Q52</f>
        <v>0</v>
      </c>
      <c r="E696" s="954" t="s">
        <v>360</v>
      </c>
      <c r="F696" s="954"/>
      <c r="G696" s="629">
        <f>計畫架構圖表!Q51</f>
        <v>20.92</v>
      </c>
      <c r="I696" s="617"/>
    </row>
    <row r="697" spans="2:9" ht="16.8" thickBot="1">
      <c r="B697" s="631" t="str">
        <f>計畫架構圖表!C53</f>
        <v>C6出席研討會並收集本分項計畫有關之訊息6/10</v>
      </c>
      <c r="C697" s="638"/>
      <c r="D697" s="638"/>
      <c r="E697" s="638"/>
      <c r="F697" s="638"/>
      <c r="G697" s="638"/>
      <c r="H697" s="638"/>
      <c r="I697" s="639"/>
    </row>
    <row r="698" spans="2:9">
      <c r="B698" s="616"/>
      <c r="E698" s="426" t="s">
        <v>1040</v>
      </c>
      <c r="I698" s="617"/>
    </row>
    <row r="699" spans="2:9">
      <c r="B699" s="616"/>
      <c r="E699" s="426" t="s">
        <v>1038</v>
      </c>
      <c r="I699" s="617"/>
    </row>
    <row r="700" spans="2:9">
      <c r="B700" s="616"/>
      <c r="I700" s="617"/>
    </row>
    <row r="701" spans="2:9" ht="16.8" thickBot="1">
      <c r="B701" s="618"/>
      <c r="C701" s="620"/>
      <c r="D701" s="498"/>
      <c r="E701" s="993" t="s">
        <v>360</v>
      </c>
      <c r="F701" s="993"/>
      <c r="G701" s="620">
        <f>計畫架構圖表!Q53</f>
        <v>20.92</v>
      </c>
      <c r="H701" s="498"/>
      <c r="I701" s="453"/>
    </row>
    <row r="703" spans="2:9">
      <c r="G703" s="6" t="str">
        <f>計畫架構圖表!C55</f>
        <v>合計人月</v>
      </c>
      <c r="H703" s="1016">
        <f>計畫架構圖表!Q55</f>
        <v>3.0000000000000004</v>
      </c>
      <c r="I703" s="1016"/>
    </row>
    <row r="704" spans="2:9">
      <c r="G704" s="6" t="str">
        <f>計畫架構圖表!C56</f>
        <v>合計薪資</v>
      </c>
      <c r="H704" s="1016">
        <f>計畫架構圖表!Q56</f>
        <v>125.52000000000002</v>
      </c>
      <c r="I704" s="1016"/>
    </row>
    <row r="705" spans="2:9">
      <c r="G705" s="6" t="s">
        <v>832</v>
      </c>
      <c r="H705" s="1016">
        <f>計畫架構圖表!Q57</f>
        <v>500</v>
      </c>
      <c r="I705" s="1016"/>
    </row>
    <row r="706" spans="2:9" ht="16.8" thickBot="1">
      <c r="C706" s="549"/>
      <c r="G706" s="6" t="str">
        <f>計畫架構圖表!C58</f>
        <v>費用小計</v>
      </c>
      <c r="H706" s="1016">
        <f>計畫架構圖表!Q58</f>
        <v>625.52</v>
      </c>
      <c r="I706" s="1016"/>
    </row>
    <row r="707" spans="2:9">
      <c r="B707" s="1252" t="str">
        <f>人事費!A10</f>
        <v>4.林詩妘</v>
      </c>
      <c r="C707" s="1013" t="e" vm="2">
        <v>#VALUE!</v>
      </c>
      <c r="D707" s="615" t="s">
        <v>828</v>
      </c>
      <c r="E707" s="615"/>
      <c r="F707" s="615"/>
      <c r="G707" s="615"/>
      <c r="H707" s="652"/>
      <c r="I707" s="653"/>
    </row>
    <row r="708" spans="2:9">
      <c r="B708" s="1253"/>
      <c r="C708" s="1014"/>
      <c r="D708" s="1202" t="s">
        <v>829</v>
      </c>
      <c r="E708" s="1202"/>
      <c r="F708" s="1202"/>
      <c r="G708" s="1202"/>
      <c r="H708" s="629"/>
      <c r="I708" s="622"/>
    </row>
    <row r="709" spans="2:9">
      <c r="B709" s="1253"/>
      <c r="C709" s="1014"/>
      <c r="D709" s="1202" t="s">
        <v>830</v>
      </c>
      <c r="E709" s="1202"/>
      <c r="F709" s="1202"/>
      <c r="G709" s="1202"/>
      <c r="H709" s="629"/>
      <c r="I709" s="622"/>
    </row>
    <row r="710" spans="2:9">
      <c r="B710" s="1253"/>
      <c r="C710" s="1014"/>
      <c r="D710" s="6" t="s">
        <v>831</v>
      </c>
      <c r="H710" s="629"/>
      <c r="I710" s="622"/>
    </row>
    <row r="711" spans="2:9" ht="16.8" thickBot="1">
      <c r="B711" s="1253"/>
      <c r="C711" s="1014"/>
      <c r="D711" s="427" t="s">
        <v>1074</v>
      </c>
      <c r="E711" s="427"/>
      <c r="F711" s="427"/>
      <c r="G711" s="427"/>
      <c r="H711" s="427"/>
      <c r="I711" s="654"/>
    </row>
    <row r="712" spans="2:9" ht="20.399999999999999" thickBot="1">
      <c r="B712" s="655" t="str">
        <f>計畫架構圖表!C61</f>
        <v>D分項計畫 各分项計畫串接結合及驗證控管</v>
      </c>
      <c r="C712" s="650"/>
      <c r="D712" s="632"/>
      <c r="E712" s="632"/>
      <c r="F712" s="632"/>
      <c r="G712" s="632"/>
      <c r="H712" s="632"/>
      <c r="I712" s="633"/>
    </row>
    <row r="713" spans="2:9" ht="16.8" thickBot="1">
      <c r="B713" s="631" t="str">
        <f>計畫架構圖表!C62</f>
        <v>D1營運中心空間規劃建構，直營咖啡廳SOP制定8/30</v>
      </c>
      <c r="C713" s="632"/>
      <c r="D713" s="632"/>
      <c r="E713" s="632"/>
      <c r="F713" s="632"/>
      <c r="G713" s="632"/>
      <c r="H713" s="632"/>
      <c r="I713" s="633"/>
    </row>
    <row r="714" spans="2:9">
      <c r="B714" s="616"/>
      <c r="E714" s="623" t="s">
        <v>1065</v>
      </c>
      <c r="I714" s="617"/>
    </row>
    <row r="715" spans="2:9">
      <c r="B715" s="616"/>
      <c r="E715" s="623" t="s">
        <v>1042</v>
      </c>
      <c r="I715" s="617"/>
    </row>
    <row r="716" spans="2:9">
      <c r="B716" s="616"/>
      <c r="E716" s="623" t="s">
        <v>1064</v>
      </c>
      <c r="I716" s="617"/>
    </row>
    <row r="717" spans="2:9">
      <c r="B717" s="616"/>
      <c r="I717" s="617"/>
    </row>
    <row r="718" spans="2:9" ht="16.8" thickBot="1">
      <c r="B718" s="618"/>
      <c r="C718" s="498"/>
      <c r="D718" s="498"/>
      <c r="E718" s="993" t="s">
        <v>360</v>
      </c>
      <c r="F718" s="993"/>
      <c r="G718" s="620">
        <f>計畫架構圖表!Q62</f>
        <v>20.92</v>
      </c>
      <c r="H718" s="498"/>
      <c r="I718" s="621">
        <f>計畫架構圖表!Q63</f>
        <v>0</v>
      </c>
    </row>
    <row r="719" spans="2:9" ht="16.8" thickBot="1">
      <c r="B719" s="644" t="s">
        <v>1073</v>
      </c>
      <c r="C719" s="632"/>
      <c r="D719" s="632"/>
      <c r="E719" s="632"/>
      <c r="F719" s="632"/>
      <c r="G719" s="632"/>
      <c r="H719" s="632"/>
      <c r="I719" s="660"/>
    </row>
    <row r="720" spans="2:9" ht="16.95" customHeight="1">
      <c r="B720" s="616"/>
      <c r="E720" s="998" t="s">
        <v>1045</v>
      </c>
      <c r="F720" s="998"/>
      <c r="G720" s="998"/>
      <c r="H720" s="998"/>
      <c r="I720" s="617"/>
    </row>
    <row r="721" spans="2:9" ht="16.95" customHeight="1">
      <c r="B721" s="616"/>
      <c r="E721" s="1008" t="s">
        <v>1046</v>
      </c>
      <c r="F721" s="1008"/>
      <c r="G721" s="1008"/>
      <c r="H721" s="1008"/>
      <c r="I721" s="617"/>
    </row>
    <row r="722" spans="2:9" ht="16.95" customHeight="1">
      <c r="B722" s="616"/>
      <c r="E722" s="1008" t="s">
        <v>1047</v>
      </c>
      <c r="F722" s="1008"/>
      <c r="G722" s="1008"/>
      <c r="H722" s="1008"/>
      <c r="I722" s="617"/>
    </row>
    <row r="723" spans="2:9" ht="16.95" customHeight="1">
      <c r="B723" s="616"/>
      <c r="E723" s="1008" t="s">
        <v>1048</v>
      </c>
      <c r="F723" s="1008"/>
      <c r="G723" s="1008"/>
      <c r="H723" s="1008"/>
      <c r="I723" s="617"/>
    </row>
    <row r="724" spans="2:9" ht="16.95" customHeight="1">
      <c r="B724" s="616"/>
      <c r="E724" s="1008" t="s">
        <v>1049</v>
      </c>
      <c r="F724" s="1008"/>
      <c r="G724" s="1008"/>
      <c r="H724" s="1008"/>
      <c r="I724" s="617"/>
    </row>
    <row r="725" spans="2:9" ht="16.95" customHeight="1">
      <c r="B725" s="616"/>
      <c r="E725" s="1008" t="s">
        <v>1050</v>
      </c>
      <c r="F725" s="1008"/>
      <c r="G725" s="1008"/>
      <c r="H725" s="1008"/>
      <c r="I725" s="617"/>
    </row>
    <row r="726" spans="2:9" ht="16.2" customHeight="1">
      <c r="B726" s="616"/>
      <c r="E726" s="831" t="s">
        <v>1043</v>
      </c>
      <c r="F726" s="831"/>
      <c r="G726" s="831"/>
      <c r="H726" s="831"/>
      <c r="I726" s="617"/>
    </row>
    <row r="727" spans="2:9" ht="33" customHeight="1">
      <c r="B727" s="616"/>
      <c r="E727" s="1008" t="s">
        <v>1052</v>
      </c>
      <c r="F727" s="1008"/>
      <c r="G727" s="1008"/>
      <c r="H727" s="1008"/>
      <c r="I727" s="617"/>
    </row>
    <row r="728" spans="2:9" ht="16.2" customHeight="1">
      <c r="B728" s="616"/>
      <c r="E728" s="1008" t="s">
        <v>1044</v>
      </c>
      <c r="F728" s="1008"/>
      <c r="G728" s="1008"/>
      <c r="H728" s="1008"/>
      <c r="I728" s="617"/>
    </row>
    <row r="729" spans="2:9" ht="70.8" customHeight="1">
      <c r="B729" s="616"/>
      <c r="E729" s="1008" t="s">
        <v>1051</v>
      </c>
      <c r="F729" s="1008"/>
      <c r="G729" s="1008"/>
      <c r="H729" s="1008"/>
      <c r="I729" s="617"/>
    </row>
    <row r="730" spans="2:9" ht="16.2" customHeight="1">
      <c r="B730" s="616"/>
      <c r="E730" s="1008" t="s">
        <v>1056</v>
      </c>
      <c r="F730" s="1008"/>
      <c r="G730" s="1008"/>
      <c r="H730" s="1008"/>
      <c r="I730" s="622">
        <v>49.8</v>
      </c>
    </row>
    <row r="731" spans="2:9" ht="16.2" customHeight="1">
      <c r="B731" s="616"/>
      <c r="E731" s="831" t="s">
        <v>1066</v>
      </c>
      <c r="F731" s="831"/>
      <c r="G731" s="831"/>
      <c r="H731" s="831"/>
      <c r="I731" s="617"/>
    </row>
    <row r="732" spans="2:9">
      <c r="B732" s="616"/>
      <c r="I732" s="617"/>
    </row>
    <row r="733" spans="2:9" ht="16.8" thickBot="1">
      <c r="B733" s="618"/>
      <c r="C733" s="498"/>
      <c r="D733" s="498"/>
      <c r="E733" s="993" t="s">
        <v>360</v>
      </c>
      <c r="F733" s="993"/>
      <c r="G733" s="620">
        <f>計畫架構圖表!Q64</f>
        <v>20.92</v>
      </c>
      <c r="H733" s="498" t="s">
        <v>833</v>
      </c>
      <c r="I733" s="621">
        <f>計畫架構圖表!Q65</f>
        <v>149.39999999999998</v>
      </c>
    </row>
    <row r="734" spans="2:9" ht="16.8" thickBot="1">
      <c r="B734" s="631" t="str">
        <f>計畫架構圖表!C66</f>
        <v>D3串接雲端點餐系統執行單店服務量能測試9/1、10/1、11/1</v>
      </c>
      <c r="C734" s="632"/>
      <c r="D734" s="632"/>
      <c r="E734" s="632"/>
      <c r="F734" s="632"/>
      <c r="G734" s="632"/>
      <c r="H734" s="632"/>
      <c r="I734" s="633"/>
    </row>
    <row r="735" spans="2:9">
      <c r="B735" s="616"/>
      <c r="E735" s="831" t="s">
        <v>1067</v>
      </c>
      <c r="F735" s="831"/>
      <c r="G735" s="831"/>
      <c r="H735" s="831"/>
      <c r="I735" s="844"/>
    </row>
    <row r="736" spans="2:9">
      <c r="B736" s="616"/>
      <c r="E736" s="831" t="s">
        <v>1068</v>
      </c>
      <c r="F736" s="831"/>
      <c r="G736" s="831"/>
      <c r="H736" s="831"/>
      <c r="I736" s="844"/>
    </row>
    <row r="737" spans="2:9">
      <c r="B737" s="616"/>
      <c r="E737" s="831" t="s">
        <v>1054</v>
      </c>
      <c r="F737" s="831"/>
      <c r="G737" s="831"/>
      <c r="H737" s="831"/>
      <c r="I737" s="844"/>
    </row>
    <row r="738" spans="2:9">
      <c r="B738" s="616"/>
      <c r="E738" s="831" t="s">
        <v>1055</v>
      </c>
      <c r="F738" s="831"/>
      <c r="G738" s="831"/>
      <c r="H738" s="831"/>
      <c r="I738" s="844"/>
    </row>
    <row r="739" spans="2:9" ht="12.6" customHeight="1">
      <c r="B739" s="616"/>
      <c r="E739" s="1008" t="s">
        <v>740</v>
      </c>
      <c r="F739" s="1008"/>
      <c r="G739" s="1008"/>
      <c r="H739" s="1008"/>
      <c r="I739" s="1009"/>
    </row>
    <row r="740" spans="2:9" ht="40.200000000000003" customHeight="1">
      <c r="B740" s="616"/>
      <c r="E740" s="1008" t="s">
        <v>1070</v>
      </c>
      <c r="F740" s="1008"/>
      <c r="G740" s="1008"/>
      <c r="H740" s="1008"/>
      <c r="I740" s="1009"/>
    </row>
    <row r="741" spans="2:9" ht="49.2" customHeight="1">
      <c r="B741" s="616"/>
      <c r="E741" s="1008" t="s">
        <v>1071</v>
      </c>
      <c r="F741" s="1008"/>
      <c r="G741" s="1008"/>
      <c r="H741" s="1008"/>
      <c r="I741" s="1009"/>
    </row>
    <row r="742" spans="2:9" ht="41.4" customHeight="1">
      <c r="B742" s="616"/>
      <c r="E742" s="1008" t="s">
        <v>1072</v>
      </c>
      <c r="F742" s="1008"/>
      <c r="G742" s="1008"/>
      <c r="H742" s="1008"/>
      <c r="I742" s="1009"/>
    </row>
    <row r="743" spans="2:9">
      <c r="B743" s="616"/>
      <c r="E743" s="1008" t="s">
        <v>744</v>
      </c>
      <c r="F743" s="1008"/>
      <c r="G743" s="1008"/>
      <c r="H743" s="1008"/>
      <c r="I743" s="1009"/>
    </row>
    <row r="744" spans="2:9">
      <c r="B744" s="616"/>
      <c r="E744" s="831" t="s">
        <v>1069</v>
      </c>
      <c r="F744" s="831"/>
      <c r="G744" s="831"/>
      <c r="H744" s="831"/>
      <c r="I744" s="844"/>
    </row>
    <row r="745" spans="2:9" ht="108" customHeight="1">
      <c r="B745" s="616"/>
      <c r="E745" s="1008" t="s">
        <v>1057</v>
      </c>
      <c r="F745" s="1008"/>
      <c r="G745" s="1008"/>
      <c r="H745" s="1008"/>
      <c r="I745" s="1009"/>
    </row>
    <row r="746" spans="2:9">
      <c r="B746" s="616"/>
      <c r="G746" s="6" t="s">
        <v>1056</v>
      </c>
      <c r="I746" s="617">
        <v>51.8</v>
      </c>
    </row>
    <row r="747" spans="2:9">
      <c r="B747" s="616"/>
      <c r="I747" s="617"/>
    </row>
    <row r="748" spans="2:9" ht="16.8" thickBot="1">
      <c r="B748" s="618"/>
      <c r="C748" s="498"/>
      <c r="D748" s="498"/>
      <c r="E748" s="993" t="s">
        <v>360</v>
      </c>
      <c r="F748" s="993"/>
      <c r="G748" s="620">
        <f>計畫架構圖表!Q66</f>
        <v>20.92</v>
      </c>
      <c r="H748" s="498" t="s">
        <v>833</v>
      </c>
      <c r="I748" s="621">
        <f>I746*3</f>
        <v>155.39999999999998</v>
      </c>
    </row>
    <row r="749" spans="2:9" ht="16.8" thickBot="1">
      <c r="B749" s="631" t="str">
        <f>計畫架構圖表!C68</f>
        <v>D3串接雲端點餐系統執行聯合銷售服務量能測9/1、11/1  1/01</v>
      </c>
      <c r="C749" s="632"/>
      <c r="D749" s="632"/>
      <c r="E749" s="632"/>
      <c r="F749" s="632"/>
      <c r="G749" s="632"/>
      <c r="H749" s="632"/>
      <c r="I749" s="633"/>
    </row>
    <row r="750" spans="2:9">
      <c r="B750" s="616"/>
      <c r="E750" s="831" t="s">
        <v>1075</v>
      </c>
      <c r="F750" s="831"/>
      <c r="G750" s="831"/>
      <c r="H750" s="831"/>
      <c r="I750" s="844"/>
    </row>
    <row r="751" spans="2:9">
      <c r="B751" s="616"/>
      <c r="E751" s="831" t="s">
        <v>1076</v>
      </c>
      <c r="F751" s="831"/>
      <c r="G751" s="831"/>
      <c r="H751" s="831"/>
      <c r="I751" s="844"/>
    </row>
    <row r="752" spans="2:9">
      <c r="B752" s="616"/>
      <c r="E752" s="831" t="s">
        <v>1077</v>
      </c>
      <c r="F752" s="831"/>
      <c r="G752" s="831"/>
      <c r="H752" s="831"/>
      <c r="I752" s="844"/>
    </row>
    <row r="753" spans="2:9">
      <c r="B753" s="616"/>
      <c r="E753" s="831" t="s">
        <v>1078</v>
      </c>
      <c r="F753" s="831"/>
      <c r="G753" s="831"/>
      <c r="H753" s="831"/>
      <c r="I753" s="844"/>
    </row>
    <row r="754" spans="2:9">
      <c r="B754" s="616"/>
      <c r="E754" s="831" t="s">
        <v>1079</v>
      </c>
      <c r="F754" s="831"/>
      <c r="G754" s="831"/>
      <c r="H754" s="831"/>
      <c r="I754" s="844"/>
    </row>
    <row r="755" spans="2:9">
      <c r="B755" s="616"/>
      <c r="E755" s="1008" t="s">
        <v>1080</v>
      </c>
      <c r="F755" s="1008"/>
      <c r="G755" s="1008"/>
      <c r="H755" s="1008"/>
      <c r="I755" s="1009"/>
    </row>
    <row r="756" spans="2:9" ht="50.4" customHeight="1">
      <c r="B756" s="616"/>
      <c r="E756" s="1008" t="s">
        <v>1081</v>
      </c>
      <c r="F756" s="1008"/>
      <c r="G756" s="1008"/>
      <c r="H756" s="1008"/>
      <c r="I756" s="1009"/>
    </row>
    <row r="757" spans="2:9" ht="39.6" customHeight="1">
      <c r="B757" s="616"/>
      <c r="E757" s="1008" t="s">
        <v>1082</v>
      </c>
      <c r="F757" s="1008"/>
      <c r="G757" s="1008"/>
      <c r="H757" s="1008"/>
      <c r="I757" s="1009"/>
    </row>
    <row r="758" spans="2:9" ht="21" customHeight="1">
      <c r="B758" s="616"/>
      <c r="E758" s="1008" t="s">
        <v>1083</v>
      </c>
      <c r="F758" s="1008"/>
      <c r="G758" s="1008"/>
      <c r="H758" s="1008"/>
      <c r="I758" s="1009"/>
    </row>
    <row r="759" spans="2:9" ht="39.6" customHeight="1">
      <c r="B759" s="616"/>
      <c r="E759" s="1008" t="s">
        <v>1084</v>
      </c>
      <c r="F759" s="1008"/>
      <c r="G759" s="1008"/>
      <c r="H759" s="1008"/>
      <c r="I759" s="1009"/>
    </row>
    <row r="760" spans="2:9">
      <c r="B760" s="616"/>
      <c r="E760" s="831" t="s">
        <v>1039</v>
      </c>
      <c r="F760" s="831"/>
      <c r="G760" s="831"/>
      <c r="H760" s="831"/>
      <c r="I760" s="844"/>
    </row>
    <row r="761" spans="2:9" ht="120.6" customHeight="1">
      <c r="B761" s="616"/>
      <c r="E761" s="1008" t="s">
        <v>1086</v>
      </c>
      <c r="F761" s="1008"/>
      <c r="G761" s="1008"/>
      <c r="H761" s="1008"/>
      <c r="I761" s="1009"/>
    </row>
    <row r="762" spans="2:9" ht="39" customHeight="1">
      <c r="B762" s="616"/>
      <c r="E762" s="1008" t="s">
        <v>1085</v>
      </c>
      <c r="F762" s="1008"/>
      <c r="G762" s="1008"/>
      <c r="H762" s="1008"/>
      <c r="I762" s="1009"/>
    </row>
    <row r="763" spans="2:9">
      <c r="B763" s="616"/>
      <c r="G763" s="6" t="s">
        <v>1087</v>
      </c>
      <c r="I763" s="622">
        <v>63.8</v>
      </c>
    </row>
    <row r="764" spans="2:9" ht="16.8" thickBot="1">
      <c r="B764" s="616"/>
      <c r="E764" s="954" t="s">
        <v>360</v>
      </c>
      <c r="F764" s="954"/>
      <c r="G764" s="629">
        <f>計畫架構圖表!Q68</f>
        <v>20.92</v>
      </c>
      <c r="H764" s="6" t="s">
        <v>833</v>
      </c>
      <c r="I764" s="622">
        <f>I763*3</f>
        <v>191.39999999999998</v>
      </c>
    </row>
    <row r="765" spans="2:9" ht="16.8" thickBot="1">
      <c r="B765" s="631" t="str">
        <f>計畫架構圖表!C70</f>
        <v>D5 AI智慧社區服務系統上限驗證1/15</v>
      </c>
      <c r="C765" s="632"/>
      <c r="D765" s="632"/>
      <c r="E765" s="632"/>
      <c r="F765" s="632"/>
      <c r="G765" s="632"/>
      <c r="H765" s="632"/>
      <c r="I765" s="633"/>
    </row>
    <row r="766" spans="2:9" ht="68.400000000000006" customHeight="1">
      <c r="B766" s="616"/>
      <c r="E766" s="832" t="s">
        <v>1105</v>
      </c>
      <c r="F766" s="832"/>
      <c r="G766" s="832"/>
      <c r="H766" s="832"/>
      <c r="I766" s="1010"/>
    </row>
    <row r="767" spans="2:9" ht="24.6" customHeight="1">
      <c r="B767" s="616"/>
      <c r="E767" s="831" t="s">
        <v>1088</v>
      </c>
      <c r="F767" s="831"/>
      <c r="G767" s="831"/>
      <c r="H767" s="831"/>
      <c r="I767" s="643"/>
    </row>
    <row r="768" spans="2:9" ht="32.4" customHeight="1">
      <c r="B768" s="616"/>
      <c r="D768" s="1002" t="s">
        <v>749</v>
      </c>
      <c r="E768" s="1002"/>
      <c r="F768" s="1002"/>
      <c r="G768" s="1000" t="s">
        <v>1089</v>
      </c>
      <c r="H768" s="1000"/>
      <c r="I768" s="1001"/>
    </row>
    <row r="769" spans="2:9" ht="38.4" customHeight="1">
      <c r="B769" s="616"/>
      <c r="D769" s="831" t="s">
        <v>750</v>
      </c>
      <c r="E769" s="831"/>
      <c r="F769" s="831"/>
      <c r="G769" s="998" t="s">
        <v>1090</v>
      </c>
      <c r="H769" s="998"/>
      <c r="I769" s="999"/>
    </row>
    <row r="770" spans="2:9" ht="22.65" customHeight="1">
      <c r="B770" s="616"/>
      <c r="D770" s="831" t="s">
        <v>751</v>
      </c>
      <c r="E770" s="831"/>
      <c r="F770" s="831"/>
      <c r="G770" s="998" t="s">
        <v>759</v>
      </c>
      <c r="H770" s="998"/>
      <c r="I770" s="999"/>
    </row>
    <row r="771" spans="2:9" ht="48.6" customHeight="1">
      <c r="B771" s="616"/>
      <c r="D771" s="831" t="s">
        <v>752</v>
      </c>
      <c r="E771" s="831"/>
      <c r="F771" s="831"/>
      <c r="G771" s="998" t="s">
        <v>1091</v>
      </c>
      <c r="H771" s="998"/>
      <c r="I771" s="999"/>
    </row>
    <row r="772" spans="2:9" ht="48" customHeight="1">
      <c r="B772" s="616"/>
      <c r="D772" s="831" t="s">
        <v>753</v>
      </c>
      <c r="E772" s="831"/>
      <c r="F772" s="831"/>
      <c r="G772" s="998" t="s">
        <v>761</v>
      </c>
      <c r="H772" s="998"/>
      <c r="I772" s="999"/>
    </row>
    <row r="773" spans="2:9" ht="22.65" customHeight="1">
      <c r="B773" s="616"/>
      <c r="D773" s="831" t="s">
        <v>754</v>
      </c>
      <c r="E773" s="831"/>
      <c r="F773" s="831"/>
      <c r="G773" s="998" t="s">
        <v>1092</v>
      </c>
      <c r="H773" s="998"/>
      <c r="I773" s="999"/>
    </row>
    <row r="774" spans="2:9" ht="40.200000000000003" customHeight="1">
      <c r="B774" s="616"/>
      <c r="D774" s="1003" t="s">
        <v>769</v>
      </c>
      <c r="E774" s="1003"/>
      <c r="F774" s="1003"/>
      <c r="G774" s="998" t="s">
        <v>763</v>
      </c>
      <c r="H774" s="998"/>
      <c r="I774" s="999"/>
    </row>
    <row r="775" spans="2:9" ht="22.65" customHeight="1">
      <c r="B775" s="616"/>
      <c r="D775" s="831" t="s">
        <v>770</v>
      </c>
      <c r="E775" s="831"/>
      <c r="F775" s="831"/>
      <c r="G775" s="998" t="s">
        <v>764</v>
      </c>
      <c r="H775" s="998"/>
      <c r="I775" s="999"/>
    </row>
    <row r="776" spans="2:9" ht="43.2" customHeight="1">
      <c r="B776" s="616"/>
      <c r="D776" s="831" t="s">
        <v>771</v>
      </c>
      <c r="E776" s="831"/>
      <c r="F776" s="831"/>
      <c r="G776" s="998" t="s">
        <v>1096</v>
      </c>
      <c r="H776" s="998"/>
      <c r="I776" s="999"/>
    </row>
    <row r="777" spans="2:9" ht="40.799999999999997" customHeight="1">
      <c r="B777" s="616"/>
      <c r="D777" s="831" t="s">
        <v>1093</v>
      </c>
      <c r="E777" s="831"/>
      <c r="F777" s="831"/>
      <c r="G777" s="998" t="s">
        <v>1097</v>
      </c>
      <c r="H777" s="998"/>
      <c r="I777" s="999"/>
    </row>
    <row r="778" spans="2:9" ht="22.65" customHeight="1">
      <c r="B778" s="616"/>
      <c r="D778" s="831" t="s">
        <v>773</v>
      </c>
      <c r="E778" s="831"/>
      <c r="F778" s="831"/>
      <c r="G778" s="998" t="s">
        <v>1098</v>
      </c>
      <c r="H778" s="998"/>
      <c r="I778" s="999"/>
    </row>
    <row r="779" spans="2:9" ht="46.2" customHeight="1">
      <c r="B779" s="616"/>
      <c r="D779" s="831" t="s">
        <v>774</v>
      </c>
      <c r="E779" s="831"/>
      <c r="F779" s="831"/>
      <c r="G779" s="998" t="s">
        <v>1099</v>
      </c>
      <c r="H779" s="998"/>
      <c r="I779" s="999"/>
    </row>
    <row r="780" spans="2:9" ht="22.65" customHeight="1">
      <c r="B780" s="616"/>
      <c r="D780" s="831" t="s">
        <v>775</v>
      </c>
      <c r="E780" s="831"/>
      <c r="F780" s="831"/>
      <c r="G780" s="1011" t="s">
        <v>780</v>
      </c>
      <c r="H780" s="1011"/>
      <c r="I780" s="1012"/>
    </row>
    <row r="781" spans="2:9" ht="39.6" customHeight="1">
      <c r="B781" s="616"/>
      <c r="D781" s="831" t="s">
        <v>1094</v>
      </c>
      <c r="E781" s="831"/>
      <c r="F781" s="831"/>
      <c r="G781" s="998" t="s">
        <v>781</v>
      </c>
      <c r="H781" s="998"/>
      <c r="I781" s="999"/>
    </row>
    <row r="782" spans="2:9" ht="22.65" customHeight="1">
      <c r="B782" s="616"/>
      <c r="D782" s="831" t="s">
        <v>1095</v>
      </c>
      <c r="E782" s="831"/>
      <c r="F782" s="831"/>
      <c r="G782" s="998" t="s">
        <v>1100</v>
      </c>
      <c r="H782" s="998"/>
      <c r="I782" s="999"/>
    </row>
    <row r="783" spans="2:9" ht="37.200000000000003" customHeight="1">
      <c r="B783" s="616"/>
      <c r="D783" s="831" t="s">
        <v>1104</v>
      </c>
      <c r="E783" s="831"/>
      <c r="F783" s="831"/>
      <c r="G783" s="998" t="s">
        <v>783</v>
      </c>
      <c r="H783" s="998"/>
      <c r="I783" s="999"/>
    </row>
    <row r="784" spans="2:9" ht="22.65" customHeight="1">
      <c r="B784" s="616"/>
      <c r="D784" s="1004" t="s">
        <v>1106</v>
      </c>
      <c r="E784" s="1004"/>
      <c r="F784" s="1004"/>
      <c r="G784" s="998" t="s">
        <v>784</v>
      </c>
      <c r="H784" s="998"/>
      <c r="I784" s="999"/>
    </row>
    <row r="785" spans="2:9" ht="22.65" customHeight="1">
      <c r="B785" s="616"/>
      <c r="D785" s="1004"/>
      <c r="E785" s="1004"/>
      <c r="F785" s="1004"/>
      <c r="G785" s="998" t="s">
        <v>785</v>
      </c>
      <c r="H785" s="998"/>
      <c r="I785" s="999"/>
    </row>
    <row r="786" spans="2:9" ht="34.799999999999997" customHeight="1">
      <c r="B786" s="616"/>
      <c r="D786" s="1005" t="s">
        <v>1107</v>
      </c>
      <c r="E786" s="1006"/>
      <c r="F786" s="1006"/>
      <c r="G786" s="998" t="s">
        <v>1101</v>
      </c>
      <c r="H786" s="998"/>
      <c r="I786" s="999"/>
    </row>
    <row r="787" spans="2:9" ht="49.8" customHeight="1">
      <c r="B787" s="616"/>
      <c r="D787" s="1006"/>
      <c r="E787" s="1006"/>
      <c r="F787" s="1006"/>
      <c r="G787" s="998" t="s">
        <v>1102</v>
      </c>
      <c r="H787" s="998"/>
      <c r="I787" s="999"/>
    </row>
    <row r="788" spans="2:9" ht="70.8" customHeight="1">
      <c r="B788" s="616"/>
      <c r="D788" s="1007" t="s">
        <v>1108</v>
      </c>
      <c r="E788" s="1007"/>
      <c r="F788" s="1007"/>
      <c r="G788" s="998" t="s">
        <v>1103</v>
      </c>
      <c r="H788" s="998"/>
      <c r="I788" s="999"/>
    </row>
    <row r="789" spans="2:9" ht="16.8" thickBot="1">
      <c r="B789" s="618"/>
      <c r="C789" s="498"/>
      <c r="D789" s="498"/>
      <c r="E789" s="993" t="s">
        <v>360</v>
      </c>
      <c r="F789" s="993"/>
      <c r="G789" s="620">
        <f>計畫架構圖表!Q70</f>
        <v>40</v>
      </c>
      <c r="H789" s="498" t="s">
        <v>833</v>
      </c>
      <c r="I789" s="621">
        <f>計畫架構圖表!Q71</f>
        <v>68</v>
      </c>
    </row>
    <row r="790" spans="2:9" ht="16.8" thickBot="1">
      <c r="B790" s="641" t="str">
        <f>計畫架構圖表!C72</f>
        <v>D6出席研討會並收集本分項計畫有關之訊息6/10</v>
      </c>
      <c r="C790" s="632"/>
      <c r="D790" s="632"/>
      <c r="E790" s="632"/>
      <c r="F790" s="632"/>
      <c r="G790" s="632"/>
      <c r="H790" s="632"/>
      <c r="I790" s="633"/>
    </row>
    <row r="791" spans="2:9">
      <c r="B791" s="642"/>
      <c r="C791" s="615"/>
      <c r="D791" s="615"/>
      <c r="E791" s="1025" t="s">
        <v>1141</v>
      </c>
      <c r="F791" s="1025"/>
      <c r="G791" s="1025"/>
      <c r="H791" s="1025"/>
      <c r="I791" s="1026"/>
    </row>
    <row r="792" spans="2:9">
      <c r="B792" s="616"/>
      <c r="E792" s="1025" t="s">
        <v>821</v>
      </c>
      <c r="F792" s="1025"/>
      <c r="G792" s="1025"/>
      <c r="H792" s="1025"/>
      <c r="I792" s="1026"/>
    </row>
    <row r="793" spans="2:9">
      <c r="B793" s="616"/>
      <c r="E793" s="1025" t="s">
        <v>822</v>
      </c>
      <c r="F793" s="1025"/>
      <c r="G793" s="1025"/>
      <c r="H793" s="1025"/>
      <c r="I793" s="1026"/>
    </row>
    <row r="794" spans="2:9">
      <c r="B794" s="616"/>
      <c r="E794" s="1025" t="s">
        <v>823</v>
      </c>
      <c r="F794" s="1025"/>
      <c r="G794" s="1025"/>
      <c r="H794" s="1025"/>
      <c r="I794" s="1026"/>
    </row>
    <row r="795" spans="2:9" ht="16.8" thickBot="1">
      <c r="B795" s="618"/>
      <c r="C795" s="498"/>
      <c r="D795" s="498"/>
      <c r="E795" s="993" t="s">
        <v>360</v>
      </c>
      <c r="F795" s="993"/>
      <c r="G795" s="620">
        <f>計畫架構圖表!Q72</f>
        <v>20.92</v>
      </c>
      <c r="H795" s="498"/>
      <c r="I795" s="621">
        <f>計畫架構圖表!Q73</f>
        <v>0</v>
      </c>
    </row>
    <row r="796" spans="2:9">
      <c r="G796" s="6" t="str">
        <f>計畫架構圖表!C74</f>
        <v>合計人月</v>
      </c>
      <c r="H796" s="1016">
        <f>計畫架構圖表!Q74</f>
        <v>3.5</v>
      </c>
      <c r="I796" s="1016"/>
    </row>
    <row r="797" spans="2:9">
      <c r="G797" s="6" t="str">
        <f>計畫架構圖表!C75</f>
        <v>合計薪資</v>
      </c>
      <c r="H797" s="1016">
        <f>計畫架構圖表!Q75</f>
        <v>146.44</v>
      </c>
      <c r="I797" s="1016"/>
    </row>
    <row r="798" spans="2:9">
      <c r="G798" s="6" t="s">
        <v>833</v>
      </c>
      <c r="H798" s="1016">
        <f>計畫架構圖表!Q76</f>
        <v>564.19999999999993</v>
      </c>
      <c r="I798" s="1016"/>
    </row>
    <row r="799" spans="2:9">
      <c r="G799" s="6" t="str">
        <f>計畫架構圖表!C77</f>
        <v>費用小計</v>
      </c>
      <c r="H799" s="1016">
        <f>計畫架構圖表!Q77</f>
        <v>710.63999999999987</v>
      </c>
      <c r="I799" s="1016"/>
    </row>
    <row r="802" spans="2:20">
      <c r="C802" s="549"/>
    </row>
    <row r="803" spans="2:20" ht="88.2" customHeight="1" thickBot="1">
      <c r="C803" s="549"/>
    </row>
    <row r="804" spans="2:20" ht="16.8" thickTop="1">
      <c r="B804" s="1279" t="str">
        <f>計畫架構圖表!C79</f>
        <v>2.江政隆</v>
      </c>
      <c r="C804" s="1017" t="e" vm="3">
        <v>#VALUE!</v>
      </c>
      <c r="D804" s="1017" t="s">
        <v>1125</v>
      </c>
      <c r="E804" s="1017"/>
      <c r="F804" s="1017"/>
      <c r="G804" s="1017"/>
      <c r="H804" s="1017"/>
      <c r="I804" s="1018"/>
    </row>
    <row r="805" spans="2:20">
      <c r="B805" s="1280"/>
      <c r="C805" s="1020"/>
      <c r="D805" s="1019" t="s">
        <v>1126</v>
      </c>
      <c r="E805" s="1020"/>
      <c r="F805" s="1020"/>
      <c r="G805" s="1020"/>
      <c r="H805" s="1020"/>
      <c r="I805" s="1021"/>
    </row>
    <row r="806" spans="2:20">
      <c r="B806" s="1280"/>
      <c r="C806" s="1020"/>
      <c r="D806" s="1020" t="s">
        <v>1129</v>
      </c>
      <c r="E806" s="1020"/>
      <c r="F806" s="1020"/>
      <c r="G806" s="1020"/>
      <c r="H806" s="1020"/>
      <c r="I806" s="1021"/>
    </row>
    <row r="807" spans="2:20">
      <c r="B807" s="1280"/>
      <c r="C807" s="1020"/>
      <c r="D807" s="1019" t="s">
        <v>1127</v>
      </c>
      <c r="E807" s="1020"/>
      <c r="F807" s="1020"/>
      <c r="G807" s="1020"/>
      <c r="H807" s="1020"/>
      <c r="I807" s="1021"/>
    </row>
    <row r="808" spans="2:20" ht="16.8" thickBot="1">
      <c r="B808" s="1281"/>
      <c r="C808" s="1023"/>
      <c r="D808" s="1022" t="s">
        <v>1128</v>
      </c>
      <c r="E808" s="1023"/>
      <c r="F808" s="1023"/>
      <c r="G808" s="1023"/>
      <c r="H808" s="1023"/>
      <c r="I808" s="1024"/>
    </row>
    <row r="809" spans="2:20" ht="21" thickTop="1" thickBot="1">
      <c r="B809" s="438" t="str">
        <f>計畫架構圖表!C80</f>
        <v>E分項計畫  計畫管考設備採購暨友善勞動制度及產業需求研發</v>
      </c>
      <c r="C809" s="549"/>
    </row>
    <row r="810" spans="2:20" s="5" customFormat="1" ht="16.8" thickBot="1">
      <c r="B810" s="631" t="str">
        <f>計畫架構圖表!C81</f>
        <v>E1本計畫各項新購設備使用費7/1</v>
      </c>
      <c r="C810" s="640"/>
      <c r="D810" s="638"/>
      <c r="E810" s="638"/>
      <c r="F810" s="638"/>
      <c r="G810" s="638"/>
      <c r="H810" s="638"/>
      <c r="I810" s="639"/>
      <c r="T810" s="6"/>
    </row>
    <row r="811" spans="2:20">
      <c r="B811" s="1277" t="s">
        <v>870</v>
      </c>
      <c r="C811" s="1278"/>
      <c r="D811" s="1278"/>
      <c r="F811" s="1275" t="s">
        <v>871</v>
      </c>
      <c r="G811" s="1275"/>
      <c r="H811" s="1275"/>
      <c r="I811" s="1276"/>
      <c r="T811" s="5"/>
    </row>
    <row r="812" spans="2:20">
      <c r="B812" s="543" t="s">
        <v>841</v>
      </c>
      <c r="D812" s="428" t="s">
        <v>842</v>
      </c>
      <c r="F812" s="6" t="s">
        <v>841</v>
      </c>
      <c r="H812" s="954" t="s">
        <v>842</v>
      </c>
      <c r="I812" s="1226"/>
    </row>
    <row r="813" spans="2:20">
      <c r="B813" s="1058" t="s">
        <v>265</v>
      </c>
      <c r="C813" s="954"/>
      <c r="D813" s="627">
        <v>250</v>
      </c>
      <c r="F813" s="954" t="s">
        <v>843</v>
      </c>
      <c r="G813" s="954"/>
      <c r="I813" s="622">
        <v>250</v>
      </c>
    </row>
    <row r="814" spans="2:20">
      <c r="B814" s="1058" t="s">
        <v>836</v>
      </c>
      <c r="C814" s="954"/>
      <c r="D814" s="627">
        <v>9</v>
      </c>
      <c r="F814" s="954" t="s">
        <v>844</v>
      </c>
      <c r="G814" s="954"/>
      <c r="I814" s="622">
        <v>3.5</v>
      </c>
    </row>
    <row r="815" spans="2:20">
      <c r="B815" s="1058" t="s">
        <v>837</v>
      </c>
      <c r="C815" s="954"/>
      <c r="D815" s="627">
        <v>3.8</v>
      </c>
      <c r="E815" s="627"/>
      <c r="F815" s="954" t="s">
        <v>844</v>
      </c>
      <c r="G815" s="954"/>
      <c r="I815" s="622">
        <v>3.5</v>
      </c>
    </row>
    <row r="816" spans="2:20">
      <c r="B816" s="1058" t="s">
        <v>835</v>
      </c>
      <c r="C816" s="954"/>
      <c r="D816" s="627">
        <v>36</v>
      </c>
      <c r="E816" s="627"/>
      <c r="F816" s="954" t="s">
        <v>844</v>
      </c>
      <c r="G816" s="954"/>
      <c r="I816" s="622">
        <v>3.5</v>
      </c>
    </row>
    <row r="817" spans="2:9">
      <c r="B817" s="1058" t="s">
        <v>838</v>
      </c>
      <c r="C817" s="954"/>
      <c r="D817" s="627">
        <v>50</v>
      </c>
      <c r="E817" s="627"/>
      <c r="F817" s="954" t="s">
        <v>260</v>
      </c>
      <c r="G817" s="954"/>
      <c r="I817" s="622">
        <v>38</v>
      </c>
    </row>
    <row r="818" spans="2:9">
      <c r="B818" s="1058" t="s">
        <v>839</v>
      </c>
      <c r="C818" s="954"/>
      <c r="D818" s="627">
        <v>24</v>
      </c>
      <c r="E818" s="627"/>
      <c r="F818" s="954" t="s">
        <v>260</v>
      </c>
      <c r="G818" s="954"/>
      <c r="I818" s="622">
        <v>38</v>
      </c>
    </row>
    <row r="819" spans="2:9">
      <c r="B819" s="1058" t="s">
        <v>840</v>
      </c>
      <c r="C819" s="954"/>
      <c r="D819" s="627">
        <v>3.8</v>
      </c>
      <c r="E819" s="627"/>
      <c r="F819" s="954" t="s">
        <v>845</v>
      </c>
      <c r="G819" s="954"/>
      <c r="I819" s="622">
        <v>20</v>
      </c>
    </row>
    <row r="820" spans="2:9">
      <c r="B820" s="1058" t="s">
        <v>840</v>
      </c>
      <c r="C820" s="954"/>
      <c r="D820" s="627">
        <v>3.8</v>
      </c>
      <c r="I820" s="622"/>
    </row>
    <row r="821" spans="2:9">
      <c r="B821" s="616"/>
      <c r="D821" s="627"/>
      <c r="I821" s="622"/>
    </row>
    <row r="822" spans="2:9">
      <c r="B822" s="616" t="s">
        <v>105</v>
      </c>
      <c r="D822" s="627">
        <f>SUM(D813:D820)</f>
        <v>380.40000000000003</v>
      </c>
      <c r="I822" s="622">
        <f>SUM(I813:I820)</f>
        <v>356.5</v>
      </c>
    </row>
    <row r="823" spans="2:9">
      <c r="B823" s="1262" t="s">
        <v>1029</v>
      </c>
      <c r="C823" s="1263"/>
      <c r="D823" s="1263"/>
      <c r="E823" s="1263"/>
      <c r="F823" s="1263"/>
      <c r="G823" s="1263"/>
      <c r="H823" s="1263"/>
      <c r="I823" s="628">
        <f>D822+I822</f>
        <v>736.90000000000009</v>
      </c>
    </row>
    <row r="824" spans="2:9" ht="32.4" customHeight="1">
      <c r="B824" s="1262" t="s">
        <v>846</v>
      </c>
      <c r="C824" s="1263"/>
      <c r="D824" s="1263"/>
      <c r="E824" s="1263"/>
      <c r="F824" s="1263"/>
      <c r="G824" s="1263"/>
      <c r="H824" s="1263"/>
      <c r="I824" s="628">
        <f>I823/60*12</f>
        <v>147.38000000000002</v>
      </c>
    </row>
    <row r="825" spans="2:9">
      <c r="B825" s="616"/>
      <c r="D825" s="627"/>
      <c r="I825" s="617"/>
    </row>
    <row r="826" spans="2:9" ht="16.8" thickBot="1">
      <c r="B826" s="616"/>
      <c r="E826" s="954" t="s">
        <v>360</v>
      </c>
      <c r="F826" s="954"/>
      <c r="G826" s="629">
        <f>計畫架構圖表!Q81</f>
        <v>0</v>
      </c>
      <c r="H826" s="630" t="s">
        <v>869</v>
      </c>
      <c r="I826" s="622">
        <f>I824</f>
        <v>147.38000000000002</v>
      </c>
    </row>
    <row r="827" spans="2:9" ht="16.8" thickBot="1">
      <c r="B827" s="631" t="str">
        <f>計畫架構圖表!C83</f>
        <v>E2顧問選任聘用，協助社區發展協會開發社區專勤隊9/1</v>
      </c>
      <c r="C827" s="632"/>
      <c r="D827" s="632"/>
      <c r="E827" s="632"/>
      <c r="F827" s="632"/>
      <c r="G827" s="632"/>
      <c r="H827" s="632"/>
      <c r="I827" s="633"/>
    </row>
    <row r="828" spans="2:9">
      <c r="B828" s="616"/>
      <c r="E828" s="635" t="s">
        <v>848</v>
      </c>
      <c r="F828" s="1266" t="s">
        <v>847</v>
      </c>
      <c r="G828" s="1266"/>
      <c r="H828" s="989" t="s">
        <v>850</v>
      </c>
      <c r="I828" s="990"/>
    </row>
    <row r="829" spans="2:9">
      <c r="B829" s="616"/>
      <c r="E829" s="616" t="s">
        <v>849</v>
      </c>
      <c r="F829" s="1202" t="s">
        <v>256</v>
      </c>
      <c r="G829" s="1202"/>
      <c r="H829" s="991">
        <v>200</v>
      </c>
      <c r="I829" s="992"/>
    </row>
    <row r="830" spans="2:9">
      <c r="B830" s="616"/>
      <c r="E830" s="616" t="s">
        <v>851</v>
      </c>
      <c r="F830" s="1202"/>
      <c r="G830" s="1202"/>
      <c r="H830" s="991">
        <v>60</v>
      </c>
      <c r="I830" s="992"/>
    </row>
    <row r="831" spans="2:9" ht="16.8" thickBot="1">
      <c r="B831" s="616"/>
      <c r="E831" s="618" t="s">
        <v>852</v>
      </c>
      <c r="F831" s="988"/>
      <c r="G831" s="988"/>
      <c r="H831" s="993" t="s">
        <v>1021</v>
      </c>
      <c r="I831" s="994"/>
    </row>
    <row r="832" spans="2:9">
      <c r="B832" s="616"/>
      <c r="H832" s="608" t="s">
        <v>1109</v>
      </c>
      <c r="I832" s="622">
        <v>60</v>
      </c>
    </row>
    <row r="833" spans="2:9" ht="16.8" thickBot="1">
      <c r="B833" s="618"/>
      <c r="C833" s="498"/>
      <c r="D833" s="498"/>
      <c r="E833" s="993" t="s">
        <v>360</v>
      </c>
      <c r="F833" s="993"/>
      <c r="G833" s="620">
        <f>計畫架構圖表!Q83</f>
        <v>46.84</v>
      </c>
      <c r="H833" s="634" t="s">
        <v>834</v>
      </c>
      <c r="I833" s="621">
        <f>計畫架構圖表!Q84-I832</f>
        <v>200</v>
      </c>
    </row>
    <row r="834" spans="2:9" ht="16.8" thickBot="1">
      <c r="B834" s="631" t="str">
        <f>計畫架構圖表!C85</f>
        <v>E3計畫進度管考及協調指、各計畫開發研發工作職務代理ALLTIME</v>
      </c>
      <c r="C834" s="638"/>
      <c r="D834" s="638"/>
      <c r="E834" s="638"/>
      <c r="F834" s="638"/>
      <c r="G834" s="638"/>
      <c r="H834" s="638"/>
      <c r="I834" s="639"/>
    </row>
    <row r="835" spans="2:9" ht="16.8" thickBot="1">
      <c r="B835" s="616"/>
      <c r="E835" s="995" t="s">
        <v>1110</v>
      </c>
      <c r="F835" s="993"/>
      <c r="G835" s="619" t="s">
        <v>1111</v>
      </c>
      <c r="H835" s="993" t="s">
        <v>1112</v>
      </c>
      <c r="I835" s="994"/>
    </row>
    <row r="836" spans="2:9">
      <c r="B836" s="616"/>
      <c r="E836" s="1264" t="s">
        <v>1113</v>
      </c>
      <c r="F836" s="1265"/>
      <c r="G836" s="6" t="s">
        <v>1114</v>
      </c>
      <c r="H836" s="6" t="s">
        <v>1115</v>
      </c>
      <c r="I836" s="617"/>
    </row>
    <row r="837" spans="2:9">
      <c r="B837" s="616"/>
      <c r="E837" s="1058" t="s">
        <v>1116</v>
      </c>
      <c r="F837" s="954"/>
      <c r="G837" s="6" t="s">
        <v>1117</v>
      </c>
      <c r="H837" s="6" t="s">
        <v>1118</v>
      </c>
      <c r="I837" s="617"/>
    </row>
    <row r="838" spans="2:9">
      <c r="B838" s="616"/>
      <c r="E838" s="1058" t="s">
        <v>1120</v>
      </c>
      <c r="F838" s="954"/>
      <c r="G838" s="6" t="s">
        <v>1119</v>
      </c>
      <c r="H838" s="6" t="s">
        <v>1121</v>
      </c>
      <c r="I838" s="617"/>
    </row>
    <row r="839" spans="2:9" ht="16.8" thickBot="1">
      <c r="B839" s="616"/>
      <c r="E839" s="995" t="s">
        <v>1122</v>
      </c>
      <c r="F839" s="993"/>
      <c r="G839" s="498" t="s">
        <v>1123</v>
      </c>
      <c r="H839" s="498" t="s">
        <v>1124</v>
      </c>
      <c r="I839" s="453"/>
    </row>
    <row r="840" spans="2:9">
      <c r="B840" s="616"/>
      <c r="I840" s="617"/>
    </row>
    <row r="841" spans="2:9">
      <c r="B841" s="616"/>
      <c r="I841" s="617"/>
    </row>
    <row r="842" spans="2:9">
      <c r="B842" s="616"/>
      <c r="I842" s="617"/>
    </row>
    <row r="843" spans="2:9" ht="16.8" thickBot="1">
      <c r="B843" s="618"/>
      <c r="C843" s="498"/>
      <c r="D843" s="498"/>
      <c r="E843" s="993" t="s">
        <v>360</v>
      </c>
      <c r="F843" s="993"/>
      <c r="G843" s="620">
        <f>計畫架構圖表!Q85</f>
        <v>46.839999999999989</v>
      </c>
      <c r="H843" s="498"/>
      <c r="I843" s="621">
        <f>計畫架構圖表!Q86</f>
        <v>0</v>
      </c>
    </row>
    <row r="844" spans="2:9" ht="16.8" thickBot="1">
      <c r="B844" s="641" t="str">
        <f>計畫架構圖表!C87</f>
        <v>E4辦理產官學民四方專案研討會6/10</v>
      </c>
      <c r="C844" s="632"/>
      <c r="D844" s="632"/>
      <c r="E844" s="632"/>
      <c r="F844" s="632"/>
      <c r="G844" s="632"/>
      <c r="H844" s="632"/>
      <c r="I844" s="633"/>
    </row>
    <row r="845" spans="2:9">
      <c r="B845" s="616"/>
      <c r="I845" s="617"/>
    </row>
    <row r="846" spans="2:9">
      <c r="B846" s="616"/>
      <c r="I846" s="617"/>
    </row>
    <row r="847" spans="2:9">
      <c r="B847" s="616"/>
      <c r="I847" s="617"/>
    </row>
    <row r="848" spans="2:9">
      <c r="B848" s="616"/>
      <c r="I848" s="617"/>
    </row>
    <row r="849" spans="1:9" ht="16.8" thickBot="1">
      <c r="B849" s="618"/>
      <c r="C849" s="498"/>
      <c r="D849" s="498"/>
      <c r="E849" s="993" t="s">
        <v>360</v>
      </c>
      <c r="F849" s="993"/>
      <c r="G849" s="620">
        <f>計畫架構圖表!Q87</f>
        <v>46.84</v>
      </c>
      <c r="H849" s="498"/>
      <c r="I849" s="453"/>
    </row>
    <row r="851" spans="1:9">
      <c r="G851" s="6" t="str">
        <f>計畫架構圖表!C93</f>
        <v>合計人月</v>
      </c>
      <c r="H851" s="1016">
        <f>計畫架構圖表!Q93</f>
        <v>3.0000000000000009</v>
      </c>
      <c r="I851" s="1016"/>
    </row>
    <row r="852" spans="1:9">
      <c r="G852" s="6" t="str">
        <f>計畫架構圖表!C94</f>
        <v>合計薪資</v>
      </c>
      <c r="H852" s="1016">
        <f>計畫架構圖表!Q94</f>
        <v>140.52000000000004</v>
      </c>
      <c r="I852" s="1016"/>
    </row>
    <row r="853" spans="1:9">
      <c r="G853" s="6" t="str">
        <f>計畫架構圖表!C95</f>
        <v>非屬薪資</v>
      </c>
      <c r="H853" s="1016">
        <f>計畫架構圖表!Q95</f>
        <v>407.38</v>
      </c>
      <c r="I853" s="1016"/>
    </row>
    <row r="854" spans="1:9">
      <c r="C854" s="549"/>
      <c r="G854" s="6" t="str">
        <f>計畫架構圖表!C96</f>
        <v>費用小計</v>
      </c>
      <c r="H854" s="1016">
        <f>計畫架構圖表!Q96</f>
        <v>547.90000000000009</v>
      </c>
      <c r="I854" s="1016"/>
    </row>
    <row r="855" spans="1:9">
      <c r="C855" s="549"/>
    </row>
    <row r="856" spans="1:9">
      <c r="A856" s="1025" t="s">
        <v>1179</v>
      </c>
      <c r="B856" s="1025"/>
      <c r="C856" s="1025"/>
      <c r="D856" s="1025"/>
      <c r="E856" s="1025"/>
      <c r="F856" s="1025"/>
      <c r="G856" s="1025"/>
      <c r="H856" s="1025"/>
      <c r="I856" s="1025"/>
    </row>
    <row r="857" spans="1:9" ht="16.8" thickBot="1">
      <c r="B857" s="1282" t="s">
        <v>1142</v>
      </c>
      <c r="C857" s="1282"/>
      <c r="D857" s="1282"/>
      <c r="E857" s="1282"/>
      <c r="F857" s="1282"/>
      <c r="G857" s="1282"/>
      <c r="H857" s="1282"/>
      <c r="I857" s="1282"/>
    </row>
    <row r="858" spans="1:9" ht="29.4" customHeight="1" thickTop="1" thickBot="1">
      <c r="B858" s="1260" t="s">
        <v>1143</v>
      </c>
      <c r="C858" s="1260"/>
      <c r="D858" s="1283" t="s">
        <v>1144</v>
      </c>
      <c r="E858" s="1283"/>
      <c r="F858" s="1283"/>
      <c r="G858" s="1283"/>
      <c r="H858" s="1283"/>
      <c r="I858" s="1283"/>
    </row>
    <row r="859" spans="1:9" ht="16.8" hidden="1" customHeight="1" thickTop="1" thickBot="1">
      <c r="B859" s="1261" t="s">
        <v>1145</v>
      </c>
      <c r="C859" s="1261"/>
      <c r="D859" s="1284" t="s">
        <v>1146</v>
      </c>
      <c r="E859" s="1284"/>
      <c r="F859" s="1284"/>
      <c r="G859" s="1284"/>
      <c r="H859" s="1284"/>
      <c r="I859" s="1284"/>
    </row>
    <row r="860" spans="1:9" ht="32.4" hidden="1" customHeight="1" thickTop="1" thickBot="1">
      <c r="B860" s="1261" t="s">
        <v>1147</v>
      </c>
      <c r="C860" s="1261"/>
      <c r="D860" s="1284" t="s">
        <v>1148</v>
      </c>
      <c r="E860" s="1284"/>
      <c r="F860" s="1284"/>
      <c r="G860" s="1284"/>
      <c r="H860" s="1284"/>
      <c r="I860" s="1284"/>
    </row>
    <row r="861" spans="1:9" ht="60" customHeight="1" thickTop="1" thickBot="1">
      <c r="B861" s="1261" t="s">
        <v>1149</v>
      </c>
      <c r="C861" s="1261"/>
      <c r="D861" s="1284" t="s">
        <v>1150</v>
      </c>
      <c r="E861" s="1284"/>
      <c r="F861" s="1284"/>
      <c r="G861" s="1284"/>
      <c r="H861" s="1284"/>
      <c r="I861" s="1284"/>
    </row>
    <row r="862" spans="1:9" ht="111.6" customHeight="1" thickTop="1" thickBot="1">
      <c r="B862" s="1261" t="s">
        <v>1144</v>
      </c>
      <c r="C862" s="1261"/>
      <c r="D862" s="1285" t="s">
        <v>1152</v>
      </c>
      <c r="E862" s="1285"/>
      <c r="F862" s="1285"/>
      <c r="G862" s="1285"/>
      <c r="H862" s="1285"/>
      <c r="I862" s="1285"/>
    </row>
    <row r="863" spans="1:9" ht="144.6" customHeight="1" thickTop="1" thickBot="1">
      <c r="B863" s="1261" t="s">
        <v>1151</v>
      </c>
      <c r="C863" s="1261"/>
      <c r="D863" s="1285"/>
      <c r="E863" s="1285"/>
      <c r="F863" s="1285"/>
      <c r="G863" s="1285"/>
      <c r="H863" s="1285"/>
      <c r="I863" s="1285"/>
    </row>
    <row r="864" spans="1:9" ht="31.8" customHeight="1" thickTop="1" thickBot="1">
      <c r="B864" s="1273" t="s">
        <v>1153</v>
      </c>
      <c r="C864" s="1274"/>
      <c r="D864" s="1286" t="s">
        <v>1154</v>
      </c>
      <c r="E864" s="1287"/>
      <c r="F864" s="1287"/>
      <c r="G864" s="1287"/>
      <c r="H864" s="1287"/>
      <c r="I864" s="1288"/>
    </row>
    <row r="865" spans="2:9" ht="162.6" customHeight="1" thickTop="1" thickBot="1">
      <c r="B865" s="1064" t="s">
        <v>1155</v>
      </c>
      <c r="C865" s="1156"/>
      <c r="D865" s="1289" t="s">
        <v>1156</v>
      </c>
      <c r="E865" s="1289"/>
      <c r="F865" s="1289"/>
      <c r="G865" s="1289"/>
      <c r="H865" s="1289"/>
      <c r="I865" s="1289"/>
    </row>
    <row r="866" spans="2:9">
      <c r="B866" s="657"/>
      <c r="C866" s="657"/>
      <c r="D866" s="657"/>
      <c r="E866" s="657"/>
      <c r="F866" s="657"/>
    </row>
    <row r="867" spans="2:9">
      <c r="B867" s="656"/>
      <c r="C867"/>
      <c r="D867"/>
      <c r="E867"/>
      <c r="F867"/>
    </row>
    <row r="868" spans="2:9">
      <c r="B868" s="656"/>
      <c r="C868"/>
      <c r="D868"/>
      <c r="E868"/>
      <c r="F868"/>
    </row>
    <row r="869" spans="2:9" ht="16.8" thickBot="1">
      <c r="B869" s="656" t="s">
        <v>1157</v>
      </c>
      <c r="C869"/>
      <c r="D869"/>
      <c r="E869"/>
      <c r="F869"/>
    </row>
    <row r="870" spans="2:9" ht="32.4" customHeight="1" thickTop="1" thickBot="1">
      <c r="B870" s="1064" t="s">
        <v>1143</v>
      </c>
      <c r="C870" s="1156"/>
      <c r="D870" s="1285" t="s">
        <v>1158</v>
      </c>
      <c r="E870" s="1285"/>
      <c r="F870" s="1285"/>
      <c r="G870" s="1285"/>
      <c r="H870" s="1285"/>
      <c r="I870" s="1285"/>
    </row>
    <row r="871" spans="2:9" ht="34.799999999999997" customHeight="1" thickTop="1" thickBot="1">
      <c r="B871" s="1271" t="s">
        <v>1159</v>
      </c>
      <c r="C871" s="1272"/>
      <c r="D871" s="1382" t="s">
        <v>1563</v>
      </c>
      <c r="E871" s="1285"/>
      <c r="F871" s="1285"/>
      <c r="G871" s="1285"/>
      <c r="H871" s="1285"/>
      <c r="I871" s="1285"/>
    </row>
    <row r="872" spans="2:9" ht="32.4" customHeight="1" thickTop="1" thickBot="1">
      <c r="B872" s="1271" t="s">
        <v>1160</v>
      </c>
      <c r="C872" s="1272"/>
      <c r="D872" s="1285" t="s">
        <v>1161</v>
      </c>
      <c r="E872" s="1285"/>
      <c r="F872" s="1285"/>
      <c r="G872" s="1285"/>
      <c r="H872" s="1285"/>
      <c r="I872" s="1285"/>
    </row>
    <row r="873" spans="2:9" ht="45.6" customHeight="1" thickTop="1" thickBot="1">
      <c r="B873" s="1271" t="s">
        <v>1149</v>
      </c>
      <c r="C873" s="1272"/>
      <c r="D873" s="1258"/>
      <c r="E873" s="1258"/>
      <c r="F873" s="1258"/>
      <c r="G873" s="1258"/>
      <c r="H873" s="1258"/>
      <c r="I873" s="1258"/>
    </row>
    <row r="874" spans="2:9" ht="174.6" customHeight="1" thickTop="1" thickBot="1">
      <c r="B874" s="1271" t="s">
        <v>1144</v>
      </c>
      <c r="C874" s="1272"/>
      <c r="D874" s="1261" t="s">
        <v>1162</v>
      </c>
      <c r="E874" s="1261"/>
      <c r="F874" s="1261"/>
      <c r="G874" s="1261"/>
      <c r="H874" s="1261"/>
      <c r="I874" s="1261"/>
    </row>
    <row r="875" spans="2:9" ht="64.8" customHeight="1" thickTop="1" thickBot="1">
      <c r="B875" s="1271" t="s">
        <v>1163</v>
      </c>
      <c r="C875" s="1272"/>
      <c r="D875" s="1261" t="s">
        <v>1164</v>
      </c>
      <c r="E875" s="1261"/>
      <c r="F875" s="1261"/>
      <c r="G875" s="1261"/>
      <c r="H875" s="1261"/>
      <c r="I875" s="1261"/>
    </row>
    <row r="876" spans="2:9" ht="17.399999999999999" thickTop="1" thickBot="1">
      <c r="B876" s="1271" t="s">
        <v>1153</v>
      </c>
      <c r="C876" s="1272"/>
      <c r="D876" s="1258">
        <v>500</v>
      </c>
      <c r="E876" s="1258"/>
      <c r="F876" s="1258"/>
      <c r="G876" s="1258"/>
      <c r="H876" s="1258"/>
      <c r="I876" s="1258"/>
    </row>
    <row r="877" spans="2:9" ht="32.4" customHeight="1" thickTop="1" thickBot="1">
      <c r="B877" s="1271" t="s">
        <v>1165</v>
      </c>
      <c r="C877" s="1272"/>
      <c r="D877" s="1261" t="s">
        <v>1166</v>
      </c>
      <c r="E877" s="1261"/>
      <c r="F877" s="1261"/>
      <c r="G877" s="1261"/>
      <c r="H877" s="1261"/>
      <c r="I877" s="1261"/>
    </row>
    <row r="878" spans="2:9" ht="17.399999999999999" thickTop="1" thickBot="1">
      <c r="B878" s="657"/>
      <c r="C878" s="657"/>
      <c r="D878" s="1293"/>
      <c r="E878" s="1293"/>
      <c r="F878" s="1293"/>
      <c r="G878" s="1293"/>
      <c r="H878" s="1293"/>
      <c r="I878" s="1293"/>
    </row>
    <row r="879" spans="2:9" ht="17.399999999999999" thickTop="1" thickBot="1">
      <c r="B879" s="1267" t="s">
        <v>1167</v>
      </c>
      <c r="C879" s="1267"/>
      <c r="D879" s="1267"/>
      <c r="E879" s="1267"/>
      <c r="F879" s="1267"/>
      <c r="G879" s="1267"/>
      <c r="H879" s="1267"/>
      <c r="I879" s="1268"/>
    </row>
    <row r="880" spans="2:9" ht="17.399999999999999" thickTop="1" thickBot="1">
      <c r="B880" s="1064" t="s">
        <v>1143</v>
      </c>
      <c r="C880" s="1156"/>
      <c r="D880" s="1261" t="s">
        <v>1144</v>
      </c>
      <c r="E880" s="1261"/>
      <c r="F880" s="1261"/>
      <c r="G880" s="1261"/>
      <c r="H880" s="1261"/>
      <c r="I880" s="1261"/>
    </row>
    <row r="881" spans="2:9" ht="32.4" customHeight="1" thickTop="1" thickBot="1">
      <c r="B881" s="1064" t="s">
        <v>1168</v>
      </c>
      <c r="C881" s="1156"/>
      <c r="D881" s="1261" t="s">
        <v>1169</v>
      </c>
      <c r="E881" s="1261"/>
      <c r="F881" s="1261"/>
      <c r="G881" s="1261"/>
      <c r="H881" s="1261"/>
      <c r="I881" s="1261"/>
    </row>
    <row r="882" spans="2:9" ht="48.6" customHeight="1" thickTop="1" thickBot="1">
      <c r="B882" s="1064" t="s">
        <v>1170</v>
      </c>
      <c r="C882" s="1156"/>
      <c r="D882" s="1261" t="s">
        <v>1171</v>
      </c>
      <c r="E882" s="1261"/>
      <c r="F882" s="1261"/>
      <c r="G882" s="1261"/>
      <c r="H882" s="1261"/>
      <c r="I882" s="1261"/>
    </row>
    <row r="883" spans="2:9" ht="17.399999999999999" thickTop="1" thickBot="1">
      <c r="B883" s="1064" t="s">
        <v>1149</v>
      </c>
      <c r="C883" s="1156"/>
      <c r="D883" s="1257"/>
      <c r="E883" s="1257"/>
      <c r="F883" s="1257"/>
      <c r="G883" s="1257"/>
      <c r="H883" s="1257"/>
      <c r="I883" s="1257"/>
    </row>
    <row r="884" spans="2:9" ht="129.6" customHeight="1" thickTop="1" thickBot="1">
      <c r="B884" s="1290" t="s">
        <v>1144</v>
      </c>
      <c r="C884" s="1291"/>
      <c r="D884" s="1258" t="s">
        <v>1172</v>
      </c>
      <c r="E884" s="1258"/>
      <c r="F884" s="1258"/>
      <c r="G884" s="1258"/>
      <c r="H884" s="1258"/>
      <c r="I884" s="1258"/>
    </row>
    <row r="885" spans="2:9" ht="81" customHeight="1" thickTop="1" thickBot="1">
      <c r="B885" s="1273"/>
      <c r="C885" s="1292"/>
      <c r="D885" s="1258" t="s">
        <v>1173</v>
      </c>
      <c r="E885" s="1258"/>
      <c r="F885" s="1258"/>
      <c r="G885" s="1258"/>
      <c r="H885" s="1258"/>
      <c r="I885" s="1258"/>
    </row>
    <row r="886" spans="2:9" ht="97.2" customHeight="1" thickTop="1" thickBot="1">
      <c r="B886" s="1290" t="s">
        <v>1174</v>
      </c>
      <c r="C886" s="1291"/>
      <c r="D886" s="1259" t="s">
        <v>1175</v>
      </c>
      <c r="E886" s="1259"/>
      <c r="F886" s="1259"/>
      <c r="G886" s="1259"/>
      <c r="H886" s="1259"/>
      <c r="I886" s="1259"/>
    </row>
    <row r="887" spans="2:9" ht="307.8" customHeight="1" thickTop="1" thickBot="1">
      <c r="B887" s="1273"/>
      <c r="C887" s="1292"/>
      <c r="D887" s="1259" t="s">
        <v>1176</v>
      </c>
      <c r="E887" s="1259"/>
      <c r="F887" s="1259"/>
      <c r="G887" s="1259"/>
      <c r="H887" s="1259"/>
      <c r="I887" s="1259"/>
    </row>
    <row r="888" spans="2:9" ht="17.399999999999999" thickTop="1" thickBot="1">
      <c r="B888" s="1064" t="s">
        <v>1153</v>
      </c>
      <c r="C888" s="1156"/>
      <c r="D888" s="1259"/>
      <c r="E888" s="1259"/>
      <c r="F888" s="1259"/>
      <c r="G888" s="1259"/>
      <c r="H888" s="1259"/>
      <c r="I888" s="1259"/>
    </row>
    <row r="889" spans="2:9" ht="48.6" customHeight="1" thickTop="1" thickBot="1">
      <c r="B889" s="1064" t="s">
        <v>1177</v>
      </c>
      <c r="C889" s="1156"/>
      <c r="D889" s="1261" t="s">
        <v>1178</v>
      </c>
      <c r="E889" s="1261"/>
      <c r="F889" s="1261"/>
      <c r="G889" s="1261"/>
      <c r="H889" s="1261"/>
      <c r="I889" s="1261"/>
    </row>
    <row r="892" spans="2:9" ht="16.8" thickBot="1">
      <c r="B892" s="656" t="s">
        <v>1180</v>
      </c>
      <c r="C892"/>
      <c r="D892"/>
      <c r="E892"/>
      <c r="F892"/>
      <c r="G892"/>
      <c r="H892"/>
      <c r="I892"/>
    </row>
    <row r="893" spans="2:9">
      <c r="B893" s="1383" t="s">
        <v>1143</v>
      </c>
      <c r="C893" s="1384"/>
      <c r="D893" s="1176" t="s">
        <v>1144</v>
      </c>
      <c r="E893" s="1176"/>
      <c r="F893" s="1176"/>
      <c r="G893" s="1176"/>
      <c r="H893" s="1177"/>
      <c r="I893"/>
    </row>
    <row r="894" spans="2:9">
      <c r="B894" s="1385" t="s">
        <v>1181</v>
      </c>
      <c r="C894" s="984"/>
      <c r="D894" s="980" t="s">
        <v>1182</v>
      </c>
      <c r="E894" s="980"/>
      <c r="F894" s="980"/>
      <c r="G894" s="980"/>
      <c r="H894" s="1386"/>
      <c r="I894"/>
    </row>
    <row r="895" spans="2:9">
      <c r="B895" s="1385" t="s">
        <v>1183</v>
      </c>
      <c r="C895" s="984"/>
      <c r="D895" s="981">
        <v>35</v>
      </c>
      <c r="E895" s="981"/>
      <c r="F895" s="981"/>
      <c r="G895" s="981"/>
      <c r="H895" s="1387"/>
      <c r="I895"/>
    </row>
    <row r="896" spans="2:9" ht="48.6" customHeight="1">
      <c r="B896" s="1385" t="s">
        <v>1184</v>
      </c>
      <c r="C896" s="984"/>
      <c r="D896" s="980" t="s">
        <v>1185</v>
      </c>
      <c r="E896" s="980"/>
      <c r="F896" s="980"/>
      <c r="G896" s="980"/>
      <c r="H896" s="1386"/>
      <c r="I896"/>
    </row>
    <row r="897" spans="1:9" ht="118.8" customHeight="1">
      <c r="B897" s="1385" t="s">
        <v>1186</v>
      </c>
      <c r="C897" s="984"/>
      <c r="D897" s="1171" t="s">
        <v>1564</v>
      </c>
      <c r="E897" s="1171"/>
      <c r="F897" s="1171"/>
      <c r="G897" s="1171"/>
      <c r="H897" s="1388"/>
      <c r="I897"/>
    </row>
    <row r="898" spans="1:9">
      <c r="B898" s="1385" t="s">
        <v>1187</v>
      </c>
      <c r="C898" s="984"/>
      <c r="D898" s="981">
        <v>200</v>
      </c>
      <c r="E898" s="981"/>
      <c r="F898" s="981"/>
      <c r="G898" s="981"/>
      <c r="H898" s="1387"/>
      <c r="I898"/>
    </row>
    <row r="899" spans="1:9" ht="32.4" customHeight="1" thickBot="1">
      <c r="B899" s="1389" t="s">
        <v>1188</v>
      </c>
      <c r="C899" s="1390"/>
      <c r="D899" s="1391" t="s">
        <v>1189</v>
      </c>
      <c r="E899" s="1391"/>
      <c r="F899" s="1391"/>
      <c r="G899" s="1391"/>
      <c r="H899" s="1392"/>
      <c r="I899"/>
    </row>
    <row r="900" spans="1:9">
      <c r="B900" s="657"/>
      <c r="C900" s="657"/>
      <c r="D900" s="657"/>
      <c r="E900" s="657"/>
      <c r="F900" s="657"/>
      <c r="G900"/>
      <c r="H900"/>
      <c r="I900"/>
    </row>
    <row r="901" spans="1:9">
      <c r="B901" s="656"/>
      <c r="C901"/>
      <c r="D901"/>
      <c r="E901"/>
      <c r="F901"/>
      <c r="G901"/>
      <c r="H901"/>
      <c r="I901"/>
    </row>
    <row r="902" spans="1:9">
      <c r="B902" s="996" t="s">
        <v>1350</v>
      </c>
      <c r="C902" s="996"/>
      <c r="D902" s="996"/>
      <c r="E902" s="996"/>
      <c r="F902" s="996"/>
      <c r="G902" s="996"/>
      <c r="H902"/>
      <c r="I902"/>
    </row>
    <row r="903" spans="1:9" ht="52.2" customHeight="1">
      <c r="B903" s="997" t="s">
        <v>1190</v>
      </c>
      <c r="C903" s="997"/>
      <c r="D903" s="997"/>
      <c r="E903" s="997"/>
      <c r="F903" s="997"/>
      <c r="G903" s="997"/>
      <c r="H903" s="997"/>
      <c r="I903"/>
    </row>
    <row r="904" spans="1:9">
      <c r="B904" s="1294" t="s">
        <v>1191</v>
      </c>
      <c r="C904" s="1294"/>
      <c r="D904" s="1294"/>
      <c r="E904" s="1294"/>
      <c r="F904" s="1294"/>
      <c r="G904" s="1294"/>
      <c r="H904" s="1294"/>
      <c r="I904"/>
    </row>
    <row r="905" spans="1:9">
      <c r="B905" s="1295" t="s">
        <v>1192</v>
      </c>
      <c r="C905" s="1295"/>
      <c r="D905" s="1295"/>
      <c r="E905" s="1295"/>
      <c r="F905" s="1295"/>
      <c r="G905" s="1295"/>
      <c r="H905" s="1295"/>
      <c r="I905"/>
    </row>
    <row r="906" spans="1:9">
      <c r="B906" s="1294" t="s">
        <v>1193</v>
      </c>
      <c r="C906" s="1294"/>
      <c r="D906" s="1294"/>
      <c r="E906" s="1294"/>
      <c r="F906" s="1294"/>
      <c r="G906" s="1294"/>
      <c r="H906" s="1294"/>
      <c r="I906"/>
    </row>
    <row r="907" spans="1:9" ht="18">
      <c r="B907" s="661"/>
      <c r="C907"/>
      <c r="D907"/>
      <c r="E907"/>
      <c r="F907"/>
      <c r="G907"/>
      <c r="H907"/>
      <c r="I907"/>
    </row>
    <row r="908" spans="1:9" ht="16.2" customHeight="1">
      <c r="A908" s="834" t="s">
        <v>1194</v>
      </c>
      <c r="B908" s="834"/>
      <c r="C908" s="834"/>
      <c r="D908" s="834"/>
      <c r="E908"/>
      <c r="F908"/>
      <c r="G908"/>
      <c r="H908"/>
      <c r="I908"/>
    </row>
    <row r="909" spans="1:9">
      <c r="B909" s="1267" t="s">
        <v>1195</v>
      </c>
      <c r="C909" s="1267"/>
      <c r="D909"/>
      <c r="E909"/>
      <c r="F909"/>
      <c r="G909"/>
      <c r="H909"/>
      <c r="I909"/>
    </row>
    <row r="910" spans="1:9" ht="16.8" thickBot="1">
      <c r="B910" s="656" t="s">
        <v>1196</v>
      </c>
      <c r="C910"/>
      <c r="D910"/>
      <c r="E910"/>
      <c r="F910"/>
      <c r="G910"/>
      <c r="H910"/>
      <c r="I910"/>
    </row>
    <row r="911" spans="1:9" ht="32.4">
      <c r="B911" s="738" t="s">
        <v>1197</v>
      </c>
      <c r="C911" s="1176" t="s">
        <v>1199</v>
      </c>
      <c r="D911" s="1176"/>
      <c r="E911" s="1176" t="s">
        <v>1200</v>
      </c>
      <c r="F911" s="1176"/>
      <c r="G911" s="1176" t="s">
        <v>1201</v>
      </c>
      <c r="H911" s="1177"/>
      <c r="I911" s="1393"/>
    </row>
    <row r="912" spans="1:9">
      <c r="B912" s="1394" t="s">
        <v>1198</v>
      </c>
      <c r="C912" s="985"/>
      <c r="D912" s="985"/>
      <c r="E912" s="985"/>
      <c r="F912" s="985"/>
      <c r="G912" s="983"/>
      <c r="H912" s="1395"/>
      <c r="I912" s="1393"/>
    </row>
    <row r="913" spans="2:9" ht="32.4">
      <c r="B913" s="1396" t="s">
        <v>1202</v>
      </c>
      <c r="C913" s="986">
        <v>194350</v>
      </c>
      <c r="D913" s="986"/>
      <c r="E913" s="986">
        <v>260925</v>
      </c>
      <c r="F913" s="986"/>
      <c r="G913" s="986">
        <v>205275</v>
      </c>
      <c r="H913" s="1397"/>
      <c r="I913" s="1393"/>
    </row>
    <row r="914" spans="2:9">
      <c r="B914" s="1396" t="s">
        <v>1203</v>
      </c>
      <c r="C914" s="980" t="s">
        <v>1204</v>
      </c>
      <c r="D914" s="980"/>
      <c r="E914" s="985"/>
      <c r="F914" s="985"/>
      <c r="G914" s="983"/>
      <c r="H914" s="1395"/>
      <c r="I914" s="1393"/>
    </row>
    <row r="915" spans="2:9" ht="165" customHeight="1">
      <c r="B915" s="1396" t="s">
        <v>1205</v>
      </c>
      <c r="C915" s="861" t="s">
        <v>1354</v>
      </c>
      <c r="D915" s="861"/>
      <c r="E915" s="980" t="s">
        <v>1351</v>
      </c>
      <c r="F915" s="980"/>
      <c r="G915" s="980" t="s">
        <v>1206</v>
      </c>
      <c r="H915" s="1386"/>
      <c r="I915" s="1393"/>
    </row>
    <row r="916" spans="2:9" ht="29.4" customHeight="1">
      <c r="B916" s="1398" t="s">
        <v>1207</v>
      </c>
      <c r="C916" s="861" t="s">
        <v>1355</v>
      </c>
      <c r="D916" s="861"/>
      <c r="E916" s="981" t="s">
        <v>1208</v>
      </c>
      <c r="F916" s="981"/>
      <c r="G916" s="980" t="s">
        <v>1209</v>
      </c>
      <c r="H916" s="1386"/>
      <c r="I916" s="1393"/>
    </row>
    <row r="917" spans="2:9" ht="61.2" customHeight="1">
      <c r="B917" s="1398"/>
      <c r="C917" s="861"/>
      <c r="D917" s="861"/>
      <c r="E917" s="981"/>
      <c r="F917" s="981"/>
      <c r="G917" s="980"/>
      <c r="H917" s="1386"/>
      <c r="I917" s="1393"/>
    </row>
    <row r="918" spans="2:9" ht="133.80000000000001" customHeight="1">
      <c r="B918" s="1396" t="s">
        <v>1210</v>
      </c>
      <c r="C918" s="981" t="s">
        <v>1211</v>
      </c>
      <c r="D918" s="981"/>
      <c r="E918" s="981" t="s">
        <v>1212</v>
      </c>
      <c r="F918" s="981"/>
      <c r="G918" s="981" t="s">
        <v>1213</v>
      </c>
      <c r="H918" s="1387"/>
      <c r="I918" s="1393"/>
    </row>
    <row r="919" spans="2:9" ht="37.200000000000003" customHeight="1">
      <c r="B919" s="1398" t="s">
        <v>1214</v>
      </c>
      <c r="C919" s="982" t="s">
        <v>1215</v>
      </c>
      <c r="D919" s="982"/>
      <c r="E919" s="982"/>
      <c r="F919" s="982"/>
      <c r="G919" s="982"/>
      <c r="H919" s="1399"/>
      <c r="I919" s="1393"/>
    </row>
    <row r="920" spans="2:9" ht="95.4" customHeight="1">
      <c r="B920" s="1398"/>
      <c r="C920" s="861" t="s">
        <v>1216</v>
      </c>
      <c r="D920" s="861"/>
      <c r="E920" s="980" t="s">
        <v>1221</v>
      </c>
      <c r="F920" s="980"/>
      <c r="G920" s="980" t="s">
        <v>1222</v>
      </c>
      <c r="H920" s="1386"/>
      <c r="I920" s="1393"/>
    </row>
    <row r="921" spans="2:9" ht="35.4" customHeight="1">
      <c r="B921" s="1398"/>
      <c r="C921" s="982" t="s">
        <v>1217</v>
      </c>
      <c r="D921" s="982"/>
      <c r="E921" s="982"/>
      <c r="F921" s="982"/>
      <c r="G921" s="982"/>
      <c r="H921" s="1399"/>
      <c r="I921" s="1393"/>
    </row>
    <row r="922" spans="2:9" ht="101.4" customHeight="1">
      <c r="B922" s="1398"/>
      <c r="C922" s="987" t="s">
        <v>1218</v>
      </c>
      <c r="D922" s="987"/>
      <c r="E922" s="985"/>
      <c r="F922" s="985"/>
      <c r="G922" s="983"/>
      <c r="H922" s="1395"/>
      <c r="I922" s="1393"/>
    </row>
    <row r="923" spans="2:9" ht="24" customHeight="1">
      <c r="B923" s="1398"/>
      <c r="C923" s="982" t="s">
        <v>1219</v>
      </c>
      <c r="D923" s="982"/>
      <c r="E923" s="982"/>
      <c r="F923" s="982"/>
      <c r="G923" s="982"/>
      <c r="H923" s="1399"/>
      <c r="I923" s="1393"/>
    </row>
    <row r="924" spans="2:9" ht="76.2" customHeight="1">
      <c r="B924" s="1398"/>
      <c r="C924" s="946" t="s">
        <v>1220</v>
      </c>
      <c r="D924" s="946"/>
      <c r="E924" s="980" t="s">
        <v>1352</v>
      </c>
      <c r="F924" s="980"/>
      <c r="G924" s="983"/>
      <c r="H924" s="1395"/>
      <c r="I924" s="1393"/>
    </row>
    <row r="925" spans="2:9">
      <c r="B925" s="1398"/>
      <c r="C925" s="946" t="s">
        <v>1353</v>
      </c>
      <c r="D925" s="946"/>
      <c r="E925" s="975"/>
      <c r="F925" s="975"/>
      <c r="G925" s="983"/>
      <c r="H925" s="1395"/>
      <c r="I925" s="1393"/>
    </row>
    <row r="926" spans="2:9">
      <c r="B926" s="1398"/>
      <c r="C926" s="946"/>
      <c r="D926" s="946"/>
      <c r="E926" s="975"/>
      <c r="F926" s="975"/>
      <c r="G926" s="983"/>
      <c r="H926" s="1395"/>
      <c r="I926" s="1393"/>
    </row>
    <row r="927" spans="2:9" ht="31.8">
      <c r="B927" s="1400" t="s">
        <v>1358</v>
      </c>
      <c r="C927" s="980" t="s">
        <v>1223</v>
      </c>
      <c r="D927" s="980"/>
      <c r="E927" s="979">
        <v>0.3</v>
      </c>
      <c r="F927" s="979"/>
      <c r="G927" s="979">
        <v>0.6</v>
      </c>
      <c r="H927" s="1401"/>
      <c r="I927" s="1393"/>
    </row>
    <row r="928" spans="2:9" ht="38.4" customHeight="1">
      <c r="B928" s="1402" t="s">
        <v>1357</v>
      </c>
      <c r="C928" s="861" t="s">
        <v>1356</v>
      </c>
      <c r="D928" s="861"/>
      <c r="E928" s="980" t="s">
        <v>1224</v>
      </c>
      <c r="F928" s="980"/>
      <c r="G928" s="980" t="s">
        <v>1224</v>
      </c>
      <c r="H928" s="1386"/>
      <c r="I928" s="1393"/>
    </row>
    <row r="929" spans="2:9" ht="80.400000000000006" customHeight="1">
      <c r="B929" s="1402"/>
      <c r="C929" s="861"/>
      <c r="D929" s="861"/>
      <c r="E929" s="980"/>
      <c r="F929" s="980"/>
      <c r="G929" s="980"/>
      <c r="H929" s="1386"/>
      <c r="I929" s="1393"/>
    </row>
    <row r="930" spans="2:9" ht="32.4">
      <c r="B930" s="1400" t="s">
        <v>1359</v>
      </c>
      <c r="C930" s="861" t="s">
        <v>1226</v>
      </c>
      <c r="D930" s="861"/>
      <c r="E930" s="985"/>
      <c r="F930" s="985"/>
      <c r="G930" s="983"/>
      <c r="H930" s="1395"/>
      <c r="I930" s="1393"/>
    </row>
    <row r="931" spans="2:9" ht="73.8" customHeight="1">
      <c r="B931" s="1403" t="s">
        <v>1360</v>
      </c>
      <c r="C931" s="861" t="s">
        <v>1227</v>
      </c>
      <c r="D931" s="861"/>
      <c r="E931" s="980" t="s">
        <v>1228</v>
      </c>
      <c r="F931" s="980"/>
      <c r="G931" s="980" t="s">
        <v>1229</v>
      </c>
      <c r="H931" s="1386"/>
      <c r="I931" s="1393"/>
    </row>
    <row r="932" spans="2:9" ht="105" customHeight="1">
      <c r="B932" s="1398"/>
      <c r="C932" s="980" t="s">
        <v>1361</v>
      </c>
      <c r="D932" s="980"/>
      <c r="E932" s="980"/>
      <c r="F932" s="980"/>
      <c r="G932" s="980"/>
      <c r="H932" s="1386"/>
      <c r="I932" s="1393"/>
    </row>
    <row r="933" spans="2:9" ht="41.4" customHeight="1">
      <c r="B933" s="1396" t="s">
        <v>1230</v>
      </c>
      <c r="C933" s="980" t="s">
        <v>1231</v>
      </c>
      <c r="D933" s="980"/>
      <c r="E933" s="980" t="s">
        <v>1232</v>
      </c>
      <c r="F933" s="980"/>
      <c r="G933" s="980" t="s">
        <v>1233</v>
      </c>
      <c r="H933" s="1386"/>
      <c r="I933" s="1393"/>
    </row>
    <row r="934" spans="2:9" ht="105" customHeight="1">
      <c r="B934" s="1398" t="s">
        <v>1234</v>
      </c>
      <c r="C934" s="981" t="s">
        <v>1235</v>
      </c>
      <c r="D934" s="981"/>
      <c r="E934" s="861" t="s">
        <v>1238</v>
      </c>
      <c r="F934" s="861"/>
      <c r="G934" s="861" t="s">
        <v>1239</v>
      </c>
      <c r="H934" s="1404"/>
      <c r="I934" s="1393"/>
    </row>
    <row r="935" spans="2:9" ht="88.2" customHeight="1">
      <c r="B935" s="1398"/>
      <c r="C935" s="861" t="s">
        <v>1236</v>
      </c>
      <c r="D935" s="861"/>
      <c r="E935" s="985"/>
      <c r="F935" s="985"/>
      <c r="G935" s="983"/>
      <c r="H935" s="1395"/>
      <c r="I935" s="1393"/>
    </row>
    <row r="936" spans="2:9" ht="74.400000000000006" customHeight="1">
      <c r="B936" s="1398"/>
      <c r="C936" s="861" t="s">
        <v>1237</v>
      </c>
      <c r="D936" s="861"/>
      <c r="E936" s="985"/>
      <c r="F936" s="985"/>
      <c r="G936" s="983"/>
      <c r="H936" s="1395"/>
      <c r="I936" s="1393"/>
    </row>
    <row r="937" spans="2:9" ht="72" customHeight="1">
      <c r="B937" s="1396" t="s">
        <v>1240</v>
      </c>
      <c r="C937" s="861" t="s">
        <v>1241</v>
      </c>
      <c r="D937" s="861"/>
      <c r="E937" s="980" t="s">
        <v>1242</v>
      </c>
      <c r="F937" s="980"/>
      <c r="G937" s="861" t="s">
        <v>1243</v>
      </c>
      <c r="H937" s="1404"/>
      <c r="I937" s="1393"/>
    </row>
    <row r="938" spans="2:9" ht="113.4" customHeight="1">
      <c r="B938" s="1398" t="s">
        <v>1244</v>
      </c>
      <c r="C938" s="861" t="s">
        <v>1245</v>
      </c>
      <c r="D938" s="861"/>
      <c r="E938" s="980" t="s">
        <v>1246</v>
      </c>
      <c r="F938" s="980"/>
      <c r="G938" s="980" t="s">
        <v>1248</v>
      </c>
      <c r="H938" s="1386"/>
      <c r="I938" s="1393"/>
    </row>
    <row r="939" spans="2:9" ht="128.4" customHeight="1" thickBot="1">
      <c r="B939" s="1405"/>
      <c r="C939" s="862" t="s">
        <v>1362</v>
      </c>
      <c r="D939" s="862"/>
      <c r="E939" s="1407" t="s">
        <v>1247</v>
      </c>
      <c r="F939" s="1407"/>
      <c r="G939" s="1408"/>
      <c r="H939" s="1409"/>
      <c r="I939" s="1410"/>
    </row>
    <row r="940" spans="2:9" ht="57" customHeight="1">
      <c r="B940" s="1411"/>
      <c r="C940" s="1412"/>
      <c r="D940" s="1412"/>
      <c r="E940" s="1413"/>
      <c r="F940" s="1413"/>
      <c r="G940" s="1414"/>
      <c r="H940" s="1415"/>
      <c r="I940" s="1416"/>
    </row>
    <row r="941" spans="2:9" ht="16.8" thickBot="1">
      <c r="B941" s="1417" t="s">
        <v>1249</v>
      </c>
      <c r="C941" s="1418"/>
      <c r="D941" s="1418"/>
      <c r="E941" s="1419"/>
      <c r="F941" s="1419"/>
      <c r="G941" s="1418"/>
      <c r="H941" s="1418"/>
      <c r="I941" s="1418"/>
    </row>
    <row r="942" spans="2:9" ht="32.4">
      <c r="B942" s="1420" t="s">
        <v>1197</v>
      </c>
      <c r="C942" s="1384" t="s">
        <v>1199</v>
      </c>
      <c r="D942" s="1384"/>
      <c r="E942" s="1384"/>
      <c r="F942" s="1421" t="s">
        <v>1250</v>
      </c>
      <c r="G942" s="1421"/>
      <c r="H942" s="1422" t="s">
        <v>1251</v>
      </c>
      <c r="I942" s="1423"/>
    </row>
    <row r="943" spans="2:9">
      <c r="B943" s="1424" t="s">
        <v>1198</v>
      </c>
      <c r="C943" s="984"/>
      <c r="D943" s="984"/>
      <c r="E943" s="984"/>
      <c r="F943" s="975"/>
      <c r="G943" s="975"/>
      <c r="H943" s="978"/>
      <c r="I943" s="1425"/>
    </row>
    <row r="944" spans="2:9" ht="71.400000000000006" customHeight="1">
      <c r="B944" s="1426" t="s">
        <v>1202</v>
      </c>
      <c r="C944" s="861" t="s">
        <v>1252</v>
      </c>
      <c r="D944" s="861"/>
      <c r="E944" s="861"/>
      <c r="F944" s="861" t="s">
        <v>1253</v>
      </c>
      <c r="G944" s="861"/>
      <c r="H944" s="946" t="s">
        <v>1255</v>
      </c>
      <c r="I944" s="1204"/>
    </row>
    <row r="945" spans="1:9" ht="42" customHeight="1">
      <c r="B945" s="1426"/>
      <c r="C945" s="861"/>
      <c r="D945" s="861"/>
      <c r="E945" s="861"/>
      <c r="F945" s="861" t="s">
        <v>1254</v>
      </c>
      <c r="G945" s="861"/>
      <c r="H945" s="946" t="s">
        <v>1256</v>
      </c>
      <c r="I945" s="1204"/>
    </row>
    <row r="946" spans="1:9">
      <c r="B946" s="1427" t="s">
        <v>1203</v>
      </c>
      <c r="C946" s="861" t="s">
        <v>1204</v>
      </c>
      <c r="D946" s="861"/>
      <c r="E946" s="861"/>
      <c r="F946" s="977">
        <v>2010</v>
      </c>
      <c r="G946" s="977"/>
      <c r="H946" s="977">
        <v>2015</v>
      </c>
      <c r="I946" s="1428"/>
    </row>
    <row r="947" spans="1:9" ht="31.8">
      <c r="B947" s="1429" t="s">
        <v>1358</v>
      </c>
      <c r="C947" s="861" t="s">
        <v>1223</v>
      </c>
      <c r="D947" s="861"/>
      <c r="E947" s="861"/>
      <c r="F947" s="976">
        <v>0.55000000000000004</v>
      </c>
      <c r="G947" s="976"/>
      <c r="H947" s="976">
        <v>0.45</v>
      </c>
      <c r="I947" s="1430"/>
    </row>
    <row r="948" spans="1:9" ht="49.8" customHeight="1">
      <c r="B948" s="1403" t="s">
        <v>1363</v>
      </c>
      <c r="C948" s="861" t="s">
        <v>1257</v>
      </c>
      <c r="D948" s="861"/>
      <c r="E948" s="861"/>
      <c r="F948" s="980" t="s">
        <v>1365</v>
      </c>
      <c r="G948" s="980"/>
      <c r="H948" s="980" t="s">
        <v>1365</v>
      </c>
      <c r="I948" s="1386"/>
    </row>
    <row r="949" spans="1:9" ht="65.400000000000006" customHeight="1">
      <c r="B949" s="1398"/>
      <c r="C949" s="861" t="s">
        <v>1258</v>
      </c>
      <c r="D949" s="861"/>
      <c r="E949" s="861"/>
      <c r="F949" s="980"/>
      <c r="G949" s="980"/>
      <c r="H949" s="980"/>
      <c r="I949" s="1386"/>
    </row>
    <row r="950" spans="1:9" ht="49.2" customHeight="1">
      <c r="B950" s="1427" t="s">
        <v>1225</v>
      </c>
      <c r="C950" s="861" t="s">
        <v>1226</v>
      </c>
      <c r="D950" s="861"/>
      <c r="E950" s="861"/>
      <c r="F950" s="861" t="s">
        <v>1259</v>
      </c>
      <c r="G950" s="861"/>
      <c r="H950" s="861" t="s">
        <v>1259</v>
      </c>
      <c r="I950" s="1404"/>
    </row>
    <row r="951" spans="1:9" ht="78" customHeight="1">
      <c r="B951" s="1429" t="s">
        <v>1364</v>
      </c>
      <c r="C951" s="861" t="s">
        <v>1260</v>
      </c>
      <c r="D951" s="861"/>
      <c r="E951" s="861"/>
      <c r="F951" s="980" t="s">
        <v>1228</v>
      </c>
      <c r="G951" s="980"/>
      <c r="H951" s="980"/>
      <c r="I951" s="1386"/>
    </row>
    <row r="952" spans="1:9" ht="33" customHeight="1">
      <c r="B952" s="1427" t="s">
        <v>1230</v>
      </c>
      <c r="C952" s="861" t="s">
        <v>1231</v>
      </c>
      <c r="D952" s="861"/>
      <c r="E952" s="861"/>
      <c r="F952" s="861" t="s">
        <v>1232</v>
      </c>
      <c r="G952" s="861"/>
      <c r="H952" s="861" t="s">
        <v>1233</v>
      </c>
      <c r="I952" s="1404"/>
    </row>
    <row r="953" spans="1:9" ht="129.6" customHeight="1">
      <c r="B953" s="1426" t="s">
        <v>1234</v>
      </c>
      <c r="C953" s="861" t="s">
        <v>1261</v>
      </c>
      <c r="D953" s="861"/>
      <c r="E953" s="861"/>
      <c r="F953" s="980" t="s">
        <v>1264</v>
      </c>
      <c r="G953" s="980"/>
      <c r="H953" s="980"/>
      <c r="I953" s="1386"/>
    </row>
    <row r="954" spans="1:9" ht="113.4" customHeight="1">
      <c r="B954" s="1426"/>
      <c r="C954" s="861" t="s">
        <v>1262</v>
      </c>
      <c r="D954" s="861"/>
      <c r="E954" s="861"/>
      <c r="F954" s="975"/>
      <c r="G954" s="975"/>
      <c r="H954" s="978"/>
      <c r="I954" s="1425"/>
    </row>
    <row r="955" spans="1:9" ht="64.8" customHeight="1">
      <c r="B955" s="1426"/>
      <c r="C955" s="861" t="s">
        <v>1263</v>
      </c>
      <c r="D955" s="861"/>
      <c r="E955" s="861"/>
      <c r="F955" s="975"/>
      <c r="G955" s="975"/>
      <c r="H955" s="978"/>
      <c r="I955" s="1425"/>
    </row>
    <row r="956" spans="1:9" ht="65.400000000000006" customHeight="1">
      <c r="B956" s="1427" t="s">
        <v>1240</v>
      </c>
      <c r="C956" s="861" t="s">
        <v>1265</v>
      </c>
      <c r="D956" s="861"/>
      <c r="E956" s="861"/>
      <c r="F956" s="861" t="s">
        <v>1242</v>
      </c>
      <c r="G956" s="861"/>
      <c r="H956" s="861" t="s">
        <v>1266</v>
      </c>
      <c r="I956" s="1404"/>
    </row>
    <row r="957" spans="1:9" ht="97.8" customHeight="1" thickBot="1">
      <c r="B957" s="1431" t="s">
        <v>1244</v>
      </c>
      <c r="C957" s="1406" t="s">
        <v>1267</v>
      </c>
      <c r="D957" s="1406"/>
      <c r="E957" s="1406"/>
      <c r="F957" s="1391" t="s">
        <v>1268</v>
      </c>
      <c r="G957" s="1391"/>
      <c r="H957" s="1391"/>
      <c r="I957" s="1392"/>
    </row>
    <row r="958" spans="1:9">
      <c r="B958" s="656"/>
      <c r="C958"/>
      <c r="D958"/>
      <c r="E958"/>
      <c r="F958"/>
      <c r="G958"/>
      <c r="H958"/>
      <c r="I958"/>
    </row>
    <row r="959" spans="1:9">
      <c r="A959" s="670" t="s">
        <v>1269</v>
      </c>
      <c r="B959" s="670"/>
      <c r="C959" s="670"/>
      <c r="D959"/>
      <c r="E959"/>
      <c r="F959"/>
      <c r="G959"/>
      <c r="H959"/>
      <c r="I959"/>
    </row>
    <row r="960" spans="1:9">
      <c r="B960" s="1294" t="s">
        <v>1270</v>
      </c>
      <c r="C960" s="1294"/>
      <c r="D960" s="1294"/>
      <c r="E960" s="1294"/>
      <c r="F960" s="1294"/>
      <c r="G960" s="1294"/>
      <c r="H960" s="1294"/>
      <c r="I960" s="1294"/>
    </row>
    <row r="961" spans="2:17" ht="22.8" thickBot="1">
      <c r="B961" s="1319" t="s">
        <v>1271</v>
      </c>
      <c r="C961" s="1319"/>
      <c r="D961" s="1319"/>
      <c r="E961" s="1319"/>
      <c r="F961" s="1319"/>
      <c r="G961" s="1319"/>
      <c r="H961" s="1319"/>
      <c r="I961"/>
    </row>
    <row r="962" spans="2:17" ht="16.8" thickBot="1">
      <c r="B962" s="663" t="s">
        <v>1272</v>
      </c>
      <c r="C962" s="1296" t="s">
        <v>1273</v>
      </c>
      <c r="D962" s="1297"/>
      <c r="E962" s="1296" t="s">
        <v>1274</v>
      </c>
      <c r="F962" s="1297"/>
      <c r="G962" s="1296" t="s">
        <v>1275</v>
      </c>
      <c r="H962" s="1297"/>
      <c r="I962"/>
    </row>
    <row r="963" spans="2:17" ht="16.8" thickBot="1">
      <c r="B963" s="664" t="s">
        <v>1276</v>
      </c>
      <c r="C963" s="1298" t="s">
        <v>1277</v>
      </c>
      <c r="D963" s="1299"/>
      <c r="E963" s="1298" t="s">
        <v>1278</v>
      </c>
      <c r="F963" s="1299"/>
      <c r="G963" s="1298" t="s">
        <v>1279</v>
      </c>
      <c r="H963" s="1299"/>
      <c r="I963"/>
    </row>
    <row r="964" spans="2:17" ht="16.8" thickBot="1">
      <c r="B964" s="664" t="s">
        <v>1280</v>
      </c>
      <c r="C964" s="1298" t="s">
        <v>1281</v>
      </c>
      <c r="D964" s="1299"/>
      <c r="E964" s="1298" t="s">
        <v>1282</v>
      </c>
      <c r="F964" s="1299"/>
      <c r="G964" s="1298" t="s">
        <v>1283</v>
      </c>
      <c r="H964" s="1299"/>
      <c r="I964"/>
    </row>
    <row r="965" spans="2:17" ht="16.8" thickBot="1">
      <c r="B965" s="665" t="s">
        <v>1284</v>
      </c>
      <c r="C965" s="1298" t="s">
        <v>1285</v>
      </c>
      <c r="D965" s="1299"/>
      <c r="E965" s="1298" t="s">
        <v>1286</v>
      </c>
      <c r="F965" s="1299"/>
      <c r="G965" s="1300" t="s">
        <v>1287</v>
      </c>
      <c r="H965" s="1301"/>
    </row>
    <row r="966" spans="2:17" ht="16.8" thickBot="1">
      <c r="B966" s="665" t="s">
        <v>1288</v>
      </c>
      <c r="C966" s="1298" t="s">
        <v>1289</v>
      </c>
      <c r="D966" s="1299"/>
      <c r="E966" s="1298" t="s">
        <v>1289</v>
      </c>
      <c r="F966" s="1299"/>
      <c r="G966" s="1298" t="s">
        <v>1233</v>
      </c>
      <c r="H966" s="1299"/>
    </row>
    <row r="967" spans="2:17" ht="16.8" thickBot="1">
      <c r="B967" s="665" t="s">
        <v>1290</v>
      </c>
      <c r="C967" s="1298" t="s">
        <v>1291</v>
      </c>
      <c r="D967" s="1299"/>
      <c r="E967" s="1298" t="s">
        <v>1233</v>
      </c>
      <c r="F967" s="1299"/>
      <c r="G967" s="1298" t="s">
        <v>1289</v>
      </c>
      <c r="H967" s="1299"/>
    </row>
    <row r="968" spans="2:17">
      <c r="B968" s="668" t="s">
        <v>1292</v>
      </c>
      <c r="C968" s="1302" t="s">
        <v>1293</v>
      </c>
      <c r="D968" s="1303"/>
      <c r="E968" s="1302" t="s">
        <v>1294</v>
      </c>
      <c r="F968" s="1303"/>
      <c r="G968" s="1302" t="s">
        <v>1294</v>
      </c>
      <c r="H968" s="1303"/>
    </row>
    <row r="969" spans="2:17" ht="16.8" thickBot="1">
      <c r="B969" s="669"/>
      <c r="C969" s="1300"/>
      <c r="D969" s="1301"/>
      <c r="E969" s="1300"/>
      <c r="F969" s="1301"/>
      <c r="G969" s="1300"/>
      <c r="H969" s="1301"/>
    </row>
    <row r="970" spans="2:17" ht="16.8" thickBot="1">
      <c r="B970" s="665" t="s">
        <v>1295</v>
      </c>
      <c r="C970" s="666"/>
      <c r="D970" s="667"/>
      <c r="E970" s="1298" t="s">
        <v>1289</v>
      </c>
      <c r="F970" s="1299"/>
      <c r="G970" s="1298" t="s">
        <v>1279</v>
      </c>
      <c r="H970" s="1299"/>
    </row>
    <row r="971" spans="2:17">
      <c r="B971" s="657"/>
      <c r="C971" s="657"/>
      <c r="D971" s="657"/>
      <c r="E971" s="657"/>
      <c r="F971" s="657"/>
      <c r="G971" s="657"/>
      <c r="H971" s="657"/>
      <c r="I971" s="657"/>
    </row>
    <row r="972" spans="2:17" ht="56.4" customHeight="1">
      <c r="B972" s="1306" t="s">
        <v>1296</v>
      </c>
      <c r="C972" s="1306"/>
      <c r="D972" s="1306"/>
      <c r="E972" s="1306"/>
      <c r="F972" s="1306"/>
      <c r="G972" s="1306"/>
      <c r="H972" s="1306"/>
      <c r="I972" s="1306"/>
    </row>
    <row r="973" spans="2:17" ht="409.2" customHeight="1">
      <c r="B973" s="1311"/>
      <c r="C973" s="1311"/>
      <c r="D973" s="1311"/>
      <c r="E973" s="1311"/>
      <c r="F973" s="1311"/>
      <c r="G973" s="1311"/>
      <c r="H973" s="1311"/>
      <c r="I973" s="1311"/>
      <c r="J973" s="1307"/>
      <c r="K973" s="1307"/>
      <c r="L973" s="1307"/>
      <c r="M973" s="1307"/>
      <c r="N973" s="1307"/>
      <c r="O973" s="1307"/>
      <c r="P973" s="1307"/>
      <c r="Q973"/>
    </row>
    <row r="974" spans="2:17">
      <c r="B974" s="1308"/>
      <c r="C974" s="1308"/>
      <c r="D974" s="1308"/>
      <c r="E974" s="1308"/>
      <c r="F974" s="1308"/>
      <c r="G974" s="1308"/>
      <c r="H974" s="1308"/>
      <c r="I974" s="1308"/>
    </row>
    <row r="975" spans="2:17" ht="64.8" customHeight="1">
      <c r="B975" s="1309" t="s">
        <v>1366</v>
      </c>
      <c r="C975" s="1310"/>
      <c r="D975" s="1310"/>
      <c r="E975" s="1310"/>
      <c r="F975" s="1310"/>
      <c r="G975" s="1310"/>
      <c r="H975" s="1310"/>
      <c r="I975" s="1310"/>
    </row>
    <row r="976" spans="2:17" ht="81" customHeight="1">
      <c r="B976" s="1042" t="s">
        <v>1297</v>
      </c>
      <c r="C976" s="1042"/>
      <c r="D976" s="1042"/>
      <c r="E976" s="1042"/>
      <c r="F976" s="1042"/>
      <c r="G976" s="1042"/>
      <c r="H976" s="1042"/>
      <c r="I976" s="1042"/>
    </row>
    <row r="977" spans="2:9" ht="64.8" customHeight="1">
      <c r="B977" s="1042" t="s">
        <v>1298</v>
      </c>
      <c r="C977" s="1042"/>
      <c r="D977" s="1042"/>
      <c r="E977" s="1042"/>
      <c r="F977" s="1042"/>
      <c r="G977" s="1042"/>
      <c r="H977" s="1042"/>
      <c r="I977" s="1042"/>
    </row>
    <row r="978" spans="2:9" ht="64.8" customHeight="1">
      <c r="B978" s="1042" t="s">
        <v>1299</v>
      </c>
      <c r="C978" s="1042"/>
      <c r="D978" s="1042"/>
      <c r="E978" s="1042"/>
      <c r="F978" s="1042"/>
      <c r="G978" s="1042"/>
      <c r="H978" s="1042"/>
      <c r="I978" s="1042"/>
    </row>
    <row r="979" spans="2:9" ht="64.8" customHeight="1">
      <c r="B979" s="1310" t="s">
        <v>1300</v>
      </c>
      <c r="C979" s="1310"/>
      <c r="D979" s="1310"/>
      <c r="E979" s="1310"/>
      <c r="F979" s="1310"/>
      <c r="G979" s="1310"/>
      <c r="H979" s="1310"/>
      <c r="I979" s="1310"/>
    </row>
    <row r="980" spans="2:9">
      <c r="B980" s="1052" t="s">
        <v>1301</v>
      </c>
      <c r="C980" s="1052"/>
      <c r="D980" s="1052"/>
      <c r="E980" s="1052"/>
      <c r="F980" s="1052"/>
      <c r="G980" s="1052"/>
      <c r="H980" s="1052"/>
      <c r="I980" s="1052"/>
    </row>
    <row r="981" spans="2:9" ht="46.2" customHeight="1">
      <c r="B981" s="1042" t="s">
        <v>1302</v>
      </c>
      <c r="C981" s="1042"/>
      <c r="D981" s="1042"/>
      <c r="E981" s="1042"/>
      <c r="F981" s="1042"/>
      <c r="G981" s="1042"/>
      <c r="H981" s="1042"/>
      <c r="I981" s="1042"/>
    </row>
    <row r="982" spans="2:9" ht="30" customHeight="1">
      <c r="B982" s="1052" t="s">
        <v>1303</v>
      </c>
      <c r="C982" s="1052"/>
      <c r="D982" s="1052"/>
      <c r="E982" s="1052"/>
      <c r="F982" s="1052"/>
      <c r="G982" s="1052"/>
      <c r="H982" s="1052"/>
      <c r="I982" s="1052"/>
    </row>
    <row r="983" spans="2:9" ht="86.4" customHeight="1">
      <c r="B983" s="1042" t="s">
        <v>1367</v>
      </c>
      <c r="C983" s="1042"/>
      <c r="D983" s="1042"/>
      <c r="E983" s="1042"/>
      <c r="F983" s="1042"/>
      <c r="G983" s="1042"/>
      <c r="H983" s="1042"/>
      <c r="I983" s="1042"/>
    </row>
    <row r="984" spans="2:9" ht="33.6" customHeight="1">
      <c r="B984" s="1052" t="s">
        <v>1304</v>
      </c>
      <c r="C984" s="1052"/>
      <c r="D984" s="1052"/>
      <c r="E984" s="1052"/>
      <c r="F984" s="1052"/>
      <c r="G984" s="1052"/>
      <c r="H984" s="1052"/>
      <c r="I984" s="1052"/>
    </row>
    <row r="985" spans="2:9" ht="162" customHeight="1">
      <c r="B985" s="1042" t="s">
        <v>1305</v>
      </c>
      <c r="C985" s="1042"/>
      <c r="D985" s="1042"/>
      <c r="E985" s="1042"/>
      <c r="F985" s="1042"/>
      <c r="G985" s="1042"/>
      <c r="H985" s="1042"/>
      <c r="I985" s="1042"/>
    </row>
    <row r="986" spans="2:9" ht="64.8" customHeight="1">
      <c r="B986" s="1052" t="s">
        <v>1306</v>
      </c>
      <c r="C986" s="1052"/>
      <c r="D986" s="1052"/>
      <c r="E986" s="1052"/>
      <c r="F986" s="1052"/>
      <c r="G986" s="1052"/>
      <c r="H986" s="1052"/>
      <c r="I986" s="1052"/>
    </row>
    <row r="987" spans="2:9" ht="142.19999999999999" customHeight="1">
      <c r="B987" s="1042" t="s">
        <v>1307</v>
      </c>
      <c r="C987" s="1042"/>
      <c r="D987" s="1042"/>
      <c r="E987" s="1042"/>
      <c r="F987" s="1042"/>
      <c r="G987" s="1042"/>
      <c r="H987" s="1042"/>
      <c r="I987" s="1042"/>
    </row>
    <row r="988" spans="2:9" ht="42" customHeight="1">
      <c r="B988" s="1312" t="s">
        <v>1308</v>
      </c>
      <c r="C988" s="1312"/>
      <c r="D988" s="1312"/>
      <c r="E988" s="1312"/>
      <c r="F988" s="1312"/>
      <c r="G988" s="1312"/>
      <c r="H988" s="1312"/>
      <c r="I988" s="1312"/>
    </row>
    <row r="989" spans="2:9" ht="30.6" customHeight="1">
      <c r="B989" s="1312" t="s">
        <v>1309</v>
      </c>
      <c r="C989" s="1312"/>
      <c r="D989" s="1312"/>
      <c r="E989" s="1312"/>
      <c r="F989" s="1312"/>
      <c r="G989" s="1312"/>
      <c r="H989" s="1312"/>
      <c r="I989" s="1312"/>
    </row>
    <row r="990" spans="2:9" ht="90.6" customHeight="1">
      <c r="B990" s="1042" t="s">
        <v>1310</v>
      </c>
      <c r="C990" s="1042"/>
      <c r="D990" s="1042"/>
      <c r="E990" s="1042"/>
      <c r="F990" s="1042"/>
      <c r="G990" s="1042"/>
      <c r="H990" s="1042"/>
      <c r="I990" s="1042"/>
    </row>
    <row r="991" spans="2:9" ht="45.6" customHeight="1">
      <c r="B991" s="1312" t="s">
        <v>1311</v>
      </c>
      <c r="C991" s="1312"/>
      <c r="D991" s="1312"/>
      <c r="E991" s="1312"/>
      <c r="F991" s="1312"/>
      <c r="G991" s="1312"/>
      <c r="H991" s="1312"/>
      <c r="I991" s="1312"/>
    </row>
    <row r="992" spans="2:9" ht="193.8" customHeight="1">
      <c r="B992" s="1042" t="s">
        <v>1312</v>
      </c>
      <c r="C992" s="1042"/>
      <c r="D992" s="1042"/>
      <c r="E992" s="1042"/>
      <c r="F992" s="1042"/>
      <c r="G992" s="1042"/>
      <c r="H992" s="1042"/>
      <c r="I992" s="1042"/>
    </row>
    <row r="993" spans="1:9" ht="64.2" customHeight="1">
      <c r="B993" s="1312" t="s">
        <v>1313</v>
      </c>
      <c r="C993" s="1312"/>
      <c r="D993" s="1312"/>
      <c r="E993" s="1312"/>
      <c r="F993" s="1312"/>
      <c r="G993" s="1312"/>
      <c r="H993" s="1312"/>
      <c r="I993" s="1312"/>
    </row>
    <row r="994" spans="1:9" ht="108.6" customHeight="1">
      <c r="B994" s="1042" t="s">
        <v>1314</v>
      </c>
      <c r="C994" s="1042"/>
      <c r="D994" s="1042"/>
      <c r="E994" s="1042"/>
      <c r="F994" s="1042"/>
      <c r="G994" s="1042"/>
      <c r="H994" s="1042"/>
      <c r="I994" s="1042"/>
    </row>
    <row r="995" spans="1:9" ht="39.6" customHeight="1">
      <c r="A995" s="837" t="s">
        <v>1315</v>
      </c>
      <c r="B995" s="837"/>
      <c r="C995" s="837"/>
      <c r="D995" s="837"/>
      <c r="E995" s="837"/>
      <c r="F995" s="837"/>
      <c r="G995" s="837"/>
      <c r="H995" s="837"/>
      <c r="I995" s="837"/>
    </row>
    <row r="996" spans="1:9" ht="32.4" customHeight="1">
      <c r="B996" s="1310" t="s">
        <v>1316</v>
      </c>
      <c r="C996" s="1310"/>
      <c r="D996" s="1310"/>
      <c r="E996" s="1310"/>
      <c r="F996" s="1310"/>
      <c r="G996" s="1310"/>
      <c r="H996" s="1310"/>
      <c r="I996" s="1310"/>
    </row>
    <row r="997" spans="1:9" ht="40.200000000000003" customHeight="1">
      <c r="B997" s="1042" t="s">
        <v>1317</v>
      </c>
      <c r="C997" s="1042"/>
      <c r="D997" s="1042"/>
      <c r="E997" s="1042"/>
      <c r="F997" s="1042"/>
      <c r="G997" s="1042"/>
      <c r="H997" s="1042"/>
      <c r="I997" s="1042"/>
    </row>
    <row r="998" spans="1:9" ht="32.4" customHeight="1">
      <c r="B998" s="1310" t="s">
        <v>1318</v>
      </c>
      <c r="C998" s="1310"/>
      <c r="D998" s="1310"/>
      <c r="E998" s="1310"/>
      <c r="F998" s="1310"/>
      <c r="G998" s="1310"/>
      <c r="H998" s="1310"/>
      <c r="I998" s="1310"/>
    </row>
    <row r="999" spans="1:9" ht="32.4" customHeight="1">
      <c r="B999" s="1052" t="s">
        <v>1319</v>
      </c>
      <c r="C999" s="1052"/>
      <c r="D999" s="1052"/>
      <c r="E999" s="1052"/>
      <c r="F999" s="1052"/>
      <c r="G999" s="1052"/>
      <c r="H999" s="1052"/>
      <c r="I999" s="1052"/>
    </row>
    <row r="1000" spans="1:9" ht="33.6" customHeight="1">
      <c r="B1000" s="1042" t="s">
        <v>1320</v>
      </c>
      <c r="C1000" s="1042"/>
      <c r="D1000" s="1042"/>
      <c r="E1000" s="1042"/>
      <c r="F1000" s="1042"/>
      <c r="G1000" s="1042"/>
      <c r="H1000" s="1042"/>
      <c r="I1000" s="1042"/>
    </row>
    <row r="1001" spans="1:9">
      <c r="B1001" s="1052" t="s">
        <v>1321</v>
      </c>
      <c r="C1001" s="1052"/>
      <c r="D1001" s="1052"/>
      <c r="E1001" s="1052"/>
      <c r="F1001" s="1052"/>
      <c r="G1001" s="1052"/>
      <c r="H1001" s="1052"/>
      <c r="I1001" s="1052"/>
    </row>
    <row r="1002" spans="1:9" ht="37.200000000000003" customHeight="1">
      <c r="B1002" s="1042" t="s">
        <v>1322</v>
      </c>
      <c r="C1002" s="1042"/>
      <c r="D1002" s="1042"/>
      <c r="E1002" s="1042"/>
      <c r="F1002" s="1042"/>
      <c r="G1002" s="1042"/>
      <c r="H1002" s="1042"/>
      <c r="I1002" s="1042"/>
    </row>
    <row r="1003" spans="1:9" ht="33.6" customHeight="1">
      <c r="B1003" s="1052" t="s">
        <v>1323</v>
      </c>
      <c r="C1003" s="1052"/>
      <c r="D1003" s="1052"/>
      <c r="E1003" s="1052"/>
      <c r="F1003" s="1052"/>
      <c r="G1003" s="1052"/>
      <c r="H1003" s="1052"/>
      <c r="I1003" s="1052"/>
    </row>
    <row r="1004" spans="1:9" ht="39" customHeight="1">
      <c r="B1004" s="1042" t="s">
        <v>1324</v>
      </c>
      <c r="C1004" s="1042"/>
      <c r="D1004" s="1042"/>
      <c r="E1004" s="1042"/>
      <c r="F1004" s="1042"/>
      <c r="G1004" s="1042"/>
      <c r="H1004" s="1042"/>
      <c r="I1004" s="1042"/>
    </row>
    <row r="1005" spans="1:9">
      <c r="B1005" s="1052" t="s">
        <v>1325</v>
      </c>
      <c r="C1005" s="1052"/>
      <c r="D1005" s="1052"/>
      <c r="E1005" s="1052"/>
      <c r="F1005" s="1052"/>
      <c r="G1005" s="1052"/>
      <c r="H1005" s="1052"/>
      <c r="I1005" s="1052"/>
    </row>
    <row r="1006" spans="1:9" ht="50.4" customHeight="1">
      <c r="B1006" s="1042" t="s">
        <v>1326</v>
      </c>
      <c r="C1006" s="1042"/>
      <c r="D1006" s="1042"/>
      <c r="E1006" s="1042"/>
      <c r="F1006" s="1042"/>
      <c r="G1006" s="1042"/>
      <c r="H1006" s="1042"/>
      <c r="I1006" s="1042"/>
    </row>
    <row r="1007" spans="1:9">
      <c r="B1007" s="1052" t="s">
        <v>1368</v>
      </c>
      <c r="C1007" s="1052"/>
      <c r="D1007" s="1052"/>
      <c r="E1007" s="1052"/>
      <c r="F1007" s="1052"/>
      <c r="G1007" s="1052"/>
      <c r="H1007" s="1052"/>
      <c r="I1007" s="1052"/>
    </row>
    <row r="1008" spans="1:9" ht="52.8" customHeight="1">
      <c r="B1008" s="1042" t="s">
        <v>1327</v>
      </c>
      <c r="C1008" s="1042"/>
      <c r="D1008" s="1042"/>
      <c r="E1008" s="1042"/>
      <c r="F1008" s="1042"/>
      <c r="G1008" s="1042"/>
      <c r="H1008" s="1042"/>
      <c r="I1008" s="1042"/>
    </row>
    <row r="1009" spans="2:9" ht="32.4" customHeight="1">
      <c r="B1009" s="1310" t="s">
        <v>1328</v>
      </c>
      <c r="C1009" s="1310"/>
      <c r="D1009" s="1310"/>
      <c r="E1009" s="1310"/>
      <c r="F1009" s="1310"/>
      <c r="G1009" s="1310"/>
      <c r="H1009" s="1310"/>
      <c r="I1009" s="1310"/>
    </row>
    <row r="1010" spans="2:9">
      <c r="B1010" s="1052" t="s">
        <v>1329</v>
      </c>
      <c r="C1010" s="1052"/>
      <c r="D1010" s="1052"/>
      <c r="E1010" s="1052"/>
      <c r="F1010" s="1052"/>
      <c r="G1010" s="1052"/>
      <c r="H1010" s="1052"/>
      <c r="I1010" s="1052"/>
    </row>
    <row r="1011" spans="2:9" ht="33" customHeight="1">
      <c r="B1011" s="1310" t="s">
        <v>1330</v>
      </c>
      <c r="C1011" s="1310"/>
      <c r="D1011" s="1310"/>
      <c r="E1011" s="1310"/>
      <c r="F1011" s="1310"/>
      <c r="G1011" s="1310"/>
      <c r="H1011" s="1310"/>
      <c r="I1011" s="1310"/>
    </row>
    <row r="1012" spans="2:9" ht="43.8" customHeight="1">
      <c r="B1012" s="1310" t="s">
        <v>1331</v>
      </c>
      <c r="C1012" s="1310"/>
      <c r="D1012" s="1310"/>
      <c r="E1012" s="1310"/>
      <c r="F1012" s="1310"/>
      <c r="G1012" s="1310"/>
      <c r="H1012" s="1310"/>
      <c r="I1012" s="1310"/>
    </row>
    <row r="1013" spans="2:9" ht="30.6" customHeight="1">
      <c r="B1013" s="1310" t="s">
        <v>1332</v>
      </c>
      <c r="C1013" s="1310"/>
      <c r="D1013" s="1310"/>
      <c r="E1013" s="1310"/>
      <c r="F1013" s="1310"/>
      <c r="G1013" s="1310"/>
      <c r="H1013" s="1310"/>
      <c r="I1013" s="1310"/>
    </row>
    <row r="1014" spans="2:9" ht="34.200000000000003" customHeight="1">
      <c r="B1014" s="1310" t="s">
        <v>1333</v>
      </c>
      <c r="C1014" s="1310"/>
      <c r="D1014" s="1310"/>
      <c r="E1014" s="1310"/>
      <c r="F1014" s="1310"/>
      <c r="G1014" s="1310"/>
      <c r="H1014" s="1310"/>
      <c r="I1014" s="1310"/>
    </row>
    <row r="1015" spans="2:9" ht="37.799999999999997" customHeight="1">
      <c r="B1015" s="1310" t="s">
        <v>1334</v>
      </c>
      <c r="C1015" s="1310"/>
      <c r="D1015" s="1310"/>
      <c r="E1015" s="1310"/>
      <c r="F1015" s="1310"/>
      <c r="G1015" s="1310"/>
      <c r="H1015" s="1310"/>
      <c r="I1015" s="1310"/>
    </row>
    <row r="1016" spans="2:9">
      <c r="B1016" s="1052" t="s">
        <v>1335</v>
      </c>
      <c r="C1016" s="1052"/>
      <c r="D1016" s="1052"/>
      <c r="E1016" s="1052"/>
      <c r="F1016" s="1052"/>
      <c r="G1016" s="1052"/>
      <c r="H1016" s="1052"/>
      <c r="I1016" s="1052"/>
    </row>
    <row r="1017" spans="2:9" ht="46.8" customHeight="1">
      <c r="B1017" s="1310" t="s">
        <v>1336</v>
      </c>
      <c r="C1017" s="1310"/>
      <c r="D1017" s="1310"/>
      <c r="E1017" s="1310"/>
      <c r="F1017" s="1310"/>
      <c r="G1017" s="1310"/>
      <c r="H1017" s="1310"/>
      <c r="I1017" s="1310"/>
    </row>
    <row r="1018" spans="2:9" ht="46.8" customHeight="1">
      <c r="B1018" s="1310" t="s">
        <v>1337</v>
      </c>
      <c r="C1018" s="1310"/>
      <c r="D1018" s="1310"/>
      <c r="E1018" s="1310"/>
      <c r="F1018" s="1310"/>
      <c r="G1018" s="1310"/>
      <c r="H1018" s="1310"/>
      <c r="I1018" s="1310"/>
    </row>
    <row r="1019" spans="2:9" ht="30" customHeight="1">
      <c r="B1019" s="1310" t="s">
        <v>1338</v>
      </c>
      <c r="C1019" s="1310"/>
      <c r="D1019" s="1310"/>
      <c r="E1019" s="1310"/>
      <c r="F1019" s="1310"/>
      <c r="G1019" s="1310"/>
      <c r="H1019" s="1310"/>
      <c r="I1019" s="1310"/>
    </row>
    <row r="1020" spans="2:9" ht="23.4" customHeight="1">
      <c r="B1020" s="1310" t="s">
        <v>1339</v>
      </c>
      <c r="C1020" s="1310"/>
      <c r="D1020" s="1310"/>
      <c r="E1020" s="1310"/>
      <c r="F1020" s="1310"/>
      <c r="G1020" s="1310"/>
      <c r="H1020" s="1310"/>
      <c r="I1020" s="1310"/>
    </row>
    <row r="1021" spans="2:9">
      <c r="B1021" s="1052" t="s">
        <v>1340</v>
      </c>
      <c r="C1021" s="1052"/>
      <c r="D1021" s="1052"/>
      <c r="E1021" s="1052"/>
      <c r="F1021" s="1052"/>
      <c r="G1021" s="1052"/>
      <c r="H1021" s="1052"/>
      <c r="I1021" s="1052"/>
    </row>
    <row r="1022" spans="2:9" ht="16.8" customHeight="1">
      <c r="B1022" s="1310" t="s">
        <v>1341</v>
      </c>
      <c r="C1022" s="1310"/>
      <c r="D1022" s="1310"/>
      <c r="E1022" s="1310"/>
      <c r="F1022" s="1310"/>
      <c r="G1022" s="1310"/>
      <c r="H1022" s="1310"/>
      <c r="I1022" s="1310"/>
    </row>
    <row r="1023" spans="2:9" ht="21.6" customHeight="1">
      <c r="B1023" s="1310" t="s">
        <v>1342</v>
      </c>
      <c r="C1023" s="1310"/>
      <c r="D1023" s="1310"/>
      <c r="E1023" s="1310"/>
      <c r="F1023" s="1310"/>
      <c r="G1023" s="1310"/>
      <c r="H1023" s="1310"/>
      <c r="I1023" s="1310"/>
    </row>
    <row r="1024" spans="2:9" ht="28.2" customHeight="1">
      <c r="B1024" s="1310" t="s">
        <v>1343</v>
      </c>
      <c r="C1024" s="1310"/>
      <c r="D1024" s="1310"/>
      <c r="E1024" s="1310"/>
      <c r="F1024" s="1310"/>
      <c r="G1024" s="1310"/>
      <c r="H1024" s="1310"/>
      <c r="I1024" s="1310"/>
    </row>
    <row r="1025" spans="1:9" ht="15" customHeight="1">
      <c r="A1025" s="682" t="s">
        <v>1344</v>
      </c>
      <c r="B1025" s="670"/>
      <c r="C1025" s="670"/>
      <c r="D1025" s="670"/>
      <c r="E1025" s="670"/>
      <c r="F1025" s="670"/>
      <c r="G1025" s="670"/>
      <c r="H1025" s="670"/>
      <c r="I1025" s="670"/>
    </row>
    <row r="1026" spans="1:9">
      <c r="B1026" s="1310" t="s">
        <v>1345</v>
      </c>
      <c r="C1026" s="1310"/>
      <c r="D1026" s="1310"/>
      <c r="E1026" s="1310"/>
      <c r="F1026" s="1310"/>
      <c r="G1026" s="1310"/>
      <c r="H1026" s="1310"/>
      <c r="I1026" s="1310"/>
    </row>
    <row r="1027" spans="1:9">
      <c r="B1027" s="1304" t="s">
        <v>1373</v>
      </c>
      <c r="C1027" s="1098"/>
      <c r="D1027" s="1098"/>
      <c r="E1027" s="1098"/>
      <c r="F1027" s="1098"/>
      <c r="G1027" s="1098"/>
      <c r="H1027" s="1098"/>
      <c r="I1027" s="1305"/>
    </row>
    <row r="1028" spans="1:9">
      <c r="B1028" s="955" t="s">
        <v>1372</v>
      </c>
      <c r="C1028" s="674" t="s">
        <v>417</v>
      </c>
      <c r="D1028" s="387" t="s">
        <v>418</v>
      </c>
      <c r="E1028" s="947" t="s">
        <v>419</v>
      </c>
      <c r="F1028" s="947"/>
      <c r="G1028" s="675" t="s">
        <v>420</v>
      </c>
      <c r="H1028" s="1315" t="s">
        <v>1346</v>
      </c>
      <c r="I1028" s="1315"/>
    </row>
    <row r="1029" spans="1:9" ht="30" customHeight="1">
      <c r="B1029" s="955"/>
      <c r="C1029" s="925" t="s">
        <v>1370</v>
      </c>
      <c r="D1029" s="925"/>
      <c r="E1029" s="948">
        <f>(營運財務規劃預測!F4+營運財務規劃預測!F6-營運財務規劃預測!F35-營運財務規劃預測!F43-營運財務規劃預測!F51)/12/1000</f>
        <v>21.748279166666673</v>
      </c>
      <c r="F1029" s="949"/>
      <c r="G1029" s="680">
        <f>G1031/12</f>
        <v>71.748279166666677</v>
      </c>
      <c r="H1029" s="1316">
        <f>H1031/12</f>
        <v>121.74827916666668</v>
      </c>
      <c r="I1029" s="1316"/>
    </row>
    <row r="1030" spans="1:9" ht="30.6" customHeight="1">
      <c r="B1030" s="955"/>
      <c r="C1030" s="925" t="s">
        <v>1371</v>
      </c>
      <c r="D1030" s="925"/>
      <c r="E1030" s="948">
        <f>(營運財務規劃預測!F4+營運財務規劃預測!F6)/12/1000</f>
        <v>415</v>
      </c>
      <c r="F1030" s="949"/>
      <c r="G1030" s="680">
        <f>E1030+60</f>
        <v>475</v>
      </c>
      <c r="H1030" s="1316">
        <f>G1030+60</f>
        <v>535</v>
      </c>
      <c r="I1030" s="1316"/>
    </row>
    <row r="1031" spans="1:9" ht="45.6" customHeight="1">
      <c r="B1031" s="955"/>
      <c r="C1031" s="925" t="s">
        <v>423</v>
      </c>
      <c r="D1031" s="925"/>
      <c r="E1031" s="948">
        <f>(營運財務規劃預測!F4+營運財務規劃預測!F6-營運財務規劃預測!F35-營運財務規劃預測!F43-營運財務規劃預測!F51)/1000</f>
        <v>260.97935000000007</v>
      </c>
      <c r="F1031" s="949"/>
      <c r="G1031" s="680">
        <f>E1031+600</f>
        <v>860.97935000000007</v>
      </c>
      <c r="H1031" s="1316">
        <f>G1031+600</f>
        <v>1460.9793500000001</v>
      </c>
      <c r="I1031" s="1316"/>
    </row>
    <row r="1032" spans="1:9">
      <c r="B1032" s="390"/>
      <c r="C1032" s="925" t="s">
        <v>424</v>
      </c>
      <c r="D1032" s="925"/>
      <c r="E1032" s="950" t="s">
        <v>425</v>
      </c>
      <c r="F1032" s="950"/>
      <c r="G1032" s="677">
        <v>6.9000000000000006E-2</v>
      </c>
      <c r="H1032" s="1317">
        <v>0.23699999999999999</v>
      </c>
      <c r="I1032" s="1317"/>
    </row>
    <row r="1033" spans="1:9" ht="47.4" customHeight="1">
      <c r="B1033" s="1313" t="s">
        <v>426</v>
      </c>
      <c r="C1033" s="925" t="s">
        <v>427</v>
      </c>
      <c r="D1033" s="925"/>
      <c r="E1033" s="951" t="s">
        <v>428</v>
      </c>
      <c r="F1033" s="951"/>
      <c r="G1033" s="958" t="s">
        <v>429</v>
      </c>
      <c r="H1033" s="960" t="s">
        <v>430</v>
      </c>
      <c r="I1033" s="961"/>
    </row>
    <row r="1034" spans="1:9" ht="16.8" customHeight="1">
      <c r="B1034" s="1313"/>
      <c r="C1034" s="925"/>
      <c r="D1034" s="925"/>
      <c r="E1034" s="951" t="s">
        <v>1347</v>
      </c>
      <c r="F1034" s="951"/>
      <c r="G1034" s="959"/>
      <c r="H1034" s="962"/>
      <c r="I1034" s="963"/>
    </row>
    <row r="1035" spans="1:9" ht="16.8" customHeight="1">
      <c r="B1035" s="1313"/>
      <c r="C1035" s="925" t="s">
        <v>431</v>
      </c>
      <c r="D1035" s="925"/>
      <c r="E1035" s="952">
        <v>0.02</v>
      </c>
      <c r="F1035" s="952"/>
      <c r="G1035" s="678">
        <v>0.04</v>
      </c>
      <c r="H1035" s="952">
        <v>0.1</v>
      </c>
      <c r="I1035" s="952"/>
    </row>
    <row r="1036" spans="1:9" ht="16.2" customHeight="1">
      <c r="B1036" s="1313"/>
      <c r="C1036" s="924" t="s">
        <v>432</v>
      </c>
      <c r="D1036" s="924"/>
      <c r="E1036" s="964">
        <f>計畫架構圖表!F106</f>
        <v>3762.0520000000001</v>
      </c>
      <c r="F1036" s="965"/>
      <c r="G1036" s="968">
        <v>0</v>
      </c>
      <c r="H1036" s="970">
        <v>0</v>
      </c>
      <c r="I1036" s="971"/>
    </row>
    <row r="1037" spans="1:9" ht="16.2" customHeight="1">
      <c r="B1037" s="1313"/>
      <c r="C1037" s="924"/>
      <c r="D1037" s="924"/>
      <c r="E1037" s="966"/>
      <c r="F1037" s="967"/>
      <c r="G1037" s="969"/>
      <c r="H1037" s="972"/>
      <c r="I1037" s="973"/>
    </row>
    <row r="1038" spans="1:9" ht="16.8" customHeight="1">
      <c r="B1038" s="1313"/>
      <c r="C1038" s="925" t="s">
        <v>433</v>
      </c>
      <c r="D1038" s="925"/>
      <c r="E1038" s="1318">
        <f>計畫架構圖表!T102</f>
        <v>736.90000000000009</v>
      </c>
      <c r="F1038" s="974"/>
      <c r="G1038" s="679">
        <v>0</v>
      </c>
      <c r="H1038" s="974">
        <v>0</v>
      </c>
      <c r="I1038" s="974"/>
    </row>
    <row r="1039" spans="1:9">
      <c r="B1039" s="1313"/>
      <c r="C1039" s="925" t="s">
        <v>434</v>
      </c>
      <c r="D1039" s="925"/>
      <c r="E1039" s="923">
        <v>0</v>
      </c>
      <c r="F1039" s="923"/>
      <c r="G1039" s="676">
        <v>300</v>
      </c>
      <c r="H1039" s="923">
        <v>360</v>
      </c>
      <c r="I1039" s="923"/>
    </row>
    <row r="1040" spans="1:9" ht="16.2" customHeight="1">
      <c r="B1040" s="1313"/>
      <c r="C1040" s="926" t="s">
        <v>435</v>
      </c>
      <c r="D1040" s="926"/>
      <c r="E1040" s="923" t="s">
        <v>436</v>
      </c>
      <c r="F1040" s="923"/>
      <c r="G1040" s="676" t="s">
        <v>437</v>
      </c>
      <c r="H1040" s="923" t="s">
        <v>438</v>
      </c>
      <c r="I1040" s="923"/>
    </row>
    <row r="1041" spans="1:9">
      <c r="B1041" s="1313"/>
      <c r="C1041" s="927"/>
      <c r="D1041" s="927"/>
      <c r="E1041" s="923"/>
      <c r="F1041" s="923"/>
      <c r="G1041" s="676"/>
      <c r="H1041" s="923"/>
      <c r="I1041" s="923"/>
    </row>
    <row r="1042" spans="1:9">
      <c r="B1042" s="1313" t="s">
        <v>439</v>
      </c>
      <c r="C1042" s="926" t="s">
        <v>440</v>
      </c>
      <c r="D1042" s="926"/>
      <c r="E1042" s="923">
        <v>2</v>
      </c>
      <c r="F1042" s="923"/>
      <c r="G1042" s="676"/>
      <c r="H1042" s="923"/>
      <c r="I1042" s="923"/>
    </row>
    <row r="1043" spans="1:9">
      <c r="B1043" s="1313"/>
      <c r="C1043" s="926" t="s">
        <v>441</v>
      </c>
      <c r="D1043" s="926"/>
      <c r="E1043" s="923"/>
      <c r="F1043" s="923"/>
      <c r="G1043" s="676"/>
      <c r="H1043" s="923"/>
      <c r="I1043" s="923"/>
    </row>
    <row r="1044" spans="1:9">
      <c r="B1044" s="1313"/>
      <c r="C1044" s="926" t="s">
        <v>442</v>
      </c>
      <c r="D1044" s="926"/>
      <c r="E1044" s="923" t="s">
        <v>443</v>
      </c>
      <c r="F1044" s="923"/>
      <c r="G1044" s="676" t="s">
        <v>1374</v>
      </c>
      <c r="H1044" s="923" t="s">
        <v>444</v>
      </c>
      <c r="I1044" s="923"/>
    </row>
    <row r="1045" spans="1:9">
      <c r="B1045" s="1313" t="s">
        <v>445</v>
      </c>
      <c r="C1045" s="926" t="s">
        <v>446</v>
      </c>
      <c r="D1045" s="926"/>
      <c r="E1045" s="923" t="s">
        <v>447</v>
      </c>
      <c r="F1045" s="923"/>
      <c r="G1045" s="676" t="s">
        <v>448</v>
      </c>
      <c r="H1045" s="923" t="s">
        <v>449</v>
      </c>
      <c r="I1045" s="923"/>
    </row>
    <row r="1046" spans="1:9">
      <c r="B1046" s="1313"/>
      <c r="C1046" s="926" t="s">
        <v>450</v>
      </c>
      <c r="D1046" s="926"/>
      <c r="E1046" s="923">
        <v>1</v>
      </c>
      <c r="F1046" s="923"/>
      <c r="G1046" s="676">
        <v>1</v>
      </c>
      <c r="H1046" s="923">
        <v>1</v>
      </c>
      <c r="I1046" s="923"/>
    </row>
    <row r="1047" spans="1:9">
      <c r="B1047" s="1313"/>
      <c r="C1047" s="926" t="s">
        <v>451</v>
      </c>
      <c r="D1047" s="926"/>
      <c r="E1047" s="923" t="s">
        <v>452</v>
      </c>
      <c r="F1047" s="923"/>
      <c r="G1047" s="676" t="s">
        <v>453</v>
      </c>
      <c r="H1047" s="923" t="s">
        <v>454</v>
      </c>
      <c r="I1047" s="923"/>
    </row>
    <row r="1048" spans="1:9">
      <c r="B1048" s="1313" t="s">
        <v>455</v>
      </c>
      <c r="C1048" s="926" t="s">
        <v>456</v>
      </c>
      <c r="D1048" s="926"/>
      <c r="E1048" s="923">
        <v>1</v>
      </c>
      <c r="F1048" s="923"/>
      <c r="G1048" s="676">
        <v>1</v>
      </c>
      <c r="H1048" s="923">
        <v>1</v>
      </c>
      <c r="I1048" s="923"/>
    </row>
    <row r="1049" spans="1:9">
      <c r="B1049" s="1313"/>
      <c r="C1049" s="1314" t="s">
        <v>457</v>
      </c>
      <c r="D1049" s="1314"/>
      <c r="E1049" s="923">
        <v>1</v>
      </c>
      <c r="F1049" s="923"/>
      <c r="G1049" s="676">
        <v>1</v>
      </c>
      <c r="H1049" s="923">
        <v>2</v>
      </c>
      <c r="I1049" s="923"/>
    </row>
    <row r="1050" spans="1:9" ht="127.8" customHeight="1">
      <c r="B1050" s="955" t="s">
        <v>458</v>
      </c>
      <c r="C1050" s="955" t="s">
        <v>1348</v>
      </c>
      <c r="D1050" s="955"/>
      <c r="E1050" s="955"/>
      <c r="F1050" s="955"/>
      <c r="G1050" s="955"/>
      <c r="H1050" s="955"/>
      <c r="I1050" s="955"/>
    </row>
    <row r="1051" spans="1:9" ht="53.4" customHeight="1">
      <c r="B1051" s="955"/>
      <c r="C1051" s="956" t="s">
        <v>1349</v>
      </c>
      <c r="D1051" s="956"/>
      <c r="E1051" s="956"/>
      <c r="F1051" s="956"/>
      <c r="G1051" s="956"/>
      <c r="H1051" s="956"/>
      <c r="I1051" s="956"/>
    </row>
    <row r="1052" spans="1:9" ht="51" customHeight="1">
      <c r="B1052" s="957" t="s">
        <v>1369</v>
      </c>
      <c r="C1052" s="957"/>
      <c r="D1052" s="957"/>
      <c r="E1052" s="957"/>
      <c r="F1052" s="957"/>
      <c r="G1052" s="957"/>
      <c r="H1052" s="957"/>
      <c r="I1052" s="957"/>
    </row>
    <row r="1054" spans="1:9" ht="19.8">
      <c r="A1054" s="834" t="s">
        <v>1375</v>
      </c>
      <c r="B1054" s="834"/>
      <c r="C1054" s="834"/>
      <c r="D1054" s="834"/>
      <c r="E1054" s="834"/>
    </row>
    <row r="1055" spans="1:9">
      <c r="A1055" s="681" t="s">
        <v>1376</v>
      </c>
      <c r="B1055" s="681"/>
      <c r="C1055" s="681"/>
      <c r="D1055" s="681"/>
    </row>
    <row r="1056" spans="1:9" ht="50.4" customHeight="1">
      <c r="A1056" s="656"/>
    </row>
    <row r="1057" spans="1:8">
      <c r="A1057" s="953" t="s">
        <v>1377</v>
      </c>
      <c r="B1057" s="953"/>
      <c r="C1057" s="953"/>
      <c r="D1057" s="953"/>
    </row>
    <row r="1060" spans="1:8" ht="19.8">
      <c r="A1060" s="834" t="s">
        <v>1378</v>
      </c>
      <c r="B1060" s="834"/>
      <c r="C1060" s="834"/>
    </row>
    <row r="1061" spans="1:8">
      <c r="A1061" s="681" t="s">
        <v>1379</v>
      </c>
      <c r="B1061" s="681"/>
      <c r="C1061" s="681"/>
    </row>
    <row r="1062" spans="1:8">
      <c r="A1062" s="525"/>
      <c r="B1062" s="683" t="s">
        <v>1380</v>
      </c>
      <c r="C1062" s="525"/>
    </row>
    <row r="1063" spans="1:8">
      <c r="A1063" s="681" t="s">
        <v>1381</v>
      </c>
      <c r="B1063" s="681"/>
      <c r="C1063" s="681"/>
    </row>
    <row r="1064" spans="1:8" ht="16.8" thickBot="1">
      <c r="B1064" s="954" t="s">
        <v>1382</v>
      </c>
      <c r="C1064" s="954"/>
      <c r="D1064" s="954"/>
    </row>
    <row r="1065" spans="1:8" ht="16.95" customHeight="1">
      <c r="B1065" s="928" t="s">
        <v>1383</v>
      </c>
      <c r="C1065" s="931" t="s">
        <v>1384</v>
      </c>
      <c r="D1065" s="945" t="s">
        <v>1385</v>
      </c>
      <c r="E1065" s="945"/>
      <c r="F1065" s="945"/>
      <c r="G1065" s="945"/>
      <c r="H1065" s="934" t="s">
        <v>1388</v>
      </c>
    </row>
    <row r="1066" spans="1:8" ht="16.95" customHeight="1">
      <c r="B1066" s="929"/>
      <c r="C1066" s="932"/>
      <c r="D1066" s="917" t="s">
        <v>1386</v>
      </c>
      <c r="E1066" s="917"/>
      <c r="F1066" s="917"/>
      <c r="G1066" s="917"/>
      <c r="H1066" s="935"/>
    </row>
    <row r="1067" spans="1:8" ht="16.95" customHeight="1" thickBot="1">
      <c r="B1067" s="930"/>
      <c r="C1067" s="933"/>
      <c r="D1067" s="946" t="s">
        <v>1387</v>
      </c>
      <c r="E1067" s="946"/>
      <c r="F1067" s="946"/>
      <c r="G1067" s="946"/>
      <c r="H1067" s="936"/>
    </row>
    <row r="1068" spans="1:8" ht="16.95" customHeight="1">
      <c r="B1068" s="937"/>
      <c r="C1068" s="684" t="s">
        <v>1389</v>
      </c>
      <c r="D1068" s="917" t="s">
        <v>1393</v>
      </c>
      <c r="E1068" s="917"/>
      <c r="F1068" s="917"/>
      <c r="G1068" s="917"/>
      <c r="H1068" s="685" t="s">
        <v>1424</v>
      </c>
    </row>
    <row r="1069" spans="1:8" ht="16.95" customHeight="1">
      <c r="B1069" s="929"/>
      <c r="C1069" s="672"/>
      <c r="D1069" s="917" t="s">
        <v>1394</v>
      </c>
      <c r="E1069" s="917"/>
      <c r="F1069" s="917"/>
      <c r="G1069" s="917"/>
      <c r="H1069" s="686" t="s">
        <v>1424</v>
      </c>
    </row>
    <row r="1070" spans="1:8" ht="16.95" customHeight="1">
      <c r="B1070" s="929"/>
      <c r="C1070" s="672"/>
      <c r="D1070" s="917" t="s">
        <v>1395</v>
      </c>
      <c r="E1070" s="917"/>
      <c r="F1070" s="917"/>
      <c r="G1070" s="917"/>
      <c r="H1070" s="686" t="s">
        <v>1416</v>
      </c>
    </row>
    <row r="1071" spans="1:8" ht="16.95" customHeight="1">
      <c r="B1071" s="929"/>
      <c r="C1071" s="672"/>
      <c r="D1071" s="917" t="s">
        <v>1396</v>
      </c>
      <c r="E1071" s="917"/>
      <c r="F1071" s="917"/>
      <c r="G1071" s="917"/>
      <c r="H1071" s="686" t="s">
        <v>1417</v>
      </c>
    </row>
    <row r="1072" spans="1:8" ht="16.95" customHeight="1">
      <c r="B1072" s="929"/>
      <c r="C1072" s="672"/>
      <c r="D1072" s="917" t="s">
        <v>1397</v>
      </c>
      <c r="E1072" s="917"/>
      <c r="F1072" s="917"/>
      <c r="G1072" s="917"/>
      <c r="H1072" s="686" t="s">
        <v>1416</v>
      </c>
    </row>
    <row r="1073" spans="2:8" ht="16.95" customHeight="1">
      <c r="B1073" s="929"/>
      <c r="C1073" s="672"/>
      <c r="D1073" s="917" t="s">
        <v>1398</v>
      </c>
      <c r="E1073" s="917"/>
      <c r="F1073" s="917"/>
      <c r="G1073" s="917"/>
      <c r="H1073" s="686" t="s">
        <v>1417</v>
      </c>
    </row>
    <row r="1074" spans="2:8" ht="38.4" customHeight="1">
      <c r="B1074" s="929"/>
      <c r="C1074" s="672"/>
      <c r="D1074" s="917" t="s">
        <v>1399</v>
      </c>
      <c r="E1074" s="917"/>
      <c r="F1074" s="917"/>
      <c r="G1074" s="917"/>
      <c r="H1074" s="686" t="s">
        <v>1415</v>
      </c>
    </row>
    <row r="1075" spans="2:8" ht="16.95" customHeight="1">
      <c r="B1075" s="929"/>
      <c r="C1075" s="672"/>
      <c r="D1075" s="917"/>
      <c r="E1075" s="917"/>
      <c r="F1075" s="917"/>
      <c r="G1075" s="917"/>
      <c r="H1075" s="686"/>
    </row>
    <row r="1076" spans="2:8" ht="16.95" customHeight="1">
      <c r="B1076" s="929"/>
      <c r="C1076" s="672" t="s">
        <v>1390</v>
      </c>
      <c r="D1076" s="917" t="s">
        <v>1400</v>
      </c>
      <c r="E1076" s="917"/>
      <c r="F1076" s="917"/>
      <c r="G1076" s="917"/>
      <c r="H1076" s="686" t="s">
        <v>1416</v>
      </c>
    </row>
    <row r="1077" spans="2:8" ht="16.95" customHeight="1">
      <c r="B1077" s="929"/>
      <c r="D1077" s="917" t="s">
        <v>1401</v>
      </c>
      <c r="E1077" s="917"/>
      <c r="F1077" s="917"/>
      <c r="G1077" s="917"/>
      <c r="H1077" s="686" t="s">
        <v>1416</v>
      </c>
    </row>
    <row r="1078" spans="2:8" ht="16.95" customHeight="1">
      <c r="B1078" s="929"/>
      <c r="C1078" s="672"/>
      <c r="D1078" s="917" t="s">
        <v>1402</v>
      </c>
      <c r="E1078" s="917"/>
      <c r="F1078" s="917"/>
      <c r="G1078" s="917"/>
      <c r="H1078" s="686" t="s">
        <v>1415</v>
      </c>
    </row>
    <row r="1079" spans="2:8" ht="52.2" customHeight="1">
      <c r="B1079" s="929"/>
      <c r="C1079" s="672"/>
      <c r="D1079" s="917" t="s">
        <v>1403</v>
      </c>
      <c r="E1079" s="917"/>
      <c r="F1079" s="917"/>
      <c r="G1079" s="917"/>
      <c r="H1079" s="686" t="s">
        <v>1416</v>
      </c>
    </row>
    <row r="1080" spans="2:8" ht="69" customHeight="1">
      <c r="B1080" s="929"/>
      <c r="C1080" s="672"/>
      <c r="D1080" s="917" t="s">
        <v>1404</v>
      </c>
      <c r="E1080" s="917"/>
      <c r="F1080" s="917"/>
      <c r="G1080" s="917"/>
      <c r="H1080" s="686"/>
    </row>
    <row r="1081" spans="2:8" ht="35.4" customHeight="1">
      <c r="B1081" s="929"/>
      <c r="C1081" s="672"/>
      <c r="D1081" s="917" t="s">
        <v>1405</v>
      </c>
      <c r="E1081" s="917"/>
      <c r="F1081" s="917"/>
      <c r="G1081" s="917"/>
      <c r="H1081" s="686"/>
    </row>
    <row r="1082" spans="2:8" ht="43.2" customHeight="1">
      <c r="B1082" s="929"/>
      <c r="C1082" s="672"/>
      <c r="D1082" s="917" t="s">
        <v>1406</v>
      </c>
      <c r="E1082" s="917"/>
      <c r="F1082" s="917"/>
      <c r="G1082" s="917"/>
      <c r="H1082" s="686" t="s">
        <v>1421</v>
      </c>
    </row>
    <row r="1083" spans="2:8" ht="16.95" customHeight="1" thickBot="1">
      <c r="B1083" s="929"/>
      <c r="C1083" s="672"/>
      <c r="D1083" s="917"/>
      <c r="E1083" s="917"/>
      <c r="F1083" s="917"/>
      <c r="G1083" s="917"/>
      <c r="H1083" s="686"/>
    </row>
    <row r="1084" spans="2:8" ht="35.4" customHeight="1" thickBot="1">
      <c r="B1084" s="938"/>
      <c r="C1084" s="687" t="s">
        <v>1391</v>
      </c>
      <c r="D1084" s="922" t="s">
        <v>1407</v>
      </c>
      <c r="E1084" s="917"/>
      <c r="F1084" s="917"/>
      <c r="G1084" s="917"/>
      <c r="H1084" s="686"/>
    </row>
    <row r="1085" spans="2:8" ht="16.95" customHeight="1">
      <c r="B1085" s="929"/>
      <c r="C1085" s="672"/>
      <c r="D1085" s="917" t="s">
        <v>1408</v>
      </c>
      <c r="E1085" s="917"/>
      <c r="F1085" s="917"/>
      <c r="G1085" s="917"/>
      <c r="H1085" s="686" t="s">
        <v>1422</v>
      </c>
    </row>
    <row r="1086" spans="2:8" ht="45.6" customHeight="1">
      <c r="B1086" s="929"/>
      <c r="C1086" s="672"/>
      <c r="D1086" s="917" t="s">
        <v>1409</v>
      </c>
      <c r="E1086" s="917"/>
      <c r="F1086" s="917"/>
      <c r="G1086" s="917"/>
      <c r="H1086" s="686" t="s">
        <v>1423</v>
      </c>
    </row>
    <row r="1087" spans="2:8" ht="41.4" customHeight="1">
      <c r="B1087" s="929"/>
      <c r="C1087" s="672"/>
      <c r="D1087" s="917" t="s">
        <v>1410</v>
      </c>
      <c r="E1087" s="917"/>
      <c r="F1087" s="917"/>
      <c r="G1087" s="917"/>
      <c r="H1087" s="686" t="s">
        <v>1422</v>
      </c>
    </row>
    <row r="1088" spans="2:8" ht="16.95" customHeight="1">
      <c r="B1088" s="929"/>
      <c r="C1088" s="672"/>
      <c r="D1088" s="917"/>
      <c r="E1088" s="917"/>
      <c r="F1088" s="917"/>
      <c r="G1088" s="917"/>
      <c r="H1088" s="686"/>
    </row>
    <row r="1089" spans="1:17" ht="16.95" customHeight="1" thickBot="1">
      <c r="B1089" s="929"/>
      <c r="C1089" s="672"/>
      <c r="D1089" s="917"/>
      <c r="E1089" s="917"/>
      <c r="F1089" s="917"/>
      <c r="G1089" s="917"/>
      <c r="H1089" s="686"/>
    </row>
    <row r="1090" spans="1:17" ht="15" customHeight="1" thickBot="1">
      <c r="B1090" s="938"/>
      <c r="C1090" s="687" t="s">
        <v>1392</v>
      </c>
      <c r="D1090" s="922" t="s">
        <v>1411</v>
      </c>
      <c r="E1090" s="917"/>
      <c r="F1090" s="917"/>
      <c r="G1090" s="917"/>
      <c r="H1090" s="686" t="s">
        <v>1420</v>
      </c>
    </row>
    <row r="1091" spans="1:17" ht="37.200000000000003" customHeight="1">
      <c r="B1091" s="929"/>
      <c r="C1091" s="672"/>
      <c r="D1091" s="917" t="s">
        <v>1412</v>
      </c>
      <c r="E1091" s="917"/>
      <c r="F1091" s="917"/>
      <c r="G1091" s="917"/>
      <c r="H1091" s="686"/>
    </row>
    <row r="1092" spans="1:17" ht="27.6" customHeight="1">
      <c r="B1092" s="929"/>
      <c r="D1092" s="917" t="s">
        <v>1413</v>
      </c>
      <c r="E1092" s="917"/>
      <c r="F1092" s="917"/>
      <c r="G1092" s="917"/>
      <c r="H1092" s="686"/>
    </row>
    <row r="1093" spans="1:17" ht="35.4" customHeight="1" thickBot="1">
      <c r="B1093" s="929"/>
      <c r="C1093" s="672"/>
      <c r="D1093" s="917" t="s">
        <v>1414</v>
      </c>
      <c r="E1093" s="917"/>
      <c r="F1093" s="917"/>
      <c r="G1093" s="917"/>
      <c r="H1093" s="686"/>
    </row>
    <row r="1094" spans="1:17" ht="16.95" customHeight="1">
      <c r="B1094" s="939"/>
      <c r="C1094" s="941" t="s">
        <v>1418</v>
      </c>
      <c r="D1094" s="918" t="s">
        <v>1419</v>
      </c>
      <c r="E1094" s="918"/>
      <c r="F1094" s="918"/>
      <c r="G1094" s="919"/>
      <c r="H1094" s="943"/>
    </row>
    <row r="1095" spans="1:17" ht="16.95" customHeight="1" thickBot="1">
      <c r="B1095" s="940"/>
      <c r="C1095" s="942"/>
      <c r="D1095" s="920"/>
      <c r="E1095" s="920"/>
      <c r="F1095" s="920"/>
      <c r="G1095" s="921"/>
      <c r="H1095" s="944"/>
    </row>
    <row r="1097" spans="1:17" ht="19.8">
      <c r="B1097" s="834" t="s">
        <v>1425</v>
      </c>
      <c r="C1097" s="834"/>
      <c r="D1097" s="834"/>
      <c r="E1097" s="834"/>
      <c r="F1097"/>
      <c r="G1097"/>
      <c r="H1097"/>
      <c r="I1097"/>
      <c r="J1097"/>
      <c r="K1097"/>
      <c r="L1097"/>
      <c r="M1097"/>
      <c r="N1097"/>
      <c r="O1097"/>
      <c r="P1097"/>
      <c r="Q1097"/>
    </row>
    <row r="1098" spans="1:17">
      <c r="B1098" s="835" t="s">
        <v>1426</v>
      </c>
      <c r="C1098" s="835"/>
      <c r="D1098" s="835"/>
      <c r="E1098"/>
      <c r="F1098"/>
      <c r="G1098"/>
      <c r="H1098"/>
      <c r="I1098"/>
      <c r="J1098"/>
      <c r="K1098"/>
      <c r="L1098"/>
      <c r="M1098"/>
      <c r="N1098"/>
      <c r="O1098"/>
      <c r="P1098"/>
      <c r="Q1098"/>
    </row>
    <row r="1099" spans="1:17" ht="16.8" thickBot="1">
      <c r="A1099" s="836" t="s">
        <v>1427</v>
      </c>
      <c r="B1099" s="836"/>
      <c r="C1099" s="836"/>
      <c r="D1099" s="836"/>
      <c r="E1099" s="836"/>
      <c r="F1099" s="836"/>
      <c r="G1099" s="836"/>
      <c r="H1099" s="836"/>
      <c r="I1099"/>
      <c r="J1099"/>
      <c r="K1099"/>
      <c r="L1099"/>
      <c r="M1099"/>
      <c r="N1099"/>
      <c r="O1099"/>
      <c r="P1099"/>
      <c r="Q1099"/>
    </row>
    <row r="1100" spans="1:17" ht="52.2" customHeight="1" thickBot="1">
      <c r="B1100" s="702" t="s">
        <v>1428</v>
      </c>
      <c r="C1100" s="856" t="s">
        <v>1429</v>
      </c>
      <c r="D1100" s="857"/>
      <c r="E1100" s="857"/>
      <c r="F1100" s="857"/>
      <c r="G1100" s="857"/>
      <c r="H1100" s="858"/>
    </row>
    <row r="1101" spans="1:17" ht="53.4" customHeight="1" thickBot="1">
      <c r="B1101" s="704"/>
      <c r="C1101" s="856" t="s">
        <v>1430</v>
      </c>
      <c r="D1101" s="857"/>
      <c r="E1101" s="857"/>
      <c r="F1101" s="858"/>
      <c r="G1101" s="429" t="s">
        <v>1431</v>
      </c>
      <c r="H1101" s="429" t="s">
        <v>1477</v>
      </c>
    </row>
    <row r="1102" spans="1:17" ht="80.400000000000006" customHeight="1" thickBot="1">
      <c r="B1102" s="688"/>
      <c r="C1102" s="707" t="s">
        <v>1432</v>
      </c>
      <c r="D1102" s="707" t="s">
        <v>519</v>
      </c>
      <c r="E1102" s="707" t="s">
        <v>520</v>
      </c>
      <c r="F1102" s="707" t="s">
        <v>1433</v>
      </c>
      <c r="G1102" s="706" t="s">
        <v>1434</v>
      </c>
      <c r="H1102" s="707" t="s">
        <v>1435</v>
      </c>
    </row>
    <row r="1103" spans="1:17" ht="43.8" customHeight="1" thickBot="1">
      <c r="B1103" s="702" t="s">
        <v>1476</v>
      </c>
      <c r="C1103" s="714"/>
      <c r="D1103" s="715">
        <v>1</v>
      </c>
      <c r="E1103" s="715">
        <v>3</v>
      </c>
      <c r="F1103" s="709">
        <v>1</v>
      </c>
      <c r="G1103" s="708">
        <v>2</v>
      </c>
      <c r="H1103" s="709">
        <v>2</v>
      </c>
    </row>
    <row r="1104" spans="1:17" ht="29.4" customHeight="1" thickBot="1">
      <c r="B1104" s="703" t="s">
        <v>1437</v>
      </c>
      <c r="C1104" s="710"/>
      <c r="D1104" s="705"/>
      <c r="E1104" s="705"/>
      <c r="F1104" s="711"/>
      <c r="G1104" s="710"/>
      <c r="H1104" s="711"/>
    </row>
    <row r="1105" spans="2:17" ht="16.8" thickBot="1">
      <c r="B1105" s="702" t="s">
        <v>1438</v>
      </c>
      <c r="C1105" s="716"/>
      <c r="D1105" s="717"/>
      <c r="E1105" s="717"/>
      <c r="F1105" s="713">
        <v>5</v>
      </c>
      <c r="G1105" s="712"/>
      <c r="H1105" s="713">
        <v>5</v>
      </c>
    </row>
    <row r="1106" spans="2:17">
      <c r="B1106" s="657"/>
      <c r="C1106" s="657"/>
      <c r="D1106" s="657"/>
      <c r="E1106" s="657"/>
      <c r="F1106" s="657"/>
      <c r="G1106" s="657"/>
      <c r="H1106" s="657"/>
      <c r="I1106" s="657"/>
      <c r="J1106" s="657"/>
      <c r="K1106" s="657"/>
      <c r="L1106" s="657"/>
      <c r="M1106" s="657"/>
      <c r="N1106" s="657"/>
      <c r="O1106" s="657"/>
      <c r="P1106" s="657"/>
      <c r="Q1106" s="657"/>
    </row>
    <row r="1107" spans="2:17">
      <c r="B1107" s="855" t="s">
        <v>1439</v>
      </c>
      <c r="C1107" s="855"/>
      <c r="D1107" s="855"/>
      <c r="E1107" s="855"/>
      <c r="F1107"/>
      <c r="G1107"/>
      <c r="H1107"/>
      <c r="I1107"/>
      <c r="J1107"/>
      <c r="K1107"/>
      <c r="L1107"/>
      <c r="M1107"/>
      <c r="N1107"/>
      <c r="O1107"/>
      <c r="P1107"/>
      <c r="Q1107"/>
    </row>
    <row r="1108" spans="2:17">
      <c r="B1108" s="656"/>
      <c r="C1108"/>
      <c r="D1108"/>
      <c r="E1108"/>
      <c r="F1108"/>
      <c r="G1108"/>
      <c r="H1108"/>
      <c r="I1108"/>
      <c r="J1108"/>
      <c r="K1108"/>
      <c r="L1108"/>
      <c r="M1108"/>
      <c r="N1108"/>
      <c r="O1108"/>
      <c r="P1108"/>
      <c r="Q1108"/>
    </row>
    <row r="1109" spans="2:17">
      <c r="B1109" s="835" t="s">
        <v>1440</v>
      </c>
      <c r="C1109" s="835"/>
      <c r="D1109" s="835"/>
      <c r="E1109" s="835"/>
      <c r="F1109" s="835"/>
      <c r="G1109"/>
      <c r="H1109"/>
      <c r="I1109"/>
      <c r="J1109"/>
      <c r="K1109"/>
      <c r="L1109"/>
      <c r="M1109"/>
      <c r="N1109"/>
      <c r="O1109"/>
      <c r="P1109"/>
      <c r="Q1109"/>
    </row>
    <row r="1110" spans="2:17" ht="16.8" thickBot="1">
      <c r="B1110" s="413" t="s">
        <v>1441</v>
      </c>
      <c r="C1110"/>
      <c r="D1110"/>
      <c r="E1110"/>
      <c r="F1110"/>
      <c r="G1110"/>
      <c r="H1110"/>
      <c r="I1110"/>
      <c r="J1110"/>
      <c r="K1110"/>
      <c r="L1110"/>
      <c r="M1110"/>
      <c r="N1110"/>
      <c r="O1110"/>
      <c r="P1110"/>
      <c r="Q1110"/>
    </row>
    <row r="1111" spans="2:17" ht="33" thickBot="1">
      <c r="B1111" s="689" t="s">
        <v>389</v>
      </c>
      <c r="C1111" s="690" t="s">
        <v>1442</v>
      </c>
      <c r="D1111" s="690" t="s">
        <v>1443</v>
      </c>
      <c r="E1111" s="690" t="s">
        <v>1478</v>
      </c>
      <c r="F1111" s="690" t="s">
        <v>1444</v>
      </c>
      <c r="G1111" s="690" t="s">
        <v>166</v>
      </c>
      <c r="H1111" s="690" t="s">
        <v>64</v>
      </c>
      <c r="I1111"/>
      <c r="J1111"/>
      <c r="K1111"/>
      <c r="L1111"/>
      <c r="M1111"/>
      <c r="N1111"/>
      <c r="O1111"/>
      <c r="P1111"/>
      <c r="Q1111"/>
    </row>
    <row r="1112" spans="2:17" ht="33" thickBot="1">
      <c r="B1112" s="691" t="s">
        <v>1436</v>
      </c>
      <c r="C1112" s="692">
        <v>2</v>
      </c>
      <c r="D1112" s="692">
        <v>1</v>
      </c>
      <c r="E1112" s="692">
        <v>1</v>
      </c>
      <c r="F1112" s="692">
        <v>1</v>
      </c>
      <c r="G1112" s="692"/>
      <c r="H1112" s="692"/>
      <c r="I1112"/>
      <c r="J1112"/>
      <c r="K1112"/>
      <c r="L1112"/>
      <c r="M1112"/>
      <c r="N1112"/>
      <c r="O1112"/>
      <c r="P1112"/>
      <c r="Q1112"/>
    </row>
    <row r="1113" spans="2:17" ht="16.8" thickBot="1">
      <c r="B1113" s="691" t="s">
        <v>1445</v>
      </c>
      <c r="C1113" s="692"/>
      <c r="D1113" s="692"/>
      <c r="E1113" s="692"/>
      <c r="F1113" s="692"/>
      <c r="G1113" s="692"/>
      <c r="H1113" s="692"/>
      <c r="I1113"/>
      <c r="J1113"/>
      <c r="K1113"/>
      <c r="L1113"/>
      <c r="M1113"/>
      <c r="N1113"/>
      <c r="O1113"/>
      <c r="P1113"/>
      <c r="Q1113"/>
    </row>
    <row r="1114" spans="2:17">
      <c r="B1114" s="877" t="s">
        <v>1438</v>
      </c>
      <c r="C1114" s="662">
        <v>2</v>
      </c>
      <c r="D1114" s="662">
        <v>1</v>
      </c>
      <c r="E1114" s="662">
        <v>1</v>
      </c>
      <c r="F1114" s="662">
        <v>1</v>
      </c>
      <c r="G1114" s="662">
        <v>0</v>
      </c>
      <c r="H1114" s="662">
        <v>5</v>
      </c>
      <c r="I1114"/>
      <c r="J1114"/>
      <c r="K1114"/>
      <c r="L1114"/>
      <c r="M1114"/>
      <c r="N1114"/>
      <c r="O1114"/>
      <c r="P1114"/>
      <c r="Q1114"/>
    </row>
    <row r="1115" spans="2:17" ht="16.8" thickBot="1">
      <c r="B1115" s="879"/>
      <c r="C1115" s="693">
        <v>0.4</v>
      </c>
      <c r="D1115" s="693">
        <v>0.2</v>
      </c>
      <c r="E1115" s="693">
        <v>0.2</v>
      </c>
      <c r="F1115" s="693">
        <v>0.2</v>
      </c>
      <c r="G1115" s="692" t="s">
        <v>1446</v>
      </c>
      <c r="H1115" s="693">
        <v>1</v>
      </c>
      <c r="I1115"/>
      <c r="J1115"/>
      <c r="K1115"/>
      <c r="L1115"/>
      <c r="M1115"/>
      <c r="N1115"/>
      <c r="O1115"/>
      <c r="P1115"/>
      <c r="Q1115"/>
    </row>
    <row r="1116" spans="2:17">
      <c r="B1116" s="383"/>
      <c r="C1116"/>
      <c r="D1116"/>
      <c r="E1116"/>
      <c r="F1116"/>
      <c r="G1116"/>
      <c r="H1116"/>
      <c r="I1116"/>
      <c r="J1116"/>
      <c r="K1116"/>
      <c r="L1116"/>
      <c r="M1116"/>
      <c r="N1116"/>
      <c r="O1116"/>
      <c r="P1116"/>
      <c r="Q1116"/>
    </row>
    <row r="1117" spans="2:17" ht="20.399999999999999" thickBot="1">
      <c r="B1117" s="859" t="s">
        <v>1496</v>
      </c>
      <c r="C1117" s="859"/>
      <c r="D1117" s="834"/>
      <c r="E1117" s="834"/>
      <c r="F1117" s="834"/>
      <c r="G1117" s="859"/>
      <c r="H1117" s="834"/>
      <c r="I1117"/>
      <c r="J1117"/>
      <c r="K1117"/>
      <c r="L1117"/>
      <c r="M1117"/>
      <c r="N1117"/>
      <c r="O1117"/>
      <c r="P1117"/>
      <c r="Q1117"/>
    </row>
    <row r="1118" spans="2:17" ht="19.2" customHeight="1" thickBot="1">
      <c r="B1118" s="885" t="s">
        <v>57</v>
      </c>
      <c r="C1118" s="718" t="s">
        <v>1447</v>
      </c>
      <c r="D1118" s="847" t="s">
        <v>1449</v>
      </c>
      <c r="E1118" s="848"/>
      <c r="F1118" s="849"/>
      <c r="G1118" s="908" t="s">
        <v>1450</v>
      </c>
      <c r="H1118" s="839" t="s">
        <v>1451</v>
      </c>
      <c r="I1118" s="840"/>
      <c r="J1118"/>
      <c r="K1118"/>
      <c r="L1118"/>
      <c r="M1118"/>
      <c r="N1118"/>
      <c r="O1118"/>
      <c r="P1118"/>
      <c r="Q1118"/>
    </row>
    <row r="1119" spans="2:17" ht="22.8" customHeight="1" thickBot="1">
      <c r="B1119" s="906"/>
      <c r="C1119" s="719" t="s">
        <v>1448</v>
      </c>
      <c r="D1119" s="850"/>
      <c r="E1119" s="851"/>
      <c r="F1119" s="852"/>
      <c r="G1119" s="876"/>
      <c r="H1119" s="841" t="s">
        <v>1452</v>
      </c>
      <c r="I1119" s="842"/>
      <c r="J1119"/>
      <c r="K1119"/>
      <c r="L1119"/>
      <c r="M1119"/>
      <c r="N1119"/>
      <c r="O1119"/>
      <c r="P1119"/>
      <c r="Q1119"/>
    </row>
    <row r="1120" spans="2:17" ht="222" customHeight="1">
      <c r="B1120" s="885" t="s">
        <v>395</v>
      </c>
      <c r="C1120" s="907" t="s">
        <v>1479</v>
      </c>
      <c r="D1120" s="843" t="s">
        <v>1480</v>
      </c>
      <c r="E1120" s="831"/>
      <c r="F1120" s="844"/>
      <c r="G1120" s="908">
        <v>20</v>
      </c>
      <c r="H1120" s="843" t="s">
        <v>1481</v>
      </c>
      <c r="I1120" s="844"/>
      <c r="J1120"/>
      <c r="K1120"/>
      <c r="L1120"/>
      <c r="M1120"/>
      <c r="N1120"/>
      <c r="O1120"/>
      <c r="P1120"/>
      <c r="Q1120"/>
    </row>
    <row r="1121" spans="1:17" ht="111" customHeight="1" thickBot="1">
      <c r="B1121" s="906"/>
      <c r="C1121" s="875"/>
      <c r="D1121" s="845"/>
      <c r="E1121" s="853"/>
      <c r="F1121" s="846"/>
      <c r="G1121" s="876"/>
      <c r="H1121" s="845"/>
      <c r="I1121" s="846"/>
      <c r="J1121"/>
      <c r="K1121"/>
      <c r="L1121"/>
      <c r="M1121"/>
      <c r="N1121"/>
      <c r="O1121"/>
      <c r="P1121"/>
      <c r="Q1121"/>
    </row>
    <row r="1122" spans="1:17">
      <c r="B1122"/>
      <c r="C1122"/>
      <c r="D1122"/>
      <c r="E1122"/>
      <c r="F1122"/>
      <c r="G1122"/>
      <c r="H1122"/>
      <c r="I1122"/>
    </row>
    <row r="1123" spans="1:17">
      <c r="B1123" s="694"/>
      <c r="C1123"/>
      <c r="D1123"/>
      <c r="E1123"/>
      <c r="F1123"/>
      <c r="G1123"/>
      <c r="H1123"/>
      <c r="I1123"/>
      <c r="J1123"/>
      <c r="K1123"/>
      <c r="L1123"/>
      <c r="M1123"/>
      <c r="N1123"/>
      <c r="O1123"/>
      <c r="P1123"/>
      <c r="Q1123"/>
    </row>
    <row r="1124" spans="1:17" ht="17.399999999999999">
      <c r="A1124" s="563" t="s">
        <v>1497</v>
      </c>
      <c r="B1124" s="563"/>
      <c r="C1124" s="563"/>
      <c r="D1124" s="563"/>
      <c r="E1124" s="563"/>
      <c r="F1124" s="563"/>
      <c r="G1124" s="563"/>
      <c r="H1124" s="563"/>
      <c r="I1124" s="563"/>
      <c r="J1124"/>
      <c r="K1124"/>
      <c r="L1124"/>
      <c r="M1124"/>
      <c r="N1124"/>
      <c r="O1124"/>
      <c r="P1124"/>
      <c r="Q1124"/>
    </row>
    <row r="1125" spans="1:17" ht="16.8" thickBot="1">
      <c r="B1125" s="838" t="s">
        <v>1453</v>
      </c>
      <c r="C1125" s="838"/>
      <c r="D1125" s="838"/>
      <c r="E1125" s="838"/>
      <c r="F1125"/>
      <c r="G1125"/>
      <c r="H1125"/>
      <c r="I1125"/>
      <c r="J1125"/>
      <c r="K1125"/>
      <c r="L1125"/>
      <c r="M1125"/>
      <c r="N1125"/>
      <c r="O1125"/>
      <c r="P1125"/>
      <c r="Q1125"/>
    </row>
    <row r="1126" spans="1:17" ht="48.6">
      <c r="A1126" s="873" t="s">
        <v>1454</v>
      </c>
      <c r="B1126" s="877" t="s">
        <v>546</v>
      </c>
      <c r="C1126" s="877" t="s">
        <v>57</v>
      </c>
      <c r="D1126" s="877" t="s">
        <v>1485</v>
      </c>
      <c r="E1126" s="696" t="s">
        <v>1447</v>
      </c>
      <c r="F1126" s="847" t="s">
        <v>1455</v>
      </c>
      <c r="G1126" s="849"/>
      <c r="H1126" s="890" t="s">
        <v>533</v>
      </c>
      <c r="I1126" s="695" t="s">
        <v>1456</v>
      </c>
      <c r="K1126"/>
      <c r="L1126"/>
      <c r="M1126"/>
      <c r="N1126"/>
      <c r="O1126"/>
      <c r="P1126"/>
    </row>
    <row r="1127" spans="1:17" ht="54.6" customHeight="1" thickBot="1">
      <c r="A1127" s="874"/>
      <c r="B1127" s="879"/>
      <c r="C1127" s="879"/>
      <c r="D1127" s="879"/>
      <c r="E1127" s="699" t="s">
        <v>1448</v>
      </c>
      <c r="F1127" s="850"/>
      <c r="G1127" s="852"/>
      <c r="H1127" s="891"/>
      <c r="I1127" s="692" t="s">
        <v>1457</v>
      </c>
      <c r="K1127"/>
      <c r="L1127"/>
      <c r="M1127"/>
      <c r="N1127"/>
      <c r="O1127"/>
      <c r="P1127"/>
    </row>
    <row r="1128" spans="1:17" ht="16.2" customHeight="1">
      <c r="A1128" s="874"/>
      <c r="B1128" s="880">
        <v>1</v>
      </c>
      <c r="C1128" s="892" t="s">
        <v>395</v>
      </c>
      <c r="D1128" s="877" t="s">
        <v>1486</v>
      </c>
      <c r="E1128" s="895" t="s">
        <v>1479</v>
      </c>
      <c r="F1128" s="899" t="s">
        <v>1483</v>
      </c>
      <c r="G1128" s="900"/>
      <c r="H1128" s="869">
        <v>20</v>
      </c>
      <c r="I1128" s="877" t="s">
        <v>1495</v>
      </c>
      <c r="K1128"/>
      <c r="L1128"/>
      <c r="M1128"/>
      <c r="N1128"/>
      <c r="O1128"/>
      <c r="P1128"/>
    </row>
    <row r="1129" spans="1:17" ht="32.4" customHeight="1">
      <c r="A1129" s="874"/>
      <c r="B1129" s="881"/>
      <c r="C1129" s="893"/>
      <c r="D1129" s="878"/>
      <c r="E1129" s="896"/>
      <c r="F1129" s="901"/>
      <c r="G1129" s="902"/>
      <c r="H1129" s="870"/>
      <c r="I1129" s="878"/>
      <c r="K1129"/>
      <c r="L1129"/>
      <c r="M1129"/>
      <c r="N1129"/>
      <c r="O1129"/>
      <c r="P1129"/>
    </row>
    <row r="1130" spans="1:17" ht="32.4" customHeight="1" thickBot="1">
      <c r="A1130" s="874"/>
      <c r="B1130" s="881"/>
      <c r="C1130" s="894"/>
      <c r="D1130" s="879"/>
      <c r="E1130" s="897"/>
      <c r="F1130" s="903"/>
      <c r="G1130" s="904"/>
      <c r="H1130" s="898"/>
      <c r="I1130" s="879"/>
      <c r="K1130" s="671"/>
      <c r="L1130"/>
      <c r="M1130"/>
      <c r="N1130"/>
      <c r="O1130"/>
      <c r="P1130"/>
    </row>
    <row r="1131" spans="1:17" ht="127.8" customHeight="1" thickBot="1">
      <c r="A1131" s="874"/>
      <c r="B1131" s="882"/>
      <c r="C1131" s="701"/>
      <c r="D1131" s="896" t="s">
        <v>1498</v>
      </c>
      <c r="E1131" s="831"/>
      <c r="F1131" s="831"/>
      <c r="G1131" s="831"/>
      <c r="H1131" s="831"/>
      <c r="I1131" s="905"/>
      <c r="K1131" s="671"/>
      <c r="L1131"/>
      <c r="M1131"/>
      <c r="N1131"/>
      <c r="O1131"/>
      <c r="P1131"/>
    </row>
    <row r="1132" spans="1:17" ht="81" customHeight="1">
      <c r="A1132" s="874"/>
      <c r="B1132" s="880">
        <v>2</v>
      </c>
      <c r="C1132" s="885" t="s">
        <v>1458</v>
      </c>
      <c r="D1132" s="877" t="s">
        <v>1487</v>
      </c>
      <c r="E1132" s="910"/>
      <c r="F1132" s="861" t="s">
        <v>1489</v>
      </c>
      <c r="G1132" s="861"/>
      <c r="H1132" s="869">
        <v>5</v>
      </c>
      <c r="I1132" s="871" t="s">
        <v>1459</v>
      </c>
      <c r="K1132" s="671"/>
      <c r="L1132"/>
      <c r="M1132"/>
      <c r="N1132"/>
      <c r="O1132"/>
      <c r="P1132"/>
    </row>
    <row r="1133" spans="1:17" ht="46.8" customHeight="1" thickBot="1">
      <c r="A1133" s="874"/>
      <c r="B1133" s="881"/>
      <c r="C1133" s="886"/>
      <c r="D1133" s="878"/>
      <c r="E1133" s="911"/>
      <c r="F1133" s="862"/>
      <c r="G1133" s="862"/>
      <c r="H1133" s="870"/>
      <c r="I1133" s="872"/>
      <c r="K1133" s="671"/>
      <c r="L1133"/>
      <c r="M1133"/>
      <c r="N1133"/>
      <c r="O1133"/>
      <c r="P1133"/>
    </row>
    <row r="1134" spans="1:17" ht="94.8" customHeight="1" thickBot="1">
      <c r="A1134" s="874"/>
      <c r="B1134" s="882"/>
      <c r="C1134" s="875"/>
      <c r="D1134" s="887" t="s">
        <v>1499</v>
      </c>
      <c r="E1134" s="888"/>
      <c r="F1134" s="888"/>
      <c r="G1134" s="888"/>
      <c r="H1134" s="888"/>
      <c r="I1134" s="889"/>
      <c r="K1134" s="671"/>
      <c r="L1134"/>
      <c r="M1134"/>
      <c r="N1134"/>
      <c r="O1134"/>
      <c r="P1134"/>
    </row>
    <row r="1135" spans="1:17" ht="105.6" customHeight="1" thickBot="1">
      <c r="A1135" s="874"/>
      <c r="B1135" s="880">
        <v>3</v>
      </c>
      <c r="C1135" s="885" t="s">
        <v>1460</v>
      </c>
      <c r="D1135" s="662" t="s">
        <v>1488</v>
      </c>
      <c r="E1135" s="636" t="s">
        <v>1461</v>
      </c>
      <c r="F1135" s="860" t="s">
        <v>1490</v>
      </c>
      <c r="G1135" s="860"/>
      <c r="H1135" s="697">
        <v>0</v>
      </c>
      <c r="I1135" s="662" t="s">
        <v>1484</v>
      </c>
      <c r="K1135" s="671"/>
      <c r="L1135" s="671"/>
      <c r="M1135" s="671"/>
      <c r="N1135"/>
      <c r="O1135"/>
      <c r="P1135"/>
    </row>
    <row r="1136" spans="1:17" ht="103.8" customHeight="1" thickBot="1">
      <c r="A1136" s="874"/>
      <c r="B1136" s="881"/>
      <c r="C1136" s="912"/>
      <c r="D1136" s="887" t="s">
        <v>1502</v>
      </c>
      <c r="E1136" s="888"/>
      <c r="F1136" s="888"/>
      <c r="G1136" s="888"/>
      <c r="H1136" s="888"/>
      <c r="I1136" s="889"/>
      <c r="K1136"/>
      <c r="L1136"/>
      <c r="M1136"/>
      <c r="N1136"/>
      <c r="O1136"/>
      <c r="P1136"/>
    </row>
    <row r="1137" spans="1:17" ht="103.8" customHeight="1" thickBot="1">
      <c r="A1137" s="909"/>
      <c r="B1137" s="913">
        <v>5</v>
      </c>
      <c r="C1137" s="915" t="s">
        <v>561</v>
      </c>
      <c r="D1137" s="662" t="s">
        <v>1482</v>
      </c>
      <c r="E1137" s="723"/>
      <c r="F1137" s="883" t="s">
        <v>1500</v>
      </c>
      <c r="G1137" s="884"/>
      <c r="H1137" s="697">
        <v>10</v>
      </c>
      <c r="I1137" s="721" t="s">
        <v>1494</v>
      </c>
      <c r="K1137"/>
      <c r="L1137"/>
      <c r="M1137"/>
      <c r="N1137"/>
      <c r="O1137"/>
      <c r="P1137"/>
    </row>
    <row r="1138" spans="1:17" ht="149.4" customHeight="1" thickBot="1">
      <c r="A1138" s="722"/>
      <c r="B1138" s="914"/>
      <c r="C1138" s="916"/>
      <c r="D1138" s="888" t="s">
        <v>1501</v>
      </c>
      <c r="E1138" s="888"/>
      <c r="F1138" s="888"/>
      <c r="G1138" s="888"/>
      <c r="H1138" s="888"/>
      <c r="I1138" s="889"/>
      <c r="K1138"/>
      <c r="L1138"/>
      <c r="M1138"/>
      <c r="N1138"/>
      <c r="O1138"/>
      <c r="P1138"/>
    </row>
    <row r="1139" spans="1:17" ht="16.8" thickBot="1">
      <c r="A1139" s="873" t="s">
        <v>1462</v>
      </c>
      <c r="B1139" s="875" t="s">
        <v>1463</v>
      </c>
      <c r="C1139" s="876"/>
      <c r="D1139" s="876"/>
      <c r="E1139" s="876"/>
      <c r="F1139" s="876"/>
      <c r="G1139" s="876"/>
      <c r="H1139" s="876"/>
      <c r="I1139" s="876"/>
      <c r="K1139"/>
      <c r="L1139"/>
      <c r="M1139"/>
      <c r="N1139"/>
      <c r="O1139"/>
      <c r="P1139"/>
    </row>
    <row r="1140" spans="1:17" ht="16.8" thickBot="1">
      <c r="A1140" s="874"/>
      <c r="B1140" s="826" t="s">
        <v>1465</v>
      </c>
      <c r="C1140" s="827"/>
      <c r="D1140" s="698"/>
      <c r="E1140" s="698"/>
      <c r="F1140" s="703"/>
      <c r="G1140" s="698"/>
      <c r="H1140" s="698"/>
      <c r="I1140" s="698"/>
      <c r="K1140"/>
      <c r="L1140"/>
      <c r="M1140"/>
      <c r="N1140"/>
      <c r="O1140"/>
      <c r="P1140"/>
    </row>
    <row r="1141" spans="1:17">
      <c r="A1141" s="874"/>
      <c r="B1141" s="817" t="s">
        <v>1464</v>
      </c>
      <c r="C1141" s="818"/>
      <c r="D1141" s="877" t="s">
        <v>1491</v>
      </c>
      <c r="E1141" s="880" t="s">
        <v>1492</v>
      </c>
      <c r="F1141" s="863"/>
      <c r="G1141" s="864"/>
      <c r="H1141" s="697"/>
      <c r="I1141" s="877" t="s">
        <v>1493</v>
      </c>
      <c r="K1141"/>
      <c r="L1141"/>
      <c r="M1141"/>
      <c r="N1141"/>
      <c r="O1141"/>
      <c r="P1141"/>
    </row>
    <row r="1142" spans="1:17">
      <c r="A1142" s="874"/>
      <c r="B1142" s="819"/>
      <c r="C1142" s="820"/>
      <c r="D1142" s="878"/>
      <c r="E1142" s="881"/>
      <c r="F1142" s="865"/>
      <c r="G1142" s="866"/>
      <c r="H1142" s="697">
        <v>12</v>
      </c>
      <c r="I1142" s="878"/>
      <c r="K1142" s="720"/>
      <c r="L1142"/>
      <c r="M1142"/>
      <c r="N1142"/>
      <c r="O1142"/>
      <c r="P1142"/>
    </row>
    <row r="1143" spans="1:17" ht="16.8" thickBot="1">
      <c r="A1143" s="874"/>
      <c r="B1143" s="819"/>
      <c r="C1143" s="820"/>
      <c r="D1143" s="879"/>
      <c r="E1143" s="882"/>
      <c r="F1143" s="867"/>
      <c r="G1143" s="868"/>
      <c r="H1143" s="700"/>
      <c r="I1143" s="879"/>
      <c r="K1143" s="720"/>
      <c r="L1143"/>
      <c r="M1143"/>
      <c r="N1143"/>
      <c r="O1143"/>
      <c r="P1143"/>
    </row>
    <row r="1144" spans="1:17" ht="115.8" customHeight="1" thickBot="1">
      <c r="A1144" s="874"/>
      <c r="B1144" s="826" t="s">
        <v>1465</v>
      </c>
      <c r="C1144" s="827"/>
      <c r="D1144" s="821" t="s">
        <v>1536</v>
      </c>
      <c r="E1144" s="822"/>
      <c r="F1144" s="822"/>
      <c r="G1144" s="822"/>
      <c r="H1144" s="822"/>
      <c r="I1144" s="823"/>
      <c r="K1144"/>
      <c r="L1144"/>
      <c r="M1144"/>
      <c r="N1144"/>
      <c r="O1144"/>
      <c r="P1144"/>
    </row>
    <row r="1145" spans="1:17" ht="78.599999999999994" thickBot="1">
      <c r="A1145" s="874"/>
      <c r="B1145" s="885" t="s">
        <v>1503</v>
      </c>
      <c r="C1145" s="733" t="s">
        <v>1531</v>
      </c>
      <c r="D1145" s="727" t="s">
        <v>1504</v>
      </c>
      <c r="E1145" s="727" t="s">
        <v>1505</v>
      </c>
      <c r="F1145" s="728" t="s">
        <v>1506</v>
      </c>
      <c r="G1145" s="731" t="s">
        <v>1523</v>
      </c>
      <c r="H1145" s="730" t="s">
        <v>1524</v>
      </c>
      <c r="I1145" s="734" t="s">
        <v>1532</v>
      </c>
      <c r="J1145" s="671"/>
      <c r="K1145"/>
      <c r="L1145"/>
      <c r="M1145"/>
      <c r="N1145"/>
      <c r="O1145"/>
      <c r="P1145"/>
    </row>
    <row r="1146" spans="1:17" ht="63" thickBot="1">
      <c r="A1146" s="874"/>
      <c r="B1146" s="886"/>
      <c r="C1146" s="729" t="s">
        <v>1507</v>
      </c>
      <c r="D1146" s="730" t="s">
        <v>1508</v>
      </c>
      <c r="E1146" s="730" t="s">
        <v>1509</v>
      </c>
      <c r="F1146" s="730" t="s">
        <v>1510</v>
      </c>
      <c r="G1146" s="731" t="s">
        <v>1525</v>
      </c>
      <c r="H1146" s="730" t="s">
        <v>1526</v>
      </c>
      <c r="I1146" s="734" t="s">
        <v>1533</v>
      </c>
      <c r="J1146" s="720"/>
      <c r="K1146"/>
      <c r="L1146"/>
      <c r="M1146"/>
      <c r="N1146"/>
      <c r="O1146"/>
      <c r="P1146"/>
    </row>
    <row r="1147" spans="1:17" ht="47.4" thickBot="1">
      <c r="A1147" s="874"/>
      <c r="B1147" s="886"/>
      <c r="C1147" s="729" t="s">
        <v>1511</v>
      </c>
      <c r="D1147" s="730" t="s">
        <v>1512</v>
      </c>
      <c r="E1147" s="730" t="s">
        <v>1513</v>
      </c>
      <c r="F1147" s="730" t="s">
        <v>1514</v>
      </c>
      <c r="G1147" s="729" t="s">
        <v>1527</v>
      </c>
      <c r="H1147" s="730" t="s">
        <v>1528</v>
      </c>
      <c r="I1147" s="735" t="s">
        <v>1534</v>
      </c>
      <c r="J1147" s="720"/>
      <c r="K1147"/>
      <c r="L1147"/>
      <c r="M1147"/>
      <c r="N1147"/>
      <c r="O1147"/>
      <c r="P1147"/>
    </row>
    <row r="1148" spans="1:17" ht="63" thickBot="1">
      <c r="A1148" s="874"/>
      <c r="B1148" s="886"/>
      <c r="C1148" s="731" t="s">
        <v>1515</v>
      </c>
      <c r="D1148" s="730" t="s">
        <v>1516</v>
      </c>
      <c r="E1148" s="730" t="s">
        <v>1517</v>
      </c>
      <c r="F1148" s="732" t="s">
        <v>1518</v>
      </c>
      <c r="G1148" s="729" t="s">
        <v>1529</v>
      </c>
      <c r="H1148" s="730" t="s">
        <v>1530</v>
      </c>
      <c r="I1148" s="735" t="s">
        <v>1535</v>
      </c>
      <c r="J1148" s="720"/>
      <c r="K1148"/>
      <c r="L1148"/>
      <c r="M1148"/>
      <c r="N1148"/>
      <c r="O1148"/>
      <c r="P1148"/>
    </row>
    <row r="1149" spans="1:17" ht="31.8" thickBot="1">
      <c r="A1149" s="874"/>
      <c r="B1149" s="886"/>
      <c r="C1149" s="731" t="s">
        <v>1519</v>
      </c>
      <c r="D1149" s="730" t="s">
        <v>1520</v>
      </c>
      <c r="E1149" s="730" t="s">
        <v>1521</v>
      </c>
      <c r="F1149" s="730" t="s">
        <v>1522</v>
      </c>
      <c r="G1149" s="671"/>
      <c r="H1149" s="671"/>
      <c r="I1149" s="671"/>
      <c r="K1149"/>
      <c r="L1149"/>
      <c r="M1149"/>
      <c r="N1149"/>
      <c r="O1149"/>
      <c r="P1149"/>
    </row>
    <row r="1150" spans="1:17" ht="16.8" thickBot="1">
      <c r="A1150" s="673"/>
      <c r="B1150" s="826" t="s">
        <v>1463</v>
      </c>
      <c r="C1150" s="854"/>
      <c r="D1150" s="854"/>
      <c r="E1150" s="854"/>
      <c r="F1150" s="854"/>
      <c r="G1150" s="854"/>
      <c r="H1150" s="854"/>
      <c r="I1150" s="854"/>
      <c r="K1150"/>
      <c r="L1150" s="720"/>
      <c r="M1150" s="736"/>
      <c r="N1150" s="736"/>
      <c r="O1150" s="737"/>
      <c r="P1150"/>
    </row>
    <row r="1151" spans="1:17" ht="16.8" thickBot="1">
      <c r="A1151" s="673"/>
      <c r="B1151" s="826" t="s">
        <v>1466</v>
      </c>
      <c r="C1151" s="854"/>
      <c r="D1151" s="854"/>
      <c r="E1151" s="854"/>
      <c r="F1151" s="854"/>
      <c r="G1151" s="854"/>
      <c r="H1151" s="854"/>
      <c r="I1151" s="854"/>
      <c r="K1151"/>
      <c r="L1151" s="736"/>
      <c r="M1151" s="736"/>
      <c r="N1151" s="736"/>
      <c r="O1151" s="736"/>
      <c r="P1151"/>
    </row>
    <row r="1152" spans="1:17">
      <c r="B1152" s="657"/>
      <c r="C1152" s="657"/>
      <c r="D1152" s="657"/>
      <c r="E1152" s="657"/>
      <c r="F1152" s="657"/>
      <c r="G1152" s="657"/>
      <c r="H1152" s="657"/>
      <c r="I1152" s="657"/>
      <c r="J1152" s="657"/>
      <c r="K1152" s="657"/>
      <c r="L1152" s="736"/>
      <c r="M1152" s="736"/>
      <c r="N1152" s="736"/>
      <c r="O1152" s="736"/>
      <c r="P1152"/>
      <c r="Q1152"/>
    </row>
    <row r="1153" spans="2:15" ht="22.65" customHeight="1">
      <c r="B1153" s="824" t="s">
        <v>1467</v>
      </c>
      <c r="C1153" s="824"/>
      <c r="D1153" s="824"/>
      <c r="E1153" s="824"/>
      <c r="F1153" s="824"/>
      <c r="G1153" s="824"/>
      <c r="H1153" s="824"/>
      <c r="I1153"/>
      <c r="J1153"/>
      <c r="K1153"/>
      <c r="L1153" s="671"/>
      <c r="M1153" s="736"/>
      <c r="N1153" s="736"/>
      <c r="O1153" s="671"/>
    </row>
    <row r="1154" spans="2:15" ht="22.65" customHeight="1">
      <c r="B1154" s="825" t="s">
        <v>1468</v>
      </c>
      <c r="C1154" s="825"/>
      <c r="D1154" s="825"/>
      <c r="E1154" s="825"/>
      <c r="F1154" s="825"/>
      <c r="G1154" s="825"/>
      <c r="H1154" s="825"/>
      <c r="I1154"/>
      <c r="J1154"/>
      <c r="K1154"/>
      <c r="L1154" s="671"/>
      <c r="M1154" s="736"/>
      <c r="N1154" s="736"/>
      <c r="O1154" s="736"/>
    </row>
    <row r="1155" spans="2:15" ht="22.65" customHeight="1">
      <c r="B1155" s="825" t="s">
        <v>1469</v>
      </c>
      <c r="C1155" s="825"/>
      <c r="D1155" s="825"/>
      <c r="E1155" s="825"/>
      <c r="F1155" s="825"/>
      <c r="G1155" s="825"/>
      <c r="H1155" s="825"/>
      <c r="I1155"/>
      <c r="J1155"/>
      <c r="K1155"/>
      <c r="L1155" s="671"/>
      <c r="M1155" s="736"/>
      <c r="N1155" s="671"/>
      <c r="O1155" s="671"/>
    </row>
    <row r="1156" spans="2:15" ht="22.65" customHeight="1">
      <c r="B1156" s="825" t="s">
        <v>1470</v>
      </c>
      <c r="C1156" s="825"/>
      <c r="D1156" s="825"/>
      <c r="E1156" s="825"/>
      <c r="F1156" s="825"/>
      <c r="G1156" s="825"/>
      <c r="H1156" s="825"/>
      <c r="I1156"/>
      <c r="J1156"/>
      <c r="K1156"/>
      <c r="L1156" s="671"/>
      <c r="M1156" s="736"/>
      <c r="N1156" s="671"/>
      <c r="O1156" s="736"/>
    </row>
    <row r="1157" spans="2:15" ht="31.2" customHeight="1">
      <c r="B1157" s="825" t="s">
        <v>1471</v>
      </c>
      <c r="C1157" s="825"/>
      <c r="D1157" s="825"/>
      <c r="E1157" s="825"/>
      <c r="F1157" s="825"/>
      <c r="G1157" s="825"/>
      <c r="H1157" s="825"/>
      <c r="I1157"/>
      <c r="J1157"/>
      <c r="K1157"/>
      <c r="L1157" s="736"/>
      <c r="M1157" s="736"/>
      <c r="N1157" s="736"/>
      <c r="O1157" s="736"/>
    </row>
    <row r="1158" spans="2:15" ht="22.65" customHeight="1">
      <c r="B1158" s="825" t="s">
        <v>1472</v>
      </c>
      <c r="C1158" s="825"/>
      <c r="D1158" s="825"/>
      <c r="E1158" s="825"/>
      <c r="F1158" s="825"/>
      <c r="G1158" s="825"/>
      <c r="H1158" s="825"/>
      <c r="I1158"/>
      <c r="J1158"/>
      <c r="K1158"/>
      <c r="L1158" s="736"/>
      <c r="M1158" s="736"/>
      <c r="N1158" s="736"/>
      <c r="O1158" s="736"/>
    </row>
    <row r="1159" spans="2:15" ht="37.200000000000003" customHeight="1">
      <c r="B1159" s="825" t="s">
        <v>1473</v>
      </c>
      <c r="C1159" s="825"/>
      <c r="D1159" s="825"/>
      <c r="E1159" s="825"/>
      <c r="F1159" s="825"/>
      <c r="G1159" s="825"/>
      <c r="H1159" s="825"/>
      <c r="I1159"/>
      <c r="J1159"/>
      <c r="K1159"/>
    </row>
    <row r="1160" spans="2:15" ht="31.2" customHeight="1">
      <c r="B1160" s="825" t="s">
        <v>1474</v>
      </c>
      <c r="C1160" s="825"/>
      <c r="D1160" s="825"/>
      <c r="E1160" s="825"/>
      <c r="F1160" s="825"/>
      <c r="G1160" s="825"/>
      <c r="H1160" s="825"/>
      <c r="I1160"/>
      <c r="J1160"/>
      <c r="K1160"/>
    </row>
    <row r="1161" spans="2:15" ht="31.2" customHeight="1">
      <c r="B1161" s="825" t="s">
        <v>1475</v>
      </c>
      <c r="C1161" s="825"/>
      <c r="D1161" s="825"/>
      <c r="E1161" s="825"/>
      <c r="F1161" s="825"/>
      <c r="G1161" s="825"/>
      <c r="H1161" s="825"/>
      <c r="I1161"/>
      <c r="J1161"/>
      <c r="K1161"/>
    </row>
    <row r="1162" spans="2:15">
      <c r="B1162" s="694"/>
      <c r="C1162"/>
      <c r="D1162"/>
      <c r="E1162"/>
      <c r="F1162"/>
      <c r="G1162"/>
      <c r="H1162"/>
      <c r="I1162"/>
      <c r="J1162"/>
      <c r="K1162"/>
    </row>
  </sheetData>
  <mergeCells count="1173">
    <mergeCell ref="D893:H893"/>
    <mergeCell ref="D894:H894"/>
    <mergeCell ref="D895:H895"/>
    <mergeCell ref="D896:H896"/>
    <mergeCell ref="B991:I991"/>
    <mergeCell ref="B992:I992"/>
    <mergeCell ref="H1048:I1048"/>
    <mergeCell ref="B987:I987"/>
    <mergeCell ref="B960:I960"/>
    <mergeCell ref="B961:H961"/>
    <mergeCell ref="B1011:I1011"/>
    <mergeCell ref="B1012:I1012"/>
    <mergeCell ref="B1013:I1013"/>
    <mergeCell ref="B1014:I1014"/>
    <mergeCell ref="B1015:I1015"/>
    <mergeCell ref="B1016:I1016"/>
    <mergeCell ref="B1017:I1017"/>
    <mergeCell ref="B1018:I1018"/>
    <mergeCell ref="B1019:I1019"/>
    <mergeCell ref="B1002:I1002"/>
    <mergeCell ref="B1003:I1003"/>
    <mergeCell ref="B1004:I1004"/>
    <mergeCell ref="B1005:I1005"/>
    <mergeCell ref="B1006:I1006"/>
    <mergeCell ref="B1007:I1007"/>
    <mergeCell ref="B1008:I1008"/>
    <mergeCell ref="B1009:I1009"/>
    <mergeCell ref="B1010:I1010"/>
    <mergeCell ref="B993:I993"/>
    <mergeCell ref="B994:I994"/>
    <mergeCell ref="B1020:I1020"/>
    <mergeCell ref="B1021:I1021"/>
    <mergeCell ref="B1022:I1022"/>
    <mergeCell ref="B1023:I1023"/>
    <mergeCell ref="B1024:I1024"/>
    <mergeCell ref="B1026:I1026"/>
    <mergeCell ref="B996:I996"/>
    <mergeCell ref="B997:I997"/>
    <mergeCell ref="B1028:B1031"/>
    <mergeCell ref="B1033:B1041"/>
    <mergeCell ref="C1029:D1029"/>
    <mergeCell ref="C1030:D1030"/>
    <mergeCell ref="C1031:D1031"/>
    <mergeCell ref="C1032:D1032"/>
    <mergeCell ref="C1033:D1034"/>
    <mergeCell ref="C1035:D1035"/>
    <mergeCell ref="B1042:B1044"/>
    <mergeCell ref="B1045:B1047"/>
    <mergeCell ref="B1048:B1049"/>
    <mergeCell ref="B1050:B1051"/>
    <mergeCell ref="C1046:D1046"/>
    <mergeCell ref="C1047:D1047"/>
    <mergeCell ref="C1048:D1048"/>
    <mergeCell ref="C1049:D1049"/>
    <mergeCell ref="E1046:F1046"/>
    <mergeCell ref="E1047:F1047"/>
    <mergeCell ref="E1048:F1048"/>
    <mergeCell ref="E1049:F1049"/>
    <mergeCell ref="H1028:I1028"/>
    <mergeCell ref="H1029:I1029"/>
    <mergeCell ref="H1030:I1030"/>
    <mergeCell ref="H1031:I1031"/>
    <mergeCell ref="H1032:I1032"/>
    <mergeCell ref="H1035:I1035"/>
    <mergeCell ref="E1038:F1038"/>
    <mergeCell ref="E1039:F1039"/>
    <mergeCell ref="E1040:F1040"/>
    <mergeCell ref="E1041:F1041"/>
    <mergeCell ref="C967:D967"/>
    <mergeCell ref="E967:F967"/>
    <mergeCell ref="G967:H967"/>
    <mergeCell ref="C968:D969"/>
    <mergeCell ref="E968:F969"/>
    <mergeCell ref="G968:H969"/>
    <mergeCell ref="E970:F970"/>
    <mergeCell ref="G970:H970"/>
    <mergeCell ref="B1027:I1027"/>
    <mergeCell ref="B972:I972"/>
    <mergeCell ref="J973:P973"/>
    <mergeCell ref="B974:I974"/>
    <mergeCell ref="B975:I975"/>
    <mergeCell ref="B976:I976"/>
    <mergeCell ref="B977:I977"/>
    <mergeCell ref="B978:I978"/>
    <mergeCell ref="B979:I979"/>
    <mergeCell ref="B980:I980"/>
    <mergeCell ref="B981:I981"/>
    <mergeCell ref="B982:I982"/>
    <mergeCell ref="B983:I983"/>
    <mergeCell ref="B984:I984"/>
    <mergeCell ref="B985:I985"/>
    <mergeCell ref="B986:I986"/>
    <mergeCell ref="B973:I973"/>
    <mergeCell ref="B998:I998"/>
    <mergeCell ref="B999:I999"/>
    <mergeCell ref="B1000:I1000"/>
    <mergeCell ref="B1001:I1001"/>
    <mergeCell ref="B988:I988"/>
    <mergeCell ref="B989:I989"/>
    <mergeCell ref="B990:I990"/>
    <mergeCell ref="B948:B949"/>
    <mergeCell ref="B953:B955"/>
    <mergeCell ref="C962:D962"/>
    <mergeCell ref="E962:F962"/>
    <mergeCell ref="G962:H962"/>
    <mergeCell ref="C963:D963"/>
    <mergeCell ref="E963:F963"/>
    <mergeCell ref="G963:H963"/>
    <mergeCell ref="C964:D964"/>
    <mergeCell ref="E964:F964"/>
    <mergeCell ref="G964:H964"/>
    <mergeCell ref="C965:D965"/>
    <mergeCell ref="E965:F965"/>
    <mergeCell ref="G965:H965"/>
    <mergeCell ref="C966:D966"/>
    <mergeCell ref="E966:F966"/>
    <mergeCell ref="G966:H966"/>
    <mergeCell ref="H955:I955"/>
    <mergeCell ref="C956:E956"/>
    <mergeCell ref="C957:E957"/>
    <mergeCell ref="F957:I957"/>
    <mergeCell ref="F953:I953"/>
    <mergeCell ref="F951:I951"/>
    <mergeCell ref="F948:G949"/>
    <mergeCell ref="H948:I949"/>
    <mergeCell ref="B928:B929"/>
    <mergeCell ref="B931:B932"/>
    <mergeCell ref="B934:B936"/>
    <mergeCell ref="C932:D932"/>
    <mergeCell ref="C933:D933"/>
    <mergeCell ref="C934:D934"/>
    <mergeCell ref="C935:D935"/>
    <mergeCell ref="C936:D936"/>
    <mergeCell ref="B938:B939"/>
    <mergeCell ref="B944:B945"/>
    <mergeCell ref="E941:F941"/>
    <mergeCell ref="H942:I942"/>
    <mergeCell ref="H943:I943"/>
    <mergeCell ref="H944:I944"/>
    <mergeCell ref="H945:I945"/>
    <mergeCell ref="H946:I946"/>
    <mergeCell ref="E936:F936"/>
    <mergeCell ref="E937:F937"/>
    <mergeCell ref="C946:E946"/>
    <mergeCell ref="B894:C894"/>
    <mergeCell ref="B895:C895"/>
    <mergeCell ref="B896:C896"/>
    <mergeCell ref="B897:C897"/>
    <mergeCell ref="B898:C898"/>
    <mergeCell ref="B899:C899"/>
    <mergeCell ref="B916:B917"/>
    <mergeCell ref="B919:B926"/>
    <mergeCell ref="B904:H904"/>
    <mergeCell ref="B905:H905"/>
    <mergeCell ref="B906:H906"/>
    <mergeCell ref="A908:D908"/>
    <mergeCell ref="B909:C909"/>
    <mergeCell ref="E911:F911"/>
    <mergeCell ref="E912:F912"/>
    <mergeCell ref="E913:F913"/>
    <mergeCell ref="E914:F914"/>
    <mergeCell ref="E915:F915"/>
    <mergeCell ref="E918:F918"/>
    <mergeCell ref="E920:F920"/>
    <mergeCell ref="E922:F922"/>
    <mergeCell ref="E924:F924"/>
    <mergeCell ref="D897:H897"/>
    <mergeCell ref="D898:H898"/>
    <mergeCell ref="D899:H899"/>
    <mergeCell ref="B893:C893"/>
    <mergeCell ref="B889:C889"/>
    <mergeCell ref="B857:I857"/>
    <mergeCell ref="D858:I858"/>
    <mergeCell ref="D859:I859"/>
    <mergeCell ref="D860:I860"/>
    <mergeCell ref="D861:I861"/>
    <mergeCell ref="D862:I863"/>
    <mergeCell ref="D864:I864"/>
    <mergeCell ref="D865:I865"/>
    <mergeCell ref="D870:I870"/>
    <mergeCell ref="D871:I871"/>
    <mergeCell ref="D872:I872"/>
    <mergeCell ref="B883:C883"/>
    <mergeCell ref="B884:C885"/>
    <mergeCell ref="B886:C887"/>
    <mergeCell ref="B888:C888"/>
    <mergeCell ref="D887:I887"/>
    <mergeCell ref="D888:I888"/>
    <mergeCell ref="B876:C876"/>
    <mergeCell ref="B877:C877"/>
    <mergeCell ref="B880:C880"/>
    <mergeCell ref="B881:C881"/>
    <mergeCell ref="B882:C882"/>
    <mergeCell ref="D876:I876"/>
    <mergeCell ref="D877:I877"/>
    <mergeCell ref="D878:I878"/>
    <mergeCell ref="D880:I880"/>
    <mergeCell ref="D881:I881"/>
    <mergeCell ref="D882:I882"/>
    <mergeCell ref="D889:I889"/>
    <mergeCell ref="B879:I879"/>
    <mergeCell ref="E686:I686"/>
    <mergeCell ref="E687:I687"/>
    <mergeCell ref="E688:I688"/>
    <mergeCell ref="A856:I856"/>
    <mergeCell ref="B871:C871"/>
    <mergeCell ref="B872:C872"/>
    <mergeCell ref="B873:C873"/>
    <mergeCell ref="B874:C874"/>
    <mergeCell ref="B875:C875"/>
    <mergeCell ref="D873:I873"/>
    <mergeCell ref="D874:I874"/>
    <mergeCell ref="D875:I875"/>
    <mergeCell ref="B862:C862"/>
    <mergeCell ref="B863:C863"/>
    <mergeCell ref="B864:C864"/>
    <mergeCell ref="B865:C865"/>
    <mergeCell ref="B870:C870"/>
    <mergeCell ref="F811:I811"/>
    <mergeCell ref="E793:I793"/>
    <mergeCell ref="E794:I794"/>
    <mergeCell ref="F813:G813"/>
    <mergeCell ref="B811:D811"/>
    <mergeCell ref="H812:I812"/>
    <mergeCell ref="C804:C808"/>
    <mergeCell ref="B804:B808"/>
    <mergeCell ref="E843:F843"/>
    <mergeCell ref="E724:H724"/>
    <mergeCell ref="E725:H725"/>
    <mergeCell ref="E735:I735"/>
    <mergeCell ref="E736:I736"/>
    <mergeCell ref="E731:H731"/>
    <mergeCell ref="D883:I883"/>
    <mergeCell ref="D884:I884"/>
    <mergeCell ref="D885:I885"/>
    <mergeCell ref="D886:I886"/>
    <mergeCell ref="B820:C820"/>
    <mergeCell ref="B858:C858"/>
    <mergeCell ref="B859:C859"/>
    <mergeCell ref="B860:C860"/>
    <mergeCell ref="B861:C861"/>
    <mergeCell ref="F817:G817"/>
    <mergeCell ref="F818:G818"/>
    <mergeCell ref="F819:G819"/>
    <mergeCell ref="B813:C813"/>
    <mergeCell ref="B814:C814"/>
    <mergeCell ref="B815:C815"/>
    <mergeCell ref="B816:C816"/>
    <mergeCell ref="B817:C817"/>
    <mergeCell ref="B818:C818"/>
    <mergeCell ref="B819:C819"/>
    <mergeCell ref="B823:H823"/>
    <mergeCell ref="B824:H824"/>
    <mergeCell ref="E836:F836"/>
    <mergeCell ref="E837:F837"/>
    <mergeCell ref="E838:F838"/>
    <mergeCell ref="E839:F839"/>
    <mergeCell ref="F828:G828"/>
    <mergeCell ref="F829:G829"/>
    <mergeCell ref="F830:G830"/>
    <mergeCell ref="E849:F849"/>
    <mergeCell ref="F814:G814"/>
    <mergeCell ref="F815:G815"/>
    <mergeCell ref="F816:G816"/>
    <mergeCell ref="E628:F628"/>
    <mergeCell ref="E630:I630"/>
    <mergeCell ref="E633:I633"/>
    <mergeCell ref="E634:I634"/>
    <mergeCell ref="E639:I639"/>
    <mergeCell ref="E642:I642"/>
    <mergeCell ref="E606:I606"/>
    <mergeCell ref="B707:B711"/>
    <mergeCell ref="E791:I791"/>
    <mergeCell ref="E792:I792"/>
    <mergeCell ref="C707:C711"/>
    <mergeCell ref="D708:G708"/>
    <mergeCell ref="D709:G709"/>
    <mergeCell ref="E722:H722"/>
    <mergeCell ref="B660:B664"/>
    <mergeCell ref="E607:F607"/>
    <mergeCell ref="F609:G609"/>
    <mergeCell ref="F610:G610"/>
    <mergeCell ref="F611:G611"/>
    <mergeCell ref="F612:G612"/>
    <mergeCell ref="E643:I643"/>
    <mergeCell ref="E638:I638"/>
    <mergeCell ref="E647:I647"/>
    <mergeCell ref="E648:I648"/>
    <mergeCell ref="E649:I649"/>
    <mergeCell ref="B417:H417"/>
    <mergeCell ref="B418:H418"/>
    <mergeCell ref="B419:H419"/>
    <mergeCell ref="B420:H420"/>
    <mergeCell ref="B421:H421"/>
    <mergeCell ref="B422:H422"/>
    <mergeCell ref="B423:H423"/>
    <mergeCell ref="B424:H424"/>
    <mergeCell ref="D444:F444"/>
    <mergeCell ref="E452:F453"/>
    <mergeCell ref="E451:F451"/>
    <mergeCell ref="E582:F582"/>
    <mergeCell ref="E584:I584"/>
    <mergeCell ref="E585:F585"/>
    <mergeCell ref="E593:F593"/>
    <mergeCell ref="E597:F597"/>
    <mergeCell ref="E603:F603"/>
    <mergeCell ref="B403:H403"/>
    <mergeCell ref="B404:H404"/>
    <mergeCell ref="B405:H405"/>
    <mergeCell ref="B406:H406"/>
    <mergeCell ref="B392:H392"/>
    <mergeCell ref="B393:H393"/>
    <mergeCell ref="B394:H394"/>
    <mergeCell ref="B395:H395"/>
    <mergeCell ref="B396:H396"/>
    <mergeCell ref="B397:H397"/>
    <mergeCell ref="B398:H398"/>
    <mergeCell ref="B465:C465"/>
    <mergeCell ref="G465:I465"/>
    <mergeCell ref="E465:F465"/>
    <mergeCell ref="B466:E466"/>
    <mergeCell ref="B468:C468"/>
    <mergeCell ref="E468:H468"/>
    <mergeCell ref="B407:H407"/>
    <mergeCell ref="B408:H408"/>
    <mergeCell ref="B409:H409"/>
    <mergeCell ref="B410:H410"/>
    <mergeCell ref="B411:H411"/>
    <mergeCell ref="B412:H412"/>
    <mergeCell ref="B413:H413"/>
    <mergeCell ref="B414:H414"/>
    <mergeCell ref="B415:H415"/>
    <mergeCell ref="B445:B446"/>
    <mergeCell ref="B449:B450"/>
    <mergeCell ref="B453:B455"/>
    <mergeCell ref="B439:I439"/>
    <mergeCell ref="B464:I464"/>
    <mergeCell ref="B416:H416"/>
    <mergeCell ref="C283:G283"/>
    <mergeCell ref="C284:G284"/>
    <mergeCell ref="C285:G285"/>
    <mergeCell ref="C286:G286"/>
    <mergeCell ref="C273:G273"/>
    <mergeCell ref="C274:G274"/>
    <mergeCell ref="C275:G275"/>
    <mergeCell ref="B384:H384"/>
    <mergeCell ref="B385:H385"/>
    <mergeCell ref="B386:H386"/>
    <mergeCell ref="B387:H387"/>
    <mergeCell ref="B388:H388"/>
    <mergeCell ref="B389:H389"/>
    <mergeCell ref="B390:H390"/>
    <mergeCell ref="B391:H391"/>
    <mergeCell ref="B438:H438"/>
    <mergeCell ref="B425:H425"/>
    <mergeCell ref="B426:H426"/>
    <mergeCell ref="B427:H427"/>
    <mergeCell ref="B428:H428"/>
    <mergeCell ref="B429:H429"/>
    <mergeCell ref="B430:H430"/>
    <mergeCell ref="B431:H431"/>
    <mergeCell ref="B432:H432"/>
    <mergeCell ref="B433:H433"/>
    <mergeCell ref="B434:H434"/>
    <mergeCell ref="B435:H435"/>
    <mergeCell ref="B436:H436"/>
    <mergeCell ref="B437:H437"/>
    <mergeCell ref="B399:H399"/>
    <mergeCell ref="B400:H400"/>
    <mergeCell ref="B402:H402"/>
    <mergeCell ref="C277:G277"/>
    <mergeCell ref="C278:G278"/>
    <mergeCell ref="C279:G279"/>
    <mergeCell ref="A330:B342"/>
    <mergeCell ref="A305:B329"/>
    <mergeCell ref="A265:B304"/>
    <mergeCell ref="C263:G263"/>
    <mergeCell ref="C264:G264"/>
    <mergeCell ref="C265:G265"/>
    <mergeCell ref="C266:G266"/>
    <mergeCell ref="C267:G267"/>
    <mergeCell ref="C268:G268"/>
    <mergeCell ref="C269:G269"/>
    <mergeCell ref="C270:G270"/>
    <mergeCell ref="C271:G271"/>
    <mergeCell ref="C338:G338"/>
    <mergeCell ref="C339:G339"/>
    <mergeCell ref="C340:G340"/>
    <mergeCell ref="C341:G341"/>
    <mergeCell ref="C342:G342"/>
    <mergeCell ref="C287:G287"/>
    <mergeCell ref="C288:G288"/>
    <mergeCell ref="C289:G289"/>
    <mergeCell ref="A263:B263"/>
    <mergeCell ref="A264:B264"/>
    <mergeCell ref="C330:G330"/>
    <mergeCell ref="C331:G331"/>
    <mergeCell ref="C332:G332"/>
    <mergeCell ref="C333:G333"/>
    <mergeCell ref="C334:G334"/>
    <mergeCell ref="C335:G335"/>
    <mergeCell ref="C316:G316"/>
    <mergeCell ref="C291:G291"/>
    <mergeCell ref="C336:G336"/>
    <mergeCell ref="C337:G337"/>
    <mergeCell ref="C328:G328"/>
    <mergeCell ref="C329:G329"/>
    <mergeCell ref="C325:G325"/>
    <mergeCell ref="C326:G326"/>
    <mergeCell ref="C327:G327"/>
    <mergeCell ref="C310:G310"/>
    <mergeCell ref="C311:G311"/>
    <mergeCell ref="C312:G312"/>
    <mergeCell ref="C313:G313"/>
    <mergeCell ref="C314:G314"/>
    <mergeCell ref="C315:G315"/>
    <mergeCell ref="C301:G301"/>
    <mergeCell ref="C302:G302"/>
    <mergeCell ref="C303:G303"/>
    <mergeCell ref="C304:G304"/>
    <mergeCell ref="C305:G305"/>
    <mergeCell ref="C306:G306"/>
    <mergeCell ref="C307:G307"/>
    <mergeCell ref="C308:G308"/>
    <mergeCell ref="C309:G309"/>
    <mergeCell ref="C317:G317"/>
    <mergeCell ref="C318:G318"/>
    <mergeCell ref="C319:G319"/>
    <mergeCell ref="C320:G320"/>
    <mergeCell ref="C321:G321"/>
    <mergeCell ref="C322:G322"/>
    <mergeCell ref="C323:G323"/>
    <mergeCell ref="C324:G324"/>
    <mergeCell ref="C292:G292"/>
    <mergeCell ref="C293:G293"/>
    <mergeCell ref="C294:G294"/>
    <mergeCell ref="C295:G295"/>
    <mergeCell ref="C296:G296"/>
    <mergeCell ref="C297:G297"/>
    <mergeCell ref="C298:G298"/>
    <mergeCell ref="C299:G299"/>
    <mergeCell ref="C300:G300"/>
    <mergeCell ref="B379:H379"/>
    <mergeCell ref="B380:H380"/>
    <mergeCell ref="B381:H381"/>
    <mergeCell ref="B382:H382"/>
    <mergeCell ref="B383:H383"/>
    <mergeCell ref="C343:G343"/>
    <mergeCell ref="C344:G344"/>
    <mergeCell ref="C345:G345"/>
    <mergeCell ref="C346:G346"/>
    <mergeCell ref="C347:G347"/>
    <mergeCell ref="C348:G348"/>
    <mergeCell ref="C349:G349"/>
    <mergeCell ref="A343:B355"/>
    <mergeCell ref="C350:G350"/>
    <mergeCell ref="C351:G351"/>
    <mergeCell ref="C352:G352"/>
    <mergeCell ref="C353:G353"/>
    <mergeCell ref="C354:G354"/>
    <mergeCell ref="C355:G355"/>
    <mergeCell ref="B377:H377"/>
    <mergeCell ref="A356:I356"/>
    <mergeCell ref="H264:I355"/>
    <mergeCell ref="C290:G290"/>
    <mergeCell ref="A232:B232"/>
    <mergeCell ref="A235:G235"/>
    <mergeCell ref="A236:G236"/>
    <mergeCell ref="A237:C237"/>
    <mergeCell ref="A238:I238"/>
    <mergeCell ref="A239:I239"/>
    <mergeCell ref="C280:G280"/>
    <mergeCell ref="C281:G281"/>
    <mergeCell ref="C282:G282"/>
    <mergeCell ref="A262:I262"/>
    <mergeCell ref="A261:I261"/>
    <mergeCell ref="A226:B226"/>
    <mergeCell ref="A227:B227"/>
    <mergeCell ref="A229:B229"/>
    <mergeCell ref="A230:B231"/>
    <mergeCell ref="A249:I249"/>
    <mergeCell ref="A250:I250"/>
    <mergeCell ref="A251:I251"/>
    <mergeCell ref="A253:I253"/>
    <mergeCell ref="A255:I255"/>
    <mergeCell ref="A256:I256"/>
    <mergeCell ref="A257:I257"/>
    <mergeCell ref="A258:I258"/>
    <mergeCell ref="A260:I260"/>
    <mergeCell ref="A241:I241"/>
    <mergeCell ref="A243:I243"/>
    <mergeCell ref="A244:G244"/>
    <mergeCell ref="A245:I245"/>
    <mergeCell ref="A246:H246"/>
    <mergeCell ref="A247:I247"/>
    <mergeCell ref="C272:G272"/>
    <mergeCell ref="C276:G276"/>
    <mergeCell ref="B185:C185"/>
    <mergeCell ref="A225:E225"/>
    <mergeCell ref="B153:D154"/>
    <mergeCell ref="A170:D170"/>
    <mergeCell ref="A176:B176"/>
    <mergeCell ref="D187:E187"/>
    <mergeCell ref="F187:G187"/>
    <mergeCell ref="B196:D196"/>
    <mergeCell ref="B197:D197"/>
    <mergeCell ref="B160:D160"/>
    <mergeCell ref="B161:D161"/>
    <mergeCell ref="A163:C163"/>
    <mergeCell ref="B164:I164"/>
    <mergeCell ref="B166:I166"/>
    <mergeCell ref="B167:I167"/>
    <mergeCell ref="B168:I168"/>
    <mergeCell ref="B169:I169"/>
    <mergeCell ref="H153:H154"/>
    <mergeCell ref="E153:G154"/>
    <mergeCell ref="E157:G157"/>
    <mergeCell ref="E156:G156"/>
    <mergeCell ref="E155:G155"/>
    <mergeCell ref="E158:G158"/>
    <mergeCell ref="E159:G159"/>
    <mergeCell ref="E160:G160"/>
    <mergeCell ref="E161:G161"/>
    <mergeCell ref="F2:H2"/>
    <mergeCell ref="B5:I5"/>
    <mergeCell ref="B3:I3"/>
    <mergeCell ref="B8:I10"/>
    <mergeCell ref="F77:I77"/>
    <mergeCell ref="C77:E77"/>
    <mergeCell ref="F78:I78"/>
    <mergeCell ref="C78:E78"/>
    <mergeCell ref="H151:H152"/>
    <mergeCell ref="A141:F141"/>
    <mergeCell ref="A142:D142"/>
    <mergeCell ref="B145:D145"/>
    <mergeCell ref="E150:G150"/>
    <mergeCell ref="B150:D150"/>
    <mergeCell ref="C76:I76"/>
    <mergeCell ref="A73:B73"/>
    <mergeCell ref="B15:I15"/>
    <mergeCell ref="B22:I22"/>
    <mergeCell ref="F75:I75"/>
    <mergeCell ref="A76:B76"/>
    <mergeCell ref="A77:B77"/>
    <mergeCell ref="A78:B78"/>
    <mergeCell ref="A79:B79"/>
    <mergeCell ref="B23:I23"/>
    <mergeCell ref="B26:I26"/>
    <mergeCell ref="D82:E82"/>
    <mergeCell ref="D83:E83"/>
    <mergeCell ref="F83:H83"/>
    <mergeCell ref="C84:D84"/>
    <mergeCell ref="C85:D85"/>
    <mergeCell ref="C90:D90"/>
    <mergeCell ref="E90:G90"/>
    <mergeCell ref="H90:I90"/>
    <mergeCell ref="C91:D91"/>
    <mergeCell ref="E91:G91"/>
    <mergeCell ref="H91:I91"/>
    <mergeCell ref="C88:D88"/>
    <mergeCell ref="E88:G88"/>
    <mergeCell ref="H88:I88"/>
    <mergeCell ref="C89:D89"/>
    <mergeCell ref="E89:G89"/>
    <mergeCell ref="H89:I89"/>
    <mergeCell ref="E85:G85"/>
    <mergeCell ref="C79:I79"/>
    <mergeCell ref="D80:E80"/>
    <mergeCell ref="F80:H80"/>
    <mergeCell ref="D81:E81"/>
    <mergeCell ref="F81:H81"/>
    <mergeCell ref="E84:G84"/>
    <mergeCell ref="H84:I84"/>
    <mergeCell ref="H85:I85"/>
    <mergeCell ref="C86:D86"/>
    <mergeCell ref="E86:G86"/>
    <mergeCell ref="H86:I86"/>
    <mergeCell ref="C87:D87"/>
    <mergeCell ref="E87:G87"/>
    <mergeCell ref="H87:I87"/>
    <mergeCell ref="F82:H82"/>
    <mergeCell ref="A80:B81"/>
    <mergeCell ref="A82:B83"/>
    <mergeCell ref="A84:B85"/>
    <mergeCell ref="A86:B87"/>
    <mergeCell ref="A88:B89"/>
    <mergeCell ref="A90:B91"/>
    <mergeCell ref="A114:A127"/>
    <mergeCell ref="H119:I120"/>
    <mergeCell ref="H121:I121"/>
    <mergeCell ref="H124:I124"/>
    <mergeCell ref="H114:I114"/>
    <mergeCell ref="H115:I115"/>
    <mergeCell ref="H116:I116"/>
    <mergeCell ref="H117:I117"/>
    <mergeCell ref="H118:I118"/>
    <mergeCell ref="F114:G114"/>
    <mergeCell ref="F115:G115"/>
    <mergeCell ref="F116:G116"/>
    <mergeCell ref="F117:G117"/>
    <mergeCell ref="D118:E118"/>
    <mergeCell ref="F118:G118"/>
    <mergeCell ref="D119:E120"/>
    <mergeCell ref="F119:G120"/>
    <mergeCell ref="F121:G121"/>
    <mergeCell ref="C126:C127"/>
    <mergeCell ref="F122:G123"/>
    <mergeCell ref="F124:G124"/>
    <mergeCell ref="F125:G125"/>
    <mergeCell ref="F126:G127"/>
    <mergeCell ref="B119:B127"/>
    <mergeCell ref="C119:C120"/>
    <mergeCell ref="C122:C123"/>
    <mergeCell ref="B98:I98"/>
    <mergeCell ref="B99:I99"/>
    <mergeCell ref="B100:I100"/>
    <mergeCell ref="B101:I101"/>
    <mergeCell ref="B102:I102"/>
    <mergeCell ref="B114:B118"/>
    <mergeCell ref="D117:E117"/>
    <mergeCell ref="D116:E116"/>
    <mergeCell ref="D114:E114"/>
    <mergeCell ref="D115:E115"/>
    <mergeCell ref="B108:I108"/>
    <mergeCell ref="A103:B103"/>
    <mergeCell ref="A109:B109"/>
    <mergeCell ref="D126:E127"/>
    <mergeCell ref="D125:E125"/>
    <mergeCell ref="D122:E123"/>
    <mergeCell ref="D121:E121"/>
    <mergeCell ref="D124:E124"/>
    <mergeCell ref="H122:I123"/>
    <mergeCell ref="A92:B92"/>
    <mergeCell ref="A93:B93"/>
    <mergeCell ref="A94:B94"/>
    <mergeCell ref="A95:B96"/>
    <mergeCell ref="A97:B97"/>
    <mergeCell ref="B110:I110"/>
    <mergeCell ref="B111:I111"/>
    <mergeCell ref="B112:I112"/>
    <mergeCell ref="B113:I113"/>
    <mergeCell ref="B104:I104"/>
    <mergeCell ref="B105:I105"/>
    <mergeCell ref="B106:I106"/>
    <mergeCell ref="B107:I107"/>
    <mergeCell ref="D95:E95"/>
    <mergeCell ref="F95:H95"/>
    <mergeCell ref="D96:E96"/>
    <mergeCell ref="F96:H96"/>
    <mergeCell ref="C92:D92"/>
    <mergeCell ref="E92:G92"/>
    <mergeCell ref="H92:I92"/>
    <mergeCell ref="C93:D94"/>
    <mergeCell ref="E93:G94"/>
    <mergeCell ref="H93:I94"/>
    <mergeCell ref="D135:E135"/>
    <mergeCell ref="D134:E134"/>
    <mergeCell ref="D133:E133"/>
    <mergeCell ref="D132:E132"/>
    <mergeCell ref="D131:E131"/>
    <mergeCell ref="D130:E130"/>
    <mergeCell ref="H132:I132"/>
    <mergeCell ref="H133:I133"/>
    <mergeCell ref="H134:I134"/>
    <mergeCell ref="H135:I135"/>
    <mergeCell ref="F135:G135"/>
    <mergeCell ref="F134:G134"/>
    <mergeCell ref="H125:I125"/>
    <mergeCell ref="H126:I127"/>
    <mergeCell ref="H128:I128"/>
    <mergeCell ref="H129:I129"/>
    <mergeCell ref="H130:I130"/>
    <mergeCell ref="H131:I131"/>
    <mergeCell ref="F128:G128"/>
    <mergeCell ref="F129:G129"/>
    <mergeCell ref="F130:G130"/>
    <mergeCell ref="B159:D159"/>
    <mergeCell ref="B158:D158"/>
    <mergeCell ref="C230:C231"/>
    <mergeCell ref="B179:C179"/>
    <mergeCell ref="B180:B181"/>
    <mergeCell ref="D180:E180"/>
    <mergeCell ref="B182:B184"/>
    <mergeCell ref="E482:F482"/>
    <mergeCell ref="F483:H483"/>
    <mergeCell ref="A128:B130"/>
    <mergeCell ref="F133:G133"/>
    <mergeCell ref="F132:G132"/>
    <mergeCell ref="F131:G131"/>
    <mergeCell ref="B156:D156"/>
    <mergeCell ref="B157:D157"/>
    <mergeCell ref="B155:D155"/>
    <mergeCell ref="B151:D152"/>
    <mergeCell ref="E151:G152"/>
    <mergeCell ref="A136:B138"/>
    <mergeCell ref="B139:I139"/>
    <mergeCell ref="C136:I138"/>
    <mergeCell ref="D129:E129"/>
    <mergeCell ref="D128:E128"/>
    <mergeCell ref="A134:B135"/>
    <mergeCell ref="A131:B133"/>
    <mergeCell ref="A248:I248"/>
    <mergeCell ref="E229:I229"/>
    <mergeCell ref="E227:I227"/>
    <mergeCell ref="E226:I226"/>
    <mergeCell ref="E232:I233"/>
    <mergeCell ref="E230:I231"/>
    <mergeCell ref="D230:D231"/>
    <mergeCell ref="B492:H492"/>
    <mergeCell ref="B493:H493"/>
    <mergeCell ref="B494:H494"/>
    <mergeCell ref="B495:H495"/>
    <mergeCell ref="B496:H496"/>
    <mergeCell ref="B497:H497"/>
    <mergeCell ref="B498:H498"/>
    <mergeCell ref="B499:H499"/>
    <mergeCell ref="B500:H500"/>
    <mergeCell ref="B488:H488"/>
    <mergeCell ref="F466:G466"/>
    <mergeCell ref="D467:F467"/>
    <mergeCell ref="B489:H489"/>
    <mergeCell ref="B490:H490"/>
    <mergeCell ref="B491:H491"/>
    <mergeCell ref="D470:E470"/>
    <mergeCell ref="F470:I470"/>
    <mergeCell ref="G467:I467"/>
    <mergeCell ref="E474:G474"/>
    <mergeCell ref="C475:E475"/>
    <mergeCell ref="C479:E479"/>
    <mergeCell ref="B487:G487"/>
    <mergeCell ref="B510:H510"/>
    <mergeCell ref="B511:H511"/>
    <mergeCell ref="B512:H512"/>
    <mergeCell ref="B513:H513"/>
    <mergeCell ref="B514:H514"/>
    <mergeCell ref="B515:H515"/>
    <mergeCell ref="B516:H516"/>
    <mergeCell ref="B517:H517"/>
    <mergeCell ref="B518:H518"/>
    <mergeCell ref="B501:H501"/>
    <mergeCell ref="B502:H502"/>
    <mergeCell ref="B503:H503"/>
    <mergeCell ref="B504:H504"/>
    <mergeCell ref="B505:H505"/>
    <mergeCell ref="B506:H506"/>
    <mergeCell ref="B507:H507"/>
    <mergeCell ref="B508:H508"/>
    <mergeCell ref="B509:H509"/>
    <mergeCell ref="B538:H538"/>
    <mergeCell ref="B539:H539"/>
    <mergeCell ref="B540:H540"/>
    <mergeCell ref="B541:H541"/>
    <mergeCell ref="B529:H529"/>
    <mergeCell ref="B530:H530"/>
    <mergeCell ref="B531:H531"/>
    <mergeCell ref="B532:H532"/>
    <mergeCell ref="B533:H533"/>
    <mergeCell ref="B534:H534"/>
    <mergeCell ref="B535:H535"/>
    <mergeCell ref="B536:H536"/>
    <mergeCell ref="B537:H537"/>
    <mergeCell ref="B519:H519"/>
    <mergeCell ref="B520:H520"/>
    <mergeCell ref="B522:H522"/>
    <mergeCell ref="B523:H523"/>
    <mergeCell ref="B524:H524"/>
    <mergeCell ref="B525:H525"/>
    <mergeCell ref="B526:H526"/>
    <mergeCell ref="B527:H527"/>
    <mergeCell ref="B528:H528"/>
    <mergeCell ref="C554:H554"/>
    <mergeCell ref="C553:H553"/>
    <mergeCell ref="B572:H572"/>
    <mergeCell ref="B548:H548"/>
    <mergeCell ref="B549:H549"/>
    <mergeCell ref="B551:H551"/>
    <mergeCell ref="B552:H552"/>
    <mergeCell ref="E581:I581"/>
    <mergeCell ref="B619:B622"/>
    <mergeCell ref="D622:I622"/>
    <mergeCell ref="C573:C578"/>
    <mergeCell ref="B573:B578"/>
    <mergeCell ref="D573:I573"/>
    <mergeCell ref="D574:I574"/>
    <mergeCell ref="D575:I575"/>
    <mergeCell ref="D577:I578"/>
    <mergeCell ref="B542:H542"/>
    <mergeCell ref="B543:H543"/>
    <mergeCell ref="B544:H544"/>
    <mergeCell ref="B545:H545"/>
    <mergeCell ref="B546:H546"/>
    <mergeCell ref="B547:H547"/>
    <mergeCell ref="B555:H555"/>
    <mergeCell ref="E605:I605"/>
    <mergeCell ref="E650:I650"/>
    <mergeCell ref="H655:I655"/>
    <mergeCell ref="H656:I656"/>
    <mergeCell ref="H657:I657"/>
    <mergeCell ref="H703:I703"/>
    <mergeCell ref="H704:I704"/>
    <mergeCell ref="E678:F678"/>
    <mergeCell ref="E684:F684"/>
    <mergeCell ref="E690:F690"/>
    <mergeCell ref="E696:F696"/>
    <mergeCell ref="E701:F701"/>
    <mergeCell ref="H658:I658"/>
    <mergeCell ref="E667:I667"/>
    <mergeCell ref="E668:I668"/>
    <mergeCell ref="E669:I669"/>
    <mergeCell ref="E670:I670"/>
    <mergeCell ref="E723:H723"/>
    <mergeCell ref="E730:H730"/>
    <mergeCell ref="E729:H729"/>
    <mergeCell ref="C619:C622"/>
    <mergeCell ref="E625:I625"/>
    <mergeCell ref="E626:I626"/>
    <mergeCell ref="E627:I627"/>
    <mergeCell ref="E596:I596"/>
    <mergeCell ref="E599:I599"/>
    <mergeCell ref="E600:I600"/>
    <mergeCell ref="E601:I601"/>
    <mergeCell ref="E602:I602"/>
    <mergeCell ref="H851:I851"/>
    <mergeCell ref="H852:I852"/>
    <mergeCell ref="H853:I853"/>
    <mergeCell ref="H854:I854"/>
    <mergeCell ref="H705:I705"/>
    <mergeCell ref="H706:I706"/>
    <mergeCell ref="H796:I796"/>
    <mergeCell ref="H797:I797"/>
    <mergeCell ref="H798:I798"/>
    <mergeCell ref="H799:I799"/>
    <mergeCell ref="D804:I804"/>
    <mergeCell ref="D805:I805"/>
    <mergeCell ref="D806:I806"/>
    <mergeCell ref="D807:I807"/>
    <mergeCell ref="D808:I808"/>
    <mergeCell ref="E718:F718"/>
    <mergeCell ref="E733:F733"/>
    <mergeCell ref="E748:F748"/>
    <mergeCell ref="E764:F764"/>
    <mergeCell ref="E789:F789"/>
    <mergeCell ref="E795:F795"/>
    <mergeCell ref="E826:F826"/>
    <mergeCell ref="E833:F833"/>
    <mergeCell ref="E728:H728"/>
    <mergeCell ref="E727:H727"/>
    <mergeCell ref="E726:H726"/>
    <mergeCell ref="E737:I737"/>
    <mergeCell ref="E738:I738"/>
    <mergeCell ref="E739:I739"/>
    <mergeCell ref="E740:I740"/>
    <mergeCell ref="E741:I741"/>
    <mergeCell ref="E742:I742"/>
    <mergeCell ref="C660:C664"/>
    <mergeCell ref="E636:F636"/>
    <mergeCell ref="E631:F631"/>
    <mergeCell ref="E640:F640"/>
    <mergeCell ref="E645:F645"/>
    <mergeCell ref="E652:F652"/>
    <mergeCell ref="E671:F671"/>
    <mergeCell ref="E720:H720"/>
    <mergeCell ref="E721:H721"/>
    <mergeCell ref="E756:I756"/>
    <mergeCell ref="E757:I757"/>
    <mergeCell ref="E758:I758"/>
    <mergeCell ref="G781:I781"/>
    <mergeCell ref="G782:I782"/>
    <mergeCell ref="G783:I783"/>
    <mergeCell ref="G784:I784"/>
    <mergeCell ref="G785:I785"/>
    <mergeCell ref="G786:I786"/>
    <mergeCell ref="E743:I743"/>
    <mergeCell ref="E744:I744"/>
    <mergeCell ref="E745:I745"/>
    <mergeCell ref="E750:I750"/>
    <mergeCell ref="E751:I751"/>
    <mergeCell ref="E752:I752"/>
    <mergeCell ref="E753:I753"/>
    <mergeCell ref="E754:I754"/>
    <mergeCell ref="E755:I755"/>
    <mergeCell ref="G771:I771"/>
    <mergeCell ref="G787:I787"/>
    <mergeCell ref="E759:I759"/>
    <mergeCell ref="E760:I760"/>
    <mergeCell ref="E761:I761"/>
    <mergeCell ref="E762:I762"/>
    <mergeCell ref="E766:I766"/>
    <mergeCell ref="E767:H767"/>
    <mergeCell ref="G772:I772"/>
    <mergeCell ref="G773:I773"/>
    <mergeCell ref="G774:I774"/>
    <mergeCell ref="G775:I775"/>
    <mergeCell ref="G776:I776"/>
    <mergeCell ref="G777:I777"/>
    <mergeCell ref="G778:I778"/>
    <mergeCell ref="G779:I779"/>
    <mergeCell ref="G780:I780"/>
    <mergeCell ref="F831:G831"/>
    <mergeCell ref="H828:I828"/>
    <mergeCell ref="H829:I829"/>
    <mergeCell ref="H830:I830"/>
    <mergeCell ref="H831:I831"/>
    <mergeCell ref="H835:I835"/>
    <mergeCell ref="E835:F835"/>
    <mergeCell ref="B902:G902"/>
    <mergeCell ref="B903:H903"/>
    <mergeCell ref="G788:I788"/>
    <mergeCell ref="G768:I768"/>
    <mergeCell ref="D768:F768"/>
    <mergeCell ref="D769:F769"/>
    <mergeCell ref="D770:F770"/>
    <mergeCell ref="D771:F771"/>
    <mergeCell ref="D772:F772"/>
    <mergeCell ref="D773:F773"/>
    <mergeCell ref="D774:F774"/>
    <mergeCell ref="D775:F775"/>
    <mergeCell ref="D776:F776"/>
    <mergeCell ref="D777:F777"/>
    <mergeCell ref="D778:F778"/>
    <mergeCell ref="D779:F779"/>
    <mergeCell ref="D780:F780"/>
    <mergeCell ref="D781:F781"/>
    <mergeCell ref="D782:F782"/>
    <mergeCell ref="D783:F783"/>
    <mergeCell ref="D784:F785"/>
    <mergeCell ref="D786:F787"/>
    <mergeCell ref="D788:F788"/>
    <mergeCell ref="G769:I769"/>
    <mergeCell ref="G770:I770"/>
    <mergeCell ref="E930:F930"/>
    <mergeCell ref="C937:D937"/>
    <mergeCell ref="C938:D938"/>
    <mergeCell ref="C939:D939"/>
    <mergeCell ref="C911:D911"/>
    <mergeCell ref="C912:D912"/>
    <mergeCell ref="C913:D913"/>
    <mergeCell ref="C914:D914"/>
    <mergeCell ref="C915:D915"/>
    <mergeCell ref="C918:D918"/>
    <mergeCell ref="C920:D920"/>
    <mergeCell ref="C922:D922"/>
    <mergeCell ref="C924:D924"/>
    <mergeCell ref="C927:D927"/>
    <mergeCell ref="C930:D930"/>
    <mergeCell ref="C931:D931"/>
    <mergeCell ref="G911:H911"/>
    <mergeCell ref="G912:H912"/>
    <mergeCell ref="G913:H913"/>
    <mergeCell ref="G914:H914"/>
    <mergeCell ref="G915:H915"/>
    <mergeCell ref="G918:H918"/>
    <mergeCell ref="G920:H920"/>
    <mergeCell ref="G922:H922"/>
    <mergeCell ref="G924:H924"/>
    <mergeCell ref="G927:H927"/>
    <mergeCell ref="G930:H930"/>
    <mergeCell ref="G933:H933"/>
    <mergeCell ref="E933:F933"/>
    <mergeCell ref="E934:F934"/>
    <mergeCell ref="E935:F935"/>
    <mergeCell ref="E927:F927"/>
    <mergeCell ref="E931:F932"/>
    <mergeCell ref="G931:H932"/>
    <mergeCell ref="C916:D917"/>
    <mergeCell ref="E916:F917"/>
    <mergeCell ref="G916:H917"/>
    <mergeCell ref="F942:G942"/>
    <mergeCell ref="F943:G943"/>
    <mergeCell ref="F944:G944"/>
    <mergeCell ref="F945:G945"/>
    <mergeCell ref="C919:H919"/>
    <mergeCell ref="C921:H921"/>
    <mergeCell ref="C923:H923"/>
    <mergeCell ref="C925:D926"/>
    <mergeCell ref="E925:F926"/>
    <mergeCell ref="G925:H926"/>
    <mergeCell ref="C928:D929"/>
    <mergeCell ref="E928:F929"/>
    <mergeCell ref="G928:H929"/>
    <mergeCell ref="G934:H934"/>
    <mergeCell ref="G935:H935"/>
    <mergeCell ref="G936:H936"/>
    <mergeCell ref="G937:H937"/>
    <mergeCell ref="G938:H938"/>
    <mergeCell ref="G939:H939"/>
    <mergeCell ref="E938:F938"/>
    <mergeCell ref="E939:F939"/>
    <mergeCell ref="C942:E942"/>
    <mergeCell ref="C943:E943"/>
    <mergeCell ref="C944:E944"/>
    <mergeCell ref="C945:E945"/>
    <mergeCell ref="C947:E947"/>
    <mergeCell ref="C948:E948"/>
    <mergeCell ref="C949:E949"/>
    <mergeCell ref="C950:E950"/>
    <mergeCell ref="C951:E951"/>
    <mergeCell ref="C952:E952"/>
    <mergeCell ref="C953:E953"/>
    <mergeCell ref="C954:E954"/>
    <mergeCell ref="C955:E955"/>
    <mergeCell ref="F954:G954"/>
    <mergeCell ref="F955:G955"/>
    <mergeCell ref="F956:G956"/>
    <mergeCell ref="F947:G947"/>
    <mergeCell ref="F950:G950"/>
    <mergeCell ref="F952:G952"/>
    <mergeCell ref="F946:G946"/>
    <mergeCell ref="H956:I956"/>
    <mergeCell ref="H950:I950"/>
    <mergeCell ref="H952:I952"/>
    <mergeCell ref="H954:I954"/>
    <mergeCell ref="H947:I947"/>
    <mergeCell ref="E1042:F1042"/>
    <mergeCell ref="E1043:F1043"/>
    <mergeCell ref="E1044:F1044"/>
    <mergeCell ref="E1045:F1045"/>
    <mergeCell ref="E1028:F1028"/>
    <mergeCell ref="E1029:F1029"/>
    <mergeCell ref="E1030:F1030"/>
    <mergeCell ref="E1031:F1031"/>
    <mergeCell ref="E1032:F1032"/>
    <mergeCell ref="E1033:F1033"/>
    <mergeCell ref="E1034:F1034"/>
    <mergeCell ref="E1035:F1035"/>
    <mergeCell ref="A1054:E1054"/>
    <mergeCell ref="A1057:D1057"/>
    <mergeCell ref="A1060:C1060"/>
    <mergeCell ref="B1064:D1064"/>
    <mergeCell ref="H1049:I1049"/>
    <mergeCell ref="C1050:I1050"/>
    <mergeCell ref="C1051:I1051"/>
    <mergeCell ref="B1052:I1052"/>
    <mergeCell ref="G1033:G1034"/>
    <mergeCell ref="H1033:I1034"/>
    <mergeCell ref="E1036:F1037"/>
    <mergeCell ref="G1036:G1037"/>
    <mergeCell ref="H1036:I1037"/>
    <mergeCell ref="H1038:I1038"/>
    <mergeCell ref="H1039:I1039"/>
    <mergeCell ref="H1040:I1040"/>
    <mergeCell ref="H1041:I1041"/>
    <mergeCell ref="H1042:I1042"/>
    <mergeCell ref="H1043:I1043"/>
    <mergeCell ref="H1044:I1044"/>
    <mergeCell ref="H1045:I1045"/>
    <mergeCell ref="C1036:D1037"/>
    <mergeCell ref="C1038:D1038"/>
    <mergeCell ref="C1039:D1039"/>
    <mergeCell ref="C1040:D1040"/>
    <mergeCell ref="C1041:D1041"/>
    <mergeCell ref="C1042:D1042"/>
    <mergeCell ref="C1043:D1043"/>
    <mergeCell ref="C1044:D1044"/>
    <mergeCell ref="C1045:D1045"/>
    <mergeCell ref="H1046:I1046"/>
    <mergeCell ref="H1047:I1047"/>
    <mergeCell ref="B1065:B1067"/>
    <mergeCell ref="C1065:C1067"/>
    <mergeCell ref="H1065:H1067"/>
    <mergeCell ref="B1068:B1093"/>
    <mergeCell ref="B1094:B1095"/>
    <mergeCell ref="C1094:C1095"/>
    <mergeCell ref="H1094:H1095"/>
    <mergeCell ref="D1065:G1065"/>
    <mergeCell ref="D1066:G1066"/>
    <mergeCell ref="D1067:G1067"/>
    <mergeCell ref="D1068:G1068"/>
    <mergeCell ref="D1069:G1069"/>
    <mergeCell ref="D1070:G1070"/>
    <mergeCell ref="D1071:G1071"/>
    <mergeCell ref="D1072:G1072"/>
    <mergeCell ref="D1073:G1073"/>
    <mergeCell ref="D1074:G1074"/>
    <mergeCell ref="D1075:G1075"/>
    <mergeCell ref="D1076:G1076"/>
    <mergeCell ref="D1077:G1077"/>
    <mergeCell ref="C1126:C1127"/>
    <mergeCell ref="D1126:D1127"/>
    <mergeCell ref="D1132:D1133"/>
    <mergeCell ref="E1132:E1133"/>
    <mergeCell ref="B1132:B1134"/>
    <mergeCell ref="C1132:C1134"/>
    <mergeCell ref="D1134:I1134"/>
    <mergeCell ref="B1135:B1136"/>
    <mergeCell ref="C1135:C1136"/>
    <mergeCell ref="B1137:B1138"/>
    <mergeCell ref="C1137:C1138"/>
    <mergeCell ref="D1138:I1138"/>
    <mergeCell ref="D1078:G1078"/>
    <mergeCell ref="D1079:G1079"/>
    <mergeCell ref="D1080:G1080"/>
    <mergeCell ref="B1114:B1115"/>
    <mergeCell ref="B1118:B1119"/>
    <mergeCell ref="G1118:G1119"/>
    <mergeCell ref="D1094:G1095"/>
    <mergeCell ref="D1090:G1090"/>
    <mergeCell ref="D1091:G1091"/>
    <mergeCell ref="D1092:G1092"/>
    <mergeCell ref="D1093:G1093"/>
    <mergeCell ref="D1081:G1081"/>
    <mergeCell ref="D1082:G1082"/>
    <mergeCell ref="D1083:G1083"/>
    <mergeCell ref="D1084:G1084"/>
    <mergeCell ref="D1085:G1085"/>
    <mergeCell ref="D1086:G1086"/>
    <mergeCell ref="D1087:G1087"/>
    <mergeCell ref="D1088:G1088"/>
    <mergeCell ref="D1089:G1089"/>
    <mergeCell ref="B1161:H1161"/>
    <mergeCell ref="B1097:E1097"/>
    <mergeCell ref="B1098:D1098"/>
    <mergeCell ref="A1099:H1099"/>
    <mergeCell ref="A995:I995"/>
    <mergeCell ref="B1125:E1125"/>
    <mergeCell ref="H1118:I1118"/>
    <mergeCell ref="H1119:I1119"/>
    <mergeCell ref="H1120:I1121"/>
    <mergeCell ref="D1118:F1119"/>
    <mergeCell ref="D1120:F1121"/>
    <mergeCell ref="B1150:I1150"/>
    <mergeCell ref="B1151:I1151"/>
    <mergeCell ref="B1107:E1107"/>
    <mergeCell ref="C1100:H1100"/>
    <mergeCell ref="C1101:F1101"/>
    <mergeCell ref="B1117:H1117"/>
    <mergeCell ref="B1109:F1109"/>
    <mergeCell ref="F1135:G1135"/>
    <mergeCell ref="F1132:G1133"/>
    <mergeCell ref="F1141:G1143"/>
    <mergeCell ref="H1132:H1133"/>
    <mergeCell ref="I1132:I1133"/>
    <mergeCell ref="A1139:A1149"/>
    <mergeCell ref="B1139:I1139"/>
    <mergeCell ref="B1140:C1140"/>
    <mergeCell ref="D1141:D1143"/>
    <mergeCell ref="E1141:E1143"/>
    <mergeCell ref="F1137:G1137"/>
    <mergeCell ref="I1141:I1143"/>
    <mergeCell ref="B1145:B1149"/>
    <mergeCell ref="D1136:I1136"/>
    <mergeCell ref="B1141:C1143"/>
    <mergeCell ref="D1144:I1144"/>
    <mergeCell ref="B1153:H1153"/>
    <mergeCell ref="B1154:H1154"/>
    <mergeCell ref="B1155:H1155"/>
    <mergeCell ref="B1156:H1156"/>
    <mergeCell ref="B1157:H1157"/>
    <mergeCell ref="B1158:H1158"/>
    <mergeCell ref="B1159:H1159"/>
    <mergeCell ref="B1160:H1160"/>
    <mergeCell ref="B1144:C1144"/>
    <mergeCell ref="D29:F72"/>
    <mergeCell ref="A378:H378"/>
    <mergeCell ref="B550:G550"/>
    <mergeCell ref="C556:H556"/>
    <mergeCell ref="C557:I557"/>
    <mergeCell ref="C558:I558"/>
    <mergeCell ref="H1126:H1127"/>
    <mergeCell ref="C1128:C1130"/>
    <mergeCell ref="D1128:D1130"/>
    <mergeCell ref="E1128:E1130"/>
    <mergeCell ref="H1128:H1130"/>
    <mergeCell ref="I1128:I1130"/>
    <mergeCell ref="F1128:G1130"/>
    <mergeCell ref="F1126:G1127"/>
    <mergeCell ref="B1128:B1131"/>
    <mergeCell ref="D1131:I1131"/>
    <mergeCell ref="B1120:B1121"/>
    <mergeCell ref="C1120:C1121"/>
    <mergeCell ref="G1120:G1121"/>
    <mergeCell ref="A1126:A1137"/>
    <mergeCell ref="B1126:B1127"/>
  </mergeCells>
  <phoneticPr fontId="9" type="noConversion"/>
  <conditionalFormatting sqref="B572:I572 B573:D573 D574:D577 B579:I617 B618:C619 D618:I620 C620:C622 H621:I621 D622 B623:I660 C661:I664 B665:I666 B667:B671 D667:I671 B672:I679 B680:D682 F680:I682 B683:I685 B686:D688 B689:I691 B692:D694 F692:I694 B695:I697 B698:D699 F698:I699 B700:I707 C708:I711 B712:I713 B714:D716 F714:I717 C717:D717 B718:I718 B719:E719 B732:I734 B735:D745 B746:G746 I746 B747:I749 B750:D762 B763:I765 B786:C788 B789:I796 G796:I799 B797:C800 B801:F802 B803:I804 C805:I808 B809:I812 D813:F819 H813:I819 B813:B820 D820:I820 B821:I822 B823:B824 I823:I824 B825:I827 E828:F831 H828:H831 B832:I834 G835:H835 B835:E839 G836:I839 B840:I855">
    <cfRule type="containsText" dxfId="7" priority="3" operator="containsText" text="人事費">
      <formula>NOT(ISERROR(SEARCH("人事費",B572)))</formula>
    </cfRule>
  </conditionalFormatting>
  <conditionalFormatting sqref="B803:I804 C805:I808 B572:I572 B573:D573 D574:D577 B579:I617 B618:C619 D618:I620 C620:C622 H621:I621 D622 B623:I660 C661:I664 B665:I666 B667:B671 D667:I671 B672:I679 B680:D682 F680:I682 B683:I685 B686:D688 B689:I691 B692:D694 F692:I694 B695:I697 B698:D699 F698:I699 B700:I707 C708:I711 B712:I713 B714:D716 F714:I717 C717:D717 B718:I718 B719:E719 B732:I734 B735:D745 B746:G746 I746 B747:I749 B750:D762 B763:I765 B786:C788 B789:I796 G796:I799 B797:C800 B801:F802 B809:I812 D813:F819 H813:I819 B813:B820 D820:I820 B821:I822 B823:B824 I823:I824 B825:I827 E828:F831 H828:H831 B832:I834 G835:H835 B835:E839 G836:I839 B840:I855">
    <cfRule type="containsText" dxfId="6" priority="2" operator="containsText" text="費用小計">
      <formula>NOT(ISERROR(SEARCH("費用小計",B572)))</formula>
    </cfRule>
  </conditionalFormatting>
  <conditionalFormatting sqref="B804:I804 C805:I808">
    <cfRule type="colorScale" priority="1">
      <colorScale>
        <cfvo type="min"/>
        <cfvo type="percentile" val="50"/>
        <cfvo type="max"/>
        <color rgb="FF63BE7B"/>
        <color rgb="FFFFEB84"/>
        <color rgb="FFF8696B"/>
      </colorScale>
    </cfRule>
  </conditionalFormatting>
  <conditionalFormatting sqref="D455:H461 D462:G462">
    <cfRule type="cellIs" dxfId="5" priority="8" operator="equal">
      <formula>"餐飲商家"</formula>
    </cfRule>
    <cfRule type="cellIs" dxfId="4" priority="9" operator="equal">
      <formula>"專勤隊員"</formula>
    </cfRule>
  </conditionalFormatting>
  <conditionalFormatting sqref="H443:I454">
    <cfRule type="cellIs" dxfId="3" priority="4" operator="equal">
      <formula>"專勤隊員"</formula>
    </cfRule>
    <cfRule type="cellIs" dxfId="2" priority="5" operator="equal">
      <formula>"專勤隊員"</formula>
    </cfRule>
    <cfRule type="cellIs" dxfId="1" priority="6" operator="equal">
      <formula>"物業管理公司"</formula>
    </cfRule>
    <cfRule type="cellIs" dxfId="0" priority="7" operator="equal">
      <formula>"管委會"</formula>
    </cfRule>
  </conditionalFormatting>
  <hyperlinks>
    <hyperlink ref="B1062" location="計畫架構圖表!A1" display="詳見計畫架構表" xr:uid="{E31889BB-B917-462D-B733-22ABD4876FF8}"/>
  </hyperlinks>
  <pageMargins left="0.15748031496062992" right="0.23622047244094491" top="1.3779527559055118" bottom="0.74803149606299213" header="0.31496062992125984" footer="0.31496062992125984"/>
  <pageSetup paperSize="9" scale="95" orientation="portrait" r:id="rId1"/>
  <headerFooter>
    <oddFooter>&amp;C&amp;"王漢宗中行書繁,粗體"五常物業規劃顧問股份有限公司&amp;R &amp;"細明體,標準"第&amp;"Times New Roman,標準" &amp;P &amp;"細明體,標準"頁</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5057-5DD3-4DBC-9EB7-3F2B5F9DE8BD}">
  <dimension ref="A1:M70"/>
  <sheetViews>
    <sheetView topLeftCell="A45" zoomScale="73" zoomScaleNormal="73" workbookViewId="0">
      <selection activeCell="E56" sqref="E56"/>
    </sheetView>
  </sheetViews>
  <sheetFormatPr defaultRowHeight="15.6"/>
  <cols>
    <col min="1" max="1" width="4.09765625" customWidth="1"/>
    <col min="2" max="2" width="3.8984375" customWidth="1"/>
    <col min="3" max="3" width="3.5" customWidth="1"/>
    <col min="4" max="4" width="31.8984375" customWidth="1"/>
    <col min="5" max="5" width="21.59765625" customWidth="1"/>
    <col min="6" max="6" width="19.19921875" customWidth="1"/>
    <col min="7" max="7" width="47.19921875" customWidth="1"/>
    <col min="11" max="11" width="27.5" customWidth="1"/>
    <col min="12" max="12" width="16.296875" customWidth="1"/>
    <col min="13" max="13" width="11" customWidth="1"/>
  </cols>
  <sheetData>
    <row r="1" spans="1:13" ht="30" customHeight="1" thickBot="1">
      <c r="A1" s="1322" t="s">
        <v>304</v>
      </c>
      <c r="B1" s="1323"/>
      <c r="C1" s="1323"/>
      <c r="D1" s="1323"/>
      <c r="E1" s="1323"/>
      <c r="F1" s="1323"/>
      <c r="G1" s="1324"/>
    </row>
    <row r="2" spans="1:13" ht="30" customHeight="1" thickBot="1">
      <c r="A2" s="1325" t="s">
        <v>466</v>
      </c>
      <c r="B2" s="1326"/>
      <c r="C2" s="1326"/>
      <c r="D2" s="1326"/>
      <c r="E2" s="1326"/>
      <c r="F2" s="1326"/>
      <c r="G2" s="1327"/>
    </row>
    <row r="3" spans="1:13" ht="30" customHeight="1" thickBot="1">
      <c r="A3" s="344" t="s">
        <v>305</v>
      </c>
      <c r="B3" s="345" t="s">
        <v>306</v>
      </c>
      <c r="C3" s="345" t="s">
        <v>307</v>
      </c>
      <c r="D3" s="345" t="s">
        <v>308</v>
      </c>
      <c r="E3" s="346" t="s">
        <v>309</v>
      </c>
      <c r="F3" s="346" t="s">
        <v>310</v>
      </c>
      <c r="G3" s="345" t="s">
        <v>311</v>
      </c>
    </row>
    <row r="4" spans="1:13" ht="30" customHeight="1" thickBot="1">
      <c r="A4" s="344">
        <v>1</v>
      </c>
      <c r="B4" s="345">
        <v>1</v>
      </c>
      <c r="C4" s="345">
        <v>1</v>
      </c>
      <c r="D4" s="345" t="s">
        <v>312</v>
      </c>
      <c r="E4" s="347">
        <f>2400000/2+90000</f>
        <v>1290000</v>
      </c>
      <c r="F4" s="402">
        <f>3000000+180000</f>
        <v>3180000</v>
      </c>
      <c r="G4" s="349" t="s">
        <v>358</v>
      </c>
    </row>
    <row r="5" spans="1:13" ht="30" customHeight="1" thickBot="1">
      <c r="A5" s="400"/>
      <c r="B5" s="401"/>
      <c r="C5" s="401"/>
      <c r="D5" s="401" t="s">
        <v>490</v>
      </c>
      <c r="E5" s="403">
        <v>0</v>
      </c>
      <c r="F5" s="404">
        <f>3000*3*12</f>
        <v>108000</v>
      </c>
      <c r="G5" s="405"/>
      <c r="K5" s="336" t="s">
        <v>497</v>
      </c>
    </row>
    <row r="6" spans="1:13" ht="30" customHeight="1">
      <c r="A6" s="1328">
        <v>1</v>
      </c>
      <c r="B6" s="1328">
        <v>1</v>
      </c>
      <c r="C6" s="1328">
        <v>2</v>
      </c>
      <c r="D6" s="1328" t="s">
        <v>313</v>
      </c>
      <c r="E6" s="1330">
        <f>1200000/2</f>
        <v>600000</v>
      </c>
      <c r="F6" s="1332">
        <v>1800000</v>
      </c>
      <c r="G6" s="349" t="s">
        <v>314</v>
      </c>
      <c r="K6" s="408">
        <f>E4-E30-E31-E39-E42-E51+120000</f>
        <v>512360.80000000005</v>
      </c>
    </row>
    <row r="7" spans="1:13" ht="30" customHeight="1" thickBot="1">
      <c r="A7" s="1329"/>
      <c r="B7" s="1329"/>
      <c r="C7" s="1329"/>
      <c r="D7" s="1329"/>
      <c r="E7" s="1331"/>
      <c r="F7" s="1331"/>
      <c r="G7" s="348" t="s">
        <v>315</v>
      </c>
      <c r="K7" s="336" t="s">
        <v>498</v>
      </c>
    </row>
    <row r="8" spans="1:13" ht="30" customHeight="1" thickBot="1">
      <c r="A8" s="344">
        <v>1</v>
      </c>
      <c r="B8" s="345">
        <v>2</v>
      </c>
      <c r="C8" s="345">
        <v>1</v>
      </c>
      <c r="D8" s="345" t="s">
        <v>316</v>
      </c>
      <c r="E8" s="347">
        <f>計畫架構圖表!L100*1000*40%</f>
        <v>1035604.3</v>
      </c>
      <c r="F8" s="347">
        <f>(計畫架構圖表!M100*40%*1000)+510000+200000</f>
        <v>1179216.5</v>
      </c>
      <c r="G8" s="348" t="s">
        <v>1562</v>
      </c>
      <c r="K8" s="408">
        <f>E46+E47+E48-200000</f>
        <v>1006900</v>
      </c>
    </row>
    <row r="9" spans="1:13" ht="30" customHeight="1" thickBot="1">
      <c r="A9" s="1333" t="s">
        <v>317</v>
      </c>
      <c r="B9" s="1334"/>
      <c r="C9" s="1334"/>
      <c r="D9" s="1335"/>
      <c r="E9" s="350">
        <f>SUM(E4:E8)</f>
        <v>2925604.3</v>
      </c>
      <c r="F9" s="350">
        <f>SUM(F4:F8)</f>
        <v>6267216.5</v>
      </c>
      <c r="G9" s="351"/>
    </row>
    <row r="10" spans="1:13" ht="30" customHeight="1" thickBot="1">
      <c r="A10" s="344">
        <v>1</v>
      </c>
      <c r="B10" s="345">
        <v>2</v>
      </c>
      <c r="C10" s="345">
        <v>2</v>
      </c>
      <c r="D10" s="345" t="s">
        <v>318</v>
      </c>
      <c r="E10" s="347"/>
      <c r="F10" s="347"/>
      <c r="G10" s="348" t="s">
        <v>319</v>
      </c>
      <c r="K10" s="336" t="s">
        <v>500</v>
      </c>
    </row>
    <row r="11" spans="1:13" ht="30" customHeight="1" thickBot="1">
      <c r="A11" s="344">
        <v>1</v>
      </c>
      <c r="B11" s="345">
        <v>2</v>
      </c>
      <c r="C11" s="345">
        <v>3</v>
      </c>
      <c r="D11" s="345" t="s">
        <v>320</v>
      </c>
      <c r="E11" s="347"/>
      <c r="F11" s="347"/>
      <c r="G11" s="348" t="s">
        <v>321</v>
      </c>
      <c r="K11" s="336" t="s">
        <v>502</v>
      </c>
      <c r="L11" s="336" t="s">
        <v>501</v>
      </c>
      <c r="M11" s="336" t="s">
        <v>503</v>
      </c>
    </row>
    <row r="12" spans="1:13" ht="30" customHeight="1" thickBot="1">
      <c r="A12" s="344">
        <v>1</v>
      </c>
      <c r="B12" s="345">
        <v>2</v>
      </c>
      <c r="C12" s="345">
        <v>4</v>
      </c>
      <c r="D12" s="345" t="s">
        <v>322</v>
      </c>
      <c r="E12" s="347"/>
      <c r="F12" s="347"/>
      <c r="G12" s="348" t="s">
        <v>319</v>
      </c>
      <c r="K12" s="409">
        <f>K8*60%</f>
        <v>604140</v>
      </c>
      <c r="L12">
        <f>K6*60%</f>
        <v>307416.48000000004</v>
      </c>
      <c r="M12" s="410">
        <f>L12/6</f>
        <v>51236.080000000009</v>
      </c>
    </row>
    <row r="13" spans="1:13" ht="30" customHeight="1" thickBot="1">
      <c r="A13" s="411"/>
      <c r="B13" s="412"/>
      <c r="C13" s="412"/>
      <c r="D13" s="345" t="s">
        <v>506</v>
      </c>
      <c r="E13" s="347"/>
      <c r="F13" s="347"/>
      <c r="G13" s="348"/>
      <c r="K13" s="409"/>
      <c r="M13" s="410"/>
    </row>
    <row r="14" spans="1:13" ht="30" customHeight="1" thickBot="1">
      <c r="A14" s="1333" t="s">
        <v>505</v>
      </c>
      <c r="B14" s="1334"/>
      <c r="C14" s="1334"/>
      <c r="D14" s="1335"/>
      <c r="E14" s="347"/>
      <c r="F14" s="347"/>
      <c r="G14" s="348"/>
    </row>
    <row r="15" spans="1:13" ht="30" customHeight="1">
      <c r="A15" s="1328">
        <v>3</v>
      </c>
      <c r="B15" s="1328">
        <v>3</v>
      </c>
      <c r="C15" s="1328">
        <v>1</v>
      </c>
      <c r="D15" s="1328" t="s">
        <v>323</v>
      </c>
      <c r="E15" s="1330">
        <v>6000000</v>
      </c>
      <c r="F15" s="1320"/>
      <c r="G15" s="349" t="s">
        <v>374</v>
      </c>
      <c r="K15" s="336" t="s">
        <v>499</v>
      </c>
    </row>
    <row r="16" spans="1:13" ht="30" customHeight="1" thickBot="1">
      <c r="A16" s="1329"/>
      <c r="B16" s="1329"/>
      <c r="C16" s="1329"/>
      <c r="D16" s="1329"/>
      <c r="E16" s="1331"/>
      <c r="F16" s="1321"/>
      <c r="G16" s="348" t="s">
        <v>375</v>
      </c>
      <c r="K16" s="336" t="s">
        <v>502</v>
      </c>
      <c r="L16" s="336" t="s">
        <v>501</v>
      </c>
      <c r="M16" s="336" t="s">
        <v>503</v>
      </c>
    </row>
    <row r="17" spans="1:11" ht="30" customHeight="1" thickBot="1">
      <c r="A17" s="344">
        <v>1</v>
      </c>
      <c r="B17" s="345">
        <v>4</v>
      </c>
      <c r="C17" s="345">
        <v>1</v>
      </c>
      <c r="D17" s="345" t="s">
        <v>324</v>
      </c>
      <c r="E17" s="347">
        <v>0</v>
      </c>
      <c r="F17" s="347"/>
      <c r="G17" s="348" t="s">
        <v>319</v>
      </c>
    </row>
    <row r="18" spans="1:11" ht="30" customHeight="1" thickBot="1">
      <c r="A18" s="344"/>
      <c r="B18" s="345">
        <v>3</v>
      </c>
      <c r="C18" s="345">
        <v>3</v>
      </c>
      <c r="D18" s="345" t="s">
        <v>495</v>
      </c>
      <c r="E18" s="347">
        <v>0</v>
      </c>
      <c r="F18" s="347">
        <f>E70</f>
        <v>2069918.9750000006</v>
      </c>
      <c r="G18" s="348" t="s">
        <v>319</v>
      </c>
      <c r="K18">
        <f>60/0.4</f>
        <v>150</v>
      </c>
    </row>
    <row r="19" spans="1:11" ht="30" customHeight="1" thickBot="1">
      <c r="A19" s="1333" t="s">
        <v>507</v>
      </c>
      <c r="B19" s="1334"/>
      <c r="C19" s="1334"/>
      <c r="D19" s="1335"/>
      <c r="E19" s="350">
        <f>SUM(E15:E18)</f>
        <v>6000000</v>
      </c>
      <c r="F19" s="350">
        <f>SUM(F15:F18)</f>
        <v>2069918.9750000006</v>
      </c>
      <c r="G19" s="351"/>
    </row>
    <row r="20" spans="1:11" ht="45" customHeight="1" thickBot="1">
      <c r="A20" s="344">
        <v>1</v>
      </c>
      <c r="B20" s="345">
        <v>4</v>
      </c>
      <c r="C20" s="345">
        <v>2</v>
      </c>
      <c r="D20" s="345" t="s">
        <v>504</v>
      </c>
      <c r="E20" s="347">
        <v>0</v>
      </c>
      <c r="F20" s="347">
        <v>0</v>
      </c>
      <c r="G20" s="348" t="s">
        <v>325</v>
      </c>
    </row>
    <row r="21" spans="1:11" ht="30" customHeight="1" thickBot="1">
      <c r="A21" s="344">
        <v>1</v>
      </c>
      <c r="B21" s="345">
        <v>4</v>
      </c>
      <c r="C21" s="345">
        <v>3</v>
      </c>
      <c r="D21" s="345" t="s">
        <v>326</v>
      </c>
      <c r="E21" s="347">
        <v>0</v>
      </c>
      <c r="F21" s="347">
        <v>0</v>
      </c>
      <c r="G21" s="348" t="s">
        <v>327</v>
      </c>
    </row>
    <row r="22" spans="1:11" ht="30" customHeight="1" thickBot="1">
      <c r="A22" s="1333" t="s">
        <v>328</v>
      </c>
      <c r="B22" s="1334"/>
      <c r="C22" s="1334"/>
      <c r="D22" s="1335"/>
      <c r="E22" s="350">
        <f>SUM(E20:E21)</f>
        <v>0</v>
      </c>
      <c r="F22" s="350">
        <f>SUM(F20:F21)</f>
        <v>0</v>
      </c>
      <c r="G22" s="351"/>
    </row>
    <row r="23" spans="1:11" ht="30" customHeight="1" thickBot="1">
      <c r="A23" s="1336" t="s">
        <v>329</v>
      </c>
      <c r="B23" s="1337"/>
      <c r="C23" s="1337"/>
      <c r="D23" s="1338"/>
      <c r="E23" s="352">
        <f>E9+E19+E22</f>
        <v>8925604.3000000007</v>
      </c>
      <c r="F23" s="352">
        <f>F9+F19+F22</f>
        <v>8337135.4750000006</v>
      </c>
      <c r="G23" s="353"/>
    </row>
    <row r="24" spans="1:11" ht="30" customHeight="1" thickBot="1">
      <c r="A24" s="1325" t="s">
        <v>330</v>
      </c>
      <c r="B24" s="1326"/>
      <c r="C24" s="1326"/>
      <c r="D24" s="1326"/>
      <c r="E24" s="1326"/>
      <c r="F24" s="1326"/>
      <c r="G24" s="1327"/>
    </row>
    <row r="25" spans="1:11" ht="30" customHeight="1" thickBot="1">
      <c r="A25" s="367"/>
      <c r="B25" s="368"/>
      <c r="C25" s="368"/>
      <c r="D25" s="368"/>
      <c r="E25" s="368"/>
      <c r="F25" s="368"/>
      <c r="G25" s="348"/>
    </row>
    <row r="26" spans="1:11" ht="30" customHeight="1" thickBot="1">
      <c r="A26" s="367">
        <v>2</v>
      </c>
      <c r="B26" s="368"/>
      <c r="C26" s="368"/>
      <c r="D26" s="368" t="s">
        <v>359</v>
      </c>
      <c r="E26" s="368"/>
      <c r="F26" s="368"/>
      <c r="G26" s="348"/>
    </row>
    <row r="27" spans="1:11" ht="30" customHeight="1" thickBot="1">
      <c r="A27" s="367">
        <v>2</v>
      </c>
      <c r="B27" s="368">
        <v>1</v>
      </c>
      <c r="C27" s="368"/>
      <c r="D27" s="368" t="s">
        <v>360</v>
      </c>
      <c r="E27" s="368"/>
      <c r="F27" s="368"/>
      <c r="G27" s="348"/>
    </row>
    <row r="28" spans="1:11" ht="30" customHeight="1" thickBot="1">
      <c r="A28" s="344">
        <v>2</v>
      </c>
      <c r="B28" s="345">
        <v>1</v>
      </c>
      <c r="C28" s="345">
        <v>1</v>
      </c>
      <c r="D28" s="345" t="s">
        <v>331</v>
      </c>
      <c r="E28" s="347">
        <f>SUM(人事費!B7:B12)*6</f>
        <v>835200</v>
      </c>
      <c r="F28" s="347">
        <f>SUM(人事費!B7:B12)*12</f>
        <v>1670400</v>
      </c>
      <c r="G28" s="345" t="s">
        <v>332</v>
      </c>
    </row>
    <row r="29" spans="1:11" ht="30" customHeight="1" thickBot="1">
      <c r="A29" s="344">
        <v>2</v>
      </c>
      <c r="B29" s="345">
        <v>1</v>
      </c>
      <c r="C29" s="345">
        <v>2</v>
      </c>
      <c r="D29" s="345" t="s">
        <v>333</v>
      </c>
      <c r="E29" s="347">
        <f>SUM(人事費!C7:C12)*6</f>
        <v>492000</v>
      </c>
      <c r="F29" s="347">
        <f>SUM(人事費!C7:C12)*12</f>
        <v>984000</v>
      </c>
      <c r="G29" s="345" t="s">
        <v>334</v>
      </c>
    </row>
    <row r="30" spans="1:11" ht="30" customHeight="1" thickBot="1">
      <c r="A30" s="344">
        <v>2</v>
      </c>
      <c r="B30" s="345">
        <v>1</v>
      </c>
      <c r="C30" s="345">
        <v>3</v>
      </c>
      <c r="D30" s="345" t="s">
        <v>335</v>
      </c>
      <c r="E30" s="347">
        <f>(E28+E29)*0.11*0.6</f>
        <v>87595.199999999997</v>
      </c>
      <c r="F30" s="347">
        <f>(F28+F29)*0.11*0.6</f>
        <v>175190.39999999999</v>
      </c>
      <c r="G30" s="348" t="s">
        <v>486</v>
      </c>
    </row>
    <row r="31" spans="1:11" ht="30" customHeight="1" thickBot="1">
      <c r="A31" s="344">
        <v>2</v>
      </c>
      <c r="B31" s="345">
        <v>1</v>
      </c>
      <c r="C31" s="345">
        <v>4</v>
      </c>
      <c r="D31" s="345" t="s">
        <v>336</v>
      </c>
      <c r="E31" s="347">
        <f>(E28+E29)*0.02</f>
        <v>26544</v>
      </c>
      <c r="F31" s="347">
        <f>(F28+F29)*0.02</f>
        <v>53088</v>
      </c>
      <c r="G31" s="348" t="s">
        <v>486</v>
      </c>
    </row>
    <row r="32" spans="1:11" ht="30" customHeight="1" thickBot="1">
      <c r="A32" s="344">
        <v>2</v>
      </c>
      <c r="B32" s="345">
        <v>1</v>
      </c>
      <c r="C32" s="345">
        <v>5</v>
      </c>
      <c r="D32" s="345" t="s">
        <v>337</v>
      </c>
      <c r="E32" s="347">
        <v>15000</v>
      </c>
      <c r="F32" s="347">
        <v>30000</v>
      </c>
      <c r="G32" s="348" t="s">
        <v>338</v>
      </c>
    </row>
    <row r="33" spans="1:13" ht="30" customHeight="1" thickBot="1">
      <c r="A33" s="344">
        <v>2</v>
      </c>
      <c r="B33" s="345">
        <v>1</v>
      </c>
      <c r="C33" s="345">
        <v>6</v>
      </c>
      <c r="D33" s="345" t="s">
        <v>339</v>
      </c>
      <c r="E33" s="347">
        <v>0</v>
      </c>
      <c r="F33" s="347">
        <v>0</v>
      </c>
      <c r="G33" s="345"/>
    </row>
    <row r="34" spans="1:13" ht="30" customHeight="1" thickBot="1">
      <c r="A34" s="344">
        <v>2</v>
      </c>
      <c r="B34" s="345">
        <v>1</v>
      </c>
      <c r="C34" s="345">
        <v>7</v>
      </c>
      <c r="D34" s="345" t="s">
        <v>340</v>
      </c>
      <c r="E34" s="347">
        <f>計畫架構圖表!E84+計畫架構圖表!F84*1000</f>
        <v>30030</v>
      </c>
      <c r="F34" s="347">
        <v>80000</v>
      </c>
      <c r="G34" s="345"/>
    </row>
    <row r="35" spans="1:13" ht="30" customHeight="1" thickBot="1">
      <c r="A35" s="1333" t="s">
        <v>341</v>
      </c>
      <c r="B35" s="1334"/>
      <c r="C35" s="1334"/>
      <c r="D35" s="1335"/>
      <c r="E35" s="350">
        <f>SUM(E28:E34)</f>
        <v>1486369.2</v>
      </c>
      <c r="F35" s="350">
        <f>SUM(F28:F34)</f>
        <v>2992678.4</v>
      </c>
      <c r="G35" s="354"/>
    </row>
    <row r="36" spans="1:13" ht="30" customHeight="1" thickBot="1">
      <c r="A36" s="369">
        <v>2</v>
      </c>
      <c r="B36" s="370">
        <v>2</v>
      </c>
      <c r="C36" s="370"/>
      <c r="D36" s="354" t="s">
        <v>361</v>
      </c>
      <c r="E36" s="350"/>
      <c r="F36" s="350"/>
      <c r="G36" s="354"/>
    </row>
    <row r="37" spans="1:13" ht="30" customHeight="1" thickBot="1">
      <c r="A37" s="344">
        <v>2</v>
      </c>
      <c r="B37" s="345">
        <v>2</v>
      </c>
      <c r="C37" s="345">
        <v>1</v>
      </c>
      <c r="D37" s="345" t="s">
        <v>494</v>
      </c>
      <c r="E37" s="347">
        <f>(E48-400000)*0.05</f>
        <v>16845.000000000007</v>
      </c>
      <c r="F37" s="347">
        <v>20000</v>
      </c>
      <c r="G37" s="345" t="s">
        <v>342</v>
      </c>
      <c r="M37">
        <f>365*500</f>
        <v>182500</v>
      </c>
    </row>
    <row r="38" spans="1:13" ht="30" customHeight="1" thickBot="1">
      <c r="A38" s="344"/>
      <c r="B38" s="345">
        <v>2</v>
      </c>
      <c r="C38" s="345">
        <v>2</v>
      </c>
      <c r="D38" s="345" t="s">
        <v>343</v>
      </c>
      <c r="E38" s="347">
        <v>5000</v>
      </c>
      <c r="F38" s="347">
        <v>5000</v>
      </c>
      <c r="G38" s="345" t="s">
        <v>344</v>
      </c>
    </row>
    <row r="39" spans="1:13" ht="30" customHeight="1" thickBot="1">
      <c r="A39" s="344"/>
      <c r="B39" s="345">
        <v>2</v>
      </c>
      <c r="C39" s="345">
        <v>3</v>
      </c>
      <c r="D39" s="345" t="s">
        <v>345</v>
      </c>
      <c r="E39" s="347">
        <f>12000*6</f>
        <v>72000</v>
      </c>
      <c r="F39" s="347">
        <f>12000*12</f>
        <v>144000</v>
      </c>
      <c r="G39" s="345" t="s">
        <v>487</v>
      </c>
    </row>
    <row r="40" spans="1:13" ht="30" customHeight="1" thickBot="1">
      <c r="A40" s="344"/>
      <c r="B40" s="345">
        <v>2</v>
      </c>
      <c r="C40" s="345">
        <v>4</v>
      </c>
      <c r="D40" s="345" t="s">
        <v>488</v>
      </c>
      <c r="E40" s="347">
        <f>F40/2</f>
        <v>91250</v>
      </c>
      <c r="F40" s="347">
        <f>365*500</f>
        <v>182500</v>
      </c>
      <c r="G40" s="345" t="s">
        <v>346</v>
      </c>
    </row>
    <row r="41" spans="1:13" ht="30" customHeight="1" thickBot="1">
      <c r="A41" s="344"/>
      <c r="B41" s="345"/>
      <c r="C41" s="345"/>
      <c r="D41" s="345" t="s">
        <v>347</v>
      </c>
      <c r="E41" s="347">
        <f>E37*0.05/2</f>
        <v>421.12500000000023</v>
      </c>
      <c r="F41" s="347">
        <f>E37*0.05</f>
        <v>842.25000000000045</v>
      </c>
      <c r="G41" s="345"/>
    </row>
    <row r="42" spans="1:13" ht="30" customHeight="1" thickBot="1">
      <c r="A42" s="344"/>
      <c r="B42" s="345">
        <v>2</v>
      </c>
      <c r="C42" s="345">
        <v>5</v>
      </c>
      <c r="D42" s="345" t="s">
        <v>362</v>
      </c>
      <c r="E42" s="347">
        <f>35000*6</f>
        <v>210000</v>
      </c>
      <c r="F42" s="347">
        <f>35000*12</f>
        <v>420000</v>
      </c>
      <c r="G42" s="345"/>
    </row>
    <row r="43" spans="1:13" ht="30" customHeight="1" thickBot="1">
      <c r="A43" s="1333" t="s">
        <v>348</v>
      </c>
      <c r="B43" s="1334"/>
      <c r="C43" s="1334"/>
      <c r="D43" s="1335"/>
      <c r="E43" s="350">
        <f>SUM(E37:E42)</f>
        <v>395516.125</v>
      </c>
      <c r="F43" s="350">
        <f>SUM(F37:F42)</f>
        <v>772342.25</v>
      </c>
      <c r="G43" s="354"/>
    </row>
    <row r="44" spans="1:13" ht="30" customHeight="1" thickBot="1">
      <c r="A44" s="369">
        <v>2</v>
      </c>
      <c r="B44" s="370">
        <v>3</v>
      </c>
      <c r="C44" s="370"/>
      <c r="D44" s="1334" t="s">
        <v>365</v>
      </c>
      <c r="E44" s="1334"/>
      <c r="F44" s="1335"/>
      <c r="G44" s="354"/>
    </row>
    <row r="45" spans="1:13" ht="30" customHeight="1" thickBot="1">
      <c r="A45" s="371">
        <v>2</v>
      </c>
      <c r="B45" s="372">
        <v>3</v>
      </c>
      <c r="C45" s="372"/>
      <c r="D45" s="1345" t="s">
        <v>491</v>
      </c>
      <c r="E45" s="1346"/>
      <c r="F45" s="1347"/>
      <c r="G45" s="348"/>
    </row>
    <row r="46" spans="1:13" ht="30" customHeight="1" thickBot="1">
      <c r="A46" s="373">
        <v>2</v>
      </c>
      <c r="B46" s="374">
        <v>3</v>
      </c>
      <c r="C46" s="374">
        <v>1</v>
      </c>
      <c r="D46" s="374" t="s">
        <v>350</v>
      </c>
      <c r="E46" s="375">
        <v>400000</v>
      </c>
      <c r="F46" s="375">
        <v>30000</v>
      </c>
      <c r="G46" s="345"/>
    </row>
    <row r="47" spans="1:13" ht="30" customHeight="1" thickBot="1">
      <c r="A47" s="373">
        <v>2</v>
      </c>
      <c r="B47" s="374">
        <v>3</v>
      </c>
      <c r="C47" s="374">
        <v>2</v>
      </c>
      <c r="D47" s="374" t="s">
        <v>364</v>
      </c>
      <c r="E47" s="375">
        <v>70000</v>
      </c>
      <c r="F47" s="375">
        <v>0</v>
      </c>
      <c r="G47" s="348"/>
    </row>
    <row r="48" spans="1:13" ht="81.599999999999994" customHeight="1" thickBot="1">
      <c r="A48" s="373">
        <v>2</v>
      </c>
      <c r="B48" s="374">
        <v>3</v>
      </c>
      <c r="C48" s="374">
        <v>3</v>
      </c>
      <c r="D48" s="374" t="s">
        <v>372</v>
      </c>
      <c r="E48" s="375">
        <f>(文字計畫資訊!D822+文字計畫資訊!I822)*1000</f>
        <v>736900.00000000012</v>
      </c>
      <c r="F48" s="375">
        <v>0</v>
      </c>
      <c r="G48" s="348"/>
    </row>
    <row r="49" spans="1:7" ht="30" customHeight="1" thickBot="1">
      <c r="A49" s="373"/>
      <c r="B49" s="374"/>
      <c r="C49" s="374"/>
      <c r="D49" s="374" t="s">
        <v>465</v>
      </c>
      <c r="E49" s="375">
        <f>SUM(E46:E48)</f>
        <v>1206900</v>
      </c>
      <c r="F49" s="375">
        <f>SUM(F46:F48)</f>
        <v>30000</v>
      </c>
      <c r="G49" s="348"/>
    </row>
    <row r="50" spans="1:7" ht="30" customHeight="1" thickBot="1">
      <c r="A50" s="376">
        <v>2</v>
      </c>
      <c r="B50" s="377">
        <v>3</v>
      </c>
      <c r="C50" s="377"/>
      <c r="D50" s="1342" t="s">
        <v>366</v>
      </c>
      <c r="E50" s="1343"/>
      <c r="F50" s="1344"/>
      <c r="G50" s="348" t="s">
        <v>349</v>
      </c>
    </row>
    <row r="51" spans="1:7" ht="30" customHeight="1" thickBot="1">
      <c r="A51" s="376">
        <v>2</v>
      </c>
      <c r="B51" s="377">
        <v>3</v>
      </c>
      <c r="C51" s="377">
        <v>4</v>
      </c>
      <c r="D51" s="377" t="s">
        <v>373</v>
      </c>
      <c r="E51" s="378">
        <f>E4*35%+50000</f>
        <v>501500</v>
      </c>
      <c r="F51" s="378">
        <f>F4*30%</f>
        <v>954000</v>
      </c>
      <c r="G51" s="382" t="s">
        <v>370</v>
      </c>
    </row>
    <row r="52" spans="1:7" ht="30" customHeight="1" thickBot="1">
      <c r="A52" s="376">
        <v>2</v>
      </c>
      <c r="B52" s="377">
        <v>3</v>
      </c>
      <c r="C52" s="377">
        <v>6</v>
      </c>
      <c r="D52" s="377" t="s">
        <v>369</v>
      </c>
      <c r="E52" s="378">
        <f>SUM(營運財務規劃預測!E4)*0.03+50000</f>
        <v>88700</v>
      </c>
      <c r="F52" s="378">
        <f>F9*0.03</f>
        <v>188016.495</v>
      </c>
      <c r="G52" s="345" t="s">
        <v>371</v>
      </c>
    </row>
    <row r="53" spans="1:7" ht="30" customHeight="1" thickBot="1">
      <c r="A53" s="376"/>
      <c r="B53" s="377"/>
      <c r="C53" s="377"/>
      <c r="D53" s="377" t="s">
        <v>105</v>
      </c>
      <c r="E53" s="378">
        <f>SUM(E51:E52)</f>
        <v>590200</v>
      </c>
      <c r="F53" s="378">
        <f>SUM(F51:F52)</f>
        <v>1142016.4950000001</v>
      </c>
      <c r="G53" s="345"/>
    </row>
    <row r="54" spans="1:7" ht="30" customHeight="1" thickBot="1">
      <c r="A54" s="1352" t="s">
        <v>363</v>
      </c>
      <c r="B54" s="1353"/>
      <c r="C54" s="1353"/>
      <c r="D54" s="1354"/>
      <c r="E54" s="355">
        <f>E49+E53</f>
        <v>1797100</v>
      </c>
      <c r="F54" s="355">
        <f>F49+F53</f>
        <v>1172016.4950000001</v>
      </c>
      <c r="G54" s="345"/>
    </row>
    <row r="55" spans="1:7" ht="30" customHeight="1" thickBot="1">
      <c r="A55" s="379"/>
      <c r="B55" s="379"/>
      <c r="C55" s="380"/>
      <c r="D55" s="1348" t="s">
        <v>352</v>
      </c>
      <c r="E55" s="1349"/>
      <c r="F55" s="1349"/>
      <c r="G55" s="345"/>
    </row>
    <row r="56" spans="1:7" ht="30" customHeight="1" thickBot="1">
      <c r="A56" s="356">
        <v>2</v>
      </c>
      <c r="B56" s="357">
        <v>4</v>
      </c>
      <c r="C56" s="357">
        <v>1</v>
      </c>
      <c r="D56" s="357" t="s">
        <v>351</v>
      </c>
      <c r="E56" s="358">
        <f>計畫架構圖表!F102*1000</f>
        <v>564200</v>
      </c>
      <c r="F56" s="358">
        <v>100000</v>
      </c>
      <c r="G56" s="345"/>
    </row>
    <row r="57" spans="1:7" ht="30" customHeight="1" thickBot="1">
      <c r="A57" s="1355" t="s">
        <v>367</v>
      </c>
      <c r="B57" s="1356"/>
      <c r="C57" s="1356"/>
      <c r="D57" s="1357"/>
      <c r="E57" s="359">
        <f>SUM(E56:E56)</f>
        <v>564200</v>
      </c>
      <c r="F57" s="359">
        <f>SUM(F56:F56)</f>
        <v>100000</v>
      </c>
      <c r="G57" s="345"/>
    </row>
    <row r="58" spans="1:7" ht="30" customHeight="1" thickBot="1">
      <c r="A58" s="381"/>
      <c r="B58" s="381"/>
      <c r="C58" s="381"/>
      <c r="D58" s="1350" t="s">
        <v>368</v>
      </c>
      <c r="E58" s="1350"/>
      <c r="F58" s="1351"/>
      <c r="G58" s="345"/>
    </row>
    <row r="59" spans="1:7" ht="30" customHeight="1" thickBot="1">
      <c r="A59" s="360">
        <v>2</v>
      </c>
      <c r="B59" s="361">
        <v>5</v>
      </c>
      <c r="C59" s="361">
        <v>1</v>
      </c>
      <c r="D59" s="361" t="s">
        <v>353</v>
      </c>
      <c r="E59" s="362">
        <f>SUM(計畫架構圖表!E44:J44)*1000</f>
        <v>250000</v>
      </c>
      <c r="F59" s="362">
        <v>25000</v>
      </c>
      <c r="G59" s="345"/>
    </row>
    <row r="60" spans="1:7" ht="30" customHeight="1" thickBot="1">
      <c r="A60" s="360">
        <v>2</v>
      </c>
      <c r="B60" s="361">
        <v>5</v>
      </c>
      <c r="C60" s="361">
        <v>2</v>
      </c>
      <c r="D60" s="361" t="s">
        <v>354</v>
      </c>
      <c r="E60" s="362">
        <f>SUM(計畫架構圖表!E7:J7)*1000*40</f>
        <v>80000</v>
      </c>
      <c r="F60" s="362">
        <v>260000</v>
      </c>
      <c r="G60" s="345"/>
    </row>
    <row r="61" spans="1:7" ht="30" customHeight="1" thickBot="1">
      <c r="A61" s="360">
        <v>2</v>
      </c>
      <c r="B61" s="361">
        <v>5</v>
      </c>
      <c r="C61" s="361">
        <v>3</v>
      </c>
      <c r="D61" s="361" t="s">
        <v>355</v>
      </c>
      <c r="E61" s="362">
        <v>0</v>
      </c>
      <c r="F61" s="362">
        <v>10000</v>
      </c>
      <c r="G61" s="345"/>
    </row>
    <row r="62" spans="1:7" ht="30" customHeight="1" thickBot="1">
      <c r="A62" s="1358" t="s">
        <v>368</v>
      </c>
      <c r="B62" s="1350"/>
      <c r="C62" s="1350"/>
      <c r="D62" s="1351"/>
      <c r="E62" s="363">
        <f>SUM(E59:E61)</f>
        <v>330000</v>
      </c>
      <c r="F62" s="363">
        <f>SUM(F59:F61)</f>
        <v>295000</v>
      </c>
      <c r="G62" s="345"/>
    </row>
    <row r="63" spans="1:7" ht="30" customHeight="1" thickBot="1">
      <c r="A63" s="360">
        <v>2</v>
      </c>
      <c r="B63" s="361">
        <v>6</v>
      </c>
      <c r="C63" s="361"/>
      <c r="D63" s="361" t="s">
        <v>376</v>
      </c>
      <c r="E63" s="362"/>
      <c r="F63" s="362"/>
      <c r="G63" s="345"/>
    </row>
    <row r="64" spans="1:7" ht="30" customHeight="1" thickBot="1">
      <c r="A64" s="360">
        <v>2</v>
      </c>
      <c r="B64" s="361">
        <v>5</v>
      </c>
      <c r="C64" s="361">
        <v>2</v>
      </c>
      <c r="D64" s="361" t="s">
        <v>378</v>
      </c>
      <c r="E64" s="362">
        <v>1000000</v>
      </c>
      <c r="F64" s="362">
        <v>0</v>
      </c>
      <c r="G64" s="345"/>
    </row>
    <row r="65" spans="1:7" ht="30" customHeight="1" thickBot="1">
      <c r="A65" s="360">
        <v>2</v>
      </c>
      <c r="B65" s="361">
        <v>5</v>
      </c>
      <c r="C65" s="361">
        <v>2</v>
      </c>
      <c r="D65" s="361" t="s">
        <v>377</v>
      </c>
      <c r="E65" s="362">
        <v>1000000</v>
      </c>
      <c r="F65" s="362">
        <v>0</v>
      </c>
      <c r="G65" s="345"/>
    </row>
    <row r="66" spans="1:7" ht="30" customHeight="1" thickBot="1">
      <c r="A66" s="406"/>
      <c r="B66" s="407"/>
      <c r="C66" s="407"/>
      <c r="D66" s="361" t="s">
        <v>493</v>
      </c>
      <c r="E66" s="362"/>
      <c r="F66" s="362"/>
      <c r="G66" s="345"/>
    </row>
    <row r="67" spans="1:7" ht="30" customHeight="1" thickBot="1">
      <c r="A67" s="406"/>
      <c r="B67" s="407"/>
      <c r="C67" s="407"/>
      <c r="D67" s="361" t="s">
        <v>492</v>
      </c>
      <c r="E67" s="362">
        <f>(E4+E6)*0.04</f>
        <v>75600</v>
      </c>
      <c r="F67" s="362">
        <f>(F4+F5+F6)*0.04</f>
        <v>203520</v>
      </c>
      <c r="G67" s="345"/>
    </row>
    <row r="68" spans="1:7" ht="30" customHeight="1" thickBot="1">
      <c r="A68" s="1336" t="s">
        <v>356</v>
      </c>
      <c r="B68" s="1337"/>
      <c r="C68" s="1337"/>
      <c r="D68" s="1338"/>
      <c r="E68" s="352">
        <f>E62+E57+E54+E43+E35+E49+E65+E67</f>
        <v>6855685.3250000002</v>
      </c>
      <c r="F68" s="352">
        <f>F62+F57+F54+F43+F35+F67</f>
        <v>5535557.1449999996</v>
      </c>
      <c r="G68" s="364"/>
    </row>
    <row r="69" spans="1:7" ht="30" customHeight="1" thickBot="1">
      <c r="A69" s="1336" t="s">
        <v>496</v>
      </c>
      <c r="B69" s="1337"/>
      <c r="C69" s="1337"/>
      <c r="D69" s="1338"/>
      <c r="E69" s="352">
        <f>E9-E68</f>
        <v>-3930081.0250000004</v>
      </c>
      <c r="F69" s="352">
        <f>F9-F68</f>
        <v>731659.35500000045</v>
      </c>
      <c r="G69" s="364"/>
    </row>
    <row r="70" spans="1:7" ht="30" customHeight="1" thickBot="1">
      <c r="A70" s="1339" t="s">
        <v>357</v>
      </c>
      <c r="B70" s="1340"/>
      <c r="C70" s="1340"/>
      <c r="D70" s="1341"/>
      <c r="E70" s="365">
        <f>E23-E68</f>
        <v>2069918.9750000006</v>
      </c>
      <c r="F70" s="365">
        <f>F23-F68</f>
        <v>2801578.330000001</v>
      </c>
      <c r="G70" s="366"/>
    </row>
  </sheetData>
  <mergeCells count="33">
    <mergeCell ref="A70:D70"/>
    <mergeCell ref="D50:F50"/>
    <mergeCell ref="D45:F45"/>
    <mergeCell ref="D44:F44"/>
    <mergeCell ref="D55:F55"/>
    <mergeCell ref="D58:F58"/>
    <mergeCell ref="A54:D54"/>
    <mergeCell ref="A57:D57"/>
    <mergeCell ref="A62:D62"/>
    <mergeCell ref="A69:D69"/>
    <mergeCell ref="A19:D19"/>
    <mergeCell ref="A22:D22"/>
    <mergeCell ref="A23:D23"/>
    <mergeCell ref="A24:G24"/>
    <mergeCell ref="A68:D68"/>
    <mergeCell ref="A43:D43"/>
    <mergeCell ref="A35:D35"/>
    <mergeCell ref="F15:F16"/>
    <mergeCell ref="A1:G1"/>
    <mergeCell ref="A2:G2"/>
    <mergeCell ref="A6:A7"/>
    <mergeCell ref="B6:B7"/>
    <mergeCell ref="C6:C7"/>
    <mergeCell ref="D6:D7"/>
    <mergeCell ref="E6:E7"/>
    <mergeCell ref="F6:F7"/>
    <mergeCell ref="A9:D9"/>
    <mergeCell ref="A14:D14"/>
    <mergeCell ref="A15:A16"/>
    <mergeCell ref="B15:B16"/>
    <mergeCell ref="C15:C16"/>
    <mergeCell ref="D15:D16"/>
    <mergeCell ref="E15:E16"/>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I20"/>
  <sheetViews>
    <sheetView view="pageBreakPreview" zoomScale="60" zoomScaleNormal="80" workbookViewId="0">
      <selection activeCell="E11" sqref="E11"/>
    </sheetView>
  </sheetViews>
  <sheetFormatPr defaultColWidth="11.19921875" defaultRowHeight="22.8"/>
  <cols>
    <col min="1" max="1" width="17.59765625" style="54" customWidth="1"/>
    <col min="2" max="3" width="23.69921875" style="54" bestFit="1" customWidth="1"/>
    <col min="4" max="4" width="19.5" style="54" bestFit="1" customWidth="1"/>
    <col min="5" max="5" width="23.69921875" style="54" bestFit="1" customWidth="1"/>
    <col min="6" max="6" width="17.5" style="54" customWidth="1"/>
    <col min="7" max="7" width="19.5" style="54" bestFit="1" customWidth="1"/>
    <col min="8" max="8" width="13.69921875" style="54" bestFit="1" customWidth="1"/>
    <col min="9" max="9" width="28.19921875" style="54" bestFit="1" customWidth="1"/>
    <col min="10" max="10" width="11.19921875" style="54" customWidth="1"/>
    <col min="11" max="16384" width="11.19921875" style="54"/>
  </cols>
  <sheetData>
    <row r="1" spans="1:9" ht="24.6">
      <c r="A1" s="1359" t="str">
        <f>計畫經費彙總表!A1</f>
        <v>五常物業規劃顧問股份(閉鎖型)有限公司</v>
      </c>
      <c r="B1" s="1359"/>
      <c r="C1" s="1359"/>
      <c r="D1" s="1359"/>
      <c r="E1" s="1359"/>
      <c r="F1" s="1359"/>
      <c r="G1" s="1359"/>
      <c r="H1" s="1359"/>
      <c r="I1" s="1359"/>
    </row>
    <row r="2" spans="1:9" ht="24.6">
      <c r="A2" s="1359" t="s">
        <v>483</v>
      </c>
      <c r="B2" s="1359"/>
      <c r="C2" s="1359"/>
      <c r="D2" s="1359"/>
      <c r="E2" s="1359"/>
      <c r="F2" s="1359"/>
      <c r="G2" s="1359"/>
      <c r="H2" s="1359"/>
      <c r="I2" s="1359"/>
    </row>
    <row r="3" spans="1:9" ht="24.6">
      <c r="A3" s="55"/>
      <c r="B3" s="55"/>
      <c r="C3" s="55"/>
      <c r="D3" s="55"/>
      <c r="E3" s="55"/>
      <c r="F3" s="55"/>
      <c r="G3" s="55"/>
      <c r="H3" s="55"/>
      <c r="I3" s="56" t="s">
        <v>33</v>
      </c>
    </row>
    <row r="4" spans="1:9" s="57" customFormat="1" ht="24.6">
      <c r="A4" s="77" t="s">
        <v>34</v>
      </c>
      <c r="B4" s="328"/>
      <c r="C4" s="78" t="s">
        <v>35</v>
      </c>
      <c r="D4" s="329"/>
      <c r="E4" s="330"/>
      <c r="F4" s="330"/>
      <c r="G4" s="330"/>
      <c r="H4" s="330"/>
      <c r="I4" s="331"/>
    </row>
    <row r="5" spans="1:9" s="58" customFormat="1" ht="99.75" customHeight="1" thickBot="1">
      <c r="A5" s="79" t="s">
        <v>36</v>
      </c>
      <c r="B5" s="80" t="s">
        <v>37</v>
      </c>
      <c r="C5" s="80" t="s">
        <v>38</v>
      </c>
      <c r="D5" s="80" t="s">
        <v>39</v>
      </c>
      <c r="E5" s="80" t="s">
        <v>40</v>
      </c>
      <c r="F5" s="80" t="s">
        <v>41</v>
      </c>
      <c r="G5" s="80" t="s">
        <v>42</v>
      </c>
      <c r="H5" s="80" t="s">
        <v>43</v>
      </c>
      <c r="I5" s="81" t="s">
        <v>44</v>
      </c>
    </row>
    <row r="6" spans="1:9" s="59" customFormat="1">
      <c r="A6" s="82"/>
      <c r="B6" s="83"/>
      <c r="C6" s="84"/>
      <c r="D6" s="83"/>
      <c r="E6" s="83"/>
      <c r="F6" s="83"/>
      <c r="G6" s="84"/>
      <c r="H6" s="83"/>
      <c r="I6" s="85"/>
    </row>
    <row r="7" spans="1:9" ht="24.6">
      <c r="A7" s="491" t="s">
        <v>251</v>
      </c>
      <c r="B7" s="60">
        <v>27840</v>
      </c>
      <c r="C7" s="60">
        <v>20000</v>
      </c>
      <c r="D7" s="60">
        <v>2000</v>
      </c>
      <c r="E7" s="61">
        <f t="shared" ref="E7:E12" si="0">SUM(B7:D7)</f>
        <v>49840</v>
      </c>
      <c r="F7" s="62">
        <f>計畫架構圖表!E17</f>
        <v>0.5</v>
      </c>
      <c r="G7" s="61">
        <f t="shared" ref="G7:G12" si="1">ROUND(E7*F7,0)</f>
        <v>24920</v>
      </c>
      <c r="H7" s="60">
        <f>加班記錄!I5</f>
        <v>0</v>
      </c>
      <c r="I7" s="63">
        <f t="shared" ref="I7:I12" si="2">SUM(G7:H7)</f>
        <v>24920</v>
      </c>
    </row>
    <row r="8" spans="1:9" ht="24.6">
      <c r="A8" s="490" t="s">
        <v>252</v>
      </c>
      <c r="B8" s="60">
        <v>27840</v>
      </c>
      <c r="C8" s="60">
        <v>18000</v>
      </c>
      <c r="D8" s="60">
        <v>1000</v>
      </c>
      <c r="E8" s="61">
        <f t="shared" si="0"/>
        <v>46840</v>
      </c>
      <c r="F8" s="62">
        <f>計畫架構圖表!E93</f>
        <v>0.4</v>
      </c>
      <c r="G8" s="61">
        <f>E8*F8</f>
        <v>18736</v>
      </c>
      <c r="H8" s="60">
        <f>加班記錄!I6</f>
        <v>0</v>
      </c>
      <c r="I8" s="63">
        <f t="shared" si="2"/>
        <v>18736</v>
      </c>
    </row>
    <row r="9" spans="1:9" ht="24.6">
      <c r="A9" s="489" t="s">
        <v>253</v>
      </c>
      <c r="B9" s="60">
        <v>27840</v>
      </c>
      <c r="C9" s="60">
        <v>16000</v>
      </c>
      <c r="D9" s="60">
        <v>0</v>
      </c>
      <c r="E9" s="61">
        <f t="shared" si="0"/>
        <v>43840</v>
      </c>
      <c r="F9" s="62">
        <f>計畫架構圖表!E36</f>
        <v>0.5</v>
      </c>
      <c r="G9" s="61">
        <f t="shared" si="1"/>
        <v>21920</v>
      </c>
      <c r="H9" s="60">
        <f>加班記錄!I7</f>
        <v>0</v>
      </c>
      <c r="I9" s="63">
        <f t="shared" si="2"/>
        <v>21920</v>
      </c>
    </row>
    <row r="10" spans="1:9" ht="24.6">
      <c r="A10" s="488" t="s">
        <v>254</v>
      </c>
      <c r="B10" s="64">
        <v>27840</v>
      </c>
      <c r="C10" s="64">
        <v>14000</v>
      </c>
      <c r="D10" s="64">
        <v>0</v>
      </c>
      <c r="E10" s="61">
        <f t="shared" si="0"/>
        <v>41840</v>
      </c>
      <c r="F10" s="62">
        <f>計畫架構圖表!E55</f>
        <v>0.75</v>
      </c>
      <c r="G10" s="61">
        <f t="shared" si="1"/>
        <v>31380</v>
      </c>
      <c r="H10" s="60">
        <f>加班記錄!I8</f>
        <v>0</v>
      </c>
      <c r="I10" s="63">
        <f t="shared" si="2"/>
        <v>31380</v>
      </c>
    </row>
    <row r="11" spans="1:9" ht="24.6">
      <c r="A11" s="487" t="s">
        <v>255</v>
      </c>
      <c r="B11" s="64">
        <v>27840</v>
      </c>
      <c r="C11" s="64">
        <v>14000</v>
      </c>
      <c r="D11" s="64">
        <v>1000</v>
      </c>
      <c r="E11" s="65">
        <f t="shared" si="0"/>
        <v>42840</v>
      </c>
      <c r="F11" s="62">
        <f>計畫架構圖表!E74</f>
        <v>0.25</v>
      </c>
      <c r="G11" s="61">
        <f t="shared" si="1"/>
        <v>10710</v>
      </c>
      <c r="H11" s="60">
        <f>加班記錄!I9</f>
        <v>0</v>
      </c>
      <c r="I11" s="63">
        <f t="shared" si="2"/>
        <v>10710</v>
      </c>
    </row>
    <row r="12" spans="1:9" ht="24.6">
      <c r="A12" s="342"/>
      <c r="B12" s="64"/>
      <c r="C12" s="64"/>
      <c r="D12" s="64">
        <v>0</v>
      </c>
      <c r="E12" s="65">
        <f t="shared" si="0"/>
        <v>0</v>
      </c>
      <c r="F12" s="62">
        <f>工時記錄表!AI10</f>
        <v>0</v>
      </c>
      <c r="G12" s="61">
        <f t="shared" si="1"/>
        <v>0</v>
      </c>
      <c r="H12" s="60">
        <f>加班記錄!I10</f>
        <v>0</v>
      </c>
      <c r="I12" s="63">
        <f t="shared" si="2"/>
        <v>0</v>
      </c>
    </row>
    <row r="13" spans="1:9" ht="25.2" thickBot="1">
      <c r="A13" s="315" t="s">
        <v>45</v>
      </c>
      <c r="B13" s="66">
        <f>SUM(B6:B12)</f>
        <v>139200</v>
      </c>
      <c r="C13" s="66">
        <f t="shared" ref="C13:H13" si="3">SUM(C7:C12)</f>
        <v>82000</v>
      </c>
      <c r="D13" s="66">
        <f t="shared" si="3"/>
        <v>4000</v>
      </c>
      <c r="E13" s="66">
        <f t="shared" si="3"/>
        <v>225200</v>
      </c>
      <c r="F13" s="66">
        <f t="shared" si="3"/>
        <v>2.4</v>
      </c>
      <c r="G13" s="66">
        <f t="shared" si="3"/>
        <v>107666</v>
      </c>
      <c r="H13" s="66">
        <f t="shared" si="3"/>
        <v>0</v>
      </c>
      <c r="I13" s="67">
        <f>ROUND(SUM(I6:I12),0)</f>
        <v>107666</v>
      </c>
    </row>
    <row r="14" spans="1:9" ht="24.6">
      <c r="A14" s="53"/>
      <c r="B14" s="68"/>
      <c r="C14" s="68"/>
      <c r="D14" s="68"/>
      <c r="E14" s="68"/>
      <c r="F14" s="68"/>
      <c r="G14" s="68"/>
      <c r="H14" s="68"/>
      <c r="I14" s="68"/>
    </row>
    <row r="15" spans="1:9">
      <c r="A15" s="69" t="s">
        <v>46</v>
      </c>
      <c r="B15" s="69"/>
      <c r="C15" s="69"/>
      <c r="D15" s="69"/>
      <c r="E15" s="69"/>
      <c r="F15" s="69"/>
      <c r="G15" s="70"/>
      <c r="H15" s="70"/>
      <c r="I15" s="70"/>
    </row>
    <row r="16" spans="1:9">
      <c r="A16" s="1360" t="s">
        <v>47</v>
      </c>
      <c r="B16" s="1360"/>
      <c r="C16" s="1360"/>
      <c r="D16" s="1360"/>
      <c r="E16" s="1360"/>
      <c r="F16" s="1360"/>
      <c r="G16" s="1360"/>
      <c r="H16" s="1360"/>
      <c r="I16" s="1360"/>
    </row>
    <row r="17" spans="1:9">
      <c r="A17" s="1360" t="s">
        <v>48</v>
      </c>
      <c r="B17" s="1360"/>
      <c r="C17" s="1360"/>
      <c r="D17" s="1360"/>
      <c r="E17" s="1360"/>
      <c r="F17" s="1360"/>
      <c r="G17" s="1360"/>
      <c r="H17" s="1360"/>
      <c r="I17" s="1360"/>
    </row>
    <row r="18" spans="1:9" ht="25.5" customHeight="1">
      <c r="A18" s="71"/>
    </row>
    <row r="19" spans="1:9" s="72" customFormat="1" ht="19.8">
      <c r="A19" s="248" t="s">
        <v>30</v>
      </c>
      <c r="E19" s="248" t="s">
        <v>31</v>
      </c>
      <c r="I19" s="249" t="s">
        <v>32</v>
      </c>
    </row>
    <row r="20" spans="1:9">
      <c r="A20" s="73"/>
      <c r="D20" s="74"/>
      <c r="E20" s="74"/>
      <c r="F20" s="74"/>
      <c r="G20" s="75"/>
      <c r="H20" s="76"/>
      <c r="I20" s="76"/>
    </row>
  </sheetData>
  <sheetProtection algorithmName="SHA-512" hashValue="WsFkcT4sItm1pozFlEL7mQ75fk4/+VtOUF6SYPEXrFr6FleTwTeXDtn9YVAVSKpQuGDvpyimFm44klaxkAI/OA==" saltValue="KOOEq/lmAOILYSNpo7qRvw==" spinCount="100000" sheet="1" formatCells="0" formatColumns="0" formatRows="0" insertRows="0"/>
  <mergeCells count="4">
    <mergeCell ref="A1:I1"/>
    <mergeCell ref="A2:I2"/>
    <mergeCell ref="A16:I16"/>
    <mergeCell ref="A17:I17"/>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2" fitToWidth="0" fitToHeight="0" orientation="landscape" blackAndWhite="1"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V15"/>
  <sheetViews>
    <sheetView view="pageBreakPreview" zoomScale="60" zoomScaleNormal="80" workbookViewId="0">
      <selection activeCell="I5" sqref="I5"/>
    </sheetView>
  </sheetViews>
  <sheetFormatPr defaultColWidth="11.19921875" defaultRowHeight="24.6"/>
  <cols>
    <col min="1" max="1" width="17.59765625" style="86" customWidth="1"/>
    <col min="2" max="2" width="17" style="86" customWidth="1"/>
    <col min="3" max="3" width="23.69921875" style="86" bestFit="1" customWidth="1"/>
    <col min="4" max="4" width="19.5" style="86" bestFit="1" customWidth="1"/>
    <col min="5" max="5" width="20.59765625" style="86" bestFit="1" customWidth="1"/>
    <col min="6" max="6" width="13.09765625" style="86" customWidth="1"/>
    <col min="7" max="7" width="19.5" style="86" bestFit="1" customWidth="1"/>
    <col min="8" max="8" width="13.69921875" style="86" bestFit="1" customWidth="1"/>
    <col min="9" max="9" width="33.09765625" style="86" bestFit="1" customWidth="1"/>
    <col min="10" max="10" width="20" style="86" customWidth="1"/>
    <col min="11" max="11" width="11.19921875" style="86" customWidth="1"/>
    <col min="12" max="16384" width="11.19921875" style="86"/>
  </cols>
  <sheetData>
    <row r="1" spans="1:22">
      <c r="A1" s="1359" t="str">
        <f>計畫經費彙總表!A1</f>
        <v>五常物業規劃顧問股份(閉鎖型)有限公司</v>
      </c>
      <c r="B1" s="1359"/>
      <c r="C1" s="1359"/>
      <c r="D1" s="1359"/>
      <c r="E1" s="1359"/>
      <c r="F1" s="1359"/>
      <c r="G1" s="1359"/>
      <c r="H1" s="1359"/>
      <c r="I1" s="1359"/>
      <c r="J1" s="1359"/>
    </row>
    <row r="2" spans="1:22">
      <c r="A2" s="1359" t="s">
        <v>49</v>
      </c>
      <c r="B2" s="1359"/>
      <c r="C2" s="1359"/>
      <c r="D2" s="1359"/>
      <c r="E2" s="1359"/>
      <c r="F2" s="1359"/>
      <c r="G2" s="1359"/>
      <c r="H2" s="1359"/>
      <c r="I2" s="1359"/>
      <c r="J2" s="1359"/>
    </row>
    <row r="3" spans="1:22" ht="25.2" thickBot="1">
      <c r="A3" s="100"/>
      <c r="B3" s="100"/>
      <c r="C3" s="100"/>
      <c r="D3" s="100"/>
      <c r="E3" s="100"/>
      <c r="F3" s="100"/>
      <c r="G3" s="100"/>
      <c r="H3" s="100"/>
      <c r="I3" s="100" t="s">
        <v>33</v>
      </c>
      <c r="J3" s="100"/>
    </row>
    <row r="4" spans="1:22" s="87" customFormat="1" ht="49.2">
      <c r="A4" s="101" t="s">
        <v>50</v>
      </c>
      <c r="B4" s="1361" t="s">
        <v>51</v>
      </c>
      <c r="C4" s="1361"/>
      <c r="D4" s="1361"/>
      <c r="E4" s="1361"/>
      <c r="F4" s="323" t="s">
        <v>52</v>
      </c>
      <c r="G4" s="1361" t="s">
        <v>53</v>
      </c>
      <c r="H4" s="1361"/>
      <c r="I4" s="102" t="s">
        <v>54</v>
      </c>
      <c r="J4" s="103" t="s">
        <v>55</v>
      </c>
    </row>
    <row r="5" spans="1:22">
      <c r="A5" s="252" t="str">
        <f>人事費!A7</f>
        <v>1.阮氏泉</v>
      </c>
      <c r="B5" s="1362"/>
      <c r="C5" s="1362"/>
      <c r="D5" s="1362"/>
      <c r="E5" s="1362"/>
      <c r="F5" s="253"/>
      <c r="G5" s="1362"/>
      <c r="H5" s="1362"/>
      <c r="I5" s="254"/>
      <c r="J5" s="88"/>
    </row>
    <row r="6" spans="1:22">
      <c r="A6" s="252" t="str">
        <f>人事費!A8</f>
        <v>2.江政隆</v>
      </c>
      <c r="B6" s="1362"/>
      <c r="C6" s="1362"/>
      <c r="D6" s="1362"/>
      <c r="E6" s="1362"/>
      <c r="F6" s="253"/>
      <c r="G6" s="1362"/>
      <c r="H6" s="1362"/>
      <c r="I6" s="254"/>
      <c r="J6" s="88"/>
    </row>
    <row r="7" spans="1:22">
      <c r="A7" s="252" t="str">
        <f>人事費!A9</f>
        <v>3.蔣明諺</v>
      </c>
      <c r="B7" s="1362"/>
      <c r="C7" s="1362"/>
      <c r="D7" s="1362"/>
      <c r="E7" s="1362"/>
      <c r="F7" s="253"/>
      <c r="G7" s="1362"/>
      <c r="H7" s="1362"/>
      <c r="I7" s="254"/>
      <c r="J7" s="88"/>
    </row>
    <row r="8" spans="1:22">
      <c r="A8" s="252" t="str">
        <f>人事費!A10</f>
        <v>4.林詩妘</v>
      </c>
      <c r="B8" s="1362"/>
      <c r="C8" s="1362"/>
      <c r="D8" s="1362"/>
      <c r="E8" s="1362"/>
      <c r="F8" s="253"/>
      <c r="G8" s="1362"/>
      <c r="H8" s="1362"/>
      <c r="I8" s="254"/>
      <c r="J8" s="88"/>
    </row>
    <row r="9" spans="1:22">
      <c r="A9" s="258" t="str">
        <f>人事費!A11</f>
        <v>5.李道翔</v>
      </c>
      <c r="B9" s="1362"/>
      <c r="C9" s="1362"/>
      <c r="D9" s="1362"/>
      <c r="E9" s="1362"/>
      <c r="F9" s="253"/>
      <c r="G9" s="1362"/>
      <c r="H9" s="1362"/>
      <c r="I9" s="254"/>
      <c r="J9" s="88"/>
    </row>
    <row r="10" spans="1:22">
      <c r="A10" s="259">
        <f>人事費!A12</f>
        <v>0</v>
      </c>
      <c r="B10" s="1362"/>
      <c r="C10" s="1362"/>
      <c r="D10" s="1362"/>
      <c r="E10" s="1362"/>
      <c r="F10" s="253"/>
      <c r="G10" s="1362"/>
      <c r="H10" s="1362"/>
      <c r="I10" s="254"/>
      <c r="J10" s="88"/>
    </row>
    <row r="11" spans="1:22" ht="25.2" thickBot="1">
      <c r="A11" s="316" t="s">
        <v>56</v>
      </c>
      <c r="B11" s="1363"/>
      <c r="C11" s="1363"/>
      <c r="D11" s="1363"/>
      <c r="E11" s="1363"/>
      <c r="F11" s="89"/>
      <c r="G11" s="1363"/>
      <c r="H11" s="1363"/>
      <c r="I11" s="90">
        <f>ROUND(SUM(I5:I10),0)</f>
        <v>0</v>
      </c>
      <c r="J11" s="91"/>
    </row>
    <row r="12" spans="1:22">
      <c r="A12" s="53"/>
      <c r="B12" s="92"/>
      <c r="C12" s="92"/>
      <c r="D12" s="92"/>
      <c r="E12" s="92"/>
      <c r="F12" s="92"/>
      <c r="G12" s="92"/>
      <c r="H12" s="92"/>
      <c r="I12" s="92"/>
    </row>
    <row r="13" spans="1:22" s="21" customFormat="1" ht="17.399999999999999">
      <c r="A13" s="93" t="s">
        <v>30</v>
      </c>
      <c r="D13" s="93" t="s">
        <v>31</v>
      </c>
      <c r="H13" s="94" t="s">
        <v>32</v>
      </c>
    </row>
    <row r="14" spans="1:22">
      <c r="G14" s="95"/>
      <c r="H14" s="95"/>
      <c r="I14" s="95"/>
    </row>
    <row r="15" spans="1:22">
      <c r="A15" s="96"/>
      <c r="D15" s="97"/>
      <c r="E15" s="97"/>
      <c r="F15" s="97"/>
      <c r="G15" s="95"/>
      <c r="H15" s="98"/>
      <c r="I15" s="98"/>
      <c r="K15" s="96"/>
      <c r="V15" s="99"/>
    </row>
  </sheetData>
  <sheetProtection formatCells="0" formatColumns="0" formatRows="0" insertRows="0"/>
  <mergeCells count="18">
    <mergeCell ref="B9:E9"/>
    <mergeCell ref="G9:H9"/>
    <mergeCell ref="B10:E10"/>
    <mergeCell ref="G10:H10"/>
    <mergeCell ref="B11:E11"/>
    <mergeCell ref="G11:H11"/>
    <mergeCell ref="B6:E6"/>
    <mergeCell ref="G6:H6"/>
    <mergeCell ref="B7:E7"/>
    <mergeCell ref="G7:H7"/>
    <mergeCell ref="B8:E8"/>
    <mergeCell ref="G8:H8"/>
    <mergeCell ref="A1:J1"/>
    <mergeCell ref="A2:J2"/>
    <mergeCell ref="B4:E4"/>
    <mergeCell ref="G4:H4"/>
    <mergeCell ref="B5:E5"/>
    <mergeCell ref="G5:H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68" fitToWidth="0" fitToHeight="0" orientation="landscape" blackAndWhite="1"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E23"/>
  <sheetViews>
    <sheetView view="pageBreakPreview" zoomScale="60" zoomScaleNormal="80" workbookViewId="0">
      <selection activeCell="A2" sqref="A2:E2"/>
    </sheetView>
  </sheetViews>
  <sheetFormatPr defaultColWidth="11.19921875" defaultRowHeight="15.6"/>
  <cols>
    <col min="1" max="1" width="25.69921875" style="104" customWidth="1"/>
    <col min="2" max="2" width="18.19921875" style="104" customWidth="1"/>
    <col min="3" max="3" width="23.19921875" style="104" customWidth="1"/>
    <col min="4" max="4" width="24.59765625" style="104" customWidth="1"/>
    <col min="5" max="5" width="31.19921875" style="104" customWidth="1"/>
    <col min="6" max="6" width="11.19921875" style="104" customWidth="1"/>
    <col min="7" max="16384" width="11.19921875" style="104"/>
  </cols>
  <sheetData>
    <row r="1" spans="1:5" ht="33" customHeight="1">
      <c r="A1" s="1359" t="str">
        <f>計畫經費彙總表!A1</f>
        <v>五常物業規劃顧問股份(閉鎖型)有限公司</v>
      </c>
      <c r="B1" s="1359"/>
      <c r="C1" s="1359"/>
      <c r="D1" s="1359"/>
      <c r="E1" s="1359"/>
    </row>
    <row r="2" spans="1:5" ht="30" customHeight="1">
      <c r="A2" s="2" t="s">
        <v>379</v>
      </c>
      <c r="B2" s="2"/>
      <c r="C2" s="2"/>
      <c r="D2" s="2"/>
      <c r="E2" s="2"/>
    </row>
    <row r="3" spans="1:5" ht="16.2">
      <c r="A3" s="8"/>
      <c r="B3" s="8"/>
      <c r="C3" s="8"/>
      <c r="D3" s="8"/>
      <c r="E3" s="9" t="s">
        <v>33</v>
      </c>
    </row>
    <row r="4" spans="1:5" s="105" customFormat="1" ht="24.75" customHeight="1" thickBot="1">
      <c r="A4" s="326" t="s">
        <v>57</v>
      </c>
      <c r="B4" s="112" t="s">
        <v>34</v>
      </c>
      <c r="C4" s="112" t="s">
        <v>35</v>
      </c>
      <c r="D4" s="112" t="s">
        <v>58</v>
      </c>
      <c r="E4" s="10" t="s">
        <v>59</v>
      </c>
    </row>
    <row r="5" spans="1:5" ht="24.75" customHeight="1">
      <c r="A5" s="113"/>
      <c r="B5" s="114"/>
      <c r="C5" s="114"/>
      <c r="D5" s="114"/>
      <c r="E5" s="115"/>
    </row>
    <row r="6" spans="1:5" ht="24.75" customHeight="1">
      <c r="A6" s="343" t="s">
        <v>256</v>
      </c>
      <c r="B6" s="256"/>
      <c r="C6" s="256"/>
      <c r="D6" s="256"/>
      <c r="E6" s="257">
        <v>10000</v>
      </c>
    </row>
    <row r="7" spans="1:5" ht="24.75" customHeight="1">
      <c r="A7" s="343" t="s">
        <v>256</v>
      </c>
      <c r="B7" s="256"/>
      <c r="C7" s="256"/>
      <c r="D7" s="256"/>
      <c r="E7" s="257">
        <v>10000</v>
      </c>
    </row>
    <row r="8" spans="1:5" ht="24.75" customHeight="1">
      <c r="A8" s="343" t="s">
        <v>256</v>
      </c>
      <c r="B8" s="256"/>
      <c r="C8" s="256"/>
      <c r="D8" s="256"/>
      <c r="E8" s="257"/>
    </row>
    <row r="9" spans="1:5" ht="24.75" customHeight="1">
      <c r="A9" s="343" t="s">
        <v>256</v>
      </c>
      <c r="B9" s="256"/>
      <c r="C9" s="256"/>
      <c r="D9" s="256"/>
      <c r="E9" s="257"/>
    </row>
    <row r="10" spans="1:5" ht="24.75" customHeight="1">
      <c r="A10" s="343" t="s">
        <v>256</v>
      </c>
      <c r="B10" s="256"/>
      <c r="C10" s="256"/>
      <c r="D10" s="256"/>
      <c r="E10" s="257"/>
    </row>
    <row r="11" spans="1:5" ht="24.75" customHeight="1">
      <c r="A11" s="343" t="s">
        <v>256</v>
      </c>
      <c r="B11" s="256"/>
      <c r="C11" s="256"/>
      <c r="D11" s="256"/>
      <c r="E11" s="257"/>
    </row>
    <row r="12" spans="1:5" ht="24.75" customHeight="1">
      <c r="A12" s="343" t="s">
        <v>256</v>
      </c>
      <c r="B12" s="256"/>
      <c r="C12" s="256"/>
      <c r="D12" s="256"/>
      <c r="E12" s="257"/>
    </row>
    <row r="13" spans="1:5" ht="24.75" customHeight="1">
      <c r="A13" s="255"/>
      <c r="B13" s="256"/>
      <c r="C13" s="256"/>
      <c r="D13" s="256"/>
      <c r="E13" s="257"/>
    </row>
    <row r="14" spans="1:5" ht="24.75" customHeight="1">
      <c r="A14" s="255"/>
      <c r="B14" s="256"/>
      <c r="C14" s="256"/>
      <c r="D14" s="256"/>
      <c r="E14" s="257"/>
    </row>
    <row r="15" spans="1:5" ht="24.75" customHeight="1" thickBot="1">
      <c r="A15" s="317" t="s">
        <v>60</v>
      </c>
      <c r="B15" s="106"/>
      <c r="C15" s="106"/>
      <c r="D15" s="106"/>
      <c r="E15" s="107">
        <f>ROUND(SUM(E6:E14),0)</f>
        <v>20000</v>
      </c>
    </row>
    <row r="17" spans="1:5" s="108" customFormat="1" ht="16.2">
      <c r="A17" s="1364" t="s">
        <v>61</v>
      </c>
      <c r="B17" s="1364"/>
      <c r="C17" s="1364"/>
      <c r="D17" s="1364"/>
      <c r="E17" s="1364"/>
    </row>
    <row r="18" spans="1:5" s="108" customFormat="1" ht="16.2">
      <c r="A18" s="1364" t="s">
        <v>62</v>
      </c>
      <c r="B18" s="1364"/>
      <c r="C18" s="1364"/>
      <c r="D18" s="1364"/>
      <c r="E18" s="1364"/>
    </row>
    <row r="19" spans="1:5" s="108" customFormat="1" ht="16.2">
      <c r="A19" s="18" t="s">
        <v>63</v>
      </c>
      <c r="B19" s="104"/>
      <c r="C19" s="104"/>
      <c r="D19" s="104"/>
      <c r="E19" s="104"/>
    </row>
    <row r="20" spans="1:5" s="108" customFormat="1" ht="19.8">
      <c r="A20" s="109"/>
    </row>
    <row r="21" spans="1:5" s="21" customFormat="1" ht="17.399999999999999">
      <c r="A21" s="93" t="s">
        <v>30</v>
      </c>
      <c r="C21" s="93" t="s">
        <v>31</v>
      </c>
      <c r="E21" s="94" t="s">
        <v>32</v>
      </c>
    </row>
    <row r="22" spans="1:5" s="108" customFormat="1" ht="16.8">
      <c r="A22" s="110"/>
    </row>
    <row r="23" spans="1:5" ht="16.8">
      <c r="C23" s="111"/>
    </row>
  </sheetData>
  <sheetProtection algorithmName="SHA-512" hashValue="3Zqi+Se2c8Rjn7oY/oQ5pluZjASUKerZe62WY5r0b6QG6ttaj7MKFHEa52ZpOYzyzmhQWsyXzsI5Ng5mHYkpBQ==" saltValue="qC7d1f2b7yZoO2y5vxtt6g==" spinCount="100000" sheet="1" formatCells="0" formatColumns="0" formatRows="0" insertRows="0"/>
  <mergeCells count="4">
    <mergeCell ref="A1:E1"/>
    <mergeCell ref="A2:E2"/>
    <mergeCell ref="A17:E17"/>
    <mergeCell ref="A18:E18"/>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J24"/>
  <sheetViews>
    <sheetView view="pageBreakPreview" zoomScaleNormal="80" workbookViewId="0">
      <selection activeCell="Z23" sqref="Z23"/>
    </sheetView>
  </sheetViews>
  <sheetFormatPr defaultColWidth="11.19921875" defaultRowHeight="15.6"/>
  <cols>
    <col min="1" max="1" width="10.09765625" style="129" customWidth="1"/>
    <col min="2" max="2" width="3.69921875" style="104" customWidth="1"/>
    <col min="3" max="3" width="3.59765625" style="104" customWidth="1"/>
    <col min="4" max="4" width="4.59765625" style="104" customWidth="1"/>
    <col min="5" max="7" width="3.69921875" style="104" customWidth="1"/>
    <col min="8" max="8" width="4.5" style="104" customWidth="1"/>
    <col min="9" max="9" width="4.69921875" style="104" customWidth="1"/>
    <col min="10" max="10" width="3.69921875" style="104" customWidth="1"/>
    <col min="11" max="12" width="3.59765625" style="104" customWidth="1"/>
    <col min="13" max="18" width="4.19921875" style="104" customWidth="1"/>
    <col min="19" max="19" width="5" style="104" customWidth="1"/>
    <col min="20" max="32" width="4.19921875" style="104" customWidth="1"/>
    <col min="33" max="33" width="5.09765625" style="104" customWidth="1"/>
    <col min="34" max="34" width="6.5" style="104" customWidth="1"/>
    <col min="35" max="35" width="8.19921875" style="104" bestFit="1" customWidth="1"/>
    <col min="36" max="36" width="11.19921875" style="104" customWidth="1"/>
    <col min="37" max="16384" width="11.19921875" style="104"/>
  </cols>
  <sheetData>
    <row r="1" spans="1:36" ht="22.5" customHeight="1">
      <c r="A1" s="1365" t="str">
        <f>計畫經費彙總表!A1</f>
        <v>五常物業規劃顧問股份(閉鎖型)有限公司</v>
      </c>
      <c r="B1" s="1365"/>
      <c r="C1" s="1365"/>
      <c r="D1" s="1365"/>
      <c r="E1" s="1365"/>
      <c r="F1" s="1365"/>
      <c r="G1" s="1365"/>
      <c r="H1" s="1365"/>
      <c r="I1" s="1365"/>
      <c r="J1" s="1365"/>
      <c r="K1" s="1365"/>
      <c r="L1" s="1365"/>
      <c r="M1" s="1365"/>
      <c r="N1" s="1365"/>
      <c r="O1" s="1365"/>
      <c r="P1" s="1365"/>
      <c r="Q1" s="1365"/>
      <c r="R1" s="1365"/>
      <c r="S1" s="1365"/>
      <c r="T1" s="1365"/>
      <c r="U1" s="1365"/>
      <c r="V1" s="1365"/>
      <c r="W1" s="1365"/>
      <c r="X1" s="1365"/>
      <c r="Y1" s="1365"/>
      <c r="Z1" s="1365"/>
      <c r="AA1" s="1365"/>
      <c r="AB1" s="1365"/>
      <c r="AC1" s="1365"/>
      <c r="AD1" s="1365"/>
      <c r="AE1" s="1365"/>
      <c r="AF1" s="1365"/>
      <c r="AG1" s="1365"/>
      <c r="AH1" s="1365"/>
      <c r="AI1" s="1365"/>
      <c r="AJ1" s="1365"/>
    </row>
    <row r="2" spans="1:36" ht="30" customHeight="1">
      <c r="A2" s="1366" t="s">
        <v>264</v>
      </c>
      <c r="B2" s="1366"/>
      <c r="C2" s="1366"/>
      <c r="D2" s="1366"/>
      <c r="E2" s="1366"/>
      <c r="F2" s="1366"/>
      <c r="G2" s="1366"/>
      <c r="H2" s="1366"/>
      <c r="I2" s="1366"/>
      <c r="J2" s="1366"/>
      <c r="K2" s="1366"/>
      <c r="L2" s="1366"/>
      <c r="M2" s="1366"/>
      <c r="N2" s="1366"/>
      <c r="O2" s="1366"/>
      <c r="P2" s="1366"/>
      <c r="Q2" s="1366"/>
      <c r="R2" s="1366"/>
      <c r="S2" s="1366"/>
      <c r="T2" s="1366"/>
      <c r="U2" s="1366"/>
      <c r="V2" s="1366"/>
      <c r="W2" s="1366"/>
      <c r="X2" s="1366"/>
      <c r="Y2" s="1366"/>
      <c r="Z2" s="1366"/>
      <c r="AA2" s="1366"/>
      <c r="AB2" s="1366"/>
      <c r="AC2" s="1366"/>
      <c r="AD2" s="1366"/>
      <c r="AE2" s="1366"/>
      <c r="AF2" s="1366"/>
      <c r="AG2" s="1366"/>
      <c r="AH2" s="1366"/>
      <c r="AI2" s="1366"/>
      <c r="AJ2" s="250"/>
    </row>
    <row r="3" spans="1:36" s="117" customFormat="1" ht="45" customHeight="1">
      <c r="A3" s="11" t="s">
        <v>57</v>
      </c>
      <c r="B3" s="130">
        <v>1</v>
      </c>
      <c r="C3" s="130">
        <v>2</v>
      </c>
      <c r="D3" s="130">
        <v>3</v>
      </c>
      <c r="E3" s="130">
        <v>4</v>
      </c>
      <c r="F3" s="130">
        <v>5</v>
      </c>
      <c r="G3" s="130">
        <v>6</v>
      </c>
      <c r="H3" s="130">
        <v>7</v>
      </c>
      <c r="I3" s="130">
        <v>8</v>
      </c>
      <c r="J3" s="130">
        <v>9</v>
      </c>
      <c r="K3" s="130">
        <v>10</v>
      </c>
      <c r="L3" s="130">
        <v>11</v>
      </c>
      <c r="M3" s="130">
        <v>12</v>
      </c>
      <c r="N3" s="130">
        <v>13</v>
      </c>
      <c r="O3" s="130">
        <v>14</v>
      </c>
      <c r="P3" s="130">
        <v>15</v>
      </c>
      <c r="Q3" s="130">
        <v>16</v>
      </c>
      <c r="R3" s="130">
        <v>17</v>
      </c>
      <c r="S3" s="130">
        <v>18</v>
      </c>
      <c r="T3" s="130">
        <v>19</v>
      </c>
      <c r="U3" s="130">
        <v>20</v>
      </c>
      <c r="V3" s="130">
        <v>21</v>
      </c>
      <c r="W3" s="130">
        <v>22</v>
      </c>
      <c r="X3" s="130">
        <v>23</v>
      </c>
      <c r="Y3" s="130">
        <v>24</v>
      </c>
      <c r="Z3" s="130">
        <v>25</v>
      </c>
      <c r="AA3" s="130">
        <v>26</v>
      </c>
      <c r="AB3" s="130">
        <v>27</v>
      </c>
      <c r="AC3" s="116">
        <v>28</v>
      </c>
      <c r="AD3" s="116">
        <v>29</v>
      </c>
      <c r="AE3" s="116">
        <v>30</v>
      </c>
      <c r="AF3" s="116">
        <v>31</v>
      </c>
      <c r="AG3" s="11" t="s">
        <v>64</v>
      </c>
      <c r="AH3" s="12" t="s">
        <v>65</v>
      </c>
      <c r="AI3" s="133" t="s">
        <v>66</v>
      </c>
      <c r="AJ3" s="134" t="s">
        <v>67</v>
      </c>
    </row>
    <row r="4" spans="1:36" s="119" customFormat="1" ht="15" customHeight="1">
      <c r="A4" s="131"/>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18"/>
      <c r="AD4" s="118"/>
      <c r="AE4" s="118"/>
      <c r="AF4" s="118"/>
      <c r="AG4" s="135"/>
      <c r="AH4" s="135"/>
      <c r="AI4" s="136"/>
      <c r="AJ4" s="137"/>
    </row>
    <row r="5" spans="1:36">
      <c r="A5" s="251" t="str">
        <f>人事費!A7</f>
        <v>1.阮氏泉</v>
      </c>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1">
        <f>SUM(B5:AF5)</f>
        <v>0</v>
      </c>
      <c r="AH5" s="120">
        <v>160</v>
      </c>
      <c r="AI5" s="122">
        <f>AG5/AH5</f>
        <v>0</v>
      </c>
      <c r="AJ5" s="123"/>
    </row>
    <row r="6" spans="1:36">
      <c r="A6" s="251" t="str">
        <f>人事費!A8</f>
        <v>2.江政隆</v>
      </c>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1">
        <f>SUM(B6:AF6)</f>
        <v>0</v>
      </c>
      <c r="AH6" s="120">
        <v>160</v>
      </c>
      <c r="AI6" s="122">
        <f>AG6/AH6</f>
        <v>0</v>
      </c>
      <c r="AJ6" s="123"/>
    </row>
    <row r="7" spans="1:36">
      <c r="A7" s="251" t="str">
        <f>人事費!A9</f>
        <v>3.蔣明諺</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1">
        <f>SUM(B7:AF7)</f>
        <v>0</v>
      </c>
      <c r="AH7" s="120">
        <v>160</v>
      </c>
      <c r="AI7" s="122">
        <f>AG7/AH7</f>
        <v>0</v>
      </c>
      <c r="AJ7" s="123"/>
    </row>
    <row r="8" spans="1:36">
      <c r="A8" s="251" t="str">
        <f>人事費!A10</f>
        <v>4.林詩妘</v>
      </c>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1">
        <f>SUM(B8:AF8)</f>
        <v>0</v>
      </c>
      <c r="AH8" s="120">
        <v>160</v>
      </c>
      <c r="AI8" s="122">
        <f>AG8/AH8</f>
        <v>0</v>
      </c>
      <c r="AJ8" s="123"/>
    </row>
    <row r="9" spans="1:36" ht="17.25" customHeight="1">
      <c r="A9" s="251" t="str">
        <f>人事費!A11</f>
        <v>5.李道翔</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1"/>
      <c r="AH9" s="120"/>
      <c r="AI9" s="122"/>
      <c r="AJ9" s="123"/>
    </row>
    <row r="10" spans="1:36" ht="15.75" customHeight="1">
      <c r="A10" s="251"/>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1"/>
      <c r="AH10" s="120"/>
      <c r="AI10" s="122"/>
      <c r="AJ10" s="123"/>
    </row>
    <row r="11" spans="1:36">
      <c r="A11" s="251"/>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1"/>
      <c r="AH11" s="120"/>
      <c r="AI11" s="122"/>
      <c r="AJ11" s="123"/>
    </row>
    <row r="12" spans="1:36">
      <c r="A12" s="251"/>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1"/>
      <c r="AH12" s="120"/>
      <c r="AI12" s="122"/>
      <c r="AJ12" s="123"/>
    </row>
    <row r="13" spans="1:36">
      <c r="A13" s="251"/>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1"/>
      <c r="AH13" s="120"/>
      <c r="AI13" s="122"/>
      <c r="AJ13" s="123"/>
    </row>
    <row r="14" spans="1:36" ht="20.25" customHeight="1">
      <c r="A14" s="251"/>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1"/>
      <c r="AH14" s="120"/>
      <c r="AI14" s="122"/>
      <c r="AJ14" s="123"/>
    </row>
    <row r="15" spans="1:36" ht="15.75" customHeight="1">
      <c r="A15" s="251"/>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1"/>
      <c r="AH15" s="120"/>
      <c r="AI15" s="122"/>
      <c r="AJ15" s="123"/>
    </row>
    <row r="16" spans="1:36" ht="15.75" customHeight="1">
      <c r="A16" s="251"/>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20"/>
      <c r="AI16" s="122"/>
      <c r="AJ16" s="123"/>
    </row>
    <row r="17" spans="1:36" ht="18.75" customHeight="1">
      <c r="A17" s="318" t="s">
        <v>64</v>
      </c>
      <c r="B17" s="121">
        <f t="shared" ref="B17:AG17" si="0">SUM(B5:B16)</f>
        <v>0</v>
      </c>
      <c r="C17" s="121">
        <f t="shared" si="0"/>
        <v>0</v>
      </c>
      <c r="D17" s="121">
        <f t="shared" si="0"/>
        <v>0</v>
      </c>
      <c r="E17" s="121">
        <f t="shared" si="0"/>
        <v>0</v>
      </c>
      <c r="F17" s="121">
        <f t="shared" si="0"/>
        <v>0</v>
      </c>
      <c r="G17" s="121">
        <f t="shared" si="0"/>
        <v>0</v>
      </c>
      <c r="H17" s="121">
        <f t="shared" si="0"/>
        <v>0</v>
      </c>
      <c r="I17" s="121">
        <f t="shared" si="0"/>
        <v>0</v>
      </c>
      <c r="J17" s="121">
        <f t="shared" si="0"/>
        <v>0</v>
      </c>
      <c r="K17" s="121">
        <f t="shared" si="0"/>
        <v>0</v>
      </c>
      <c r="L17" s="121">
        <f t="shared" si="0"/>
        <v>0</v>
      </c>
      <c r="M17" s="121">
        <f t="shared" si="0"/>
        <v>0</v>
      </c>
      <c r="N17" s="121">
        <f t="shared" si="0"/>
        <v>0</v>
      </c>
      <c r="O17" s="121">
        <f t="shared" si="0"/>
        <v>0</v>
      </c>
      <c r="P17" s="121">
        <f t="shared" si="0"/>
        <v>0</v>
      </c>
      <c r="Q17" s="121">
        <f t="shared" si="0"/>
        <v>0</v>
      </c>
      <c r="R17" s="121">
        <f t="shared" si="0"/>
        <v>0</v>
      </c>
      <c r="S17" s="121">
        <f t="shared" si="0"/>
        <v>0</v>
      </c>
      <c r="T17" s="121">
        <f t="shared" si="0"/>
        <v>0</v>
      </c>
      <c r="U17" s="121">
        <f t="shared" si="0"/>
        <v>0</v>
      </c>
      <c r="V17" s="121">
        <f t="shared" si="0"/>
        <v>0</v>
      </c>
      <c r="W17" s="121">
        <f t="shared" si="0"/>
        <v>0</v>
      </c>
      <c r="X17" s="121">
        <f t="shared" si="0"/>
        <v>0</v>
      </c>
      <c r="Y17" s="121">
        <f t="shared" si="0"/>
        <v>0</v>
      </c>
      <c r="Z17" s="121">
        <f t="shared" si="0"/>
        <v>0</v>
      </c>
      <c r="AA17" s="121">
        <f t="shared" si="0"/>
        <v>0</v>
      </c>
      <c r="AB17" s="121">
        <f t="shared" si="0"/>
        <v>0</v>
      </c>
      <c r="AC17" s="121">
        <f t="shared" si="0"/>
        <v>0</v>
      </c>
      <c r="AD17" s="121">
        <f t="shared" si="0"/>
        <v>0</v>
      </c>
      <c r="AE17" s="121">
        <f t="shared" si="0"/>
        <v>0</v>
      </c>
      <c r="AF17" s="121">
        <f t="shared" si="0"/>
        <v>0</v>
      </c>
      <c r="AG17" s="121">
        <f t="shared" si="0"/>
        <v>0</v>
      </c>
      <c r="AH17" s="121"/>
      <c r="AI17" s="122">
        <f>SUM(AI5:AI16)</f>
        <v>0</v>
      </c>
      <c r="AJ17" s="123"/>
    </row>
    <row r="18" spans="1:36" s="108" customFormat="1" ht="13.8">
      <c r="A18" s="17"/>
    </row>
    <row r="19" spans="1:36" s="108" customFormat="1" ht="13.8">
      <c r="A19" s="17" t="s">
        <v>68</v>
      </c>
    </row>
    <row r="20" spans="1:36" s="108" customFormat="1" ht="13.8">
      <c r="A20" s="17" t="s">
        <v>69</v>
      </c>
    </row>
    <row r="21" spans="1:36" s="108" customFormat="1" ht="13.8">
      <c r="A21" s="17" t="s">
        <v>70</v>
      </c>
    </row>
    <row r="22" spans="1:36">
      <c r="A22" s="124" t="s">
        <v>71</v>
      </c>
    </row>
    <row r="23" spans="1:36" ht="16.8">
      <c r="A23" s="124"/>
      <c r="B23" s="111"/>
      <c r="C23" s="110"/>
      <c r="D23" s="111"/>
      <c r="E23" s="111"/>
      <c r="G23" s="125"/>
      <c r="H23" s="111"/>
      <c r="J23" s="111"/>
      <c r="K23" s="111"/>
      <c r="M23" s="110"/>
      <c r="X23" s="126"/>
    </row>
    <row r="24" spans="1:36" s="128" customFormat="1" ht="17.399999999999999">
      <c r="A24" s="127"/>
      <c r="B24" s="21"/>
      <c r="C24" s="21"/>
      <c r="D24" s="21"/>
      <c r="E24" s="93" t="s">
        <v>30</v>
      </c>
      <c r="F24" s="21"/>
      <c r="G24" s="21"/>
      <c r="H24" s="21"/>
      <c r="I24" s="127"/>
      <c r="J24" s="21"/>
      <c r="K24" s="21"/>
      <c r="L24" s="21"/>
      <c r="M24" s="21"/>
      <c r="N24" s="21"/>
      <c r="O24" s="21"/>
      <c r="P24" s="21"/>
      <c r="Q24" s="21"/>
      <c r="R24" s="21"/>
      <c r="S24" s="93" t="s">
        <v>31</v>
      </c>
      <c r="T24" s="21"/>
      <c r="U24" s="21"/>
      <c r="V24" s="21"/>
      <c r="W24" s="21"/>
      <c r="X24" s="21"/>
      <c r="Y24" s="21"/>
      <c r="Z24" s="21"/>
      <c r="AA24" s="21"/>
      <c r="AB24" s="21"/>
      <c r="AC24" s="21"/>
      <c r="AD24" s="94" t="s">
        <v>32</v>
      </c>
      <c r="AE24" s="21"/>
      <c r="AF24" s="21"/>
      <c r="AG24" s="21"/>
      <c r="AH24" s="21"/>
      <c r="AI24" s="21"/>
      <c r="AJ24" s="21"/>
    </row>
  </sheetData>
  <sheetProtection algorithmName="SHA-512" hashValue="MFpuE0DVHvno3uRNfienAHzyYCbhoYpX2lI/6KqwIkdOngVhXa+NzhQFlFCXFebjtgXi9Zm4nUDOs6ILrv7DEg==" saltValue="OrO6c/MRG4PDNgndvxsO+w==" spinCount="100000" sheet="1" formatCells="0" formatColumns="0" formatRows="0" insertRows="0"/>
  <mergeCells count="2">
    <mergeCell ref="A1:AJ1"/>
    <mergeCell ref="A2:AI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8"/>
  <sheetViews>
    <sheetView view="pageBreakPreview" zoomScale="107" zoomScaleNormal="80" zoomScaleSheetLayoutView="107" workbookViewId="0">
      <selection activeCell="I10" sqref="I10:I14"/>
    </sheetView>
  </sheetViews>
  <sheetFormatPr defaultColWidth="11.19921875" defaultRowHeight="16.2"/>
  <cols>
    <col min="1" max="1" width="13.19921875" style="104" customWidth="1"/>
    <col min="2" max="2" width="13.69921875" style="104" customWidth="1"/>
    <col min="3" max="3" width="15" style="104" customWidth="1"/>
    <col min="4" max="4" width="15.09765625" style="104" customWidth="1"/>
    <col min="5" max="5" width="10.09765625" style="104" bestFit="1" customWidth="1"/>
    <col min="6" max="6" width="16.19921875" style="18" customWidth="1"/>
    <col min="7" max="7" width="27.09765625" style="104" customWidth="1"/>
    <col min="8" max="8" width="7.59765625" style="129" customWidth="1"/>
    <col min="9" max="9" width="30.59765625" style="104" customWidth="1"/>
    <col min="10" max="10" width="27.5" style="104" customWidth="1"/>
    <col min="11" max="11" width="11.19921875" style="104" customWidth="1"/>
    <col min="12" max="12" width="11.09765625" style="104" customWidth="1"/>
    <col min="13" max="13" width="11.19921875" style="104" customWidth="1"/>
    <col min="14" max="16384" width="11.19921875" style="104"/>
  </cols>
  <sheetData>
    <row r="1" spans="1:10" ht="21.75" customHeight="1">
      <c r="A1" s="1367" t="str">
        <f>計畫經費彙總表!A1</f>
        <v>五常物業規劃顧問股份(閉鎖型)有限公司</v>
      </c>
      <c r="B1" s="1367"/>
      <c r="C1" s="1367"/>
      <c r="D1" s="1367"/>
      <c r="E1" s="1367"/>
      <c r="F1" s="1367"/>
      <c r="G1" s="1367"/>
      <c r="H1" s="1367"/>
      <c r="I1" s="1367"/>
      <c r="J1" s="1367"/>
    </row>
    <row r="2" spans="1:10" ht="22.2">
      <c r="A2" s="2" t="s">
        <v>282</v>
      </c>
      <c r="B2" s="2"/>
      <c r="C2" s="2"/>
      <c r="D2" s="2"/>
      <c r="E2" s="2"/>
      <c r="F2" s="2"/>
      <c r="G2" s="2"/>
      <c r="H2" s="2"/>
      <c r="I2" s="2"/>
      <c r="J2" s="2"/>
    </row>
    <row r="3" spans="1:10">
      <c r="A3" s="8"/>
      <c r="B3" s="8"/>
      <c r="C3" s="8"/>
      <c r="D3" s="8"/>
      <c r="E3" s="8"/>
      <c r="F3" s="8"/>
      <c r="G3" s="8"/>
      <c r="H3" s="8"/>
      <c r="I3" s="8"/>
      <c r="J3" s="9" t="s">
        <v>33</v>
      </c>
    </row>
    <row r="4" spans="1:10" s="138" customFormat="1" ht="45.75" customHeight="1" thickBot="1">
      <c r="A4" s="13" t="s">
        <v>34</v>
      </c>
      <c r="B4" s="14" t="s">
        <v>72</v>
      </c>
      <c r="C4" s="15" t="s">
        <v>73</v>
      </c>
      <c r="D4" s="15" t="s">
        <v>74</v>
      </c>
      <c r="E4" s="14" t="s">
        <v>75</v>
      </c>
      <c r="F4" s="15" t="s">
        <v>76</v>
      </c>
      <c r="G4" s="15" t="s">
        <v>77</v>
      </c>
      <c r="H4" s="14" t="s">
        <v>78</v>
      </c>
      <c r="I4" s="14" t="s">
        <v>79</v>
      </c>
      <c r="J4" s="16" t="s">
        <v>80</v>
      </c>
    </row>
    <row r="5" spans="1:10" ht="18" customHeight="1">
      <c r="A5" s="139"/>
      <c r="B5" s="140"/>
      <c r="C5" s="140"/>
      <c r="D5" s="140"/>
      <c r="E5" s="140"/>
      <c r="F5" s="141"/>
      <c r="G5" s="140"/>
      <c r="H5" s="142"/>
      <c r="I5" s="140"/>
      <c r="J5" s="143"/>
    </row>
    <row r="6" spans="1:10">
      <c r="A6" s="260" t="s">
        <v>276</v>
      </c>
      <c r="B6" s="261">
        <v>1120424002</v>
      </c>
      <c r="C6" s="261" t="s">
        <v>280</v>
      </c>
      <c r="D6" s="261" t="s">
        <v>283</v>
      </c>
      <c r="E6" s="262" t="s">
        <v>83</v>
      </c>
      <c r="F6" s="263" t="s">
        <v>279</v>
      </c>
      <c r="G6" s="263" t="s">
        <v>257</v>
      </c>
      <c r="H6" s="264">
        <v>5</v>
      </c>
      <c r="I6" s="262">
        <v>200</v>
      </c>
      <c r="J6" s="265">
        <f>I6*H6</f>
        <v>1000</v>
      </c>
    </row>
    <row r="7" spans="1:10">
      <c r="A7" s="260" t="s">
        <v>276</v>
      </c>
      <c r="B7" s="261">
        <v>1120424002</v>
      </c>
      <c r="C7" s="261" t="s">
        <v>281</v>
      </c>
      <c r="D7" s="261" t="s">
        <v>284</v>
      </c>
      <c r="E7" s="262" t="s">
        <v>83</v>
      </c>
      <c r="F7" s="263" t="s">
        <v>278</v>
      </c>
      <c r="G7" s="263" t="s">
        <v>258</v>
      </c>
      <c r="H7" s="264">
        <v>1</v>
      </c>
      <c r="I7" s="262">
        <v>1130</v>
      </c>
      <c r="J7" s="265">
        <f t="shared" ref="J7:J26" si="0">I7*H7</f>
        <v>1130</v>
      </c>
    </row>
    <row r="8" spans="1:10" ht="15" customHeight="1">
      <c r="A8" s="260" t="s">
        <v>276</v>
      </c>
      <c r="B8" s="261">
        <v>1120424002</v>
      </c>
      <c r="C8" s="261" t="s">
        <v>281</v>
      </c>
      <c r="D8" s="261" t="s">
        <v>285</v>
      </c>
      <c r="E8" s="262"/>
      <c r="F8" s="263" t="s">
        <v>277</v>
      </c>
      <c r="G8" s="266" t="s">
        <v>259</v>
      </c>
      <c r="H8" s="264">
        <v>20</v>
      </c>
      <c r="I8" s="262">
        <v>53</v>
      </c>
      <c r="J8" s="265">
        <f t="shared" si="0"/>
        <v>1060</v>
      </c>
    </row>
    <row r="9" spans="1:10" ht="14.25" customHeight="1">
      <c r="A9" s="260" t="s">
        <v>276</v>
      </c>
      <c r="B9" s="261">
        <v>1120424002</v>
      </c>
      <c r="C9" s="261" t="s">
        <v>281</v>
      </c>
      <c r="D9" s="261" t="s">
        <v>286</v>
      </c>
      <c r="E9" s="262"/>
      <c r="F9" s="263" t="s">
        <v>289</v>
      </c>
      <c r="G9" s="266" t="s">
        <v>380</v>
      </c>
      <c r="H9" s="264">
        <v>50</v>
      </c>
      <c r="I9" s="262">
        <v>2</v>
      </c>
      <c r="J9" s="265">
        <f t="shared" si="0"/>
        <v>100</v>
      </c>
    </row>
    <row r="10" spans="1:10" ht="15" customHeight="1">
      <c r="A10" s="260" t="s">
        <v>276</v>
      </c>
      <c r="B10" s="261">
        <v>1120424002</v>
      </c>
      <c r="C10" s="261" t="s">
        <v>281</v>
      </c>
      <c r="D10" s="261" t="s">
        <v>287</v>
      </c>
      <c r="E10" s="261"/>
      <c r="F10" s="266" t="s">
        <v>290</v>
      </c>
      <c r="G10" s="266" t="s">
        <v>380</v>
      </c>
      <c r="H10" s="264">
        <v>50</v>
      </c>
      <c r="I10" s="264">
        <v>2</v>
      </c>
      <c r="J10" s="265">
        <f t="shared" si="0"/>
        <v>100</v>
      </c>
    </row>
    <row r="11" spans="1:10" ht="14.25" customHeight="1">
      <c r="A11" s="260" t="s">
        <v>276</v>
      </c>
      <c r="B11" s="261">
        <v>1120424002</v>
      </c>
      <c r="C11" s="261" t="s">
        <v>280</v>
      </c>
      <c r="D11" s="261" t="s">
        <v>288</v>
      </c>
      <c r="E11" s="261"/>
      <c r="F11" s="266" t="s">
        <v>291</v>
      </c>
      <c r="G11" s="266" t="s">
        <v>380</v>
      </c>
      <c r="H11" s="264">
        <v>50</v>
      </c>
      <c r="I11" s="264">
        <v>2</v>
      </c>
      <c r="J11" s="265">
        <f t="shared" si="0"/>
        <v>100</v>
      </c>
    </row>
    <row r="12" spans="1:10" s="18" customFormat="1" ht="12.75" customHeight="1">
      <c r="A12" s="260" t="s">
        <v>276</v>
      </c>
      <c r="B12" s="261">
        <v>1120424002</v>
      </c>
      <c r="C12" s="261" t="s">
        <v>281</v>
      </c>
      <c r="D12" s="261" t="s">
        <v>292</v>
      </c>
      <c r="E12" s="266"/>
      <c r="F12" s="266" t="s">
        <v>295</v>
      </c>
      <c r="G12" s="266" t="s">
        <v>380</v>
      </c>
      <c r="H12" s="264">
        <v>50</v>
      </c>
      <c r="I12" s="262">
        <v>2</v>
      </c>
      <c r="J12" s="265">
        <f t="shared" si="0"/>
        <v>100</v>
      </c>
    </row>
    <row r="13" spans="1:10" ht="15" customHeight="1">
      <c r="A13" s="260" t="s">
        <v>276</v>
      </c>
      <c r="B13" s="261">
        <v>1120424002</v>
      </c>
      <c r="C13" s="261" t="s">
        <v>281</v>
      </c>
      <c r="D13" s="261" t="s">
        <v>293</v>
      </c>
      <c r="E13" s="261"/>
      <c r="F13" s="266" t="s">
        <v>296</v>
      </c>
      <c r="G13" s="266" t="s">
        <v>380</v>
      </c>
      <c r="H13" s="264">
        <v>50</v>
      </c>
      <c r="I13" s="264">
        <v>2</v>
      </c>
      <c r="J13" s="265">
        <f t="shared" si="0"/>
        <v>100</v>
      </c>
    </row>
    <row r="14" spans="1:10" ht="12.75" customHeight="1">
      <c r="A14" s="260" t="s">
        <v>276</v>
      </c>
      <c r="B14" s="261">
        <v>1120424002</v>
      </c>
      <c r="C14" s="261" t="s">
        <v>281</v>
      </c>
      <c r="D14" s="261" t="s">
        <v>294</v>
      </c>
      <c r="E14" s="261"/>
      <c r="F14" s="266" t="s">
        <v>297</v>
      </c>
      <c r="G14" s="266" t="s">
        <v>380</v>
      </c>
      <c r="H14" s="264">
        <v>50</v>
      </c>
      <c r="I14" s="264">
        <v>2</v>
      </c>
      <c r="J14" s="265">
        <f t="shared" si="0"/>
        <v>100</v>
      </c>
    </row>
    <row r="15" spans="1:10" ht="15" customHeight="1">
      <c r="A15" s="268"/>
      <c r="B15" s="261"/>
      <c r="C15" s="261"/>
      <c r="D15" s="261"/>
      <c r="E15" s="261"/>
      <c r="F15" s="266"/>
      <c r="G15" s="261"/>
      <c r="H15" s="264"/>
      <c r="I15" s="261"/>
      <c r="J15" s="265">
        <f t="shared" si="0"/>
        <v>0</v>
      </c>
    </row>
    <row r="16" spans="1:10" ht="15" customHeight="1">
      <c r="A16" s="260"/>
      <c r="B16" s="261"/>
      <c r="C16" s="261"/>
      <c r="D16" s="261"/>
      <c r="E16" s="261"/>
      <c r="F16" s="266"/>
      <c r="G16" s="261"/>
      <c r="H16" s="264"/>
      <c r="I16" s="261"/>
      <c r="J16" s="265">
        <f t="shared" si="0"/>
        <v>0</v>
      </c>
    </row>
    <row r="17" spans="1:10" ht="13.5" customHeight="1">
      <c r="A17" s="260"/>
      <c r="B17" s="261"/>
      <c r="C17" s="261"/>
      <c r="D17" s="261"/>
      <c r="E17" s="261"/>
      <c r="F17" s="266"/>
      <c r="G17" s="261"/>
      <c r="H17" s="264"/>
      <c r="I17" s="261"/>
      <c r="J17" s="265">
        <f t="shared" si="0"/>
        <v>0</v>
      </c>
    </row>
    <row r="18" spans="1:10" ht="15.75" customHeight="1">
      <c r="A18" s="267"/>
      <c r="B18" s="261"/>
      <c r="C18" s="261"/>
      <c r="D18" s="261"/>
      <c r="E18" s="261"/>
      <c r="F18" s="266"/>
      <c r="G18" s="261"/>
      <c r="H18" s="264"/>
      <c r="I18" s="261"/>
      <c r="J18" s="265">
        <f t="shared" si="0"/>
        <v>0</v>
      </c>
    </row>
    <row r="19" spans="1:10" ht="17.25" customHeight="1">
      <c r="A19" s="268"/>
      <c r="B19" s="261"/>
      <c r="C19" s="261"/>
      <c r="D19" s="261"/>
      <c r="E19" s="261"/>
      <c r="F19" s="266"/>
      <c r="G19" s="261"/>
      <c r="H19" s="264"/>
      <c r="I19" s="261"/>
      <c r="J19" s="265">
        <f t="shared" si="0"/>
        <v>0</v>
      </c>
    </row>
    <row r="20" spans="1:10" ht="15" customHeight="1">
      <c r="A20" s="260"/>
      <c r="B20" s="261"/>
      <c r="C20" s="261"/>
      <c r="D20" s="261"/>
      <c r="E20" s="261"/>
      <c r="F20" s="266"/>
      <c r="G20" s="261"/>
      <c r="H20" s="264"/>
      <c r="I20" s="261"/>
      <c r="J20" s="265">
        <f t="shared" si="0"/>
        <v>0</v>
      </c>
    </row>
    <row r="21" spans="1:10" ht="14.25" customHeight="1">
      <c r="A21" s="260"/>
      <c r="B21" s="261"/>
      <c r="C21" s="261"/>
      <c r="D21" s="261"/>
      <c r="E21" s="261"/>
      <c r="F21" s="266"/>
      <c r="G21" s="261"/>
      <c r="H21" s="264"/>
      <c r="I21" s="261"/>
      <c r="J21" s="265">
        <f t="shared" si="0"/>
        <v>0</v>
      </c>
    </row>
    <row r="22" spans="1:10" ht="18" customHeight="1">
      <c r="A22" s="270"/>
      <c r="B22" s="261"/>
      <c r="C22" s="261"/>
      <c r="D22" s="261"/>
      <c r="E22" s="261"/>
      <c r="F22" s="266"/>
      <c r="G22" s="261"/>
      <c r="H22" s="264"/>
      <c r="I22" s="261"/>
      <c r="J22" s="265">
        <f t="shared" si="0"/>
        <v>0</v>
      </c>
    </row>
    <row r="23" spans="1:10" ht="15.75" customHeight="1">
      <c r="A23" s="268"/>
      <c r="B23" s="261"/>
      <c r="C23" s="261"/>
      <c r="D23" s="261"/>
      <c r="E23" s="261"/>
      <c r="F23" s="266"/>
      <c r="G23" s="261"/>
      <c r="H23" s="264"/>
      <c r="I23" s="261"/>
      <c r="J23" s="265">
        <f t="shared" si="0"/>
        <v>0</v>
      </c>
    </row>
    <row r="24" spans="1:10" ht="15.75" customHeight="1">
      <c r="A24" s="260"/>
      <c r="B24" s="261"/>
      <c r="C24" s="261"/>
      <c r="D24" s="261"/>
      <c r="E24" s="261"/>
      <c r="F24" s="266"/>
      <c r="G24" s="261"/>
      <c r="H24" s="264"/>
      <c r="I24" s="261"/>
      <c r="J24" s="265">
        <f t="shared" si="0"/>
        <v>0</v>
      </c>
    </row>
    <row r="25" spans="1:10" ht="16.5" customHeight="1">
      <c r="A25" s="260"/>
      <c r="B25" s="261"/>
      <c r="C25" s="261"/>
      <c r="D25" s="261"/>
      <c r="E25" s="261"/>
      <c r="F25" s="266"/>
      <c r="G25" s="261"/>
      <c r="H25" s="264"/>
      <c r="I25" s="261"/>
      <c r="J25" s="265">
        <f t="shared" si="0"/>
        <v>0</v>
      </c>
    </row>
    <row r="26" spans="1:10" ht="16.5" customHeight="1" thickBot="1">
      <c r="A26" s="271"/>
      <c r="B26" s="272"/>
      <c r="C26" s="272"/>
      <c r="D26" s="272"/>
      <c r="E26" s="272"/>
      <c r="F26" s="273"/>
      <c r="G26" s="272"/>
      <c r="H26" s="274"/>
      <c r="I26" s="272"/>
      <c r="J26" s="265">
        <f t="shared" si="0"/>
        <v>0</v>
      </c>
    </row>
    <row r="27" spans="1:10" ht="17.25" customHeight="1" thickBot="1">
      <c r="A27" s="319" t="s">
        <v>85</v>
      </c>
      <c r="B27" s="147"/>
      <c r="C27" s="147"/>
      <c r="D27" s="147"/>
      <c r="E27" s="147"/>
      <c r="F27" s="148"/>
      <c r="G27" s="147"/>
      <c r="H27" s="146"/>
      <c r="I27" s="147"/>
      <c r="J27" s="149">
        <f>ROUND(SUM(J5:J26),0)</f>
        <v>3790</v>
      </c>
    </row>
    <row r="28" spans="1:10" ht="17.25" customHeight="1">
      <c r="A28" s="150"/>
      <c r="B28" s="119"/>
      <c r="C28" s="119"/>
      <c r="D28" s="119"/>
      <c r="E28" s="119"/>
      <c r="F28" s="151"/>
      <c r="G28" s="119"/>
      <c r="I28" s="119"/>
      <c r="J28" s="152"/>
    </row>
    <row r="29" spans="1:10" ht="14.25" customHeight="1">
      <c r="A29" s="153" t="s">
        <v>86</v>
      </c>
    </row>
    <row r="30" spans="1:10" ht="14.25" customHeight="1">
      <c r="A30" s="153" t="s">
        <v>87</v>
      </c>
    </row>
    <row r="31" spans="1:10" ht="14.25" customHeight="1">
      <c r="A31" s="153" t="s">
        <v>88</v>
      </c>
    </row>
    <row r="32" spans="1:10">
      <c r="A32" s="17" t="s">
        <v>89</v>
      </c>
    </row>
    <row r="33" spans="1:10">
      <c r="A33" s="17" t="s">
        <v>90</v>
      </c>
    </row>
    <row r="34" spans="1:10" s="108" customFormat="1" ht="13.8">
      <c r="A34" s="1368" t="s">
        <v>91</v>
      </c>
      <c r="B34" s="1368"/>
      <c r="C34" s="1368"/>
      <c r="D34" s="1368"/>
      <c r="E34" s="1368"/>
      <c r="F34" s="1368"/>
      <c r="G34" s="1368"/>
      <c r="H34" s="1368"/>
      <c r="I34" s="1368"/>
      <c r="J34" s="1368"/>
    </row>
    <row r="35" spans="1:10" ht="15.6">
      <c r="A35" s="17" t="s">
        <v>92</v>
      </c>
      <c r="B35" s="108"/>
      <c r="C35" s="108"/>
      <c r="D35" s="108"/>
      <c r="E35" s="108"/>
      <c r="F35" s="17"/>
      <c r="G35" s="108"/>
      <c r="H35" s="154"/>
      <c r="I35" s="108"/>
      <c r="J35" s="108"/>
    </row>
    <row r="37" spans="1:10" s="21" customFormat="1" ht="17.399999999999999">
      <c r="B37" s="155" t="s">
        <v>30</v>
      </c>
      <c r="F37" s="93" t="s">
        <v>31</v>
      </c>
      <c r="I37" s="156" t="s">
        <v>32</v>
      </c>
    </row>
    <row r="38" spans="1:10" ht="14.25" customHeight="1">
      <c r="A38" s="17"/>
    </row>
  </sheetData>
  <sheetProtection algorithmName="SHA-512" hashValue="Q2fG9PfDGd2/0oVqs7vT8z54rUMK8J89OMqf3WItO6Q/iBlHoQRbYzbbAI8ZDnCI6WnoF9GEbpN7M93k6+gABg==" saltValue="yT6e4SqQ5W7jCdBdqw70HA==" spinCount="100000" sheet="1" formatCells="0" formatColumns="0" formatRows="0" insertRows="0"/>
  <mergeCells count="3">
    <mergeCell ref="A1:J1"/>
    <mergeCell ref="A2:J2"/>
    <mergeCell ref="A34:J3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dimension ref="A1:L36"/>
  <sheetViews>
    <sheetView view="pageBreakPreview" topLeftCell="A5" zoomScale="98" zoomScaleNormal="80" zoomScaleSheetLayoutView="98" workbookViewId="0">
      <selection activeCell="D26" sqref="D26"/>
    </sheetView>
  </sheetViews>
  <sheetFormatPr defaultColWidth="11.19921875" defaultRowHeight="15.6"/>
  <cols>
    <col min="1" max="1" width="14.19921875" style="104" customWidth="1"/>
    <col min="2" max="2" width="18" style="104" customWidth="1"/>
    <col min="3" max="3" width="24.69921875" style="104" customWidth="1"/>
    <col min="4" max="4" width="11.69921875" style="104" customWidth="1"/>
    <col min="5" max="5" width="14.59765625" style="104" customWidth="1"/>
    <col min="6" max="6" width="6.69921875" style="104" customWidth="1"/>
    <col min="7" max="7" width="18.19921875" style="104" customWidth="1"/>
    <col min="8" max="8" width="7.69921875" style="104" customWidth="1"/>
    <col min="9" max="9" width="19.5" style="104" customWidth="1"/>
    <col min="10" max="10" width="15.09765625" style="104" customWidth="1"/>
    <col min="11" max="11" width="13.69921875" style="104" customWidth="1"/>
    <col min="12" max="12" width="11.19921875" style="104" customWidth="1"/>
    <col min="13" max="16384" width="11.19921875" style="104"/>
  </cols>
  <sheetData>
    <row r="1" spans="1:11" ht="30" customHeight="1">
      <c r="A1" s="1365" t="str">
        <f>計畫經費彙總表!A1</f>
        <v>五常物業規劃顧問股份(閉鎖型)有限公司</v>
      </c>
      <c r="B1" s="1365"/>
      <c r="C1" s="1365"/>
      <c r="D1" s="1365"/>
      <c r="E1" s="1365"/>
      <c r="F1" s="1365"/>
      <c r="G1" s="1365"/>
      <c r="H1" s="1365"/>
      <c r="I1" s="1365"/>
      <c r="J1" s="1365"/>
      <c r="K1" s="1365"/>
    </row>
    <row r="2" spans="1:11" ht="22.2">
      <c r="A2" s="2" t="s">
        <v>93</v>
      </c>
      <c r="B2" s="2"/>
      <c r="C2" s="2"/>
      <c r="D2" s="2"/>
      <c r="E2" s="2"/>
      <c r="F2" s="2"/>
      <c r="G2" s="2"/>
      <c r="H2" s="2"/>
      <c r="I2" s="2"/>
      <c r="J2" s="2"/>
      <c r="K2" s="2"/>
    </row>
    <row r="3" spans="1:11" ht="16.8" thickBot="1">
      <c r="A3" s="8"/>
      <c r="B3" s="8"/>
      <c r="C3" s="8"/>
      <c r="D3" s="8"/>
      <c r="E3" s="8"/>
      <c r="F3" s="8"/>
      <c r="G3" s="8"/>
      <c r="H3" s="8"/>
      <c r="I3" s="8"/>
      <c r="J3" s="8"/>
      <c r="K3" s="9" t="s">
        <v>33</v>
      </c>
    </row>
    <row r="4" spans="1:11" s="157" customFormat="1" ht="24" customHeight="1" thickBot="1">
      <c r="A4" s="176" t="s">
        <v>34</v>
      </c>
      <c r="B4" s="332"/>
      <c r="C4" s="177" t="s">
        <v>35</v>
      </c>
      <c r="D4" s="333"/>
      <c r="E4" s="333"/>
      <c r="F4" s="333"/>
      <c r="G4" s="333"/>
      <c r="H4" s="333"/>
      <c r="I4" s="333"/>
      <c r="J4" s="333"/>
      <c r="K4" s="334"/>
    </row>
    <row r="5" spans="1:11" s="158" customFormat="1" ht="59.25" customHeight="1" thickBot="1">
      <c r="A5" s="176" t="s">
        <v>94</v>
      </c>
      <c r="B5" s="178" t="s">
        <v>95</v>
      </c>
      <c r="C5" s="179" t="s">
        <v>96</v>
      </c>
      <c r="D5" s="178" t="s">
        <v>97</v>
      </c>
      <c r="E5" s="179" t="s">
        <v>98</v>
      </c>
      <c r="F5" s="179" t="s">
        <v>99</v>
      </c>
      <c r="G5" s="179" t="s">
        <v>100</v>
      </c>
      <c r="H5" s="179" t="s">
        <v>101</v>
      </c>
      <c r="I5" s="180" t="s">
        <v>102</v>
      </c>
      <c r="J5" s="179" t="s">
        <v>103</v>
      </c>
      <c r="K5" s="181" t="s">
        <v>104</v>
      </c>
    </row>
    <row r="6" spans="1:11" ht="14.25" customHeight="1">
      <c r="A6" s="182"/>
      <c r="B6" s="183"/>
      <c r="C6" s="183"/>
      <c r="D6" s="183"/>
      <c r="E6" s="183"/>
      <c r="F6" s="183"/>
      <c r="G6" s="183"/>
      <c r="H6" s="183"/>
      <c r="I6" s="183"/>
      <c r="J6" s="183"/>
      <c r="K6" s="184"/>
    </row>
    <row r="7" spans="1:11" ht="16.2">
      <c r="A7" s="159" t="s">
        <v>262</v>
      </c>
      <c r="B7" s="160" t="s">
        <v>260</v>
      </c>
      <c r="C7" s="160" t="s">
        <v>260</v>
      </c>
      <c r="D7" s="325" t="s">
        <v>857</v>
      </c>
      <c r="E7" s="161">
        <v>80000</v>
      </c>
      <c r="F7" s="162">
        <v>1</v>
      </c>
      <c r="G7" s="161">
        <v>80000</v>
      </c>
      <c r="H7" s="161">
        <v>55</v>
      </c>
      <c r="I7" s="171">
        <f>IF(H7,G7/H7,0)</f>
        <v>1454.5454545454545</v>
      </c>
      <c r="J7" s="163">
        <f>設備使用記錄表!AJ6</f>
        <v>0.7</v>
      </c>
      <c r="K7" s="164">
        <f>ROUND(I7*J7,E83)</f>
        <v>1018</v>
      </c>
    </row>
    <row r="8" spans="1:11" ht="16.2">
      <c r="A8" s="159" t="s">
        <v>860</v>
      </c>
      <c r="B8" s="160" t="s">
        <v>261</v>
      </c>
      <c r="C8" s="160" t="s">
        <v>261</v>
      </c>
      <c r="D8" s="325" t="s">
        <v>856</v>
      </c>
      <c r="E8" s="161">
        <v>35000</v>
      </c>
      <c r="F8" s="162">
        <v>1</v>
      </c>
      <c r="G8" s="161">
        <v>35000</v>
      </c>
      <c r="H8" s="161">
        <v>30</v>
      </c>
      <c r="I8" s="171">
        <f t="shared" ref="I8:I12" si="0">IF(H8,G8/H8,0)</f>
        <v>1166.6666666666667</v>
      </c>
      <c r="J8" s="163">
        <f>設備使用記錄表!AJ7</f>
        <v>1</v>
      </c>
      <c r="K8" s="164">
        <f t="shared" ref="K8:K12" si="1">ROUND(I8*J8,0)</f>
        <v>1167</v>
      </c>
    </row>
    <row r="9" spans="1:11" ht="16.2">
      <c r="A9" s="159" t="s">
        <v>861</v>
      </c>
      <c r="B9" s="160" t="s">
        <v>263</v>
      </c>
      <c r="C9" s="160" t="s">
        <v>263</v>
      </c>
      <c r="D9" s="325" t="s">
        <v>858</v>
      </c>
      <c r="E9" s="161">
        <v>30000</v>
      </c>
      <c r="F9" s="162">
        <v>1</v>
      </c>
      <c r="G9" s="161">
        <v>30000</v>
      </c>
      <c r="H9" s="161">
        <v>30</v>
      </c>
      <c r="I9" s="171">
        <f t="shared" si="0"/>
        <v>1000</v>
      </c>
      <c r="J9" s="163">
        <f>設備使用記錄表!AJ8</f>
        <v>1</v>
      </c>
      <c r="K9" s="164">
        <f t="shared" si="1"/>
        <v>1000</v>
      </c>
    </row>
    <row r="10" spans="1:11" ht="16.2">
      <c r="A10" s="159"/>
      <c r="B10" s="165"/>
      <c r="C10" s="165"/>
      <c r="D10" s="166"/>
      <c r="E10" s="167"/>
      <c r="F10" s="324"/>
      <c r="G10" s="167"/>
      <c r="H10" s="167"/>
      <c r="I10" s="171">
        <f t="shared" si="0"/>
        <v>0</v>
      </c>
      <c r="J10" s="163">
        <f>設備使用記錄表!AJ9</f>
        <v>0</v>
      </c>
      <c r="K10" s="164">
        <f t="shared" si="1"/>
        <v>0</v>
      </c>
    </row>
    <row r="11" spans="1:11" ht="16.2">
      <c r="A11" s="159"/>
      <c r="B11" s="165"/>
      <c r="C11" s="165"/>
      <c r="D11" s="166"/>
      <c r="E11" s="167"/>
      <c r="F11" s="324"/>
      <c r="G11" s="167"/>
      <c r="H11" s="167"/>
      <c r="I11" s="171">
        <f t="shared" si="0"/>
        <v>0</v>
      </c>
      <c r="J11" s="163">
        <f>設備使用記錄表!AJ10</f>
        <v>0</v>
      </c>
      <c r="K11" s="164">
        <f t="shared" si="1"/>
        <v>0</v>
      </c>
    </row>
    <row r="12" spans="1:11" ht="16.2">
      <c r="A12" s="159"/>
      <c r="B12" s="165"/>
      <c r="C12" s="165"/>
      <c r="D12" s="166"/>
      <c r="E12" s="167"/>
      <c r="F12" s="324"/>
      <c r="G12" s="167"/>
      <c r="H12" s="167"/>
      <c r="I12" s="171">
        <f t="shared" si="0"/>
        <v>0</v>
      </c>
      <c r="J12" s="163">
        <f>設備使用記錄表!AJ11</f>
        <v>0</v>
      </c>
      <c r="K12" s="164">
        <f t="shared" si="1"/>
        <v>0</v>
      </c>
    </row>
    <row r="13" spans="1:11" ht="18.75" customHeight="1" thickBot="1">
      <c r="A13" s="320" t="s">
        <v>105</v>
      </c>
      <c r="B13" s="147"/>
      <c r="C13" s="147"/>
      <c r="D13" s="147"/>
      <c r="E13" s="168"/>
      <c r="F13" s="168"/>
      <c r="G13" s="168"/>
      <c r="H13" s="168"/>
      <c r="I13" s="168"/>
      <c r="J13" s="169"/>
      <c r="K13" s="149">
        <f>ROUND(SUM(K6:K12),0)</f>
        <v>3185</v>
      </c>
    </row>
    <row r="14" spans="1:11" ht="18.75" customHeight="1">
      <c r="A14" s="119"/>
      <c r="B14" s="119"/>
      <c r="C14" s="119"/>
      <c r="D14" s="119"/>
      <c r="E14" s="152"/>
      <c r="F14" s="152"/>
      <c r="G14" s="152"/>
      <c r="H14" s="152"/>
      <c r="I14" s="152"/>
      <c r="J14" s="170"/>
      <c r="K14" s="152"/>
    </row>
    <row r="15" spans="1:11" ht="22.2">
      <c r="A15" s="2" t="s">
        <v>106</v>
      </c>
      <c r="B15" s="2"/>
      <c r="C15" s="2"/>
      <c r="D15" s="2"/>
      <c r="E15" s="2"/>
      <c r="F15" s="2"/>
      <c r="G15" s="2"/>
      <c r="H15" s="2"/>
      <c r="I15" s="2"/>
      <c r="J15" s="2"/>
      <c r="K15" s="2"/>
    </row>
    <row r="16" spans="1:11" ht="18.75" customHeight="1" thickBot="1">
      <c r="A16" s="8"/>
      <c r="B16" s="8"/>
      <c r="C16" s="8"/>
      <c r="D16" s="8"/>
      <c r="E16" s="8"/>
      <c r="F16" s="8"/>
      <c r="G16" s="8"/>
      <c r="H16" s="8"/>
      <c r="I16" s="8"/>
      <c r="J16" s="8"/>
      <c r="K16" s="9" t="s">
        <v>33</v>
      </c>
    </row>
    <row r="17" spans="1:12" s="158" customFormat="1" ht="56.25" customHeight="1" thickBot="1">
      <c r="A17" s="176" t="s">
        <v>94</v>
      </c>
      <c r="B17" s="178" t="s">
        <v>95</v>
      </c>
      <c r="C17" s="179" t="s">
        <v>96</v>
      </c>
      <c r="D17" s="178" t="s">
        <v>97</v>
      </c>
      <c r="E17" s="179" t="s">
        <v>98</v>
      </c>
      <c r="F17" s="179" t="s">
        <v>107</v>
      </c>
      <c r="G17" s="1370" t="s">
        <v>108</v>
      </c>
      <c r="H17" s="1370"/>
      <c r="I17" s="180" t="s">
        <v>109</v>
      </c>
      <c r="J17" s="179" t="s">
        <v>110</v>
      </c>
      <c r="K17" s="181" t="s">
        <v>111</v>
      </c>
    </row>
    <row r="18" spans="1:12" ht="18.75" customHeight="1">
      <c r="A18" s="182"/>
      <c r="B18" s="183"/>
      <c r="C18" s="183"/>
      <c r="D18" s="183"/>
      <c r="E18" s="183"/>
      <c r="F18" s="183"/>
      <c r="G18" s="1371"/>
      <c r="H18" s="1371"/>
      <c r="I18" s="183"/>
      <c r="J18" s="185"/>
      <c r="K18" s="184"/>
    </row>
    <row r="19" spans="1:12" ht="18.75" customHeight="1">
      <c r="A19" s="159" t="s">
        <v>268</v>
      </c>
      <c r="B19" s="160" t="s">
        <v>265</v>
      </c>
      <c r="C19" s="160" t="s">
        <v>265</v>
      </c>
      <c r="D19" s="162" t="s">
        <v>266</v>
      </c>
      <c r="E19" s="161">
        <v>250000</v>
      </c>
      <c r="F19" s="162">
        <v>1</v>
      </c>
      <c r="G19" s="1369">
        <v>150000</v>
      </c>
      <c r="H19" s="1369"/>
      <c r="I19" s="171">
        <f>F19*G19/60</f>
        <v>2500</v>
      </c>
      <c r="J19" s="172">
        <f>設備使用記錄表!AJ13</f>
        <v>1</v>
      </c>
      <c r="K19" s="164">
        <f>ROUND(I19*J19,0)</f>
        <v>2500</v>
      </c>
    </row>
    <row r="20" spans="1:12" ht="18.75" customHeight="1">
      <c r="A20" s="159" t="s">
        <v>269</v>
      </c>
      <c r="B20" s="160" t="s">
        <v>272</v>
      </c>
      <c r="C20" s="160" t="s">
        <v>267</v>
      </c>
      <c r="D20" s="162" t="s">
        <v>266</v>
      </c>
      <c r="E20" s="161">
        <v>3000</v>
      </c>
      <c r="F20" s="162">
        <v>1</v>
      </c>
      <c r="G20" s="1369">
        <v>3000</v>
      </c>
      <c r="H20" s="1369"/>
      <c r="I20" s="171">
        <f t="shared" ref="I20:I27" si="2">F20*G20/60</f>
        <v>50</v>
      </c>
      <c r="J20" s="172">
        <f>設備使用記錄表!AJ14</f>
        <v>1</v>
      </c>
      <c r="K20" s="164">
        <f>ROUND(I20*J20,0)</f>
        <v>50</v>
      </c>
    </row>
    <row r="21" spans="1:12" ht="18.75" customHeight="1">
      <c r="A21" s="159" t="s">
        <v>859</v>
      </c>
      <c r="B21" s="160" t="s">
        <v>273</v>
      </c>
      <c r="C21" s="160" t="s">
        <v>267</v>
      </c>
      <c r="D21" s="162" t="s">
        <v>266</v>
      </c>
      <c r="E21" s="161">
        <v>3000</v>
      </c>
      <c r="F21" s="162">
        <v>1</v>
      </c>
      <c r="G21" s="1373">
        <v>3000</v>
      </c>
      <c r="H21" s="1373"/>
      <c r="I21" s="171">
        <f t="shared" si="2"/>
        <v>50</v>
      </c>
      <c r="J21" s="172">
        <f ca="1">設備使用記錄表!AJ15</f>
        <v>0</v>
      </c>
      <c r="K21" s="164">
        <f ca="1">ROUND(I21*J21,0)</f>
        <v>0</v>
      </c>
    </row>
    <row r="22" spans="1:12" ht="18.75" customHeight="1">
      <c r="A22" s="159" t="s">
        <v>270</v>
      </c>
      <c r="B22" s="160" t="s">
        <v>274</v>
      </c>
      <c r="C22" s="160" t="s">
        <v>267</v>
      </c>
      <c r="D22" s="162" t="s">
        <v>266</v>
      </c>
      <c r="E22" s="161">
        <v>9000</v>
      </c>
      <c r="F22" s="162">
        <v>1</v>
      </c>
      <c r="G22" s="1373">
        <v>3000</v>
      </c>
      <c r="H22" s="1373"/>
      <c r="I22" s="171">
        <f t="shared" si="2"/>
        <v>50</v>
      </c>
      <c r="J22" s="172">
        <f>設備使用記錄表!AJ16</f>
        <v>0.15625</v>
      </c>
      <c r="K22" s="164">
        <f t="shared" ref="K22:K27" si="3">ROUND(I22*J22,0)</f>
        <v>8</v>
      </c>
    </row>
    <row r="23" spans="1:12" ht="18.75" customHeight="1">
      <c r="A23" s="159" t="s">
        <v>271</v>
      </c>
      <c r="B23" s="160" t="s">
        <v>300</v>
      </c>
      <c r="C23" s="160" t="s">
        <v>300</v>
      </c>
      <c r="D23" s="162" t="s">
        <v>266</v>
      </c>
      <c r="E23" s="161">
        <v>48000</v>
      </c>
      <c r="F23" s="162">
        <v>1</v>
      </c>
      <c r="G23" s="1373">
        <v>48000</v>
      </c>
      <c r="H23" s="1373"/>
      <c r="I23" s="171">
        <f t="shared" si="2"/>
        <v>800</v>
      </c>
      <c r="J23" s="172">
        <f>設備使用記錄表!AJ17</f>
        <v>1</v>
      </c>
      <c r="K23" s="164">
        <f t="shared" si="3"/>
        <v>800</v>
      </c>
    </row>
    <row r="24" spans="1:12" ht="18.75" customHeight="1">
      <c r="A24" s="159" t="s">
        <v>862</v>
      </c>
      <c r="B24" s="160" t="s">
        <v>864</v>
      </c>
      <c r="C24" s="160" t="s">
        <v>864</v>
      </c>
      <c r="D24" s="162" t="s">
        <v>865</v>
      </c>
      <c r="E24" s="161"/>
      <c r="F24" s="162"/>
      <c r="G24" s="325"/>
      <c r="H24" s="546"/>
      <c r="I24" s="171"/>
      <c r="J24" s="172"/>
      <c r="K24" s="164"/>
    </row>
    <row r="25" spans="1:12" ht="18.75" customHeight="1">
      <c r="A25" s="159" t="s">
        <v>863</v>
      </c>
      <c r="B25" s="160" t="s">
        <v>866</v>
      </c>
      <c r="C25" s="160" t="s">
        <v>260</v>
      </c>
      <c r="D25" s="162" t="s">
        <v>865</v>
      </c>
      <c r="E25" s="161"/>
      <c r="F25" s="162"/>
      <c r="G25" s="325"/>
      <c r="H25" s="546"/>
      <c r="I25" s="171"/>
      <c r="J25" s="172"/>
      <c r="K25" s="164"/>
    </row>
    <row r="26" spans="1:12" ht="18.75" customHeight="1">
      <c r="A26" s="159" t="s">
        <v>867</v>
      </c>
      <c r="B26" s="160" t="s">
        <v>868</v>
      </c>
      <c r="C26" s="160" t="s">
        <v>260</v>
      </c>
      <c r="D26" s="162"/>
      <c r="E26" s="161"/>
      <c r="F26" s="162"/>
      <c r="G26" s="325"/>
      <c r="H26" s="546"/>
      <c r="I26" s="171"/>
      <c r="J26" s="172"/>
      <c r="K26" s="164"/>
    </row>
    <row r="27" spans="1:12" ht="18.75" customHeight="1">
      <c r="A27" s="159"/>
      <c r="B27" s="160"/>
      <c r="C27" s="160"/>
      <c r="D27" s="162"/>
      <c r="E27" s="161"/>
      <c r="F27" s="162"/>
      <c r="G27" s="1375"/>
      <c r="H27" s="1376"/>
      <c r="I27" s="171">
        <f t="shared" si="2"/>
        <v>0</v>
      </c>
      <c r="J27" s="172">
        <f>設備使用記錄表!AJ18</f>
        <v>0</v>
      </c>
      <c r="K27" s="164">
        <f t="shared" si="3"/>
        <v>0</v>
      </c>
    </row>
    <row r="28" spans="1:12" ht="18.75" customHeight="1" thickBot="1">
      <c r="A28" s="320" t="s">
        <v>105</v>
      </c>
      <c r="B28" s="147"/>
      <c r="C28" s="147"/>
      <c r="D28" s="147"/>
      <c r="E28" s="168"/>
      <c r="F28" s="168"/>
      <c r="G28" s="1363"/>
      <c r="H28" s="1363"/>
      <c r="I28" s="168"/>
      <c r="J28" s="173"/>
      <c r="K28" s="149">
        <f ca="1">ROUND(SUM(K18:K27),0)</f>
        <v>2550</v>
      </c>
    </row>
    <row r="29" spans="1:12" ht="21" customHeight="1" thickBot="1">
      <c r="A29" s="320" t="s">
        <v>112</v>
      </c>
      <c r="B29" s="147"/>
      <c r="C29" s="147"/>
      <c r="D29" s="147"/>
      <c r="E29" s="168"/>
      <c r="F29" s="168"/>
      <c r="G29" s="1374"/>
      <c r="H29" s="1374"/>
      <c r="I29" s="168"/>
      <c r="J29" s="173"/>
      <c r="K29" s="149">
        <f ca="1">K28+K13</f>
        <v>7950</v>
      </c>
    </row>
    <row r="30" spans="1:12" ht="21" customHeight="1">
      <c r="A30" s="119"/>
      <c r="B30" s="119"/>
      <c r="C30" s="119"/>
      <c r="D30" s="119"/>
      <c r="E30" s="152"/>
      <c r="F30" s="152"/>
      <c r="G30" s="174"/>
      <c r="H30" s="174"/>
      <c r="I30" s="152"/>
      <c r="J30" s="175"/>
      <c r="K30" s="152"/>
    </row>
    <row r="31" spans="1:12" s="17" customFormat="1" ht="13.5" customHeight="1">
      <c r="A31" s="17" t="s">
        <v>113</v>
      </c>
    </row>
    <row r="32" spans="1:12" ht="13.5" customHeight="1">
      <c r="A32" s="153" t="s">
        <v>114</v>
      </c>
      <c r="B32" s="108"/>
      <c r="C32" s="108"/>
      <c r="D32" s="108"/>
      <c r="E32" s="108"/>
      <c r="F32" s="108"/>
      <c r="G32" s="108"/>
      <c r="H32" s="108"/>
      <c r="I32" s="108"/>
      <c r="J32" s="108"/>
      <c r="K32" s="108"/>
      <c r="L32" s="108"/>
    </row>
    <row r="33" spans="1:12" s="108" customFormat="1" ht="13.8">
      <c r="A33" s="1372" t="s">
        <v>115</v>
      </c>
      <c r="B33" s="1372"/>
      <c r="C33" s="1372"/>
      <c r="D33" s="1372"/>
      <c r="E33" s="1372"/>
      <c r="F33" s="1372"/>
      <c r="G33" s="1372"/>
      <c r="H33" s="1372"/>
      <c r="I33" s="1372"/>
      <c r="J33" s="1372"/>
      <c r="K33" s="1372"/>
      <c r="L33" s="1372"/>
    </row>
    <row r="34" spans="1:12" s="108" customFormat="1" ht="13.8">
      <c r="A34" s="1372" t="s">
        <v>116</v>
      </c>
      <c r="B34" s="1372"/>
      <c r="C34" s="1372"/>
      <c r="D34" s="1372"/>
      <c r="E34" s="1372"/>
      <c r="F34" s="1372"/>
      <c r="G34" s="1372"/>
      <c r="H34" s="1372"/>
      <c r="I34" s="1372"/>
      <c r="J34" s="1372"/>
      <c r="K34" s="1372"/>
      <c r="L34" s="1372"/>
    </row>
    <row r="36" spans="1:12" s="21" customFormat="1" ht="17.399999999999999">
      <c r="B36" s="93" t="s">
        <v>30</v>
      </c>
      <c r="E36" s="93" t="s">
        <v>31</v>
      </c>
      <c r="H36" s="127"/>
      <c r="J36" s="94" t="s">
        <v>32</v>
      </c>
    </row>
  </sheetData>
  <sheetProtection formatCells="0" formatColumns="0" formatRows="0" insertRows="0"/>
  <mergeCells count="15">
    <mergeCell ref="A33:L33"/>
    <mergeCell ref="A34:L34"/>
    <mergeCell ref="G20:H20"/>
    <mergeCell ref="G21:H21"/>
    <mergeCell ref="G22:H22"/>
    <mergeCell ref="G23:H23"/>
    <mergeCell ref="G28:H28"/>
    <mergeCell ref="G29:H29"/>
    <mergeCell ref="G27:H27"/>
    <mergeCell ref="G19:H19"/>
    <mergeCell ref="A1:K1"/>
    <mergeCell ref="A2:K2"/>
    <mergeCell ref="A15:K15"/>
    <mergeCell ref="G17:H17"/>
    <mergeCell ref="G18:H18"/>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8" fitToWidth="0" fitToHeight="0" orientation="landscape" blackAndWhite="1"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dimension ref="A1:AJ25"/>
  <sheetViews>
    <sheetView view="pageBreakPreview" topLeftCell="A15" zoomScale="146" zoomScaleNormal="80" zoomScaleSheetLayoutView="146" workbookViewId="0">
      <selection activeCell="B13" sqref="B13"/>
    </sheetView>
  </sheetViews>
  <sheetFormatPr defaultColWidth="11.19921875" defaultRowHeight="16.2"/>
  <cols>
    <col min="1" max="1" width="2" style="18" customWidth="1"/>
    <col min="2" max="2" width="11.5" style="18" customWidth="1"/>
    <col min="3" max="33" width="4.19921875" style="18" customWidth="1"/>
    <col min="34" max="34" width="6.5" style="18" bestFit="1" customWidth="1"/>
    <col min="35" max="35" width="7.5" style="18" customWidth="1"/>
    <col min="36" max="36" width="8.09765625" style="18" bestFit="1" customWidth="1"/>
    <col min="37" max="37" width="11.19921875" style="18" customWidth="1"/>
    <col min="38" max="16384" width="11.19921875" style="18"/>
  </cols>
  <sheetData>
    <row r="1" spans="1:36" ht="19.8">
      <c r="A1" s="1365" t="str">
        <f>計畫經費彙總表!A1</f>
        <v>五常物業規劃顧問股份(閉鎖型)有限公司</v>
      </c>
      <c r="B1" s="1365"/>
      <c r="C1" s="1365"/>
      <c r="D1" s="1365"/>
      <c r="E1" s="1365"/>
      <c r="F1" s="1365"/>
      <c r="G1" s="1365"/>
      <c r="H1" s="1365"/>
      <c r="I1" s="1365"/>
      <c r="J1" s="1365"/>
      <c r="K1" s="1365"/>
      <c r="L1" s="1365"/>
      <c r="M1" s="1365"/>
      <c r="N1" s="1365"/>
      <c r="O1" s="1365"/>
      <c r="P1" s="1365"/>
      <c r="Q1" s="1365"/>
      <c r="R1" s="1365"/>
      <c r="S1" s="1365"/>
      <c r="T1" s="1365"/>
      <c r="U1" s="1365"/>
      <c r="V1" s="1365"/>
      <c r="W1" s="1365"/>
      <c r="X1" s="1365"/>
      <c r="Y1" s="1365"/>
      <c r="Z1" s="1365"/>
      <c r="AA1" s="1365"/>
      <c r="AB1" s="1365"/>
      <c r="AC1" s="1365"/>
      <c r="AD1" s="1365"/>
      <c r="AE1" s="1365"/>
      <c r="AF1" s="1365"/>
      <c r="AG1" s="1365"/>
      <c r="AH1" s="1365"/>
      <c r="AI1" s="1365"/>
      <c r="AJ1" s="1365"/>
    </row>
    <row r="2" spans="1:36" ht="30" customHeight="1">
      <c r="A2" s="1366" t="s">
        <v>275</v>
      </c>
      <c r="B2" s="1366"/>
      <c r="C2" s="1366"/>
      <c r="D2" s="1366"/>
      <c r="E2" s="1366"/>
      <c r="F2" s="1366"/>
      <c r="G2" s="1366"/>
      <c r="H2" s="1366"/>
      <c r="I2" s="1366"/>
      <c r="J2" s="1366"/>
      <c r="K2" s="1366"/>
      <c r="L2" s="1366"/>
      <c r="M2" s="1366"/>
      <c r="N2" s="1366"/>
      <c r="O2" s="1366"/>
      <c r="P2" s="1366"/>
      <c r="Q2" s="1366"/>
      <c r="R2" s="1366"/>
      <c r="S2" s="1366"/>
      <c r="T2" s="1366"/>
      <c r="U2" s="1366"/>
      <c r="V2" s="1366"/>
      <c r="W2" s="1366"/>
      <c r="X2" s="1366"/>
      <c r="Y2" s="1366"/>
      <c r="Z2" s="1366"/>
      <c r="AA2" s="1366"/>
      <c r="AB2" s="1366"/>
      <c r="AC2" s="1366"/>
      <c r="AD2" s="1366"/>
      <c r="AE2" s="1366"/>
      <c r="AF2" s="1366"/>
      <c r="AG2" s="1366"/>
      <c r="AH2" s="1366"/>
      <c r="AI2" s="1366"/>
      <c r="AJ2" s="1366"/>
    </row>
    <row r="3" spans="1:36" s="187" customFormat="1" ht="37.5" customHeight="1">
      <c r="A3" s="206"/>
      <c r="B3" s="207" t="s">
        <v>95</v>
      </c>
      <c r="C3" s="11">
        <v>1</v>
      </c>
      <c r="D3" s="11">
        <v>2</v>
      </c>
      <c r="E3" s="11">
        <v>3</v>
      </c>
      <c r="F3" s="11">
        <v>4</v>
      </c>
      <c r="G3" s="11">
        <v>5</v>
      </c>
      <c r="H3" s="11">
        <v>6</v>
      </c>
      <c r="I3" s="11">
        <v>7</v>
      </c>
      <c r="J3" s="11">
        <v>8</v>
      </c>
      <c r="K3" s="11">
        <v>9</v>
      </c>
      <c r="L3" s="11">
        <v>10</v>
      </c>
      <c r="M3" s="11">
        <v>11</v>
      </c>
      <c r="N3" s="11">
        <v>12</v>
      </c>
      <c r="O3" s="11">
        <v>13</v>
      </c>
      <c r="P3" s="11">
        <v>14</v>
      </c>
      <c r="Q3" s="11">
        <v>15</v>
      </c>
      <c r="R3" s="11">
        <v>16</v>
      </c>
      <c r="S3" s="11">
        <v>17</v>
      </c>
      <c r="T3" s="11">
        <v>18</v>
      </c>
      <c r="U3" s="11">
        <v>19</v>
      </c>
      <c r="V3" s="11">
        <v>20</v>
      </c>
      <c r="W3" s="11">
        <v>21</v>
      </c>
      <c r="X3" s="11">
        <v>22</v>
      </c>
      <c r="Y3" s="11">
        <v>23</v>
      </c>
      <c r="Z3" s="11">
        <v>24</v>
      </c>
      <c r="AA3" s="11">
        <v>25</v>
      </c>
      <c r="AB3" s="11">
        <v>26</v>
      </c>
      <c r="AC3" s="11">
        <v>27</v>
      </c>
      <c r="AD3" s="11">
        <v>28</v>
      </c>
      <c r="AE3" s="186">
        <v>29</v>
      </c>
      <c r="AF3" s="186">
        <v>30</v>
      </c>
      <c r="AG3" s="186">
        <v>31</v>
      </c>
      <c r="AH3" s="11" t="s">
        <v>64</v>
      </c>
      <c r="AI3" s="12" t="s">
        <v>117</v>
      </c>
      <c r="AJ3" s="205" t="s">
        <v>66</v>
      </c>
    </row>
    <row r="4" spans="1:36" s="153" customFormat="1" ht="15" customHeight="1">
      <c r="A4" s="202"/>
      <c r="B4" s="203"/>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189"/>
      <c r="AF4" s="189"/>
      <c r="AG4" s="189"/>
      <c r="AH4" s="200"/>
      <c r="AI4" s="200"/>
      <c r="AJ4" s="201"/>
    </row>
    <row r="5" spans="1:36" s="153" customFormat="1" ht="13.8">
      <c r="A5" s="192" t="s">
        <v>118</v>
      </c>
      <c r="B5" s="188"/>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90"/>
      <c r="AI5" s="190"/>
      <c r="AJ5" s="191"/>
    </row>
    <row r="6" spans="1:36" s="17" customFormat="1" ht="21" customHeight="1">
      <c r="A6" s="193"/>
      <c r="B6" s="194" t="str">
        <f>IF(設備使用費!C7&lt;&gt;"",設備使用費!C7,"")</f>
        <v>筆記型電腦</v>
      </c>
      <c r="C6" s="195"/>
      <c r="D6" s="195"/>
      <c r="E6" s="195">
        <v>8</v>
      </c>
      <c r="F6" s="195">
        <v>8</v>
      </c>
      <c r="G6" s="195">
        <v>8</v>
      </c>
      <c r="H6" s="195">
        <v>8</v>
      </c>
      <c r="I6" s="195">
        <v>8</v>
      </c>
      <c r="J6" s="195"/>
      <c r="K6" s="195"/>
      <c r="L6" s="195">
        <v>8</v>
      </c>
      <c r="M6" s="195">
        <v>8</v>
      </c>
      <c r="N6" s="195">
        <v>8</v>
      </c>
      <c r="O6" s="195">
        <v>8</v>
      </c>
      <c r="P6" s="195">
        <v>4</v>
      </c>
      <c r="Q6" s="195"/>
      <c r="R6" s="195"/>
      <c r="S6" s="195">
        <v>8</v>
      </c>
      <c r="T6" s="195">
        <v>8</v>
      </c>
      <c r="U6" s="195">
        <v>8</v>
      </c>
      <c r="V6" s="195">
        <v>4</v>
      </c>
      <c r="W6" s="195">
        <v>8</v>
      </c>
      <c r="X6" s="195"/>
      <c r="Y6" s="195"/>
      <c r="Z6" s="195"/>
      <c r="AA6" s="195"/>
      <c r="AB6" s="195"/>
      <c r="AC6" s="195"/>
      <c r="AD6" s="195"/>
      <c r="AE6" s="195"/>
      <c r="AF6" s="195"/>
      <c r="AG6" s="195"/>
      <c r="AH6" s="196">
        <f>SUM(C6:AG6)</f>
        <v>112</v>
      </c>
      <c r="AI6" s="195">
        <v>160</v>
      </c>
      <c r="AJ6" s="197">
        <f>AH6/AI6</f>
        <v>0.7</v>
      </c>
    </row>
    <row r="7" spans="1:36" s="17" customFormat="1" ht="18.75" customHeight="1">
      <c r="A7" s="193"/>
      <c r="B7" s="194" t="str">
        <f>IF(設備使用費!C8&lt;&gt;"",設備使用費!C8,"")</f>
        <v>桌上型電腦</v>
      </c>
      <c r="C7" s="195"/>
      <c r="D7" s="195"/>
      <c r="E7" s="195">
        <v>8</v>
      </c>
      <c r="F7" s="195">
        <v>8</v>
      </c>
      <c r="G7" s="195">
        <v>8</v>
      </c>
      <c r="H7" s="195">
        <v>8</v>
      </c>
      <c r="I7" s="195">
        <v>8</v>
      </c>
      <c r="J7" s="195"/>
      <c r="K7" s="195"/>
      <c r="L7" s="195">
        <v>8</v>
      </c>
      <c r="M7" s="195">
        <v>8</v>
      </c>
      <c r="N7" s="195">
        <v>8</v>
      </c>
      <c r="O7" s="195">
        <v>8</v>
      </c>
      <c r="P7" s="195">
        <v>8</v>
      </c>
      <c r="Q7" s="195"/>
      <c r="R7" s="195"/>
      <c r="S7" s="195">
        <v>8</v>
      </c>
      <c r="T7" s="195">
        <v>8</v>
      </c>
      <c r="U7" s="195">
        <v>8</v>
      </c>
      <c r="V7" s="195">
        <v>8</v>
      </c>
      <c r="W7" s="195">
        <v>8</v>
      </c>
      <c r="X7" s="195"/>
      <c r="Y7" s="195"/>
      <c r="Z7" s="195">
        <v>8</v>
      </c>
      <c r="AA7" s="195">
        <v>8</v>
      </c>
      <c r="AB7" s="195">
        <v>8</v>
      </c>
      <c r="AC7" s="195">
        <v>8</v>
      </c>
      <c r="AD7" s="195">
        <v>8</v>
      </c>
      <c r="AE7" s="195"/>
      <c r="AF7" s="195"/>
      <c r="AG7" s="195"/>
      <c r="AH7" s="196">
        <f>SUM(C7:AG7)</f>
        <v>160</v>
      </c>
      <c r="AI7" s="195">
        <v>160</v>
      </c>
      <c r="AJ7" s="197">
        <f>AH7/AI7</f>
        <v>1</v>
      </c>
    </row>
    <row r="8" spans="1:36" s="17" customFormat="1" ht="18.75" customHeight="1">
      <c r="A8" s="193"/>
      <c r="B8" s="194" t="str">
        <f>IF(設備使用費!C9&lt;&gt;"",設備使用費!C9,"")</f>
        <v>電冰箱</v>
      </c>
      <c r="C8" s="195"/>
      <c r="D8" s="195"/>
      <c r="E8" s="195">
        <v>8</v>
      </c>
      <c r="F8" s="195">
        <v>8</v>
      </c>
      <c r="G8" s="195">
        <v>8</v>
      </c>
      <c r="H8" s="195">
        <v>8</v>
      </c>
      <c r="I8" s="195">
        <v>8</v>
      </c>
      <c r="J8" s="195"/>
      <c r="K8" s="195"/>
      <c r="L8" s="195">
        <v>8</v>
      </c>
      <c r="M8" s="195">
        <v>8</v>
      </c>
      <c r="N8" s="195">
        <v>8</v>
      </c>
      <c r="O8" s="195">
        <v>8</v>
      </c>
      <c r="P8" s="195">
        <v>8</v>
      </c>
      <c r="Q8" s="195"/>
      <c r="R8" s="195"/>
      <c r="S8" s="195">
        <v>8</v>
      </c>
      <c r="T8" s="195">
        <v>8</v>
      </c>
      <c r="U8" s="195">
        <v>8</v>
      </c>
      <c r="V8" s="195">
        <v>8</v>
      </c>
      <c r="W8" s="195">
        <v>8</v>
      </c>
      <c r="X8" s="195"/>
      <c r="Y8" s="195"/>
      <c r="Z8" s="195">
        <v>8</v>
      </c>
      <c r="AA8" s="195">
        <v>8</v>
      </c>
      <c r="AB8" s="195">
        <v>8</v>
      </c>
      <c r="AC8" s="195">
        <v>8</v>
      </c>
      <c r="AD8" s="195">
        <v>8</v>
      </c>
      <c r="AE8" s="195"/>
      <c r="AF8" s="195"/>
      <c r="AG8" s="195"/>
      <c r="AH8" s="196">
        <f>SUM(C8:AG8)</f>
        <v>160</v>
      </c>
      <c r="AI8" s="195">
        <v>160</v>
      </c>
      <c r="AJ8" s="197">
        <f>AH8/AI8</f>
        <v>1</v>
      </c>
    </row>
    <row r="9" spans="1:36" s="17" customFormat="1" ht="18.75" customHeight="1">
      <c r="A9" s="193"/>
      <c r="B9" s="194" t="str">
        <f>IF(設備使用費!C10&lt;&gt;"",設備使用費!C10,"")</f>
        <v/>
      </c>
      <c r="C9" s="195"/>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c r="AG9" s="195"/>
      <c r="AH9" s="196">
        <f t="shared" ref="AH9:AH11" si="0">SUM(C9:AG9)</f>
        <v>0</v>
      </c>
      <c r="AI9" s="195">
        <v>160</v>
      </c>
      <c r="AJ9" s="197">
        <f t="shared" ref="AJ9:AJ11" si="1">AH9/AI9</f>
        <v>0</v>
      </c>
    </row>
    <row r="10" spans="1:36" s="17" customFormat="1" ht="18.75" customHeight="1">
      <c r="A10" s="193"/>
      <c r="B10" s="194" t="str">
        <f>IF(設備使用費!C11&lt;&gt;"",設備使用費!C11,"")</f>
        <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c r="AA10" s="195"/>
      <c r="AB10" s="195"/>
      <c r="AC10" s="195"/>
      <c r="AD10" s="195"/>
      <c r="AE10" s="195"/>
      <c r="AF10" s="195"/>
      <c r="AG10" s="195"/>
      <c r="AH10" s="196">
        <f t="shared" si="0"/>
        <v>0</v>
      </c>
      <c r="AI10" s="195">
        <v>160</v>
      </c>
      <c r="AJ10" s="197">
        <f t="shared" si="1"/>
        <v>0</v>
      </c>
    </row>
    <row r="11" spans="1:36" s="17" customFormat="1" ht="18.75" customHeight="1">
      <c r="A11" s="193"/>
      <c r="B11" s="194" t="str">
        <f>IF(設備使用費!C12&lt;&gt;"",設備使用費!C12,"")</f>
        <v/>
      </c>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195"/>
      <c r="AF11" s="195"/>
      <c r="AG11" s="195"/>
      <c r="AH11" s="196">
        <f t="shared" si="0"/>
        <v>0</v>
      </c>
      <c r="AI11" s="195">
        <v>160</v>
      </c>
      <c r="AJ11" s="197">
        <f t="shared" si="1"/>
        <v>0</v>
      </c>
    </row>
    <row r="12" spans="1:36" s="17" customFormat="1" ht="13.8">
      <c r="A12" s="198" t="s">
        <v>119</v>
      </c>
      <c r="B12" s="194"/>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195"/>
      <c r="AF12" s="195"/>
      <c r="AG12" s="195"/>
      <c r="AH12" s="196"/>
      <c r="AI12" s="195"/>
      <c r="AJ12" s="197"/>
    </row>
    <row r="13" spans="1:36" s="17" customFormat="1" ht="18.75" customHeight="1">
      <c r="A13" s="193"/>
      <c r="B13" s="194" t="str">
        <f>IF(設備使用費!C19&lt;&gt;"",設備使用費!C19,"")</f>
        <v>商用咖啡機</v>
      </c>
      <c r="C13" s="195"/>
      <c r="D13" s="195"/>
      <c r="E13" s="195">
        <v>8</v>
      </c>
      <c r="F13" s="195">
        <v>8</v>
      </c>
      <c r="G13" s="195">
        <v>8</v>
      </c>
      <c r="H13" s="195">
        <v>8</v>
      </c>
      <c r="I13" s="195">
        <v>8</v>
      </c>
      <c r="J13" s="195"/>
      <c r="K13" s="195"/>
      <c r="L13" s="195">
        <v>8</v>
      </c>
      <c r="M13" s="195">
        <v>8</v>
      </c>
      <c r="N13" s="195">
        <v>8</v>
      </c>
      <c r="O13" s="195">
        <v>8</v>
      </c>
      <c r="P13" s="195">
        <v>8</v>
      </c>
      <c r="Q13" s="195"/>
      <c r="R13" s="195"/>
      <c r="S13" s="195">
        <v>8</v>
      </c>
      <c r="T13" s="195">
        <v>8</v>
      </c>
      <c r="U13" s="195">
        <v>8</v>
      </c>
      <c r="V13" s="195">
        <v>8</v>
      </c>
      <c r="W13" s="195">
        <v>8</v>
      </c>
      <c r="X13" s="195"/>
      <c r="Y13" s="195"/>
      <c r="Z13" s="195">
        <v>8</v>
      </c>
      <c r="AA13" s="195">
        <v>8</v>
      </c>
      <c r="AB13" s="195">
        <v>8</v>
      </c>
      <c r="AC13" s="195">
        <v>8</v>
      </c>
      <c r="AD13" s="195">
        <v>8</v>
      </c>
      <c r="AE13" s="195"/>
      <c r="AF13" s="195"/>
      <c r="AG13" s="195"/>
      <c r="AH13" s="196">
        <f>SUM(C13:AG13)</f>
        <v>160</v>
      </c>
      <c r="AI13" s="195">
        <v>160</v>
      </c>
      <c r="AJ13" s="197">
        <f>AH13/AI13</f>
        <v>1</v>
      </c>
    </row>
    <row r="14" spans="1:36" s="17" customFormat="1" ht="18.75" customHeight="1">
      <c r="A14" s="193"/>
      <c r="B14" s="194" t="str">
        <f>IF(設備使用費!C20&lt;&gt;"",設備使用費!C20,"")</f>
        <v>磨豆機</v>
      </c>
      <c r="C14" s="195"/>
      <c r="D14" s="195"/>
      <c r="E14" s="195">
        <v>8</v>
      </c>
      <c r="F14" s="195">
        <v>8</v>
      </c>
      <c r="G14" s="195">
        <v>8</v>
      </c>
      <c r="H14" s="195">
        <v>8</v>
      </c>
      <c r="I14" s="195">
        <v>8</v>
      </c>
      <c r="J14" s="195"/>
      <c r="K14" s="195"/>
      <c r="L14" s="195">
        <v>8</v>
      </c>
      <c r="M14" s="195">
        <v>8</v>
      </c>
      <c r="N14" s="195">
        <v>8</v>
      </c>
      <c r="O14" s="195">
        <v>8</v>
      </c>
      <c r="P14" s="195">
        <v>8</v>
      </c>
      <c r="Q14" s="195"/>
      <c r="R14" s="195"/>
      <c r="S14" s="195">
        <v>8</v>
      </c>
      <c r="T14" s="195">
        <v>8</v>
      </c>
      <c r="U14" s="195">
        <v>8</v>
      </c>
      <c r="V14" s="195">
        <v>8</v>
      </c>
      <c r="W14" s="195">
        <v>8</v>
      </c>
      <c r="X14" s="195"/>
      <c r="Y14" s="195"/>
      <c r="Z14" s="195">
        <v>8</v>
      </c>
      <c r="AA14" s="195">
        <v>8</v>
      </c>
      <c r="AB14" s="195">
        <v>8</v>
      </c>
      <c r="AC14" s="195">
        <v>8</v>
      </c>
      <c r="AD14" s="195">
        <v>8</v>
      </c>
      <c r="AE14" s="195"/>
      <c r="AF14" s="195"/>
      <c r="AG14" s="195"/>
      <c r="AH14" s="196">
        <f>SUM(C14:AG14)</f>
        <v>160</v>
      </c>
      <c r="AI14" s="195">
        <v>160</v>
      </c>
      <c r="AJ14" s="197">
        <f>AH14/AI14</f>
        <v>1</v>
      </c>
    </row>
    <row r="15" spans="1:36" s="17" customFormat="1" ht="18.75" customHeight="1">
      <c r="A15" s="193"/>
      <c r="B15" s="194" t="str">
        <f>IF(設備使用費!C21&lt;&gt;"",設備使用費!C21,"")</f>
        <v>磨豆機</v>
      </c>
      <c r="C15" s="195"/>
      <c r="D15" s="195"/>
      <c r="E15" s="195">
        <v>3</v>
      </c>
      <c r="F15" s="195"/>
      <c r="G15" s="195">
        <v>2</v>
      </c>
      <c r="H15" s="195">
        <v>1</v>
      </c>
      <c r="I15" s="195">
        <v>1</v>
      </c>
      <c r="J15" s="195"/>
      <c r="K15" s="195"/>
      <c r="L15" s="195">
        <v>1</v>
      </c>
      <c r="M15" s="195">
        <v>1</v>
      </c>
      <c r="N15" s="195">
        <v>1</v>
      </c>
      <c r="O15" s="195">
        <v>1</v>
      </c>
      <c r="P15" s="195">
        <v>1</v>
      </c>
      <c r="Q15" s="195"/>
      <c r="R15" s="195"/>
      <c r="S15" s="195">
        <v>2</v>
      </c>
      <c r="T15" s="195">
        <v>1</v>
      </c>
      <c r="U15" s="195"/>
      <c r="V15" s="195"/>
      <c r="W15" s="195"/>
      <c r="X15" s="195"/>
      <c r="Y15" s="195"/>
      <c r="Z15" s="195"/>
      <c r="AA15" s="195"/>
      <c r="AB15" s="195" cm="1">
        <f t="array" aca="1" ref="AB15" ca="1">+AB15:AE15</f>
        <v>0</v>
      </c>
      <c r="AC15" s="195"/>
      <c r="AD15" s="195"/>
      <c r="AE15" s="195"/>
      <c r="AF15" s="195"/>
      <c r="AG15" s="195"/>
      <c r="AH15" s="196">
        <f t="shared" ref="AH15:AH17" ca="1" si="2">SUM(C15:AG15)</f>
        <v>0</v>
      </c>
      <c r="AI15" s="195">
        <v>160</v>
      </c>
      <c r="AJ15" s="197">
        <f t="shared" ref="AJ15:AJ18" ca="1" si="3">AH15/AI15</f>
        <v>0</v>
      </c>
    </row>
    <row r="16" spans="1:36" s="17" customFormat="1" ht="22.5" customHeight="1">
      <c r="A16" s="193"/>
      <c r="B16" s="194" t="str">
        <f>IF(設備使用費!C22&lt;&gt;"",設備使用費!C22,"")</f>
        <v>磨豆機</v>
      </c>
      <c r="C16" s="195"/>
      <c r="D16" s="195"/>
      <c r="E16" s="195">
        <v>1</v>
      </c>
      <c r="F16" s="195">
        <v>1</v>
      </c>
      <c r="G16" s="195">
        <v>1</v>
      </c>
      <c r="H16" s="195">
        <v>1</v>
      </c>
      <c r="I16" s="195">
        <v>1</v>
      </c>
      <c r="J16" s="195"/>
      <c r="K16" s="195"/>
      <c r="L16" s="195">
        <v>1</v>
      </c>
      <c r="M16" s="195">
        <v>1</v>
      </c>
      <c r="N16" s="195">
        <v>1</v>
      </c>
      <c r="O16" s="195">
        <v>1</v>
      </c>
      <c r="P16" s="195">
        <v>1</v>
      </c>
      <c r="Q16" s="195"/>
      <c r="R16" s="195"/>
      <c r="S16" s="195">
        <v>1</v>
      </c>
      <c r="T16" s="195">
        <v>1</v>
      </c>
      <c r="U16" s="195">
        <v>1</v>
      </c>
      <c r="V16" s="195"/>
      <c r="W16" s="195"/>
      <c r="X16" s="195"/>
      <c r="Y16" s="195"/>
      <c r="Z16" s="195">
        <v>1</v>
      </c>
      <c r="AA16" s="195">
        <v>1</v>
      </c>
      <c r="AB16" s="195">
        <v>1</v>
      </c>
      <c r="AC16" s="195">
        <v>1</v>
      </c>
      <c r="AD16" s="195">
        <v>8</v>
      </c>
      <c r="AE16" s="195"/>
      <c r="AF16" s="195"/>
      <c r="AG16" s="195"/>
      <c r="AH16" s="196">
        <f t="shared" si="2"/>
        <v>25</v>
      </c>
      <c r="AI16" s="195">
        <v>160</v>
      </c>
      <c r="AJ16" s="197">
        <f t="shared" si="3"/>
        <v>0.15625</v>
      </c>
    </row>
    <row r="17" spans="1:36" s="17" customFormat="1" ht="22.5" customHeight="1">
      <c r="A17" s="193"/>
      <c r="B17" s="194" t="str">
        <f>IF(設備使用費!C23&lt;&gt;"",設備使用費!C23,"")</f>
        <v>製冰機</v>
      </c>
      <c r="C17" s="195"/>
      <c r="D17" s="195"/>
      <c r="E17" s="195">
        <v>8</v>
      </c>
      <c r="F17" s="195">
        <v>8</v>
      </c>
      <c r="G17" s="195">
        <v>8</v>
      </c>
      <c r="H17" s="195">
        <v>8</v>
      </c>
      <c r="I17" s="195">
        <v>8</v>
      </c>
      <c r="J17" s="195"/>
      <c r="K17" s="195"/>
      <c r="L17" s="195">
        <v>8</v>
      </c>
      <c r="M17" s="195">
        <v>8</v>
      </c>
      <c r="N17" s="195">
        <v>8</v>
      </c>
      <c r="O17" s="195">
        <v>8</v>
      </c>
      <c r="P17" s="195">
        <v>8</v>
      </c>
      <c r="Q17" s="195"/>
      <c r="R17" s="195"/>
      <c r="S17" s="195">
        <v>8</v>
      </c>
      <c r="T17" s="195">
        <v>8</v>
      </c>
      <c r="U17" s="195">
        <v>8</v>
      </c>
      <c r="V17" s="195">
        <v>8</v>
      </c>
      <c r="W17" s="195">
        <v>8</v>
      </c>
      <c r="X17" s="195"/>
      <c r="Y17" s="195"/>
      <c r="Z17" s="195">
        <v>8</v>
      </c>
      <c r="AA17" s="195">
        <v>8</v>
      </c>
      <c r="AB17" s="195">
        <v>8</v>
      </c>
      <c r="AC17" s="195">
        <v>8</v>
      </c>
      <c r="AD17" s="195">
        <v>8</v>
      </c>
      <c r="AE17" s="195"/>
      <c r="AF17" s="195"/>
      <c r="AG17" s="195"/>
      <c r="AH17" s="196">
        <f t="shared" si="2"/>
        <v>160</v>
      </c>
      <c r="AI17" s="195">
        <v>160</v>
      </c>
      <c r="AJ17" s="197">
        <f t="shared" si="3"/>
        <v>1</v>
      </c>
    </row>
    <row r="18" spans="1:36" s="17" customFormat="1" ht="20.25" customHeight="1">
      <c r="A18" s="193"/>
      <c r="B18" s="194" t="str">
        <f>IF(設備使用費!C27&lt;&gt;"",設備使用費!C27,"")</f>
        <v/>
      </c>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6">
        <f t="shared" ref="AH18" si="4">SUM(C18:AG18)</f>
        <v>0</v>
      </c>
      <c r="AI18" s="195">
        <v>160</v>
      </c>
      <c r="AJ18" s="197">
        <f t="shared" si="3"/>
        <v>0</v>
      </c>
    </row>
    <row r="19" spans="1:36" ht="20.25" customHeight="1">
      <c r="B19" s="17"/>
      <c r="C19" s="17"/>
      <c r="D19" s="17"/>
      <c r="E19" s="17"/>
      <c r="F19" s="17"/>
      <c r="G19" s="17"/>
      <c r="H19" s="17"/>
      <c r="I19" s="17"/>
      <c r="J19" s="17"/>
      <c r="K19" s="17"/>
      <c r="L19" s="17"/>
      <c r="M19" s="17"/>
      <c r="N19" s="17"/>
      <c r="O19" s="17"/>
      <c r="P19" s="17"/>
      <c r="Q19" s="17"/>
      <c r="R19" s="17"/>
      <c r="S19" s="17"/>
      <c r="T19" s="17"/>
      <c r="U19" s="17"/>
      <c r="V19" s="17" cm="1">
        <f t="array" aca="1" ref="V19" ca="1">+V19:KA20</f>
        <v>0</v>
      </c>
      <c r="W19" s="17"/>
      <c r="X19" s="17"/>
      <c r="Y19" s="17"/>
      <c r="Z19" s="17"/>
      <c r="AA19" s="17"/>
      <c r="AB19" s="17"/>
      <c r="AC19" s="17"/>
      <c r="AD19" s="17"/>
      <c r="AE19" s="17"/>
      <c r="AF19" s="17"/>
      <c r="AG19" s="17"/>
      <c r="AH19" s="17"/>
      <c r="AI19" s="17"/>
      <c r="AJ19" s="199"/>
    </row>
    <row r="20" spans="1:36" s="17" customFormat="1" ht="18" customHeight="1">
      <c r="A20" s="17" t="s">
        <v>120</v>
      </c>
    </row>
    <row r="21" spans="1:36" s="17" customFormat="1" ht="18" customHeight="1">
      <c r="A21" s="17" t="s">
        <v>121</v>
      </c>
    </row>
    <row r="22" spans="1:36" s="17" customFormat="1" ht="13.8">
      <c r="A22" s="17" t="s">
        <v>122</v>
      </c>
    </row>
    <row r="23" spans="1:36" s="17" customFormat="1" ht="13.8"/>
    <row r="24" spans="1:36" s="128" customFormat="1" ht="17.399999999999999">
      <c r="A24" s="21"/>
      <c r="B24" s="21"/>
      <c r="C24" s="93" t="s">
        <v>30</v>
      </c>
      <c r="D24" s="21"/>
      <c r="E24" s="21"/>
      <c r="F24" s="21"/>
      <c r="G24" s="127"/>
      <c r="H24" s="21"/>
      <c r="I24" s="21"/>
      <c r="J24" s="21"/>
      <c r="K24" s="21"/>
      <c r="L24" s="21"/>
      <c r="M24" s="21"/>
      <c r="N24" s="21"/>
      <c r="O24" s="93" t="s">
        <v>31</v>
      </c>
      <c r="P24" s="21"/>
      <c r="Q24" s="21"/>
      <c r="R24" s="21"/>
      <c r="S24" s="21"/>
      <c r="T24" s="21"/>
      <c r="U24" s="21"/>
      <c r="V24" s="21"/>
      <c r="W24" s="21"/>
      <c r="X24" s="94" t="s">
        <v>32</v>
      </c>
      <c r="Y24" s="21"/>
      <c r="Z24" s="21"/>
      <c r="AA24" s="21"/>
      <c r="AB24" s="21"/>
      <c r="AC24" s="21"/>
      <c r="AD24" s="21"/>
      <c r="AE24" s="21"/>
      <c r="AF24" s="21"/>
      <c r="AG24" s="21"/>
      <c r="AH24" s="21"/>
      <c r="AI24" s="21"/>
      <c r="AJ24" s="21"/>
    </row>
    <row r="25" spans="1:36" ht="17.399999999999999">
      <c r="B25" s="21"/>
      <c r="C25" s="21"/>
      <c r="D25" s="93"/>
      <c r="E25" s="21"/>
      <c r="F25" s="21"/>
      <c r="H25" s="127"/>
      <c r="I25" s="21"/>
      <c r="K25" s="21"/>
      <c r="L25" s="21"/>
      <c r="N25" s="93"/>
      <c r="Y25" s="94"/>
    </row>
  </sheetData>
  <sheetProtection algorithmName="SHA-512" hashValue="mQcf5P7yp2Zf5/Wusfj5Z0mj8ylSd6TInjoqoa8cjISchu0yOrd40VRUfmXTDJyqsre83dnz2zA1BsV6bTU1wQ==" saltValue="8xJYq+3oM7gbenE4iBdhfA==" spinCount="100000" sheet="1" formatCells="0" formatColumns="0" formatRows="0" insertRows="0"/>
  <mergeCells count="2">
    <mergeCell ref="A1:AJ1"/>
    <mergeCell ref="A2:A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0" fitToWidth="0" fitToHeight="0" orientation="landscape" blackAndWhite="1"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M27"/>
  <sheetViews>
    <sheetView view="pageBreakPreview" zoomScale="126" zoomScaleNormal="80" zoomScaleSheetLayoutView="126" workbookViewId="0">
      <selection activeCell="B6" sqref="B6:M7"/>
    </sheetView>
  </sheetViews>
  <sheetFormatPr defaultColWidth="11.19921875" defaultRowHeight="15.6"/>
  <cols>
    <col min="1" max="1" width="2.5" style="104" customWidth="1"/>
    <col min="2" max="2" width="17.59765625" style="104" customWidth="1"/>
    <col min="3" max="3" width="15.5" style="104" customWidth="1"/>
    <col min="4" max="4" width="16.69921875" style="104" customWidth="1"/>
    <col min="5" max="5" width="15.69921875" style="104" customWidth="1"/>
    <col min="6" max="6" width="15" style="104" bestFit="1" customWidth="1"/>
    <col min="7" max="7" width="12.09765625" style="104" customWidth="1"/>
    <col min="8" max="8" width="13" style="104" customWidth="1"/>
    <col min="9" max="9" width="12.09765625" style="104" customWidth="1"/>
    <col min="10" max="10" width="14.5" style="104" customWidth="1"/>
    <col min="11" max="11" width="8.69921875" style="104" customWidth="1"/>
    <col min="12" max="12" width="8.19921875" style="104" customWidth="1"/>
    <col min="13" max="13" width="11.69921875" style="104" bestFit="1" customWidth="1"/>
    <col min="14" max="14" width="11.19921875" style="104" customWidth="1"/>
    <col min="15" max="16384" width="11.19921875" style="104"/>
  </cols>
  <sheetData>
    <row r="1" spans="1:13" ht="26.25" customHeight="1">
      <c r="A1" s="1367" t="str">
        <f>計畫經費彙總表!A1</f>
        <v>五常物業規劃顧問股份(閉鎖型)有限公司</v>
      </c>
      <c r="B1" s="1367"/>
      <c r="C1" s="1367"/>
      <c r="D1" s="1367"/>
      <c r="E1" s="1367"/>
      <c r="F1" s="1367"/>
      <c r="G1" s="1367"/>
      <c r="H1" s="1367"/>
      <c r="I1" s="1367"/>
      <c r="J1" s="1367"/>
      <c r="K1" s="1367"/>
      <c r="L1" s="1367"/>
      <c r="M1" s="1367"/>
    </row>
    <row r="2" spans="1:13" ht="30" customHeight="1">
      <c r="A2" s="2" t="s">
        <v>123</v>
      </c>
      <c r="B2" s="2"/>
      <c r="C2" s="2"/>
      <c r="D2" s="2"/>
      <c r="E2" s="2"/>
      <c r="F2" s="2"/>
      <c r="G2" s="2"/>
      <c r="H2" s="2"/>
      <c r="I2" s="2"/>
      <c r="J2" s="2"/>
      <c r="K2" s="2"/>
      <c r="L2" s="2"/>
      <c r="M2" s="2"/>
    </row>
    <row r="3" spans="1:13" ht="16.8" thickBot="1">
      <c r="A3" s="8"/>
      <c r="B3" s="8"/>
      <c r="C3" s="8"/>
      <c r="D3" s="8"/>
      <c r="E3" s="8"/>
      <c r="F3" s="8"/>
      <c r="G3" s="8"/>
      <c r="H3" s="8"/>
      <c r="I3" s="8"/>
      <c r="J3" s="8"/>
      <c r="K3" s="8"/>
      <c r="L3" s="8"/>
      <c r="M3" s="9" t="s">
        <v>33</v>
      </c>
    </row>
    <row r="4" spans="1:13" s="117" customFormat="1" ht="38.25" customHeight="1" thickBot="1">
      <c r="A4" s="1378" t="s">
        <v>94</v>
      </c>
      <c r="B4" s="1378"/>
      <c r="C4" s="14" t="s">
        <v>95</v>
      </c>
      <c r="D4" s="15" t="s">
        <v>96</v>
      </c>
      <c r="E4" s="15" t="s">
        <v>124</v>
      </c>
      <c r="F4" s="14" t="s">
        <v>34</v>
      </c>
      <c r="G4" s="14" t="s">
        <v>72</v>
      </c>
      <c r="H4" s="14" t="s">
        <v>125</v>
      </c>
      <c r="I4" s="14" t="s">
        <v>126</v>
      </c>
      <c r="J4" s="14" t="s">
        <v>127</v>
      </c>
      <c r="K4" s="14" t="s">
        <v>78</v>
      </c>
      <c r="L4" s="14" t="s">
        <v>128</v>
      </c>
      <c r="M4" s="10" t="s">
        <v>129</v>
      </c>
    </row>
    <row r="5" spans="1:13" s="18" customFormat="1" ht="18" customHeight="1">
      <c r="A5" s="208"/>
      <c r="B5" s="209"/>
      <c r="C5" s="210"/>
      <c r="D5" s="210"/>
      <c r="E5" s="210"/>
      <c r="F5" s="210"/>
      <c r="G5" s="210"/>
      <c r="H5" s="210"/>
      <c r="I5" s="210"/>
      <c r="J5" s="210"/>
      <c r="K5" s="210"/>
      <c r="L5" s="210"/>
      <c r="M5" s="211"/>
    </row>
    <row r="6" spans="1:13" s="18" customFormat="1" ht="18" customHeight="1">
      <c r="A6" s="212"/>
      <c r="B6" s="275"/>
      <c r="C6" s="276"/>
      <c r="D6" s="276"/>
      <c r="E6" s="277"/>
      <c r="F6" s="278"/>
      <c r="G6" s="276"/>
      <c r="H6" s="276"/>
      <c r="I6" s="276"/>
      <c r="J6" s="276"/>
      <c r="K6" s="276"/>
      <c r="L6" s="279"/>
      <c r="M6" s="280"/>
    </row>
    <row r="7" spans="1:13" s="18" customFormat="1" ht="16.5" customHeight="1">
      <c r="A7" s="212"/>
      <c r="B7" s="275"/>
      <c r="C7" s="276"/>
      <c r="D7" s="276"/>
      <c r="E7" s="277"/>
      <c r="F7" s="278"/>
      <c r="G7" s="276"/>
      <c r="H7" s="276"/>
      <c r="I7" s="276"/>
      <c r="J7" s="276"/>
      <c r="K7" s="276"/>
      <c r="L7" s="279"/>
      <c r="M7" s="280"/>
    </row>
    <row r="8" spans="1:13" s="18" customFormat="1" ht="18" customHeight="1">
      <c r="A8" s="212"/>
      <c r="B8" s="281"/>
      <c r="C8" s="276"/>
      <c r="D8" s="276"/>
      <c r="E8" s="277"/>
      <c r="F8" s="276"/>
      <c r="G8" s="276"/>
      <c r="H8" s="276"/>
      <c r="I8" s="276"/>
      <c r="J8" s="276"/>
      <c r="K8" s="276"/>
      <c r="L8" s="276"/>
      <c r="M8" s="280"/>
    </row>
    <row r="9" spans="1:13" s="18" customFormat="1" ht="16.5" customHeight="1">
      <c r="A9" s="213"/>
      <c r="B9" s="282"/>
      <c r="C9" s="276"/>
      <c r="D9" s="276"/>
      <c r="E9" s="277"/>
      <c r="F9" s="276"/>
      <c r="G9" s="276"/>
      <c r="H9" s="276"/>
      <c r="I9" s="276"/>
      <c r="J9" s="276"/>
      <c r="K9" s="276"/>
      <c r="L9" s="276"/>
      <c r="M9" s="280"/>
    </row>
    <row r="10" spans="1:13" s="18" customFormat="1" ht="16.5" customHeight="1">
      <c r="A10" s="212"/>
      <c r="B10" s="275"/>
      <c r="C10" s="276"/>
      <c r="D10" s="276"/>
      <c r="E10" s="277"/>
      <c r="F10" s="276"/>
      <c r="G10" s="276"/>
      <c r="H10" s="276"/>
      <c r="I10" s="276"/>
      <c r="J10" s="276"/>
      <c r="K10" s="276"/>
      <c r="L10" s="276"/>
      <c r="M10" s="280"/>
    </row>
    <row r="11" spans="1:13" s="18" customFormat="1" ht="17.25" customHeight="1">
      <c r="A11" s="212"/>
      <c r="B11" s="275"/>
      <c r="C11" s="276"/>
      <c r="D11" s="276"/>
      <c r="E11" s="277"/>
      <c r="F11" s="276"/>
      <c r="G11" s="276"/>
      <c r="H11" s="276"/>
      <c r="I11" s="276"/>
      <c r="J11" s="276"/>
      <c r="K11" s="276"/>
      <c r="L11" s="276"/>
      <c r="M11" s="280"/>
    </row>
    <row r="12" spans="1:13" s="18" customFormat="1" ht="15.75" customHeight="1">
      <c r="A12" s="212"/>
      <c r="B12" s="281"/>
      <c r="C12" s="276"/>
      <c r="D12" s="276"/>
      <c r="E12" s="277"/>
      <c r="F12" s="276"/>
      <c r="G12" s="276"/>
      <c r="H12" s="276"/>
      <c r="I12" s="276"/>
      <c r="J12" s="276"/>
      <c r="K12" s="276"/>
      <c r="L12" s="276"/>
      <c r="M12" s="280"/>
    </row>
    <row r="13" spans="1:13" s="18" customFormat="1" ht="19.5" customHeight="1">
      <c r="A13" s="213"/>
      <c r="B13" s="282"/>
      <c r="C13" s="276"/>
      <c r="D13" s="276"/>
      <c r="E13" s="277"/>
      <c r="F13" s="276"/>
      <c r="G13" s="276"/>
      <c r="H13" s="276"/>
      <c r="I13" s="276"/>
      <c r="J13" s="276"/>
      <c r="K13" s="276"/>
      <c r="L13" s="276"/>
      <c r="M13" s="280"/>
    </row>
    <row r="14" spans="1:13" s="18" customFormat="1" ht="16.5" customHeight="1">
      <c r="A14" s="212"/>
      <c r="B14" s="275"/>
      <c r="C14" s="276"/>
      <c r="D14" s="276"/>
      <c r="E14" s="277"/>
      <c r="F14" s="276"/>
      <c r="G14" s="276"/>
      <c r="H14" s="276"/>
      <c r="I14" s="276"/>
      <c r="J14" s="276"/>
      <c r="K14" s="276"/>
      <c r="L14" s="276"/>
      <c r="M14" s="280"/>
    </row>
    <row r="15" spans="1:13" s="18" customFormat="1" ht="17.25" customHeight="1" thickBot="1">
      <c r="A15" s="214"/>
      <c r="B15" s="283"/>
      <c r="C15" s="284"/>
      <c r="D15" s="284"/>
      <c r="E15" s="285"/>
      <c r="F15" s="284"/>
      <c r="G15" s="284"/>
      <c r="H15" s="284"/>
      <c r="I15" s="284"/>
      <c r="J15" s="284"/>
      <c r="K15" s="284"/>
      <c r="L15" s="284"/>
      <c r="M15" s="286"/>
    </row>
    <row r="16" spans="1:13" s="18" customFormat="1" ht="22.5" customHeight="1" thickBot="1">
      <c r="A16" s="319" t="s">
        <v>130</v>
      </c>
      <c r="B16" s="215"/>
      <c r="C16" s="216"/>
      <c r="D16" s="216"/>
      <c r="E16" s="217"/>
      <c r="F16" s="145"/>
      <c r="G16" s="145"/>
      <c r="H16" s="145"/>
      <c r="I16" s="145"/>
      <c r="J16" s="145"/>
      <c r="K16" s="145"/>
      <c r="L16" s="145"/>
      <c r="M16" s="218">
        <f>ROUND(SUM(M5:M15),0)</f>
        <v>0</v>
      </c>
    </row>
    <row r="17" spans="1:13" ht="22.5" customHeight="1">
      <c r="A17" s="150"/>
      <c r="B17" s="219"/>
      <c r="C17" s="219"/>
      <c r="D17" s="219"/>
      <c r="E17" s="152"/>
      <c r="M17" s="152"/>
    </row>
    <row r="18" spans="1:13" s="17" customFormat="1" ht="13.8">
      <c r="A18" s="17" t="s">
        <v>131</v>
      </c>
    </row>
    <row r="19" spans="1:13" s="17" customFormat="1" ht="13.8">
      <c r="A19" s="17" t="s">
        <v>132</v>
      </c>
      <c r="G19" s="153"/>
    </row>
    <row r="20" spans="1:13" s="17" customFormat="1" ht="13.8">
      <c r="A20" s="17" t="s">
        <v>133</v>
      </c>
    </row>
    <row r="21" spans="1:13" s="17" customFormat="1" ht="13.8">
      <c r="A21" s="1368" t="s">
        <v>134</v>
      </c>
      <c r="B21" s="1368"/>
      <c r="C21" s="1368"/>
      <c r="D21" s="1368"/>
      <c r="E21" s="1368"/>
      <c r="F21" s="1368"/>
      <c r="G21" s="1368"/>
      <c r="H21" s="1368"/>
      <c r="I21" s="1368"/>
      <c r="J21" s="1368"/>
      <c r="K21" s="1368"/>
      <c r="L21" s="1368"/>
      <c r="M21" s="1368"/>
    </row>
    <row r="22" spans="1:13" s="17" customFormat="1" ht="13.8">
      <c r="A22" s="1368" t="s">
        <v>135</v>
      </c>
      <c r="B22" s="1368"/>
      <c r="C22" s="1368"/>
      <c r="D22" s="1368"/>
      <c r="E22" s="1368"/>
      <c r="F22" s="1368"/>
      <c r="G22" s="1368"/>
      <c r="H22" s="1368"/>
      <c r="I22" s="1368"/>
      <c r="J22" s="1368"/>
      <c r="K22" s="1368"/>
      <c r="L22" s="1368"/>
      <c r="M22" s="1368"/>
    </row>
    <row r="23" spans="1:13" s="17" customFormat="1">
      <c r="A23" s="1377"/>
      <c r="B23" s="1377"/>
      <c r="C23" s="1377"/>
      <c r="D23" s="1377"/>
      <c r="E23" s="1377"/>
      <c r="F23" s="1377"/>
      <c r="G23" s="1377"/>
      <c r="H23" s="1377"/>
      <c r="I23" s="1377"/>
      <c r="J23" s="1377"/>
      <c r="K23" s="1377"/>
      <c r="L23" s="1377"/>
      <c r="M23" s="1377"/>
    </row>
    <row r="24" spans="1:13" s="21" customFormat="1" ht="17.399999999999999">
      <c r="A24" s="127"/>
      <c r="B24" s="93" t="s">
        <v>30</v>
      </c>
      <c r="F24" s="93" t="s">
        <v>31</v>
      </c>
      <c r="I24" s="127"/>
      <c r="K24" s="94" t="s">
        <v>32</v>
      </c>
    </row>
    <row r="25" spans="1:13">
      <c r="A25" s="1377"/>
      <c r="B25" s="1377"/>
      <c r="C25" s="1377"/>
      <c r="D25" s="1377"/>
      <c r="E25" s="1377"/>
      <c r="F25" s="1377"/>
      <c r="G25" s="1377"/>
      <c r="H25" s="1377"/>
      <c r="I25" s="1377"/>
      <c r="J25" s="1377"/>
      <c r="K25" s="1377"/>
      <c r="L25" s="1377"/>
      <c r="M25" s="1377"/>
    </row>
    <row r="26" spans="1:13">
      <c r="A26" s="1377"/>
      <c r="B26" s="1377"/>
      <c r="C26" s="1377"/>
      <c r="D26" s="1377"/>
      <c r="E26" s="1377"/>
      <c r="F26" s="1377"/>
      <c r="G26" s="1377"/>
      <c r="H26" s="1377"/>
      <c r="I26" s="1377"/>
      <c r="J26" s="1377"/>
      <c r="K26" s="1377"/>
      <c r="L26" s="1377"/>
      <c r="M26" s="1377"/>
    </row>
    <row r="27" spans="1:13">
      <c r="A27" s="108"/>
    </row>
  </sheetData>
  <sheetProtection algorithmName="SHA-512" hashValue="mc9Xi9CPYoU76VM8GRPbMiBRlORHEAFLTiHJTIqvsKRJ3WaF/DRtOTple+fNiL0AZU/yLBqfN7LaFNd9Ke1p1w==" saltValue="BWKqQyo7qrOWgkgNaPooZA==" spinCount="100000" sheet="1" formatCells="0" formatColumns="0" formatRows="0" insertRows="0"/>
  <mergeCells count="8">
    <mergeCell ref="A25:M25"/>
    <mergeCell ref="A26:M26"/>
    <mergeCell ref="A1:M1"/>
    <mergeCell ref="A2:M2"/>
    <mergeCell ref="A4:B4"/>
    <mergeCell ref="A21:M21"/>
    <mergeCell ref="A22:M22"/>
    <mergeCell ref="A23:M23"/>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2" fitToWidth="0" fitToHeight="0" orientation="landscape"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F21"/>
  <sheetViews>
    <sheetView view="pageBreakPreview" zoomScale="98" zoomScaleNormal="80" zoomScaleSheetLayoutView="98" workbookViewId="0">
      <selection activeCell="B4" sqref="B4"/>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65" t="str">
        <f>計畫經費彙總表!A1</f>
        <v>五常物業規劃顧問股份(閉鎖型)有限公司</v>
      </c>
      <c r="B1" s="1365"/>
      <c r="C1" s="1365"/>
      <c r="D1" s="1365"/>
      <c r="E1" s="1365"/>
      <c r="F1" s="1365"/>
    </row>
    <row r="2" spans="1:6" ht="30" customHeight="1">
      <c r="A2" s="2" t="s">
        <v>511</v>
      </c>
      <c r="B2" s="2"/>
      <c r="C2" s="2"/>
      <c r="D2" s="2"/>
      <c r="E2" s="2"/>
      <c r="F2" s="2"/>
    </row>
    <row r="3" spans="1:6" ht="14.25" customHeight="1">
      <c r="A3" s="3"/>
      <c r="B3" s="298"/>
      <c r="C3" s="298"/>
      <c r="D3" s="298"/>
      <c r="E3" s="298"/>
      <c r="F3" s="298"/>
    </row>
    <row r="4" spans="1:6" ht="18.75" customHeight="1">
      <c r="A4" s="292" t="s">
        <v>510</v>
      </c>
      <c r="B4" s="293" t="s">
        <v>467</v>
      </c>
      <c r="C4" s="293"/>
      <c r="D4" s="293"/>
      <c r="E4" s="294" t="s">
        <v>137</v>
      </c>
      <c r="F4" s="293" t="s">
        <v>509</v>
      </c>
    </row>
    <row r="5" spans="1:6" ht="19.5" customHeight="1">
      <c r="A5" s="292" t="s">
        <v>469</v>
      </c>
      <c r="B5" s="294"/>
      <c r="C5" s="295"/>
      <c r="D5" s="293"/>
      <c r="E5" s="292" t="s">
        <v>468</v>
      </c>
      <c r="F5" s="293"/>
    </row>
    <row r="6" spans="1:6" ht="20.25" customHeight="1" thickBot="1">
      <c r="A6" s="292" t="s">
        <v>508</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c r="F8" s="287">
        <v>150000</v>
      </c>
    </row>
    <row r="9" spans="1:6" ht="21" customHeight="1">
      <c r="A9" s="267" t="s">
        <v>143</v>
      </c>
      <c r="B9" s="262"/>
      <c r="C9" s="266"/>
      <c r="D9" s="262"/>
      <c r="E9" s="266"/>
      <c r="F9" s="287">
        <v>150000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300000</v>
      </c>
    </row>
    <row r="16" spans="1:6" ht="14.25" customHeight="1">
      <c r="A16" s="221"/>
      <c r="B16" s="151"/>
      <c r="C16" s="151"/>
      <c r="D16" s="151"/>
      <c r="E16" s="151"/>
      <c r="F16" s="223"/>
    </row>
    <row r="17" spans="1:6">
      <c r="A17" s="17" t="s">
        <v>146</v>
      </c>
    </row>
    <row r="18" spans="1:6">
      <c r="A18" s="17" t="s">
        <v>147</v>
      </c>
    </row>
    <row r="19" spans="1:6">
      <c r="A19" s="1379" t="s">
        <v>148</v>
      </c>
      <c r="B19" s="1379"/>
      <c r="C19" s="1379"/>
      <c r="D19" s="1379"/>
      <c r="E19" s="1379"/>
      <c r="F19" s="1379"/>
    </row>
    <row r="21" spans="1:6" s="21" customFormat="1" ht="17.399999999999999">
      <c r="A21" s="93" t="s">
        <v>30</v>
      </c>
      <c r="D21" s="93" t="s">
        <v>31</v>
      </c>
      <c r="E21" s="127"/>
      <c r="F21" s="94" t="s">
        <v>32</v>
      </c>
    </row>
  </sheetData>
  <sheetProtection algorithmName="SHA-512" hashValue="MNKUGz3qs9AKKpHs/PaRiG3ScL5Fp+kuAmThqKdN3vfd5NM4GZUe97dQqBakBguegEzummwTkQIt493HnWht7w==" saltValue="/OD5WUIfE7/vzJrgWamFAg=="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J21"/>
  <sheetViews>
    <sheetView view="pageBreakPreview" zoomScale="107" zoomScaleNormal="80" zoomScaleSheetLayoutView="107" workbookViewId="0">
      <selection activeCell="B4" sqref="B4"/>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65" t="str">
        <f>計畫經費彙總表!A1</f>
        <v>五常物業規劃顧問股份(閉鎖型)有限公司</v>
      </c>
      <c r="B1" s="1365"/>
      <c r="C1" s="1365"/>
      <c r="D1" s="1365"/>
      <c r="E1" s="1365"/>
      <c r="F1" s="1365"/>
    </row>
    <row r="2" spans="1:6" ht="30" customHeight="1">
      <c r="A2" s="2" t="s">
        <v>149</v>
      </c>
      <c r="B2" s="2"/>
      <c r="C2" s="2"/>
      <c r="D2" s="2"/>
      <c r="E2" s="2"/>
      <c r="F2" s="2"/>
    </row>
    <row r="3" spans="1:6" ht="30" customHeight="1">
      <c r="A3" s="3"/>
      <c r="B3" s="298"/>
      <c r="C3" s="298"/>
      <c r="D3" s="298"/>
      <c r="E3" s="298"/>
      <c r="F3" s="298"/>
    </row>
    <row r="4" spans="1:6" ht="18.75" customHeight="1">
      <c r="A4" s="292" t="s">
        <v>136</v>
      </c>
      <c r="B4" s="293"/>
      <c r="C4" s="293"/>
      <c r="D4" s="293"/>
      <c r="E4" s="294" t="s">
        <v>137</v>
      </c>
      <c r="F4" s="293"/>
    </row>
    <row r="5" spans="1:6" ht="19.5" customHeight="1">
      <c r="A5" s="292" t="s">
        <v>299</v>
      </c>
      <c r="B5" s="294"/>
      <c r="C5" s="295"/>
      <c r="D5" s="293"/>
      <c r="E5" s="292" t="s">
        <v>139</v>
      </c>
      <c r="F5" s="293"/>
    </row>
    <row r="6" spans="1:6" ht="20.25" customHeight="1" thickBot="1">
      <c r="A6" s="292" t="s">
        <v>150</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t="s">
        <v>142</v>
      </c>
      <c r="F8" s="287">
        <v>200000</v>
      </c>
    </row>
    <row r="9" spans="1:6" ht="21" customHeight="1">
      <c r="A9" s="267" t="s">
        <v>143</v>
      </c>
      <c r="B9" s="262"/>
      <c r="C9" s="266"/>
      <c r="D9" s="262"/>
      <c r="E9" s="266" t="s">
        <v>144</v>
      </c>
      <c r="F9" s="287">
        <v>150000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350000</v>
      </c>
    </row>
    <row r="16" spans="1:6" ht="12" customHeight="1">
      <c r="A16" s="221"/>
      <c r="B16" s="151"/>
      <c r="C16" s="151"/>
      <c r="D16" s="151"/>
      <c r="E16" s="151"/>
      <c r="F16" s="223"/>
    </row>
    <row r="17" spans="1:10">
      <c r="A17" s="17" t="s">
        <v>146</v>
      </c>
    </row>
    <row r="18" spans="1:10">
      <c r="A18" s="17" t="s">
        <v>151</v>
      </c>
    </row>
    <row r="19" spans="1:10">
      <c r="A19" s="1379" t="s">
        <v>298</v>
      </c>
      <c r="B19" s="1379"/>
      <c r="C19" s="1379"/>
      <c r="D19" s="1379"/>
      <c r="E19" s="1379"/>
      <c r="F19" s="1379"/>
    </row>
    <row r="21" spans="1:10" s="21" customFormat="1" ht="17.399999999999999">
      <c r="A21" s="93" t="s">
        <v>30</v>
      </c>
      <c r="C21" s="21" t="s">
        <v>31</v>
      </c>
      <c r="D21" s="93"/>
      <c r="E21" s="94" t="s">
        <v>32</v>
      </c>
      <c r="G21" s="93"/>
      <c r="H21" s="127"/>
      <c r="J21" s="94"/>
    </row>
  </sheetData>
  <sheetProtection algorithmName="SHA-512" hashValue="XSazTHFm2fwk+px0wKptqmtSeoX2UvRcVYeplS/g42Sudv0rL7LlFmoVkBjFuEJLfZt1aquFh/CZk9e3VTnVQw==" saltValue="PfGDXB7QGzH3mqEGEsUiQQ=="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J21"/>
  <sheetViews>
    <sheetView view="pageBreakPreview" zoomScale="89" zoomScaleNormal="80" zoomScaleSheetLayoutView="89" workbookViewId="0">
      <selection activeCell="G19" sqref="G19"/>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65" t="str">
        <f>計畫經費彙總表!A1</f>
        <v>五常物業規劃顧問股份(閉鎖型)有限公司</v>
      </c>
      <c r="B1" s="1365"/>
      <c r="C1" s="1365"/>
      <c r="D1" s="1365"/>
      <c r="E1" s="1365"/>
      <c r="F1" s="1365"/>
    </row>
    <row r="2" spans="1:6" ht="30" customHeight="1">
      <c r="A2" s="2" t="s">
        <v>152</v>
      </c>
      <c r="B2" s="2"/>
      <c r="C2" s="2"/>
      <c r="D2" s="2"/>
      <c r="E2" s="2"/>
      <c r="F2" s="2"/>
    </row>
    <row r="3" spans="1:6" ht="15.75" customHeight="1">
      <c r="A3" s="3"/>
      <c r="B3" s="298"/>
      <c r="C3" s="298"/>
      <c r="D3" s="298"/>
      <c r="E3" s="298"/>
      <c r="F3" s="298"/>
    </row>
    <row r="4" spans="1:6" ht="18.75" customHeight="1">
      <c r="A4" s="292" t="s">
        <v>136</v>
      </c>
      <c r="B4" s="293"/>
      <c r="C4" s="293"/>
      <c r="D4" s="293"/>
      <c r="E4" s="294" t="s">
        <v>137</v>
      </c>
      <c r="F4" s="293"/>
    </row>
    <row r="5" spans="1:6" ht="19.5" customHeight="1">
      <c r="A5" s="292" t="s">
        <v>138</v>
      </c>
      <c r="B5" s="294"/>
      <c r="C5" s="295"/>
      <c r="D5" s="293"/>
      <c r="E5" s="292" t="s">
        <v>139</v>
      </c>
      <c r="F5" s="293"/>
    </row>
    <row r="6" spans="1:6" ht="20.25" customHeight="1" thickBot="1">
      <c r="A6" s="292" t="s">
        <v>150</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t="s">
        <v>142</v>
      </c>
      <c r="F8" s="287">
        <v>300000</v>
      </c>
    </row>
    <row r="9" spans="1:6" ht="21" customHeight="1">
      <c r="A9" s="267" t="s">
        <v>143</v>
      </c>
      <c r="B9" s="262"/>
      <c r="C9" s="266"/>
      <c r="D9" s="262"/>
      <c r="E9" s="266" t="s">
        <v>144</v>
      </c>
      <c r="F9" s="287">
        <v>100000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400000</v>
      </c>
    </row>
    <row r="16" spans="1:6" ht="14.25" customHeight="1">
      <c r="A16" s="221"/>
      <c r="B16" s="151"/>
      <c r="C16" s="151"/>
      <c r="D16" s="151"/>
      <c r="E16" s="151"/>
      <c r="F16" s="223"/>
    </row>
    <row r="17" spans="1:10">
      <c r="A17" s="17" t="s">
        <v>146</v>
      </c>
    </row>
    <row r="18" spans="1:10">
      <c r="A18" s="17" t="s">
        <v>153</v>
      </c>
    </row>
    <row r="19" spans="1:10">
      <c r="A19" s="1379" t="s">
        <v>154</v>
      </c>
      <c r="B19" s="1379"/>
      <c r="C19" s="1379"/>
      <c r="D19" s="1379"/>
      <c r="E19" s="1379"/>
      <c r="F19" s="1379"/>
    </row>
    <row r="20" spans="1:10">
      <c r="A20" s="327"/>
      <c r="B20" s="225"/>
      <c r="C20" s="225"/>
      <c r="D20" s="225"/>
      <c r="E20" s="225"/>
      <c r="F20" s="225"/>
    </row>
    <row r="21" spans="1:10" s="21" customFormat="1" ht="17.399999999999999">
      <c r="A21" s="93" t="s">
        <v>30</v>
      </c>
      <c r="D21" s="93" t="s">
        <v>31</v>
      </c>
      <c r="E21" s="127"/>
      <c r="F21" s="94" t="s">
        <v>32</v>
      </c>
      <c r="G21" s="93"/>
      <c r="H21" s="127"/>
      <c r="J21" s="94"/>
    </row>
  </sheetData>
  <sheetProtection algorithmName="SHA-512" hashValue="RWPvqA/UiN40M6Kpen3aVih0lU49/o+fQXY1L7/BhNpLxIZjbx1Q3kf+d+4W46pZ7shrAMuNpM/WXhTVVb38aw==" saltValue="/+ffpgyCrfjSkYQWGWQaAA=="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N23"/>
  <sheetViews>
    <sheetView view="pageBreakPreview" zoomScale="95" zoomScaleNormal="80" zoomScaleSheetLayoutView="95" workbookViewId="0">
      <selection activeCell="C8" sqref="C8"/>
    </sheetView>
  </sheetViews>
  <sheetFormatPr defaultColWidth="11.19921875" defaultRowHeight="13.8"/>
  <cols>
    <col min="1" max="1" width="10.19921875" style="187" customWidth="1"/>
    <col min="2" max="2" width="7.69921875" style="187" customWidth="1"/>
    <col min="3" max="3" width="12" style="17" customWidth="1"/>
    <col min="4" max="4" width="10.59765625" style="17" customWidth="1"/>
    <col min="5" max="5" width="13.19921875" style="17" bestFit="1" customWidth="1"/>
    <col min="6" max="6" width="30.69921875" style="17" customWidth="1"/>
    <col min="7" max="7" width="12" style="17" customWidth="1"/>
    <col min="8" max="8" width="13" style="17" bestFit="1" customWidth="1"/>
    <col min="9" max="9" width="11.09765625" style="17" customWidth="1"/>
    <col min="10" max="10" width="9.19921875" style="17" customWidth="1"/>
    <col min="11" max="11" width="10.5" style="17" customWidth="1"/>
    <col min="12" max="12" width="9" style="17" customWidth="1"/>
    <col min="13" max="13" width="10.19921875" style="17" customWidth="1"/>
    <col min="14" max="14" width="11.69921875" style="17" customWidth="1"/>
    <col min="15" max="15" width="11.19921875" style="17" customWidth="1"/>
    <col min="16" max="16384" width="11.19921875" style="17"/>
  </cols>
  <sheetData>
    <row r="1" spans="1:14" ht="22.5" customHeight="1">
      <c r="A1" s="1380" t="str">
        <f>計畫經費彙總表!A1</f>
        <v>五常物業規劃顧問股份(閉鎖型)有限公司</v>
      </c>
      <c r="B1" s="1380"/>
      <c r="C1" s="1380"/>
      <c r="D1" s="1380"/>
      <c r="E1" s="1380"/>
      <c r="F1" s="1380"/>
      <c r="G1" s="1380"/>
      <c r="H1" s="1380"/>
      <c r="I1" s="1380"/>
      <c r="J1" s="1380"/>
      <c r="K1" s="1380"/>
      <c r="L1" s="1380"/>
      <c r="M1" s="1380"/>
      <c r="N1" s="1380"/>
    </row>
    <row r="2" spans="1:14" ht="30" customHeight="1">
      <c r="A2" s="1381" t="s">
        <v>155</v>
      </c>
      <c r="B2" s="1381"/>
      <c r="C2" s="1381"/>
      <c r="D2" s="1381"/>
      <c r="E2" s="1381"/>
      <c r="F2" s="1381"/>
      <c r="G2" s="1381"/>
      <c r="H2" s="1381"/>
      <c r="I2" s="1381"/>
      <c r="J2" s="1381"/>
      <c r="K2" s="1381"/>
      <c r="L2" s="1381"/>
      <c r="M2" s="1381"/>
      <c r="N2" s="1381"/>
    </row>
    <row r="3" spans="1:14">
      <c r="A3" s="241"/>
      <c r="B3" s="241"/>
      <c r="C3" s="4"/>
      <c r="D3" s="4"/>
      <c r="E3" s="4"/>
      <c r="F3" s="4"/>
      <c r="G3" s="4"/>
      <c r="H3" s="4"/>
      <c r="I3" s="4"/>
      <c r="J3" s="4"/>
      <c r="K3" s="4"/>
      <c r="L3" s="4"/>
      <c r="M3" s="4"/>
      <c r="N3" s="242" t="s">
        <v>156</v>
      </c>
    </row>
    <row r="4" spans="1:14" s="222" customFormat="1" ht="26.25" customHeight="1" thickBot="1">
      <c r="A4" s="224" t="s">
        <v>57</v>
      </c>
      <c r="B4" s="15" t="s">
        <v>157</v>
      </c>
      <c r="C4" s="15" t="s">
        <v>158</v>
      </c>
      <c r="D4" s="15" t="s">
        <v>159</v>
      </c>
      <c r="E4" s="15" t="s">
        <v>160</v>
      </c>
      <c r="F4" s="15" t="s">
        <v>161</v>
      </c>
      <c r="G4" s="15" t="s">
        <v>34</v>
      </c>
      <c r="H4" s="15" t="s">
        <v>72</v>
      </c>
      <c r="I4" s="15" t="s">
        <v>162</v>
      </c>
      <c r="J4" s="15" t="s">
        <v>163</v>
      </c>
      <c r="K4" s="15" t="s">
        <v>164</v>
      </c>
      <c r="L4" s="15" t="s">
        <v>165</v>
      </c>
      <c r="M4" s="15" t="s">
        <v>166</v>
      </c>
      <c r="N4" s="16" t="s">
        <v>64</v>
      </c>
    </row>
    <row r="5" spans="1:14" ht="21.6" customHeight="1">
      <c r="A5" s="226"/>
      <c r="B5" s="227"/>
      <c r="C5" s="228"/>
      <c r="D5" s="229"/>
      <c r="E5" s="229"/>
      <c r="F5" s="229"/>
      <c r="G5" s="229"/>
      <c r="H5" s="229"/>
      <c r="I5" s="230"/>
      <c r="J5" s="230"/>
      <c r="K5" s="230"/>
      <c r="L5" s="230"/>
      <c r="M5" s="230"/>
      <c r="N5" s="231"/>
    </row>
    <row r="6" spans="1:14" ht="21.6" customHeight="1">
      <c r="A6" s="299"/>
      <c r="B6" s="300" t="s">
        <v>168</v>
      </c>
      <c r="C6" s="301" t="s">
        <v>169</v>
      </c>
      <c r="D6" s="301">
        <v>2</v>
      </c>
      <c r="E6" s="302" t="s">
        <v>170</v>
      </c>
      <c r="F6" s="302" t="s">
        <v>171</v>
      </c>
      <c r="G6" s="301"/>
      <c r="H6" s="302"/>
      <c r="I6" s="303"/>
      <c r="J6" s="303">
        <v>300</v>
      </c>
      <c r="K6" s="303">
        <v>1000</v>
      </c>
      <c r="L6" s="303">
        <v>550</v>
      </c>
      <c r="M6" s="303"/>
      <c r="N6" s="232">
        <f>ROUND(SUM(I6:M6),0)</f>
        <v>1850</v>
      </c>
    </row>
    <row r="7" spans="1:14" ht="21.6" customHeight="1">
      <c r="A7" s="299"/>
      <c r="B7" s="300" t="s">
        <v>173</v>
      </c>
      <c r="C7" s="304"/>
      <c r="D7" s="302"/>
      <c r="E7" s="302"/>
      <c r="F7" s="302"/>
      <c r="G7" s="302"/>
      <c r="H7" s="302"/>
      <c r="I7" s="303"/>
      <c r="J7" s="303"/>
      <c r="K7" s="303"/>
      <c r="L7" s="303"/>
      <c r="M7" s="303"/>
      <c r="N7" s="232">
        <f t="shared" ref="N7:N13" si="0">ROUND(SUM(I7:M7),0)</f>
        <v>0</v>
      </c>
    </row>
    <row r="8" spans="1:14" ht="21.6" customHeight="1">
      <c r="A8" s="305"/>
      <c r="B8" s="300"/>
      <c r="C8" s="302"/>
      <c r="D8" s="302"/>
      <c r="E8" s="302"/>
      <c r="F8" s="302"/>
      <c r="G8" s="302"/>
      <c r="H8" s="302"/>
      <c r="I8" s="306"/>
      <c r="J8" s="306"/>
      <c r="K8" s="306"/>
      <c r="L8" s="306"/>
      <c r="M8" s="306"/>
      <c r="N8" s="232">
        <f t="shared" si="0"/>
        <v>0</v>
      </c>
    </row>
    <row r="9" spans="1:14" ht="21.6" customHeight="1">
      <c r="A9" s="307"/>
      <c r="B9" s="300"/>
      <c r="C9" s="302"/>
      <c r="D9" s="302"/>
      <c r="E9" s="302"/>
      <c r="F9" s="302"/>
      <c r="G9" s="302"/>
      <c r="H9" s="302"/>
      <c r="I9" s="303"/>
      <c r="J9" s="303"/>
      <c r="K9" s="303"/>
      <c r="L9" s="303"/>
      <c r="M9" s="306"/>
      <c r="N9" s="232">
        <f t="shared" si="0"/>
        <v>0</v>
      </c>
    </row>
    <row r="10" spans="1:14" ht="21.6" customHeight="1">
      <c r="A10" s="307"/>
      <c r="B10" s="300"/>
      <c r="C10" s="302"/>
      <c r="D10" s="302"/>
      <c r="E10" s="302"/>
      <c r="F10" s="302"/>
      <c r="G10" s="302"/>
      <c r="H10" s="302"/>
      <c r="I10" s="303"/>
      <c r="J10" s="303"/>
      <c r="K10" s="303"/>
      <c r="L10" s="303"/>
      <c r="M10" s="306"/>
      <c r="N10" s="232">
        <f t="shared" si="0"/>
        <v>0</v>
      </c>
    </row>
    <row r="11" spans="1:14" ht="21.6" customHeight="1">
      <c r="A11" s="299"/>
      <c r="B11" s="300"/>
      <c r="C11" s="302"/>
      <c r="D11" s="302"/>
      <c r="E11" s="302"/>
      <c r="F11" s="302"/>
      <c r="G11" s="302"/>
      <c r="H11" s="302"/>
      <c r="I11" s="303"/>
      <c r="J11" s="303"/>
      <c r="K11" s="303"/>
      <c r="L11" s="303"/>
      <c r="M11" s="306"/>
      <c r="N11" s="232">
        <f t="shared" si="0"/>
        <v>0</v>
      </c>
    </row>
    <row r="12" spans="1:14" ht="21.6" customHeight="1">
      <c r="A12" s="299"/>
      <c r="B12" s="300"/>
      <c r="C12" s="302"/>
      <c r="D12" s="302"/>
      <c r="E12" s="302"/>
      <c r="F12" s="302"/>
      <c r="G12" s="302"/>
      <c r="H12" s="302"/>
      <c r="I12" s="303"/>
      <c r="J12" s="303"/>
      <c r="K12" s="303"/>
      <c r="L12" s="303"/>
      <c r="M12" s="306"/>
      <c r="N12" s="232">
        <f t="shared" si="0"/>
        <v>0</v>
      </c>
    </row>
    <row r="13" spans="1:14" ht="21.6" customHeight="1" thickBot="1">
      <c r="A13" s="308"/>
      <c r="B13" s="309"/>
      <c r="C13" s="310"/>
      <c r="D13" s="310"/>
      <c r="E13" s="310"/>
      <c r="F13" s="310"/>
      <c r="G13" s="310"/>
      <c r="H13" s="310"/>
      <c r="I13" s="311"/>
      <c r="J13" s="311"/>
      <c r="K13" s="311"/>
      <c r="L13" s="311"/>
      <c r="M13" s="311"/>
      <c r="N13" s="232">
        <f t="shared" si="0"/>
        <v>0</v>
      </c>
    </row>
    <row r="14" spans="1:14" ht="26.25" customHeight="1" thickBot="1">
      <c r="A14" s="322" t="s">
        <v>174</v>
      </c>
      <c r="B14" s="233"/>
      <c r="C14" s="234"/>
      <c r="D14" s="234"/>
      <c r="E14" s="234"/>
      <c r="F14" s="234"/>
      <c r="G14" s="234"/>
      <c r="H14" s="235"/>
      <c r="I14" s="236"/>
      <c r="J14" s="236"/>
      <c r="K14" s="236"/>
      <c r="L14" s="236"/>
      <c r="M14" s="236"/>
      <c r="N14" s="237">
        <f>ROUND(SUM(N5:N13),0)</f>
        <v>1850</v>
      </c>
    </row>
    <row r="16" spans="1:14" ht="17.25" customHeight="1">
      <c r="A16" s="238" t="s">
        <v>175</v>
      </c>
    </row>
    <row r="17" spans="1:14" ht="14.25" customHeight="1">
      <c r="A17" s="239" t="s">
        <v>176</v>
      </c>
      <c r="B17" s="239"/>
      <c r="C17" s="239"/>
      <c r="D17" s="239"/>
      <c r="E17" s="239"/>
      <c r="F17" s="239"/>
      <c r="G17" s="239"/>
      <c r="H17" s="239"/>
      <c r="I17" s="239"/>
      <c r="J17" s="239"/>
      <c r="K17" s="239"/>
      <c r="L17" s="239"/>
      <c r="M17" s="239"/>
      <c r="N17" s="239"/>
    </row>
    <row r="18" spans="1:14">
      <c r="A18" s="1368" t="s">
        <v>177</v>
      </c>
      <c r="B18" s="1368"/>
      <c r="C18" s="1368"/>
      <c r="D18" s="1368"/>
      <c r="E18" s="1368"/>
      <c r="F18" s="1368"/>
      <c r="G18" s="1368"/>
      <c r="H18" s="1368"/>
      <c r="I18" s="1368"/>
      <c r="J18" s="1368"/>
      <c r="K18" s="1368"/>
      <c r="L18" s="1368"/>
      <c r="M18" s="1368"/>
      <c r="N18" s="1368"/>
    </row>
    <row r="19" spans="1:14" ht="14.25" customHeight="1">
      <c r="A19" s="1368" t="s">
        <v>178</v>
      </c>
      <c r="B19" s="1368"/>
      <c r="C19" s="1368"/>
      <c r="D19" s="1368"/>
      <c r="E19" s="1368"/>
      <c r="F19" s="1368"/>
      <c r="G19" s="1368"/>
      <c r="H19" s="1368"/>
      <c r="I19" s="1368"/>
      <c r="J19" s="1368"/>
      <c r="K19" s="1368"/>
      <c r="L19" s="1368"/>
      <c r="M19" s="1368"/>
      <c r="N19" s="1368"/>
    </row>
    <row r="20" spans="1:14" ht="14.25" customHeight="1">
      <c r="A20" s="1368" t="s">
        <v>179</v>
      </c>
      <c r="B20" s="1368"/>
      <c r="C20" s="1368"/>
      <c r="D20" s="1368"/>
      <c r="E20" s="1368"/>
      <c r="F20" s="1368"/>
      <c r="G20" s="1368"/>
      <c r="H20" s="1368"/>
      <c r="I20" s="1368"/>
      <c r="J20" s="1368"/>
      <c r="K20" s="1368"/>
      <c r="L20" s="1368"/>
      <c r="M20" s="1368"/>
      <c r="N20" s="1368"/>
    </row>
    <row r="21" spans="1:14" ht="14.25" customHeight="1">
      <c r="A21" s="239" t="s">
        <v>180</v>
      </c>
      <c r="B21" s="225"/>
      <c r="C21" s="225"/>
      <c r="D21" s="225"/>
      <c r="E21" s="225"/>
      <c r="F21" s="225"/>
      <c r="G21" s="225"/>
      <c r="H21" s="225"/>
      <c r="I21" s="225"/>
      <c r="J21" s="225"/>
      <c r="K21" s="225"/>
      <c r="L21" s="225"/>
      <c r="M21" s="225"/>
      <c r="N21" s="225"/>
    </row>
    <row r="22" spans="1:14" s="21" customFormat="1" ht="17.399999999999999">
      <c r="B22" s="93" t="s">
        <v>30</v>
      </c>
      <c r="F22" s="93" t="s">
        <v>31</v>
      </c>
      <c r="K22" s="94" t="s">
        <v>32</v>
      </c>
    </row>
    <row r="23" spans="1:14" ht="14.25" customHeight="1">
      <c r="A23" s="19"/>
      <c r="C23" s="240"/>
    </row>
  </sheetData>
  <sheetProtection algorithmName="SHA-512" hashValue="b7IIjMBqFzq16TBcSa6O5LRULuqRRG2KOVT9bCm481uc4dTrdzGv3y3O7FnITQX4aXvjnV9q+iGZ1CAwDgeDnQ==" saltValue="D/rOgyjIq/qNdMMU2W1TB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0001-448C-4B92-8B52-60DFFAB43F55}">
  <sheetPr codeName="工作表14"/>
  <dimension ref="A1:N23"/>
  <sheetViews>
    <sheetView view="pageBreakPreview" zoomScale="60" zoomScaleNormal="80" workbookViewId="0">
      <selection activeCell="A2" sqref="A2:N2"/>
    </sheetView>
  </sheetViews>
  <sheetFormatPr defaultColWidth="11.19921875" defaultRowHeight="13.8"/>
  <cols>
    <col min="1" max="1" width="10.19921875" style="187" customWidth="1"/>
    <col min="2" max="2" width="7.69921875" style="187" customWidth="1"/>
    <col min="3" max="3" width="12" style="17" customWidth="1"/>
    <col min="4" max="4" width="10.59765625" style="17" customWidth="1"/>
    <col min="5" max="5" width="13.19921875" style="17" bestFit="1" customWidth="1"/>
    <col min="6" max="6" width="30.69921875" style="17" customWidth="1"/>
    <col min="7" max="7" width="12" style="17" customWidth="1"/>
    <col min="8" max="8" width="13" style="17" bestFit="1" customWidth="1"/>
    <col min="9" max="9" width="11.09765625" style="17" customWidth="1"/>
    <col min="10" max="10" width="9.19921875" style="17" customWidth="1"/>
    <col min="11" max="11" width="10.5" style="17" customWidth="1"/>
    <col min="12" max="12" width="9" style="17" customWidth="1"/>
    <col min="13" max="13" width="10.19921875" style="17" customWidth="1"/>
    <col min="14" max="14" width="11.69921875" style="17" customWidth="1"/>
    <col min="15" max="15" width="11.19921875" style="17" customWidth="1"/>
    <col min="16" max="16384" width="11.19921875" style="17"/>
  </cols>
  <sheetData>
    <row r="1" spans="1:14" ht="22.5" customHeight="1">
      <c r="A1" s="1380" t="str">
        <f>計畫經費彙總表!A1</f>
        <v>五常物業規劃顧問股份(閉鎖型)有限公司</v>
      </c>
      <c r="B1" s="1380"/>
      <c r="C1" s="1380"/>
      <c r="D1" s="1380"/>
      <c r="E1" s="1380"/>
      <c r="F1" s="1380"/>
      <c r="G1" s="1380"/>
      <c r="H1" s="1380"/>
      <c r="I1" s="1380"/>
      <c r="J1" s="1380"/>
      <c r="K1" s="1380"/>
      <c r="L1" s="1380"/>
      <c r="M1" s="1380"/>
      <c r="N1" s="1380"/>
    </row>
    <row r="2" spans="1:14" ht="30" customHeight="1">
      <c r="A2" s="1381" t="s">
        <v>181</v>
      </c>
      <c r="B2" s="1381"/>
      <c r="C2" s="1381"/>
      <c r="D2" s="1381"/>
      <c r="E2" s="1381"/>
      <c r="F2" s="1381"/>
      <c r="G2" s="1381"/>
      <c r="H2" s="1381"/>
      <c r="I2" s="1381"/>
      <c r="J2" s="1381"/>
      <c r="K2" s="1381"/>
      <c r="L2" s="1381"/>
      <c r="M2" s="1381"/>
      <c r="N2" s="1381"/>
    </row>
    <row r="3" spans="1:14" ht="14.4" thickBot="1">
      <c r="A3" s="241"/>
      <c r="B3" s="241"/>
      <c r="C3" s="4"/>
      <c r="D3" s="4"/>
      <c r="E3" s="4"/>
      <c r="F3" s="4"/>
      <c r="G3" s="4"/>
      <c r="H3" s="4"/>
      <c r="I3" s="4"/>
      <c r="J3" s="4"/>
      <c r="K3" s="4"/>
      <c r="L3" s="4"/>
      <c r="M3" s="4"/>
      <c r="N3" s="242" t="s">
        <v>156</v>
      </c>
    </row>
    <row r="4" spans="1:14" s="222" customFormat="1" ht="26.25" customHeight="1" thickBot="1">
      <c r="A4" s="224" t="s">
        <v>57</v>
      </c>
      <c r="B4" s="15" t="s">
        <v>157</v>
      </c>
      <c r="C4" s="15" t="s">
        <v>158</v>
      </c>
      <c r="D4" s="15" t="s">
        <v>159</v>
      </c>
      <c r="E4" s="15" t="s">
        <v>160</v>
      </c>
      <c r="F4" s="15" t="s">
        <v>161</v>
      </c>
      <c r="G4" s="15" t="s">
        <v>34</v>
      </c>
      <c r="H4" s="15" t="s">
        <v>72</v>
      </c>
      <c r="I4" s="15" t="s">
        <v>162</v>
      </c>
      <c r="J4" s="15" t="s">
        <v>163</v>
      </c>
      <c r="K4" s="15" t="s">
        <v>164</v>
      </c>
      <c r="L4" s="15" t="s">
        <v>165</v>
      </c>
      <c r="M4" s="15" t="s">
        <v>166</v>
      </c>
      <c r="N4" s="16" t="s">
        <v>64</v>
      </c>
    </row>
    <row r="5" spans="1:14" ht="21.6" customHeight="1">
      <c r="A5" s="226"/>
      <c r="B5" s="227"/>
      <c r="C5" s="228"/>
      <c r="D5" s="229"/>
      <c r="E5" s="229"/>
      <c r="F5" s="229"/>
      <c r="G5" s="229"/>
      <c r="H5" s="229"/>
      <c r="I5" s="230"/>
      <c r="J5" s="230"/>
      <c r="K5" s="230"/>
      <c r="L5" s="230"/>
      <c r="M5" s="230"/>
      <c r="N5" s="231"/>
    </row>
    <row r="6" spans="1:14" ht="21.6" customHeight="1">
      <c r="A6" s="299" t="s">
        <v>167</v>
      </c>
      <c r="B6" s="300" t="s">
        <v>168</v>
      </c>
      <c r="C6" s="301" t="s">
        <v>182</v>
      </c>
      <c r="D6" s="301">
        <v>2</v>
      </c>
      <c r="E6" s="302" t="s">
        <v>183</v>
      </c>
      <c r="F6" s="302" t="s">
        <v>171</v>
      </c>
      <c r="G6" s="301"/>
      <c r="H6" s="302"/>
      <c r="I6" s="303">
        <v>1000</v>
      </c>
      <c r="J6" s="303"/>
      <c r="K6" s="303">
        <v>450</v>
      </c>
      <c r="L6" s="303">
        <v>550</v>
      </c>
      <c r="M6" s="303"/>
      <c r="N6" s="232">
        <f>ROUND(SUM(I6:M6),0)</f>
        <v>2000</v>
      </c>
    </row>
    <row r="7" spans="1:14" ht="21.6" customHeight="1">
      <c r="A7" s="299" t="s">
        <v>172</v>
      </c>
      <c r="B7" s="300" t="s">
        <v>173</v>
      </c>
      <c r="C7" s="304"/>
      <c r="D7" s="302"/>
      <c r="E7" s="302"/>
      <c r="F7" s="302"/>
      <c r="G7" s="302"/>
      <c r="H7" s="302"/>
      <c r="I7" s="303"/>
      <c r="J7" s="303"/>
      <c r="K7" s="303"/>
      <c r="L7" s="303"/>
      <c r="M7" s="303"/>
      <c r="N7" s="232">
        <f t="shared" ref="N7:N13" si="0">ROUND(SUM(I7:M7),0)</f>
        <v>0</v>
      </c>
    </row>
    <row r="8" spans="1:14" ht="21.6" customHeight="1">
      <c r="A8" s="305"/>
      <c r="B8" s="300"/>
      <c r="C8" s="302"/>
      <c r="D8" s="302"/>
      <c r="E8" s="302"/>
      <c r="F8" s="302"/>
      <c r="G8" s="302"/>
      <c r="H8" s="302"/>
      <c r="I8" s="306"/>
      <c r="J8" s="306"/>
      <c r="K8" s="306"/>
      <c r="L8" s="306"/>
      <c r="M8" s="306"/>
      <c r="N8" s="232">
        <f t="shared" si="0"/>
        <v>0</v>
      </c>
    </row>
    <row r="9" spans="1:14" ht="21.6" customHeight="1">
      <c r="A9" s="307"/>
      <c r="B9" s="300"/>
      <c r="C9" s="302"/>
      <c r="D9" s="302"/>
      <c r="E9" s="302"/>
      <c r="F9" s="302"/>
      <c r="G9" s="302"/>
      <c r="H9" s="302"/>
      <c r="I9" s="303"/>
      <c r="J9" s="303"/>
      <c r="K9" s="303"/>
      <c r="L9" s="303"/>
      <c r="M9" s="306"/>
      <c r="N9" s="232">
        <f t="shared" si="0"/>
        <v>0</v>
      </c>
    </row>
    <row r="10" spans="1:14" ht="21.6" customHeight="1">
      <c r="A10" s="307"/>
      <c r="B10" s="300"/>
      <c r="C10" s="302"/>
      <c r="D10" s="302"/>
      <c r="E10" s="302"/>
      <c r="F10" s="302"/>
      <c r="G10" s="302"/>
      <c r="H10" s="302"/>
      <c r="I10" s="303"/>
      <c r="J10" s="303"/>
      <c r="K10" s="303"/>
      <c r="L10" s="303"/>
      <c r="M10" s="306"/>
      <c r="N10" s="232">
        <f t="shared" si="0"/>
        <v>0</v>
      </c>
    </row>
    <row r="11" spans="1:14" ht="21.6" customHeight="1">
      <c r="A11" s="299"/>
      <c r="B11" s="300"/>
      <c r="C11" s="302"/>
      <c r="D11" s="302"/>
      <c r="E11" s="302"/>
      <c r="F11" s="302"/>
      <c r="G11" s="302"/>
      <c r="H11" s="302"/>
      <c r="I11" s="303"/>
      <c r="J11" s="303"/>
      <c r="K11" s="303"/>
      <c r="L11" s="303"/>
      <c r="M11" s="306"/>
      <c r="N11" s="232">
        <f t="shared" si="0"/>
        <v>0</v>
      </c>
    </row>
    <row r="12" spans="1:14" ht="21.6" customHeight="1">
      <c r="A12" s="299"/>
      <c r="B12" s="300"/>
      <c r="C12" s="302"/>
      <c r="D12" s="302"/>
      <c r="E12" s="302"/>
      <c r="F12" s="302"/>
      <c r="G12" s="302"/>
      <c r="H12" s="302"/>
      <c r="I12" s="303"/>
      <c r="J12" s="303"/>
      <c r="K12" s="303"/>
      <c r="L12" s="303"/>
      <c r="M12" s="306"/>
      <c r="N12" s="232">
        <f t="shared" si="0"/>
        <v>0</v>
      </c>
    </row>
    <row r="13" spans="1:14" ht="21.6" customHeight="1" thickBot="1">
      <c r="A13" s="308"/>
      <c r="B13" s="309"/>
      <c r="C13" s="310"/>
      <c r="D13" s="310"/>
      <c r="E13" s="310"/>
      <c r="F13" s="310"/>
      <c r="G13" s="310"/>
      <c r="H13" s="310"/>
      <c r="I13" s="311"/>
      <c r="J13" s="311"/>
      <c r="K13" s="311"/>
      <c r="L13" s="311"/>
      <c r="M13" s="311"/>
      <c r="N13" s="232">
        <f t="shared" si="0"/>
        <v>0</v>
      </c>
    </row>
    <row r="14" spans="1:14" ht="26.25" customHeight="1" thickBot="1">
      <c r="A14" s="322" t="s">
        <v>174</v>
      </c>
      <c r="B14" s="233"/>
      <c r="C14" s="234"/>
      <c r="D14" s="234"/>
      <c r="E14" s="234"/>
      <c r="F14" s="234"/>
      <c r="G14" s="234"/>
      <c r="H14" s="235"/>
      <c r="I14" s="236"/>
      <c r="J14" s="236"/>
      <c r="K14" s="236"/>
      <c r="L14" s="236"/>
      <c r="M14" s="236"/>
      <c r="N14" s="237">
        <f>ROUND(SUM(N5:N13),0)</f>
        <v>2000</v>
      </c>
    </row>
    <row r="16" spans="1:14" ht="17.25" customHeight="1">
      <c r="A16" s="238" t="s">
        <v>175</v>
      </c>
    </row>
    <row r="17" spans="1:14" ht="14.25" customHeight="1">
      <c r="A17" s="239" t="s">
        <v>176</v>
      </c>
      <c r="B17" s="239"/>
      <c r="C17" s="239"/>
      <c r="D17" s="239"/>
      <c r="E17" s="239"/>
      <c r="F17" s="239"/>
      <c r="G17" s="239"/>
      <c r="H17" s="239"/>
      <c r="I17" s="239"/>
      <c r="J17" s="239"/>
      <c r="K17" s="239"/>
      <c r="L17" s="239"/>
      <c r="M17" s="239"/>
      <c r="N17" s="239"/>
    </row>
    <row r="18" spans="1:14">
      <c r="A18" s="1368" t="s">
        <v>177</v>
      </c>
      <c r="B18" s="1368"/>
      <c r="C18" s="1368"/>
      <c r="D18" s="1368"/>
      <c r="E18" s="1368"/>
      <c r="F18" s="1368"/>
      <c r="G18" s="1368"/>
      <c r="H18" s="1368"/>
      <c r="I18" s="1368"/>
      <c r="J18" s="1368"/>
      <c r="K18" s="1368"/>
      <c r="L18" s="1368"/>
      <c r="M18" s="1368"/>
      <c r="N18" s="1368"/>
    </row>
    <row r="19" spans="1:14" ht="14.25" customHeight="1">
      <c r="A19" s="1368" t="s">
        <v>178</v>
      </c>
      <c r="B19" s="1368"/>
      <c r="C19" s="1368"/>
      <c r="D19" s="1368"/>
      <c r="E19" s="1368"/>
      <c r="F19" s="1368"/>
      <c r="G19" s="1368"/>
      <c r="H19" s="1368"/>
      <c r="I19" s="1368"/>
      <c r="J19" s="1368"/>
      <c r="K19" s="1368"/>
      <c r="L19" s="1368"/>
      <c r="M19" s="1368"/>
      <c r="N19" s="1368"/>
    </row>
    <row r="20" spans="1:14" ht="14.25" customHeight="1">
      <c r="A20" s="1368" t="s">
        <v>179</v>
      </c>
      <c r="B20" s="1368"/>
      <c r="C20" s="1368"/>
      <c r="D20" s="1368"/>
      <c r="E20" s="1368"/>
      <c r="F20" s="1368"/>
      <c r="G20" s="1368"/>
      <c r="H20" s="1368"/>
      <c r="I20" s="1368"/>
      <c r="J20" s="1368"/>
      <c r="K20" s="1368"/>
      <c r="L20" s="1368"/>
      <c r="M20" s="1368"/>
      <c r="N20" s="1368"/>
    </row>
    <row r="21" spans="1:14" ht="14.25" customHeight="1">
      <c r="A21" s="239" t="s">
        <v>180</v>
      </c>
      <c r="B21" s="225"/>
      <c r="C21" s="225"/>
      <c r="D21" s="225"/>
      <c r="E21" s="225"/>
      <c r="F21" s="225"/>
      <c r="G21" s="225"/>
      <c r="H21" s="225"/>
      <c r="I21" s="225"/>
      <c r="J21" s="225"/>
      <c r="K21" s="225"/>
      <c r="L21" s="225"/>
      <c r="M21" s="225"/>
      <c r="N21" s="225"/>
    </row>
    <row r="22" spans="1:14" s="21" customFormat="1" ht="17.399999999999999">
      <c r="B22" s="93" t="s">
        <v>30</v>
      </c>
      <c r="F22" s="93" t="s">
        <v>31</v>
      </c>
      <c r="K22" s="94" t="s">
        <v>32</v>
      </c>
    </row>
    <row r="23" spans="1:14" ht="14.25" customHeight="1">
      <c r="A23" s="19"/>
      <c r="C23" s="240"/>
    </row>
  </sheetData>
  <sheetProtection algorithmName="SHA-512" hashValue="PYRhiDT9p+DQfNS7wbF/VQQTsaLU2NXEZ7tnc8e2KGDbU2tX9AumnxQeIQ4oa7TdwHjZrHbREbxWcYycmFR3Og==" saltValue="iDsXklJfDm0f9Utf/dcHu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J30"/>
  <sheetViews>
    <sheetView view="pageBreakPreview" zoomScale="107" zoomScaleNormal="80" zoomScaleSheetLayoutView="107" workbookViewId="0">
      <selection activeCell="A20" sqref="A20"/>
    </sheetView>
  </sheetViews>
  <sheetFormatPr defaultColWidth="11.19921875" defaultRowHeight="16.2"/>
  <cols>
    <col min="1" max="1" width="13.19921875" style="18" customWidth="1"/>
    <col min="2" max="2" width="13.69921875" style="18" customWidth="1"/>
    <col min="3" max="3" width="15" style="18" customWidth="1"/>
    <col min="4" max="4" width="15.09765625" style="18" customWidth="1"/>
    <col min="5" max="5" width="10.09765625" style="18" bestFit="1" customWidth="1"/>
    <col min="6" max="6" width="16.19921875" style="18" customWidth="1"/>
    <col min="7" max="7" width="27.09765625" style="18" customWidth="1"/>
    <col min="8" max="8" width="7.59765625" style="220" customWidth="1"/>
    <col min="9" max="9" width="30.59765625" style="18" customWidth="1"/>
    <col min="10" max="10" width="27.5" style="18" customWidth="1"/>
    <col min="11" max="11" width="11.19921875" style="18" customWidth="1"/>
    <col min="12" max="12" width="11.09765625" style="18" customWidth="1"/>
    <col min="13" max="13" width="11.19921875" style="18" customWidth="1"/>
    <col min="14" max="16384" width="11.19921875" style="18"/>
  </cols>
  <sheetData>
    <row r="1" spans="1:10" ht="21.75" customHeight="1">
      <c r="A1" s="1365" t="str">
        <f>計畫經費彙總表!A1</f>
        <v>五常物業規劃顧問股份(閉鎖型)有限公司</v>
      </c>
      <c r="B1" s="1365"/>
      <c r="C1" s="1365"/>
      <c r="D1" s="1365"/>
      <c r="E1" s="1365"/>
      <c r="F1" s="1365"/>
      <c r="G1" s="1365"/>
      <c r="H1" s="1365"/>
      <c r="I1" s="1365"/>
      <c r="J1" s="1365"/>
    </row>
    <row r="2" spans="1:10" ht="22.2">
      <c r="A2" s="2" t="s">
        <v>184</v>
      </c>
      <c r="B2" s="2"/>
      <c r="C2" s="2"/>
      <c r="D2" s="2"/>
      <c r="E2" s="2"/>
      <c r="F2" s="2"/>
      <c r="G2" s="2"/>
      <c r="H2" s="2"/>
      <c r="I2" s="2"/>
      <c r="J2" s="2"/>
    </row>
    <row r="3" spans="1:10">
      <c r="A3" s="247"/>
      <c r="B3" s="247"/>
      <c r="C3" s="247"/>
      <c r="D3" s="247"/>
      <c r="E3" s="247"/>
      <c r="F3" s="247"/>
      <c r="G3" s="247"/>
      <c r="H3" s="247"/>
      <c r="I3" s="247"/>
      <c r="J3" s="9" t="s">
        <v>33</v>
      </c>
    </row>
    <row r="4" spans="1:10" s="243" customFormat="1" ht="45.75" customHeight="1" thickBot="1">
      <c r="A4" s="13" t="s">
        <v>34</v>
      </c>
      <c r="B4" s="14" t="s">
        <v>72</v>
      </c>
      <c r="C4" s="15" t="s">
        <v>185</v>
      </c>
      <c r="D4" s="15" t="s">
        <v>186</v>
      </c>
      <c r="E4" s="14" t="s">
        <v>75</v>
      </c>
      <c r="F4" s="15" t="s">
        <v>187</v>
      </c>
      <c r="G4" s="15" t="s">
        <v>77</v>
      </c>
      <c r="H4" s="14" t="s">
        <v>78</v>
      </c>
      <c r="I4" s="14" t="s">
        <v>188</v>
      </c>
      <c r="J4" s="16" t="s">
        <v>189</v>
      </c>
    </row>
    <row r="5" spans="1:10" ht="18" customHeight="1">
      <c r="A5" s="244"/>
      <c r="B5" s="141"/>
      <c r="C5" s="141"/>
      <c r="D5" s="141"/>
      <c r="E5" s="141"/>
      <c r="F5" s="141"/>
      <c r="G5" s="141"/>
      <c r="H5" s="144"/>
      <c r="I5" s="141"/>
      <c r="J5" s="245"/>
    </row>
    <row r="6" spans="1:10">
      <c r="A6" s="269" t="s">
        <v>81</v>
      </c>
      <c r="B6" s="266"/>
      <c r="C6" s="266"/>
      <c r="D6" s="266" t="s">
        <v>82</v>
      </c>
      <c r="E6" s="262" t="s">
        <v>83</v>
      </c>
      <c r="F6" s="263"/>
      <c r="G6" s="312"/>
      <c r="H6" s="262">
        <v>1</v>
      </c>
      <c r="I6" s="262"/>
      <c r="J6" s="287">
        <v>1200</v>
      </c>
    </row>
    <row r="7" spans="1:10">
      <c r="A7" s="269" t="s">
        <v>190</v>
      </c>
      <c r="B7" s="266"/>
      <c r="C7" s="266"/>
      <c r="D7" s="266" t="s">
        <v>84</v>
      </c>
      <c r="E7" s="262" t="s">
        <v>83</v>
      </c>
      <c r="F7" s="263"/>
      <c r="G7" s="312"/>
      <c r="H7" s="262">
        <v>3</v>
      </c>
      <c r="I7" s="262"/>
      <c r="J7" s="287">
        <v>6000</v>
      </c>
    </row>
    <row r="8" spans="1:10">
      <c r="A8" s="269"/>
      <c r="B8" s="266"/>
      <c r="C8" s="266"/>
      <c r="D8" s="266"/>
      <c r="E8" s="262"/>
      <c r="F8" s="263"/>
      <c r="G8" s="312"/>
      <c r="H8" s="262"/>
      <c r="I8" s="262"/>
      <c r="J8" s="287"/>
    </row>
    <row r="9" spans="1:10">
      <c r="A9" s="269"/>
      <c r="B9" s="266"/>
      <c r="C9" s="266"/>
      <c r="D9" s="266"/>
      <c r="E9" s="262"/>
      <c r="F9" s="263"/>
      <c r="G9" s="312"/>
      <c r="H9" s="262"/>
      <c r="I9" s="262"/>
      <c r="J9" s="287"/>
    </row>
    <row r="10" spans="1:10">
      <c r="A10" s="267"/>
      <c r="B10" s="266"/>
      <c r="C10" s="266"/>
      <c r="D10" s="266"/>
      <c r="E10" s="266"/>
      <c r="F10" s="266"/>
      <c r="G10" s="312"/>
      <c r="H10" s="262"/>
      <c r="I10" s="266"/>
      <c r="J10" s="287"/>
    </row>
    <row r="11" spans="1:10">
      <c r="A11" s="313"/>
      <c r="B11" s="266"/>
      <c r="C11" s="266"/>
      <c r="D11" s="266"/>
      <c r="E11" s="266"/>
      <c r="F11" s="266"/>
      <c r="G11" s="312"/>
      <c r="H11" s="262"/>
      <c r="I11" s="266"/>
      <c r="J11" s="287"/>
    </row>
    <row r="12" spans="1:10" ht="22.5" customHeight="1">
      <c r="A12" s="269"/>
      <c r="B12" s="266"/>
      <c r="C12" s="266"/>
      <c r="D12" s="266"/>
      <c r="E12" s="266"/>
      <c r="F12" s="266"/>
      <c r="G12" s="312"/>
      <c r="H12" s="262"/>
      <c r="I12" s="266"/>
      <c r="J12" s="287"/>
    </row>
    <row r="13" spans="1:10">
      <c r="A13" s="269"/>
      <c r="B13" s="266"/>
      <c r="C13" s="266"/>
      <c r="D13" s="266"/>
      <c r="E13" s="266"/>
      <c r="F13" s="266"/>
      <c r="G13" s="312"/>
      <c r="H13" s="262"/>
      <c r="I13" s="266"/>
      <c r="J13" s="287"/>
    </row>
    <row r="14" spans="1:10" ht="15.75" customHeight="1">
      <c r="A14" s="313"/>
      <c r="B14" s="266"/>
      <c r="C14" s="266"/>
      <c r="D14" s="266"/>
      <c r="E14" s="266"/>
      <c r="F14" s="266"/>
      <c r="G14" s="266"/>
      <c r="H14" s="262"/>
      <c r="I14" s="266"/>
      <c r="J14" s="287"/>
    </row>
    <row r="15" spans="1:10" ht="15.75" customHeight="1">
      <c r="A15" s="269"/>
      <c r="B15" s="266"/>
      <c r="C15" s="266"/>
      <c r="D15" s="266"/>
      <c r="E15" s="266"/>
      <c r="F15" s="266"/>
      <c r="G15" s="266"/>
      <c r="H15" s="262"/>
      <c r="I15" s="266"/>
      <c r="J15" s="287"/>
    </row>
    <row r="16" spans="1:10" ht="16.5" customHeight="1">
      <c r="A16" s="269"/>
      <c r="B16" s="266"/>
      <c r="C16" s="266"/>
      <c r="D16" s="266"/>
      <c r="E16" s="266"/>
      <c r="F16" s="266"/>
      <c r="G16" s="266"/>
      <c r="H16" s="262"/>
      <c r="I16" s="266"/>
      <c r="J16" s="287"/>
    </row>
    <row r="17" spans="1:10" ht="16.5" customHeight="1" thickBot="1">
      <c r="A17" s="271"/>
      <c r="B17" s="273"/>
      <c r="C17" s="273"/>
      <c r="D17" s="273"/>
      <c r="E17" s="273"/>
      <c r="F17" s="273"/>
      <c r="G17" s="273"/>
      <c r="H17" s="314"/>
      <c r="I17" s="273"/>
      <c r="J17" s="286"/>
    </row>
    <row r="18" spans="1:10" ht="17.25" customHeight="1" thickBot="1">
      <c r="A18" s="319" t="s">
        <v>191</v>
      </c>
      <c r="B18" s="148"/>
      <c r="C18" s="148"/>
      <c r="D18" s="148"/>
      <c r="E18" s="148"/>
      <c r="F18" s="148"/>
      <c r="G18" s="148"/>
      <c r="H18" s="246"/>
      <c r="I18" s="148"/>
      <c r="J18" s="218">
        <f>ROUND(SUM(J5:J17),0)</f>
        <v>7200</v>
      </c>
    </row>
    <row r="19" spans="1:10" ht="17.25" customHeight="1">
      <c r="A19" s="150"/>
      <c r="B19" s="151"/>
      <c r="C19" s="151"/>
      <c r="D19" s="151"/>
      <c r="E19" s="151"/>
      <c r="F19" s="151"/>
      <c r="G19" s="151"/>
      <c r="I19" s="151"/>
      <c r="J19" s="223"/>
    </row>
    <row r="20" spans="1:10" ht="14.25" customHeight="1">
      <c r="A20" s="153" t="s">
        <v>192</v>
      </c>
    </row>
    <row r="21" spans="1:10" ht="14.25" customHeight="1">
      <c r="A21" s="153" t="s">
        <v>193</v>
      </c>
    </row>
    <row r="22" spans="1:10">
      <c r="A22" s="17" t="s">
        <v>194</v>
      </c>
    </row>
    <row r="23" spans="1:10" s="17" customFormat="1" ht="16.5" customHeight="1">
      <c r="A23" s="17" t="s">
        <v>195</v>
      </c>
    </row>
    <row r="24" spans="1:10">
      <c r="A24" s="17" t="s">
        <v>196</v>
      </c>
    </row>
    <row r="25" spans="1:10">
      <c r="A25" s="17" t="s">
        <v>197</v>
      </c>
    </row>
    <row r="26" spans="1:10">
      <c r="A26" s="17" t="s">
        <v>198</v>
      </c>
    </row>
    <row r="27" spans="1:10">
      <c r="A27" s="17" t="s">
        <v>199</v>
      </c>
    </row>
    <row r="28" spans="1:10">
      <c r="A28" s="17" t="s">
        <v>200</v>
      </c>
    </row>
    <row r="29" spans="1:10">
      <c r="A29" s="17"/>
    </row>
    <row r="30" spans="1:10" s="21" customFormat="1" ht="17.399999999999999">
      <c r="A30" s="127" t="s">
        <v>30</v>
      </c>
      <c r="F30" s="93" t="s">
        <v>31</v>
      </c>
      <c r="I30" s="156" t="s">
        <v>32</v>
      </c>
    </row>
  </sheetData>
  <sheetProtection algorithmName="SHA-512" hashValue="syaJR4FeRnVrw4zxomy943wSkkjNM58eqwq+yZ1n1iG1Agm78HgwapZFsp1YWmU8du0ezvWAuEsC3QcTnBxUhw==" saltValue="zdsnEfiAi5pLWU6hoiRoiw==" spinCount="100000" sheet="1" formatCells="0" formatColumns="0" formatRows="0" insertRows="0"/>
  <mergeCells count="2">
    <mergeCell ref="A1:J1"/>
    <mergeCell ref="A2: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CE41-B766-43BF-94DE-1ADF29434020}">
  <dimension ref="A1"/>
  <sheetViews>
    <sheetView topLeftCell="A51" workbookViewId="0">
      <selection sqref="A1:N69"/>
    </sheetView>
  </sheetViews>
  <sheetFormatPr defaultRowHeight="15.6"/>
  <cols>
    <col min="1" max="1" width="25.59765625" customWidth="1"/>
    <col min="2" max="2" width="6.8984375" customWidth="1"/>
    <col min="3" max="3" width="6.59765625" customWidth="1"/>
    <col min="4" max="4" width="6.69921875" customWidth="1"/>
    <col min="5" max="5" width="7.09765625" customWidth="1"/>
    <col min="6" max="6" width="7" customWidth="1"/>
    <col min="7" max="7" width="6.796875" customWidth="1"/>
    <col min="8" max="8" width="7.19921875" customWidth="1"/>
    <col min="9" max="9" width="6.5" customWidth="1"/>
    <col min="10" max="10" width="6.8984375" customWidth="1"/>
    <col min="11" max="11" width="6.69921875" customWidth="1"/>
    <col min="12" max="12" width="7.09765625" customWidth="1"/>
    <col min="13" max="13" width="6.796875" customWidth="1"/>
    <col min="14" max="14" width="6.8984375" customWidth="1"/>
  </cols>
  <sheetData>
    <row r="1" ht="30" customHeight="1"/>
  </sheetData>
  <phoneticPr fontId="9"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DE58-6706-4F5D-B95E-CAEE252501C9}">
  <dimension ref="A1"/>
  <sheetViews>
    <sheetView workbookViewId="0"/>
  </sheetViews>
  <sheetFormatPr defaultRowHeight="15.6"/>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BE7DC3-3999-411A-A1A8-EE84CF9526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具名範圍</vt:lpstr>
      </vt:variant>
      <vt:variant>
        <vt:i4>16</vt:i4>
      </vt:variant>
    </vt:vector>
  </HeadingPairs>
  <TitlesOfParts>
    <vt:vector size="36" baseType="lpstr">
      <vt:lpstr>計畫經費彙總表</vt:lpstr>
      <vt:lpstr>計畫架構圖表</vt:lpstr>
      <vt:lpstr>文字計畫資訊</vt:lpstr>
      <vt:lpstr>營運財務規劃預測</vt:lpstr>
      <vt:lpstr>人事費</vt:lpstr>
      <vt:lpstr>加班記錄</vt:lpstr>
      <vt:lpstr>顧問</vt:lpstr>
      <vt:lpstr>工時記錄表</vt:lpstr>
      <vt:lpstr>材料費</vt:lpstr>
      <vt:lpstr>設備使用費</vt:lpstr>
      <vt:lpstr>設備使用記錄表</vt:lpstr>
      <vt:lpstr>設備維護費</vt:lpstr>
      <vt:lpstr>技術購買費</vt:lpstr>
      <vt:lpstr>委託研究費</vt:lpstr>
      <vt:lpstr>委託勞務費</vt:lpstr>
      <vt:lpstr>國內差旅費</vt:lpstr>
      <vt:lpstr>國外差旅費</vt:lpstr>
      <vt:lpstr>市場驗證費</vt:lpstr>
      <vt:lpstr>工作表2</vt:lpstr>
      <vt:lpstr>工作表1</vt:lpstr>
      <vt:lpstr>文字計畫資訊!_Hlk157872730</vt:lpstr>
      <vt:lpstr>文字計畫資訊!_Hlk161528044</vt:lpstr>
      <vt:lpstr>文字計畫資訊!_Toc383670581</vt:lpstr>
      <vt:lpstr>人事費!Print_Area</vt:lpstr>
      <vt:lpstr>工時記錄表!Print_Area</vt:lpstr>
      <vt:lpstr>文字計畫資訊!Print_Area</vt:lpstr>
      <vt:lpstr>加班記錄!Print_Area</vt:lpstr>
      <vt:lpstr>市場驗證費!Print_Area</vt:lpstr>
      <vt:lpstr>材料費!Print_Area</vt:lpstr>
      <vt:lpstr>計畫經費彙總表!Print_Area</vt:lpstr>
      <vt:lpstr>國內差旅費!Print_Area</vt:lpstr>
      <vt:lpstr>國外差旅費!Print_Area</vt:lpstr>
      <vt:lpstr>設備使用記錄表!Print_Area</vt:lpstr>
      <vt:lpstr>設備使用費!Print_Area</vt:lpstr>
      <vt:lpstr>設備維護費!Print_Area</vt:lpstr>
      <vt:lpstr>顧問!Print_Area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cp:keywords/>
  <dc:description/>
  <cp:lastModifiedBy>o0930913993o</cp:lastModifiedBy>
  <cp:revision/>
  <cp:lastPrinted>2024-03-28T08:55:20Z</cp:lastPrinted>
  <dcterms:created xsi:type="dcterms:W3CDTF">1998-03-19T06:09:40Z</dcterms:created>
  <dcterms:modified xsi:type="dcterms:W3CDTF">2024-03-31T16:37:36Z</dcterms:modified>
  <cp:category/>
  <cp:contentStatus/>
</cp:coreProperties>
</file>