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60" yWindow="560" windowWidth="25040" windowHeight="16980" tabRatio="500"/>
  </bookViews>
  <sheets>
    <sheet name="7月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7" i="1" l="1"/>
  <c r="E5" i="1"/>
  <c r="E7" i="1"/>
  <c r="E13" i="1"/>
  <c r="E18" i="1"/>
  <c r="E19" i="1"/>
  <c r="E21" i="1"/>
  <c r="E27" i="1"/>
  <c r="E29" i="1"/>
  <c r="E32" i="1"/>
  <c r="E49" i="1"/>
  <c r="E53" i="1"/>
  <c r="E54" i="1"/>
  <c r="E56" i="1"/>
  <c r="E58" i="1"/>
  <c r="E59" i="1"/>
  <c r="E62" i="1"/>
  <c r="E69" i="1"/>
  <c r="E75" i="1"/>
  <c r="E76" i="1"/>
  <c r="E82" i="1"/>
  <c r="E86" i="1"/>
  <c r="E87" i="1"/>
  <c r="E105" i="1"/>
  <c r="E107" i="1"/>
  <c r="E109" i="1"/>
  <c r="E111" i="1"/>
  <c r="E116" i="1"/>
  <c r="E123" i="1"/>
  <c r="E127" i="1"/>
  <c r="E128" i="1"/>
  <c r="E140" i="1"/>
  <c r="E143" i="1"/>
  <c r="E148" i="1"/>
  <c r="E151" i="1"/>
  <c r="E152" i="1"/>
  <c r="E153" i="1"/>
  <c r="E155" i="1"/>
  <c r="E157" i="1"/>
  <c r="E159" i="1"/>
  <c r="E167" i="1"/>
  <c r="E169" i="1"/>
  <c r="E168" i="1"/>
  <c r="H168" i="1"/>
  <c r="H5" i="1"/>
  <c r="I168" i="1"/>
  <c r="I5" i="1"/>
  <c r="J5" i="1"/>
  <c r="H7" i="1"/>
  <c r="I7" i="1"/>
  <c r="J7" i="1"/>
  <c r="H10" i="1"/>
  <c r="I10" i="1"/>
  <c r="J10" i="1"/>
  <c r="H11" i="1"/>
  <c r="I11" i="1"/>
  <c r="J11" i="1"/>
  <c r="H12" i="1"/>
  <c r="I12" i="1"/>
  <c r="J12" i="1"/>
  <c r="H13" i="1"/>
  <c r="I13" i="1"/>
  <c r="J13" i="1"/>
  <c r="H18" i="1"/>
  <c r="I18" i="1"/>
  <c r="J18" i="1"/>
  <c r="H19" i="1"/>
  <c r="I19" i="1"/>
  <c r="J19" i="1"/>
  <c r="H20" i="1"/>
  <c r="I20" i="1"/>
  <c r="J20" i="1"/>
  <c r="H21" i="1"/>
  <c r="I21" i="1"/>
  <c r="J21" i="1"/>
  <c r="H25" i="1"/>
  <c r="I25" i="1"/>
  <c r="J25" i="1"/>
  <c r="H27" i="1"/>
  <c r="I27" i="1"/>
  <c r="J27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8" i="1"/>
  <c r="I38" i="1"/>
  <c r="J38" i="1"/>
  <c r="H39" i="1"/>
  <c r="I39" i="1"/>
  <c r="J39" i="1"/>
  <c r="H40" i="1"/>
  <c r="I40" i="1"/>
  <c r="J40" i="1"/>
  <c r="H43" i="1"/>
  <c r="I43" i="1"/>
  <c r="J43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169" i="1"/>
  <c r="H52" i="1"/>
  <c r="I52" i="1"/>
  <c r="J52" i="1"/>
  <c r="H53" i="1"/>
  <c r="I53" i="1"/>
  <c r="J53" i="1"/>
  <c r="H54" i="1"/>
  <c r="I54" i="1"/>
  <c r="J54" i="1"/>
  <c r="H56" i="1"/>
  <c r="I56" i="1"/>
  <c r="J56" i="1"/>
  <c r="H58" i="1"/>
  <c r="I58" i="1"/>
  <c r="J58" i="1"/>
  <c r="H59" i="1"/>
  <c r="I59" i="1"/>
  <c r="J59" i="1"/>
  <c r="H62" i="1"/>
  <c r="I62" i="1"/>
  <c r="J62" i="1"/>
  <c r="H63" i="1"/>
  <c r="I63" i="1"/>
  <c r="J63" i="1"/>
  <c r="H64" i="1"/>
  <c r="I64" i="1"/>
  <c r="J64" i="1"/>
  <c r="H65" i="1"/>
  <c r="I65" i="1"/>
  <c r="J65" i="1"/>
  <c r="H67" i="1"/>
  <c r="I67" i="1"/>
  <c r="J67" i="1"/>
  <c r="H68" i="1"/>
  <c r="I68" i="1"/>
  <c r="J68" i="1"/>
  <c r="H69" i="1"/>
  <c r="I69" i="1"/>
  <c r="J69" i="1"/>
  <c r="H70" i="1"/>
  <c r="I70" i="1"/>
  <c r="J70" i="1"/>
  <c r="H72" i="1"/>
  <c r="I72" i="1"/>
  <c r="J72" i="1"/>
  <c r="H75" i="1"/>
  <c r="I75" i="1"/>
  <c r="J75" i="1"/>
  <c r="H76" i="1"/>
  <c r="I76" i="1"/>
  <c r="J76" i="1"/>
  <c r="H80" i="1"/>
  <c r="I80" i="1"/>
  <c r="J80" i="1"/>
  <c r="H82" i="1"/>
  <c r="I82" i="1"/>
  <c r="J82" i="1"/>
  <c r="H85" i="1"/>
  <c r="I85" i="1"/>
  <c r="J85" i="1"/>
  <c r="H86" i="1"/>
  <c r="I86" i="1"/>
  <c r="J86" i="1"/>
  <c r="H87" i="1"/>
  <c r="I87" i="1"/>
  <c r="J87" i="1"/>
  <c r="H105" i="1"/>
  <c r="I105" i="1"/>
  <c r="J105" i="1"/>
  <c r="H106" i="1"/>
  <c r="I106" i="1"/>
  <c r="J106" i="1"/>
  <c r="H107" i="1"/>
  <c r="I107" i="1"/>
  <c r="J107" i="1"/>
  <c r="H109" i="1"/>
  <c r="I109" i="1"/>
  <c r="J109" i="1"/>
  <c r="H111" i="1"/>
  <c r="I111" i="1"/>
  <c r="J111" i="1"/>
  <c r="H116" i="1"/>
  <c r="I116" i="1"/>
  <c r="J116" i="1"/>
  <c r="H123" i="1"/>
  <c r="I123" i="1"/>
  <c r="J123" i="1"/>
  <c r="H125" i="1"/>
  <c r="I125" i="1"/>
  <c r="J125" i="1"/>
  <c r="H127" i="1"/>
  <c r="I127" i="1"/>
  <c r="J127" i="1"/>
  <c r="H128" i="1"/>
  <c r="I128" i="1"/>
  <c r="J128" i="1"/>
  <c r="H129" i="1"/>
  <c r="I129" i="1"/>
  <c r="J129" i="1"/>
  <c r="H140" i="1"/>
  <c r="I140" i="1"/>
  <c r="J140" i="1"/>
  <c r="H143" i="1"/>
  <c r="I143" i="1"/>
  <c r="J143" i="1"/>
  <c r="H144" i="1"/>
  <c r="I144" i="1"/>
  <c r="J144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7" i="1"/>
  <c r="I157" i="1"/>
  <c r="J157" i="1"/>
  <c r="H159" i="1"/>
  <c r="I159" i="1"/>
  <c r="J159" i="1"/>
  <c r="H160" i="1"/>
  <c r="I160" i="1"/>
  <c r="J160" i="1"/>
  <c r="H163" i="1"/>
  <c r="I163" i="1"/>
  <c r="J163" i="1"/>
  <c r="H164" i="1"/>
  <c r="I164" i="1"/>
  <c r="J164" i="1"/>
  <c r="J167" i="1"/>
  <c r="L24" i="1"/>
  <c r="L167" i="1"/>
  <c r="N162" i="1"/>
  <c r="N167" i="1"/>
  <c r="P167" i="1"/>
  <c r="S169" i="1"/>
  <c r="S13" i="1"/>
  <c r="Q13" i="1"/>
  <c r="R13" i="1"/>
  <c r="Y13" i="1"/>
  <c r="S20" i="1"/>
  <c r="Q20" i="1"/>
  <c r="R20" i="1"/>
  <c r="Y20" i="1"/>
  <c r="S25" i="1"/>
  <c r="Q25" i="1"/>
  <c r="R25" i="1"/>
  <c r="Y25" i="1"/>
  <c r="S33" i="1"/>
  <c r="Q33" i="1"/>
  <c r="R33" i="1"/>
  <c r="Y33" i="1"/>
  <c r="S38" i="1"/>
  <c r="Q38" i="1"/>
  <c r="R38" i="1"/>
  <c r="Y38" i="1"/>
  <c r="S40" i="1"/>
  <c r="Q40" i="1"/>
  <c r="R40" i="1"/>
  <c r="Y40" i="1"/>
  <c r="S41" i="1"/>
  <c r="Q41" i="1"/>
  <c r="R41" i="1"/>
  <c r="Y41" i="1"/>
  <c r="S43" i="1"/>
  <c r="Q43" i="1"/>
  <c r="R43" i="1"/>
  <c r="Y43" i="1"/>
  <c r="S87" i="1"/>
  <c r="Q87" i="1"/>
  <c r="R87" i="1"/>
  <c r="Y87" i="1"/>
  <c r="S105" i="1"/>
  <c r="Q105" i="1"/>
  <c r="R105" i="1"/>
  <c r="X105" i="1"/>
  <c r="Y105" i="1"/>
  <c r="S106" i="1"/>
  <c r="Q106" i="1"/>
  <c r="R106" i="1"/>
  <c r="Y106" i="1"/>
  <c r="S107" i="1"/>
  <c r="Q107" i="1"/>
  <c r="R107" i="1"/>
  <c r="Y107" i="1"/>
  <c r="S111" i="1"/>
  <c r="Q111" i="1"/>
  <c r="R111" i="1"/>
  <c r="Y111" i="1"/>
  <c r="S116" i="1"/>
  <c r="Q116" i="1"/>
  <c r="R116" i="1"/>
  <c r="Y116" i="1"/>
  <c r="S137" i="1"/>
  <c r="Q137" i="1"/>
  <c r="R137" i="1"/>
  <c r="Y137" i="1"/>
  <c r="S153" i="1"/>
  <c r="Q153" i="1"/>
  <c r="R153" i="1"/>
  <c r="Y153" i="1"/>
  <c r="S164" i="1"/>
  <c r="Q164" i="1"/>
  <c r="R164" i="1"/>
  <c r="Y164" i="1"/>
  <c r="Y167" i="1"/>
  <c r="S5" i="1"/>
  <c r="Q5" i="1"/>
  <c r="R5" i="1"/>
  <c r="Z5" i="1"/>
  <c r="AA5" i="1"/>
  <c r="S7" i="1"/>
  <c r="Q7" i="1"/>
  <c r="R7" i="1"/>
  <c r="Z7" i="1"/>
  <c r="AA7" i="1"/>
  <c r="S10" i="1"/>
  <c r="Q10" i="1"/>
  <c r="R10" i="1"/>
  <c r="AA10" i="1"/>
  <c r="S11" i="1"/>
  <c r="Q11" i="1"/>
  <c r="R11" i="1"/>
  <c r="AA11" i="1"/>
  <c r="S12" i="1"/>
  <c r="Q12" i="1"/>
  <c r="R12" i="1"/>
  <c r="AA12" i="1"/>
  <c r="AA13" i="1"/>
  <c r="S18" i="1"/>
  <c r="Q18" i="1"/>
  <c r="R18" i="1"/>
  <c r="Z18" i="1"/>
  <c r="AA18" i="1"/>
  <c r="S19" i="1"/>
  <c r="Q19" i="1"/>
  <c r="R19" i="1"/>
  <c r="Z19" i="1"/>
  <c r="AA19" i="1"/>
  <c r="S21" i="1"/>
  <c r="Q21" i="1"/>
  <c r="R21" i="1"/>
  <c r="Z21" i="1"/>
  <c r="AA21" i="1"/>
  <c r="S27" i="1"/>
  <c r="Q27" i="1"/>
  <c r="R27" i="1"/>
  <c r="Z27" i="1"/>
  <c r="AA27" i="1"/>
  <c r="S29" i="1"/>
  <c r="Q29" i="1"/>
  <c r="R29" i="1"/>
  <c r="Z29" i="1"/>
  <c r="AA29" i="1"/>
  <c r="S30" i="1"/>
  <c r="Q30" i="1"/>
  <c r="R30" i="1"/>
  <c r="AA30" i="1"/>
  <c r="S31" i="1"/>
  <c r="Q31" i="1"/>
  <c r="R31" i="1"/>
  <c r="AA31" i="1"/>
  <c r="S32" i="1"/>
  <c r="Q32" i="1"/>
  <c r="R32" i="1"/>
  <c r="Z32" i="1"/>
  <c r="AA32" i="1"/>
  <c r="AA33" i="1"/>
  <c r="S47" i="1"/>
  <c r="Q47" i="1"/>
  <c r="R47" i="1"/>
  <c r="AA47" i="1"/>
  <c r="S48" i="1"/>
  <c r="Q48" i="1"/>
  <c r="R48" i="1"/>
  <c r="AA48" i="1"/>
  <c r="S49" i="1"/>
  <c r="Q49" i="1"/>
  <c r="R49" i="1"/>
  <c r="Z49" i="1"/>
  <c r="AA49" i="1"/>
  <c r="S52" i="1"/>
  <c r="Q52" i="1"/>
  <c r="R52" i="1"/>
  <c r="Z52" i="1"/>
  <c r="AA52" i="1"/>
  <c r="S53" i="1"/>
  <c r="Q53" i="1"/>
  <c r="R53" i="1"/>
  <c r="AA53" i="1"/>
  <c r="S54" i="1"/>
  <c r="Q54" i="1"/>
  <c r="R54" i="1"/>
  <c r="AA54" i="1"/>
  <c r="S55" i="1"/>
  <c r="Q55" i="1"/>
  <c r="R55" i="1"/>
  <c r="AA55" i="1"/>
  <c r="S56" i="1"/>
  <c r="Q56" i="1"/>
  <c r="R56" i="1"/>
  <c r="Z56" i="1"/>
  <c r="AA56" i="1"/>
  <c r="S57" i="1"/>
  <c r="Q57" i="1"/>
  <c r="R57" i="1"/>
  <c r="AA57" i="1"/>
  <c r="S58" i="1"/>
  <c r="Q58" i="1"/>
  <c r="R58" i="1"/>
  <c r="Z58" i="1"/>
  <c r="AA58" i="1"/>
  <c r="S59" i="1"/>
  <c r="Q59" i="1"/>
  <c r="R59" i="1"/>
  <c r="Z59" i="1"/>
  <c r="AA59" i="1"/>
  <c r="S62" i="1"/>
  <c r="Q62" i="1"/>
  <c r="R62" i="1"/>
  <c r="Z62" i="1"/>
  <c r="AA62" i="1"/>
  <c r="S63" i="1"/>
  <c r="Q63" i="1"/>
  <c r="R63" i="1"/>
  <c r="AA63" i="1"/>
  <c r="S64" i="1"/>
  <c r="Q64" i="1"/>
  <c r="R64" i="1"/>
  <c r="AA64" i="1"/>
  <c r="S65" i="1"/>
  <c r="Q65" i="1"/>
  <c r="R65" i="1"/>
  <c r="AA65" i="1"/>
  <c r="S69" i="1"/>
  <c r="Q69" i="1"/>
  <c r="R69" i="1"/>
  <c r="Z69" i="1"/>
  <c r="AA69" i="1"/>
  <c r="S70" i="1"/>
  <c r="Q70" i="1"/>
  <c r="R70" i="1"/>
  <c r="AA70" i="1"/>
  <c r="S71" i="1"/>
  <c r="Q71" i="1"/>
  <c r="R71" i="1"/>
  <c r="AA71" i="1"/>
  <c r="S72" i="1"/>
  <c r="Q72" i="1"/>
  <c r="R72" i="1"/>
  <c r="AA72" i="1"/>
  <c r="S75" i="1"/>
  <c r="Q75" i="1"/>
  <c r="R75" i="1"/>
  <c r="Z75" i="1"/>
  <c r="AA75" i="1"/>
  <c r="S76" i="1"/>
  <c r="Q76" i="1"/>
  <c r="R76" i="1"/>
  <c r="Z76" i="1"/>
  <c r="AA76" i="1"/>
  <c r="S80" i="1"/>
  <c r="Q80" i="1"/>
  <c r="R80" i="1"/>
  <c r="AA80" i="1"/>
  <c r="S81" i="1"/>
  <c r="Q81" i="1"/>
  <c r="R81" i="1"/>
  <c r="AA81" i="1"/>
  <c r="S82" i="1"/>
  <c r="Q82" i="1"/>
  <c r="R82" i="1"/>
  <c r="Z82" i="1"/>
  <c r="AA82" i="1"/>
  <c r="S86" i="1"/>
  <c r="Q86" i="1"/>
  <c r="R86" i="1"/>
  <c r="Z86" i="1"/>
  <c r="AA86" i="1"/>
  <c r="Z87" i="1"/>
  <c r="AA87" i="1"/>
  <c r="AA107" i="1"/>
  <c r="S109" i="1"/>
  <c r="Q109" i="1"/>
  <c r="R109" i="1"/>
  <c r="AA109" i="1"/>
  <c r="Z111" i="1"/>
  <c r="AA111" i="1"/>
  <c r="AA116" i="1"/>
  <c r="S125" i="1"/>
  <c r="Q125" i="1"/>
  <c r="R125" i="1"/>
  <c r="Z125" i="1"/>
  <c r="AA125" i="1"/>
  <c r="S127" i="1"/>
  <c r="Q127" i="1"/>
  <c r="R127" i="1"/>
  <c r="Z127" i="1"/>
  <c r="AA127" i="1"/>
  <c r="S128" i="1"/>
  <c r="Q128" i="1"/>
  <c r="R128" i="1"/>
  <c r="Z128" i="1"/>
  <c r="AA128" i="1"/>
  <c r="S129" i="1"/>
  <c r="Q129" i="1"/>
  <c r="R129" i="1"/>
  <c r="Z129" i="1"/>
  <c r="AA129" i="1"/>
  <c r="S130" i="1"/>
  <c r="Q130" i="1"/>
  <c r="R130" i="1"/>
  <c r="Z130" i="1"/>
  <c r="AA130" i="1"/>
  <c r="S131" i="1"/>
  <c r="Q131" i="1"/>
  <c r="R131" i="1"/>
  <c r="Z131" i="1"/>
  <c r="AA131" i="1"/>
  <c r="S140" i="1"/>
  <c r="Q140" i="1"/>
  <c r="R140" i="1"/>
  <c r="Z140" i="1"/>
  <c r="AA140" i="1"/>
  <c r="S142" i="1"/>
  <c r="Q142" i="1"/>
  <c r="R142" i="1"/>
  <c r="AA142" i="1"/>
  <c r="S143" i="1"/>
  <c r="Q143" i="1"/>
  <c r="R143" i="1"/>
  <c r="Z143" i="1"/>
  <c r="AA143" i="1"/>
  <c r="S144" i="1"/>
  <c r="Q144" i="1"/>
  <c r="R144" i="1"/>
  <c r="Z144" i="1"/>
  <c r="AA144" i="1"/>
  <c r="S148" i="1"/>
  <c r="Q148" i="1"/>
  <c r="R148" i="1"/>
  <c r="Z148" i="1"/>
  <c r="AA148" i="1"/>
  <c r="S149" i="1"/>
  <c r="Q149" i="1"/>
  <c r="R149" i="1"/>
  <c r="AA149" i="1"/>
  <c r="S150" i="1"/>
  <c r="Q150" i="1"/>
  <c r="R150" i="1"/>
  <c r="AA150" i="1"/>
  <c r="S151" i="1"/>
  <c r="Q151" i="1"/>
  <c r="R151" i="1"/>
  <c r="Z151" i="1"/>
  <c r="AA151" i="1"/>
  <c r="S152" i="1"/>
  <c r="Q152" i="1"/>
  <c r="R152" i="1"/>
  <c r="Z152" i="1"/>
  <c r="AA152" i="1"/>
  <c r="AA153" i="1"/>
  <c r="S155" i="1"/>
  <c r="Q155" i="1"/>
  <c r="R155" i="1"/>
  <c r="Z155" i="1"/>
  <c r="AA155" i="1"/>
  <c r="S157" i="1"/>
  <c r="Q157" i="1"/>
  <c r="R157" i="1"/>
  <c r="Z157" i="1"/>
  <c r="AA157" i="1"/>
  <c r="S159" i="1"/>
  <c r="Q159" i="1"/>
  <c r="R159" i="1"/>
  <c r="Z159" i="1"/>
  <c r="AA159" i="1"/>
  <c r="S160" i="1"/>
  <c r="Q160" i="1"/>
  <c r="R160" i="1"/>
  <c r="AA160" i="1"/>
  <c r="S162" i="1"/>
  <c r="M162" i="1"/>
  <c r="Q162" i="1"/>
  <c r="R162" i="1"/>
  <c r="Z162" i="1"/>
  <c r="AA162" i="1"/>
  <c r="S163" i="1"/>
  <c r="Q163" i="1"/>
  <c r="R163" i="1"/>
  <c r="AA163" i="1"/>
  <c r="AA167" i="1"/>
  <c r="W167" i="1"/>
  <c r="AD169" i="1"/>
  <c r="G167" i="1"/>
  <c r="J168" i="1"/>
  <c r="AD5" i="1"/>
  <c r="S6" i="1"/>
  <c r="AD6" i="1"/>
  <c r="AD7" i="1"/>
  <c r="S8" i="1"/>
  <c r="AD8" i="1"/>
  <c r="S9" i="1"/>
  <c r="AD9" i="1"/>
  <c r="AD10" i="1"/>
  <c r="AD11" i="1"/>
  <c r="AD12" i="1"/>
  <c r="AD13" i="1"/>
  <c r="S14" i="1"/>
  <c r="AD14" i="1"/>
  <c r="S15" i="1"/>
  <c r="AD15" i="1"/>
  <c r="S16" i="1"/>
  <c r="AD16" i="1"/>
  <c r="S17" i="1"/>
  <c r="AD17" i="1"/>
  <c r="AD18" i="1"/>
  <c r="AD19" i="1"/>
  <c r="AD20" i="1"/>
  <c r="AD21" i="1"/>
  <c r="S22" i="1"/>
  <c r="AD22" i="1"/>
  <c r="S23" i="1"/>
  <c r="AD23" i="1"/>
  <c r="S24" i="1"/>
  <c r="AD24" i="1"/>
  <c r="AD25" i="1"/>
  <c r="S26" i="1"/>
  <c r="AD26" i="1"/>
  <c r="AD27" i="1"/>
  <c r="S28" i="1"/>
  <c r="AD28" i="1"/>
  <c r="AD29" i="1"/>
  <c r="AD30" i="1"/>
  <c r="AD31" i="1"/>
  <c r="AD32" i="1"/>
  <c r="AD33" i="1"/>
  <c r="S34" i="1"/>
  <c r="AD34" i="1"/>
  <c r="S35" i="1"/>
  <c r="AD35" i="1"/>
  <c r="S36" i="1"/>
  <c r="AD36" i="1"/>
  <c r="S37" i="1"/>
  <c r="AD37" i="1"/>
  <c r="AD38" i="1"/>
  <c r="S39" i="1"/>
  <c r="AD39" i="1"/>
  <c r="AD40" i="1"/>
  <c r="AD41" i="1"/>
  <c r="S42" i="1"/>
  <c r="AD42" i="1"/>
  <c r="S44" i="1"/>
  <c r="AD44" i="1"/>
  <c r="S45" i="1"/>
  <c r="AD45" i="1"/>
  <c r="S46" i="1"/>
  <c r="AD46" i="1"/>
  <c r="AD47" i="1"/>
  <c r="AD48" i="1"/>
  <c r="AD49" i="1"/>
  <c r="S50" i="1"/>
  <c r="AD50" i="1"/>
  <c r="S51" i="1"/>
  <c r="AD51" i="1"/>
  <c r="AD52" i="1"/>
  <c r="AD53" i="1"/>
  <c r="AD54" i="1"/>
  <c r="AD55" i="1"/>
  <c r="AD56" i="1"/>
  <c r="AD57" i="1"/>
  <c r="AD58" i="1"/>
  <c r="AD59" i="1"/>
  <c r="S60" i="1"/>
  <c r="AD60" i="1"/>
  <c r="S61" i="1"/>
  <c r="AD61" i="1"/>
  <c r="AD62" i="1"/>
  <c r="AD63" i="1"/>
  <c r="AD64" i="1"/>
  <c r="AD65" i="1"/>
  <c r="S66" i="1"/>
  <c r="AD66" i="1"/>
  <c r="S67" i="1"/>
  <c r="AD67" i="1"/>
  <c r="S68" i="1"/>
  <c r="AD68" i="1"/>
  <c r="AD69" i="1"/>
  <c r="AD70" i="1"/>
  <c r="AD71" i="1"/>
  <c r="AD72" i="1"/>
  <c r="S73" i="1"/>
  <c r="AD73" i="1"/>
  <c r="S74" i="1"/>
  <c r="AD74" i="1"/>
  <c r="AD75" i="1"/>
  <c r="AD76" i="1"/>
  <c r="S77" i="1"/>
  <c r="AD77" i="1"/>
  <c r="S78" i="1"/>
  <c r="AD78" i="1"/>
  <c r="S79" i="1"/>
  <c r="AD79" i="1"/>
  <c r="AD80" i="1"/>
  <c r="AD81" i="1"/>
  <c r="AD82" i="1"/>
  <c r="S83" i="1"/>
  <c r="AD83" i="1"/>
  <c r="S84" i="1"/>
  <c r="AD84" i="1"/>
  <c r="S85" i="1"/>
  <c r="AD85" i="1"/>
  <c r="AD86" i="1"/>
  <c r="AD87" i="1"/>
  <c r="S88" i="1"/>
  <c r="AD88" i="1"/>
  <c r="S89" i="1"/>
  <c r="AD89" i="1"/>
  <c r="S90" i="1"/>
  <c r="AD90" i="1"/>
  <c r="S91" i="1"/>
  <c r="AD91" i="1"/>
  <c r="S92" i="1"/>
  <c r="AD92" i="1"/>
  <c r="S93" i="1"/>
  <c r="AD93" i="1"/>
  <c r="S94" i="1"/>
  <c r="AD94" i="1"/>
  <c r="S95" i="1"/>
  <c r="AD95" i="1"/>
  <c r="S96" i="1"/>
  <c r="AD96" i="1"/>
  <c r="S97" i="1"/>
  <c r="AD97" i="1"/>
  <c r="S98" i="1"/>
  <c r="AD98" i="1"/>
  <c r="S99" i="1"/>
  <c r="AD99" i="1"/>
  <c r="S100" i="1"/>
  <c r="AD100" i="1"/>
  <c r="S101" i="1"/>
  <c r="AD101" i="1"/>
  <c r="S102" i="1"/>
  <c r="AD102" i="1"/>
  <c r="S103" i="1"/>
  <c r="AD103" i="1"/>
  <c r="S104" i="1"/>
  <c r="AD104" i="1"/>
  <c r="AD105" i="1"/>
  <c r="AD106" i="1"/>
  <c r="AD107" i="1"/>
  <c r="S108" i="1"/>
  <c r="AD108" i="1"/>
  <c r="AD109" i="1"/>
  <c r="S110" i="1"/>
  <c r="AD110" i="1"/>
  <c r="AD111" i="1"/>
  <c r="S112" i="1"/>
  <c r="AD112" i="1"/>
  <c r="S113" i="1"/>
  <c r="AD113" i="1"/>
  <c r="S114" i="1"/>
  <c r="AD114" i="1"/>
  <c r="S115" i="1"/>
  <c r="AD115" i="1"/>
  <c r="AD116" i="1"/>
  <c r="S117" i="1"/>
  <c r="AD117" i="1"/>
  <c r="S118" i="1"/>
  <c r="AD118" i="1"/>
  <c r="S119" i="1"/>
  <c r="AD119" i="1"/>
  <c r="S120" i="1"/>
  <c r="AD120" i="1"/>
  <c r="S121" i="1"/>
  <c r="AD121" i="1"/>
  <c r="S122" i="1"/>
  <c r="AD122" i="1"/>
  <c r="S123" i="1"/>
  <c r="AD123" i="1"/>
  <c r="S124" i="1"/>
  <c r="AD124" i="1"/>
  <c r="AD125" i="1"/>
  <c r="S126" i="1"/>
  <c r="AD126" i="1"/>
  <c r="AD127" i="1"/>
  <c r="AD128" i="1"/>
  <c r="AD129" i="1"/>
  <c r="AD130" i="1"/>
  <c r="AD131" i="1"/>
  <c r="S132" i="1"/>
  <c r="AD132" i="1"/>
  <c r="S133" i="1"/>
  <c r="AD133" i="1"/>
  <c r="S134" i="1"/>
  <c r="AD134" i="1"/>
  <c r="S135" i="1"/>
  <c r="AD135" i="1"/>
  <c r="S136" i="1"/>
  <c r="AD136" i="1"/>
  <c r="AD137" i="1"/>
  <c r="S138" i="1"/>
  <c r="AD138" i="1"/>
  <c r="S139" i="1"/>
  <c r="AD139" i="1"/>
  <c r="AD140" i="1"/>
  <c r="S141" i="1"/>
  <c r="AD141" i="1"/>
  <c r="AD142" i="1"/>
  <c r="AD143" i="1"/>
  <c r="AD144" i="1"/>
  <c r="S145" i="1"/>
  <c r="AD145" i="1"/>
  <c r="S146" i="1"/>
  <c r="AD146" i="1"/>
  <c r="S147" i="1"/>
  <c r="AD147" i="1"/>
  <c r="AD148" i="1"/>
  <c r="AD149" i="1"/>
  <c r="AD150" i="1"/>
  <c r="AD151" i="1"/>
  <c r="AD152" i="1"/>
  <c r="AD153" i="1"/>
  <c r="S154" i="1"/>
  <c r="AD154" i="1"/>
  <c r="AD155" i="1"/>
  <c r="S156" i="1"/>
  <c r="AD156" i="1"/>
  <c r="AD157" i="1"/>
  <c r="S158" i="1"/>
  <c r="AD158" i="1"/>
  <c r="AD159" i="1"/>
  <c r="AD160" i="1"/>
  <c r="S161" i="1"/>
  <c r="AD161" i="1"/>
  <c r="AD162" i="1"/>
  <c r="AD163" i="1"/>
  <c r="AD164" i="1"/>
  <c r="S165" i="1"/>
  <c r="AD165" i="1"/>
  <c r="AD167" i="1"/>
  <c r="AB5" i="1"/>
  <c r="Q6" i="1"/>
  <c r="AB6" i="1"/>
  <c r="AB7" i="1"/>
  <c r="Q8" i="1"/>
  <c r="AB8" i="1"/>
  <c r="Q9" i="1"/>
  <c r="AB9" i="1"/>
  <c r="AB10" i="1"/>
  <c r="AB11" i="1"/>
  <c r="AB12" i="1"/>
  <c r="AB13" i="1"/>
  <c r="Q14" i="1"/>
  <c r="AB14" i="1"/>
  <c r="Q15" i="1"/>
  <c r="AB15" i="1"/>
  <c r="Q16" i="1"/>
  <c r="AB16" i="1"/>
  <c r="Q17" i="1"/>
  <c r="AB17" i="1"/>
  <c r="AB18" i="1"/>
  <c r="AB19" i="1"/>
  <c r="AB20" i="1"/>
  <c r="AB21" i="1"/>
  <c r="Q22" i="1"/>
  <c r="AB22" i="1"/>
  <c r="Q23" i="1"/>
  <c r="AB23" i="1"/>
  <c r="K24" i="1"/>
  <c r="Q24" i="1"/>
  <c r="AB24" i="1"/>
  <c r="AB25" i="1"/>
  <c r="Q26" i="1"/>
  <c r="AB26" i="1"/>
  <c r="AB27" i="1"/>
  <c r="Q28" i="1"/>
  <c r="AB28" i="1"/>
  <c r="AB29" i="1"/>
  <c r="AB30" i="1"/>
  <c r="AB31" i="1"/>
  <c r="AB32" i="1"/>
  <c r="AB33" i="1"/>
  <c r="Q34" i="1"/>
  <c r="AB34" i="1"/>
  <c r="Q35" i="1"/>
  <c r="AB35" i="1"/>
  <c r="Q36" i="1"/>
  <c r="AB36" i="1"/>
  <c r="Q37" i="1"/>
  <c r="AB37" i="1"/>
  <c r="AB38" i="1"/>
  <c r="AB39" i="1"/>
  <c r="AB40" i="1"/>
  <c r="AB41" i="1"/>
  <c r="Q42" i="1"/>
  <c r="AB42" i="1"/>
  <c r="AB43" i="1"/>
  <c r="Q44" i="1"/>
  <c r="AB44" i="1"/>
  <c r="Q45" i="1"/>
  <c r="AB45" i="1"/>
  <c r="AB46" i="1"/>
  <c r="AB47" i="1"/>
  <c r="AB48" i="1"/>
  <c r="AB49" i="1"/>
  <c r="Q50" i="1"/>
  <c r="AB50" i="1"/>
  <c r="Q51" i="1"/>
  <c r="AB51" i="1"/>
  <c r="AB52" i="1"/>
  <c r="AB53" i="1"/>
  <c r="AB54" i="1"/>
  <c r="AB55" i="1"/>
  <c r="AB56" i="1"/>
  <c r="AB57" i="1"/>
  <c r="AB58" i="1"/>
  <c r="AB59" i="1"/>
  <c r="Q60" i="1"/>
  <c r="AB60" i="1"/>
  <c r="Q61" i="1"/>
  <c r="AB61" i="1"/>
  <c r="AB62" i="1"/>
  <c r="AB63" i="1"/>
  <c r="AB64" i="1"/>
  <c r="AB65" i="1"/>
  <c r="Q66" i="1"/>
  <c r="AB66" i="1"/>
  <c r="Q67" i="1"/>
  <c r="AB67" i="1"/>
  <c r="Q68" i="1"/>
  <c r="AB68" i="1"/>
  <c r="AB69" i="1"/>
  <c r="AB70" i="1"/>
  <c r="AB71" i="1"/>
  <c r="AB72" i="1"/>
  <c r="Q73" i="1"/>
  <c r="AB73" i="1"/>
  <c r="Q74" i="1"/>
  <c r="AB74" i="1"/>
  <c r="AB75" i="1"/>
  <c r="AB76" i="1"/>
  <c r="Q77" i="1"/>
  <c r="AB77" i="1"/>
  <c r="Q78" i="1"/>
  <c r="AB78" i="1"/>
  <c r="Q79" i="1"/>
  <c r="AB79" i="1"/>
  <c r="AB80" i="1"/>
  <c r="AB81" i="1"/>
  <c r="AB82" i="1"/>
  <c r="Q83" i="1"/>
  <c r="AB83" i="1"/>
  <c r="Q84" i="1"/>
  <c r="AB84" i="1"/>
  <c r="Q85" i="1"/>
  <c r="AB85" i="1"/>
  <c r="AB86" i="1"/>
  <c r="AB87" i="1"/>
  <c r="Q88" i="1"/>
  <c r="AB88" i="1"/>
  <c r="Q89" i="1"/>
  <c r="AB89" i="1"/>
  <c r="Q90" i="1"/>
  <c r="AB90" i="1"/>
  <c r="Q91" i="1"/>
  <c r="AB91" i="1"/>
  <c r="Q92" i="1"/>
  <c r="AB92" i="1"/>
  <c r="Q93" i="1"/>
  <c r="AB93" i="1"/>
  <c r="Q94" i="1"/>
  <c r="AB94" i="1"/>
  <c r="Q95" i="1"/>
  <c r="AB95" i="1"/>
  <c r="Q96" i="1"/>
  <c r="AB96" i="1"/>
  <c r="Q97" i="1"/>
  <c r="AB97" i="1"/>
  <c r="Q98" i="1"/>
  <c r="AB98" i="1"/>
  <c r="Q99" i="1"/>
  <c r="AB99" i="1"/>
  <c r="Q100" i="1"/>
  <c r="AB100" i="1"/>
  <c r="Q101" i="1"/>
  <c r="AB101" i="1"/>
  <c r="Q102" i="1"/>
  <c r="AB102" i="1"/>
  <c r="Q103" i="1"/>
  <c r="AB103" i="1"/>
  <c r="Q104" i="1"/>
  <c r="AB104" i="1"/>
  <c r="AB105" i="1"/>
  <c r="AB106" i="1"/>
  <c r="AB107" i="1"/>
  <c r="Q108" i="1"/>
  <c r="AB108" i="1"/>
  <c r="AB109" i="1"/>
  <c r="Q110" i="1"/>
  <c r="AB110" i="1"/>
  <c r="AB111" i="1"/>
  <c r="Q112" i="1"/>
  <c r="AB112" i="1"/>
  <c r="Q113" i="1"/>
  <c r="AB113" i="1"/>
  <c r="Q114" i="1"/>
  <c r="AB114" i="1"/>
  <c r="Q115" i="1"/>
  <c r="AB115" i="1"/>
  <c r="AB116" i="1"/>
  <c r="Q117" i="1"/>
  <c r="AB117" i="1"/>
  <c r="Q118" i="1"/>
  <c r="AB118" i="1"/>
  <c r="Q119" i="1"/>
  <c r="AB119" i="1"/>
  <c r="Q120" i="1"/>
  <c r="AB120" i="1"/>
  <c r="Q121" i="1"/>
  <c r="AB121" i="1"/>
  <c r="Q122" i="1"/>
  <c r="AB122" i="1"/>
  <c r="Q123" i="1"/>
  <c r="AB123" i="1"/>
  <c r="Q124" i="1"/>
  <c r="AB124" i="1"/>
  <c r="AB125" i="1"/>
  <c r="Q126" i="1"/>
  <c r="AB126" i="1"/>
  <c r="AB127" i="1"/>
  <c r="AB128" i="1"/>
  <c r="AB129" i="1"/>
  <c r="AB130" i="1"/>
  <c r="AB131" i="1"/>
  <c r="Q132" i="1"/>
  <c r="AB132" i="1"/>
  <c r="Q133" i="1"/>
  <c r="AB133" i="1"/>
  <c r="Q134" i="1"/>
  <c r="AB134" i="1"/>
  <c r="Q135" i="1"/>
  <c r="AB135" i="1"/>
  <c r="Q136" i="1"/>
  <c r="AB136" i="1"/>
  <c r="AB137" i="1"/>
  <c r="Q138" i="1"/>
  <c r="AB138" i="1"/>
  <c r="Q139" i="1"/>
  <c r="AB139" i="1"/>
  <c r="AB140" i="1"/>
  <c r="AB142" i="1"/>
  <c r="AB143" i="1"/>
  <c r="AB144" i="1"/>
  <c r="Q145" i="1"/>
  <c r="AB145" i="1"/>
  <c r="Q146" i="1"/>
  <c r="AB146" i="1"/>
  <c r="Q147" i="1"/>
  <c r="AB147" i="1"/>
  <c r="AB148" i="1"/>
  <c r="AB149" i="1"/>
  <c r="AB150" i="1"/>
  <c r="AB151" i="1"/>
  <c r="AB152" i="1"/>
  <c r="AB153" i="1"/>
  <c r="Q154" i="1"/>
  <c r="AB154" i="1"/>
  <c r="AB155" i="1"/>
  <c r="Q156" i="1"/>
  <c r="AB156" i="1"/>
  <c r="AB157" i="1"/>
  <c r="Q158" i="1"/>
  <c r="AB158" i="1"/>
  <c r="AB159" i="1"/>
  <c r="AB160" i="1"/>
  <c r="Q161" i="1"/>
  <c r="AB161" i="1"/>
  <c r="AB162" i="1"/>
  <c r="AB163" i="1"/>
  <c r="AB164" i="1"/>
  <c r="Q165" i="1"/>
  <c r="AB165" i="1"/>
  <c r="AB167" i="1"/>
  <c r="Z167" i="1"/>
  <c r="X167" i="1"/>
  <c r="V167" i="1"/>
  <c r="U167" i="1"/>
  <c r="T167" i="1"/>
  <c r="S167" i="1"/>
  <c r="Q141" i="1"/>
  <c r="Q167" i="1"/>
  <c r="O167" i="1"/>
  <c r="M167" i="1"/>
  <c r="K167" i="1"/>
  <c r="B167" i="1"/>
  <c r="AC165" i="1"/>
  <c r="R165" i="1"/>
  <c r="F165" i="1"/>
  <c r="F164" i="1"/>
  <c r="F163" i="1"/>
  <c r="AC162" i="1"/>
  <c r="F162" i="1"/>
  <c r="AC161" i="1"/>
  <c r="R161" i="1"/>
  <c r="F161" i="1"/>
  <c r="F160" i="1"/>
  <c r="F159" i="1"/>
  <c r="R158" i="1"/>
  <c r="F158" i="1"/>
  <c r="F157" i="1"/>
  <c r="AC156" i="1"/>
  <c r="R156" i="1"/>
  <c r="F156" i="1"/>
  <c r="F155" i="1"/>
  <c r="AC154" i="1"/>
  <c r="R154" i="1"/>
  <c r="F154" i="1"/>
  <c r="AC153" i="1"/>
  <c r="F153" i="1"/>
  <c r="F152" i="1"/>
  <c r="F151" i="1"/>
  <c r="F150" i="1"/>
  <c r="F149" i="1"/>
  <c r="F148" i="1"/>
  <c r="AC147" i="1"/>
  <c r="R147" i="1"/>
  <c r="F147" i="1"/>
  <c r="AC146" i="1"/>
  <c r="R146" i="1"/>
  <c r="F146" i="1"/>
  <c r="R145" i="1"/>
  <c r="F145" i="1"/>
  <c r="F144" i="1"/>
  <c r="AC143" i="1"/>
  <c r="F143" i="1"/>
  <c r="AC142" i="1"/>
  <c r="F142" i="1"/>
  <c r="R141" i="1"/>
  <c r="F141" i="1"/>
  <c r="F140" i="1"/>
  <c r="R139" i="1"/>
  <c r="F139" i="1"/>
  <c r="AC138" i="1"/>
  <c r="R138" i="1"/>
  <c r="F138" i="1"/>
  <c r="AC137" i="1"/>
  <c r="F137" i="1"/>
  <c r="R136" i="1"/>
  <c r="F136" i="1"/>
  <c r="R135" i="1"/>
  <c r="F135" i="1"/>
  <c r="AC134" i="1"/>
  <c r="R134" i="1"/>
  <c r="F134" i="1"/>
  <c r="AC133" i="1"/>
  <c r="R133" i="1"/>
  <c r="F133" i="1"/>
  <c r="AC132" i="1"/>
  <c r="R132" i="1"/>
  <c r="F132" i="1"/>
  <c r="AC131" i="1"/>
  <c r="F131" i="1"/>
  <c r="AC130" i="1"/>
  <c r="F130" i="1"/>
  <c r="F129" i="1"/>
  <c r="AC128" i="1"/>
  <c r="F128" i="1"/>
  <c r="F127" i="1"/>
  <c r="AC126" i="1"/>
  <c r="R126" i="1"/>
  <c r="F126" i="1"/>
  <c r="F125" i="1"/>
  <c r="R124" i="1"/>
  <c r="I124" i="1"/>
  <c r="F124" i="1"/>
  <c r="AC123" i="1"/>
  <c r="R123" i="1"/>
  <c r="F123" i="1"/>
  <c r="R122" i="1"/>
  <c r="F122" i="1"/>
  <c r="R121" i="1"/>
  <c r="F121" i="1"/>
  <c r="R120" i="1"/>
  <c r="F120" i="1"/>
  <c r="AC119" i="1"/>
  <c r="R119" i="1"/>
  <c r="F119" i="1"/>
  <c r="R118" i="1"/>
  <c r="F118" i="1"/>
  <c r="AC117" i="1"/>
  <c r="R117" i="1"/>
  <c r="F117" i="1"/>
  <c r="AC116" i="1"/>
  <c r="F116" i="1"/>
  <c r="AC115" i="1"/>
  <c r="R115" i="1"/>
  <c r="F115" i="1"/>
  <c r="R114" i="1"/>
  <c r="F114" i="1"/>
  <c r="R113" i="1"/>
  <c r="F113" i="1"/>
  <c r="R112" i="1"/>
  <c r="F112" i="1"/>
  <c r="F111" i="1"/>
  <c r="R110" i="1"/>
  <c r="F110" i="1"/>
  <c r="AC109" i="1"/>
  <c r="F109" i="1"/>
  <c r="R108" i="1"/>
  <c r="F108" i="1"/>
  <c r="AC107" i="1"/>
  <c r="F107" i="1"/>
  <c r="F106" i="1"/>
  <c r="AC105" i="1"/>
  <c r="F105" i="1"/>
  <c r="AC104" i="1"/>
  <c r="R104" i="1"/>
  <c r="F104" i="1"/>
  <c r="AC103" i="1"/>
  <c r="R103" i="1"/>
  <c r="F103" i="1"/>
  <c r="AC102" i="1"/>
  <c r="R102" i="1"/>
  <c r="F102" i="1"/>
  <c r="AC101" i="1"/>
  <c r="R101" i="1"/>
  <c r="F101" i="1"/>
  <c r="AC100" i="1"/>
  <c r="R100" i="1"/>
  <c r="F100" i="1"/>
  <c r="AC99" i="1"/>
  <c r="R99" i="1"/>
  <c r="F99" i="1"/>
  <c r="AC98" i="1"/>
  <c r="R98" i="1"/>
  <c r="F98" i="1"/>
  <c r="AC97" i="1"/>
  <c r="R97" i="1"/>
  <c r="F97" i="1"/>
  <c r="R96" i="1"/>
  <c r="F96" i="1"/>
  <c r="AC95" i="1"/>
  <c r="R95" i="1"/>
  <c r="F95" i="1"/>
  <c r="AC94" i="1"/>
  <c r="R94" i="1"/>
  <c r="F94" i="1"/>
  <c r="AC93" i="1"/>
  <c r="R93" i="1"/>
  <c r="F93" i="1"/>
  <c r="AC92" i="1"/>
  <c r="R92" i="1"/>
  <c r="F92" i="1"/>
  <c r="AC91" i="1"/>
  <c r="R91" i="1"/>
  <c r="F91" i="1"/>
  <c r="AC90" i="1"/>
  <c r="R90" i="1"/>
  <c r="F90" i="1"/>
  <c r="AC89" i="1"/>
  <c r="R89" i="1"/>
  <c r="F89" i="1"/>
  <c r="AC88" i="1"/>
  <c r="R88" i="1"/>
  <c r="F88" i="1"/>
  <c r="AC87" i="1"/>
  <c r="F87" i="1"/>
  <c r="AC86" i="1"/>
  <c r="F86" i="1"/>
  <c r="AC85" i="1"/>
  <c r="R85" i="1"/>
  <c r="F85" i="1"/>
  <c r="AC84" i="1"/>
  <c r="R84" i="1"/>
  <c r="F84" i="1"/>
  <c r="R83" i="1"/>
  <c r="F83" i="1"/>
  <c r="AC82" i="1"/>
  <c r="F82" i="1"/>
  <c r="AC81" i="1"/>
  <c r="F81" i="1"/>
  <c r="F80" i="1"/>
  <c r="AC79" i="1"/>
  <c r="R79" i="1"/>
  <c r="F79" i="1"/>
  <c r="AC78" i="1"/>
  <c r="R78" i="1"/>
  <c r="F78" i="1"/>
  <c r="AC77" i="1"/>
  <c r="R77" i="1"/>
  <c r="F77" i="1"/>
  <c r="AC76" i="1"/>
  <c r="F76" i="1"/>
  <c r="AC75" i="1"/>
  <c r="F75" i="1"/>
  <c r="R74" i="1"/>
  <c r="F74" i="1"/>
  <c r="AC73" i="1"/>
  <c r="R73" i="1"/>
  <c r="F73" i="1"/>
  <c r="F72" i="1"/>
  <c r="AC71" i="1"/>
  <c r="F71" i="1"/>
  <c r="AC70" i="1"/>
  <c r="F70" i="1"/>
  <c r="F69" i="1"/>
  <c r="AC68" i="1"/>
  <c r="R68" i="1"/>
  <c r="F68" i="1"/>
  <c r="AC67" i="1"/>
  <c r="R67" i="1"/>
  <c r="F67" i="1"/>
  <c r="R66" i="1"/>
  <c r="F66" i="1"/>
  <c r="AC65" i="1"/>
  <c r="F65" i="1"/>
  <c r="F64" i="1"/>
  <c r="F63" i="1"/>
  <c r="F62" i="1"/>
  <c r="AC61" i="1"/>
  <c r="R61" i="1"/>
  <c r="F61" i="1"/>
  <c r="R60" i="1"/>
  <c r="F60" i="1"/>
  <c r="AC59" i="1"/>
  <c r="F59" i="1"/>
  <c r="AC58" i="1"/>
  <c r="F58" i="1"/>
  <c r="AC57" i="1"/>
  <c r="F57" i="1"/>
  <c r="AC56" i="1"/>
  <c r="F56" i="1"/>
  <c r="AC55" i="1"/>
  <c r="F55" i="1"/>
  <c r="F54" i="1"/>
  <c r="AC53" i="1"/>
  <c r="F53" i="1"/>
  <c r="AC52" i="1"/>
  <c r="F52" i="1"/>
  <c r="AC51" i="1"/>
  <c r="R51" i="1"/>
  <c r="F51" i="1"/>
  <c r="AC50" i="1"/>
  <c r="R50" i="1"/>
  <c r="F50" i="1"/>
  <c r="AC49" i="1"/>
  <c r="F49" i="1"/>
  <c r="F48" i="1"/>
  <c r="F47" i="1"/>
  <c r="R46" i="1"/>
  <c r="F46" i="1"/>
  <c r="AC45" i="1"/>
  <c r="R45" i="1"/>
  <c r="F45" i="1"/>
  <c r="R44" i="1"/>
  <c r="F44" i="1"/>
  <c r="F43" i="1"/>
  <c r="R42" i="1"/>
  <c r="F42" i="1"/>
  <c r="AC41" i="1"/>
  <c r="F41" i="1"/>
  <c r="F40" i="1"/>
  <c r="R39" i="1"/>
  <c r="F39" i="1"/>
  <c r="F38" i="1"/>
  <c r="AC37" i="1"/>
  <c r="R37" i="1"/>
  <c r="F37" i="1"/>
  <c r="AC36" i="1"/>
  <c r="R36" i="1"/>
  <c r="F36" i="1"/>
  <c r="AC35" i="1"/>
  <c r="R35" i="1"/>
  <c r="F35" i="1"/>
  <c r="AC34" i="1"/>
  <c r="R34" i="1"/>
  <c r="F34" i="1"/>
  <c r="AC33" i="1"/>
  <c r="F33" i="1"/>
  <c r="AC32" i="1"/>
  <c r="F32" i="1"/>
  <c r="F31" i="1"/>
  <c r="F30" i="1"/>
  <c r="AC29" i="1"/>
  <c r="F29" i="1"/>
  <c r="R28" i="1"/>
  <c r="F28" i="1"/>
  <c r="F27" i="1"/>
  <c r="AC26" i="1"/>
  <c r="R26" i="1"/>
  <c r="I26" i="1"/>
  <c r="F26" i="1"/>
  <c r="F25" i="1"/>
  <c r="AC24" i="1"/>
  <c r="R24" i="1"/>
  <c r="F24" i="1"/>
  <c r="R23" i="1"/>
  <c r="F23" i="1"/>
  <c r="R22" i="1"/>
  <c r="F22" i="1"/>
  <c r="F21" i="1"/>
  <c r="F20" i="1"/>
  <c r="F19" i="1"/>
  <c r="F18" i="1"/>
  <c r="AC17" i="1"/>
  <c r="R17" i="1"/>
  <c r="F17" i="1"/>
  <c r="R16" i="1"/>
  <c r="F16" i="1"/>
  <c r="AC15" i="1"/>
  <c r="R15" i="1"/>
  <c r="F15" i="1"/>
  <c r="R14" i="1"/>
  <c r="F14" i="1"/>
  <c r="AC13" i="1"/>
  <c r="F13" i="1"/>
  <c r="F12" i="1"/>
  <c r="F11" i="1"/>
  <c r="F10" i="1"/>
  <c r="R9" i="1"/>
  <c r="F9" i="1"/>
  <c r="AC8" i="1"/>
  <c r="R8" i="1"/>
  <c r="F8" i="1"/>
  <c r="F7" i="1"/>
  <c r="R6" i="1"/>
  <c r="F6" i="1"/>
  <c r="F5" i="1"/>
</calcChain>
</file>

<file path=xl/comments1.xml><?xml version="1.0" encoding="utf-8"?>
<comments xmlns="http://schemas.openxmlformats.org/spreadsheetml/2006/main">
  <authors>
    <author>Administrator</author>
  </authors>
  <commentList>
    <comment ref="G167" authorId="0">
      <text/>
    </comment>
    <comment ref="P16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技术部领用4.40元
</t>
        </r>
      </text>
    </comment>
    <comment ref="H168" authorId="0">
      <text>
        <r>
          <rPr>
            <sz val="9"/>
            <rFont val="宋体"/>
            <charset val="134"/>
          </rPr>
          <t xml:space="preserve">一车间比例
</t>
        </r>
      </text>
    </comment>
    <comment ref="E169" authorId="0">
      <text>
        <r>
          <rPr>
            <sz val="9"/>
            <rFont val="宋体"/>
            <charset val="134"/>
          </rPr>
          <t xml:space="preserve">涂料+树脂
</t>
        </r>
      </text>
    </comment>
    <comment ref="H169" authorId="0">
      <text>
        <r>
          <rPr>
            <sz val="9"/>
            <rFont val="宋体"/>
            <charset val="134"/>
          </rPr>
          <t xml:space="preserve">二车间比例
</t>
        </r>
      </text>
    </comment>
  </commentList>
</comments>
</file>

<file path=xl/sharedStrings.xml><?xml version="1.0" encoding="utf-8"?>
<sst xmlns="http://schemas.openxmlformats.org/spreadsheetml/2006/main" count="206" uniqueCount="184">
  <si>
    <t>产品名称</t>
  </si>
  <si>
    <t>上月结存</t>
  </si>
  <si>
    <t>本月生产</t>
  </si>
  <si>
    <t>本月退货</t>
  </si>
  <si>
    <t>本月购入</t>
  </si>
  <si>
    <t>本月领用</t>
  </si>
  <si>
    <t>加权平均</t>
  </si>
  <si>
    <t>本月退回</t>
  </si>
  <si>
    <t>本月作废</t>
  </si>
  <si>
    <t>本月样品销售</t>
  </si>
  <si>
    <t>本月销售(成本)</t>
  </si>
  <si>
    <t>本月结存</t>
  </si>
  <si>
    <t>数量</t>
  </si>
  <si>
    <t>单价</t>
  </si>
  <si>
    <t>金额</t>
  </si>
  <si>
    <t>材料</t>
  </si>
  <si>
    <t>直接人工</t>
  </si>
  <si>
    <t>制造费用</t>
  </si>
  <si>
    <t>成本额</t>
  </si>
  <si>
    <t>1302水性转移胶（YZ-02)</t>
  </si>
  <si>
    <t>1306水性转移胶</t>
  </si>
  <si>
    <t>1306T水性转移胶</t>
  </si>
  <si>
    <t>1307水性转移胶</t>
  </si>
  <si>
    <t>1319高光纸复合转移胶水</t>
  </si>
  <si>
    <t>1330水性转移胶</t>
  </si>
  <si>
    <t>1338A水性转移胶</t>
  </si>
  <si>
    <t>1338水性转移胶</t>
  </si>
  <si>
    <t>1338X水性转移胶</t>
  </si>
  <si>
    <t>1345B水性转移胶</t>
  </si>
  <si>
    <t>1347A水性转移胶</t>
  </si>
  <si>
    <t>1347B水性转移胶</t>
  </si>
  <si>
    <t>1348D水性转移胶</t>
  </si>
  <si>
    <t>1348水性转移胶</t>
  </si>
  <si>
    <t>1348B-1水性转移胶</t>
  </si>
  <si>
    <t>1349水性转移胶</t>
  </si>
  <si>
    <t>1350C铝箔复合胶</t>
  </si>
  <si>
    <t>1350铝箔复合胶</t>
  </si>
  <si>
    <t>1357C铝箔复合胶</t>
  </si>
  <si>
    <t>1357D水性转移胶</t>
  </si>
  <si>
    <t>1358水性转移胶</t>
  </si>
  <si>
    <t>1358A水性转移胶</t>
  </si>
  <si>
    <t>1358B-2水性转移胶</t>
  </si>
  <si>
    <t>1359S水性转移胶</t>
  </si>
  <si>
    <t>1360A水性转移胶</t>
  </si>
  <si>
    <t>1360D-1水性转移胶</t>
  </si>
  <si>
    <t>1360F水性转移胶</t>
  </si>
  <si>
    <t>1360H-1(1360H)水性转移胶</t>
  </si>
  <si>
    <t>1360水性转移胶</t>
  </si>
  <si>
    <t>1361A水性转移胶</t>
  </si>
  <si>
    <t>1361B水性转移胶</t>
  </si>
  <si>
    <t>1361水性转移胶</t>
  </si>
  <si>
    <t>1361水性转移胶（改进）</t>
  </si>
  <si>
    <t>1368D水性转移胶</t>
  </si>
  <si>
    <t>1368C水性转移胶</t>
  </si>
  <si>
    <t>1368B水性转移胶</t>
  </si>
  <si>
    <t>1368A水性转移胶</t>
  </si>
  <si>
    <t>1369C水性转移胶</t>
  </si>
  <si>
    <t>1380A水性转移胶</t>
  </si>
  <si>
    <t>1380G-2水性转移胶</t>
  </si>
  <si>
    <t>1381复合胶</t>
  </si>
  <si>
    <t>1381A水性转移胶</t>
  </si>
  <si>
    <t>1383PFT镀铝复合胶</t>
  </si>
  <si>
    <t>1383B复合胶</t>
  </si>
  <si>
    <t>146C水性转移胶</t>
  </si>
  <si>
    <t>149G-1水性转移胶</t>
  </si>
  <si>
    <t>157D水性转移胶</t>
  </si>
  <si>
    <t>231水性背涂乳液</t>
  </si>
  <si>
    <t>302水性转移胶</t>
  </si>
  <si>
    <t>3011A(3011)水性背涂乳液</t>
  </si>
  <si>
    <t>3011A-8水性背涂乳液</t>
  </si>
  <si>
    <t>3012保湿剂</t>
  </si>
  <si>
    <t>3017水性背涂乳液</t>
  </si>
  <si>
    <t>3018保湿剂烟台</t>
  </si>
  <si>
    <t>3020水性背涂乳液（FH021）</t>
  </si>
  <si>
    <t>3025水性背涂乳液</t>
  </si>
  <si>
    <t>3069C(3069)水性背涂乳液</t>
  </si>
  <si>
    <t>3071水性背涂</t>
  </si>
  <si>
    <t>3078水性背涂乳液</t>
  </si>
  <si>
    <t>3078A水性背涂乳液</t>
  </si>
  <si>
    <t>3078H-2水性背涂乳液</t>
  </si>
  <si>
    <t>3078H-1水性背涂乳液</t>
  </si>
  <si>
    <t>3078H-A水性背涂乳液</t>
  </si>
  <si>
    <t>3078H-B水性背涂乳液</t>
  </si>
  <si>
    <t>3078H水性背涂乳液</t>
  </si>
  <si>
    <t>3079B保湿剂</t>
  </si>
  <si>
    <t>3080H水性背涂乳液（3080H-2）</t>
  </si>
  <si>
    <t>3082B水性背涂乳液</t>
  </si>
  <si>
    <t>3262丙烯酸乳液型背涂</t>
  </si>
  <si>
    <t>3269水性背涂乳液</t>
  </si>
  <si>
    <t>519清漆</t>
  </si>
  <si>
    <t>520清漆（UPO-01）</t>
  </si>
  <si>
    <t>520B清漆</t>
  </si>
  <si>
    <t>522清漆</t>
  </si>
  <si>
    <t>525清漆</t>
  </si>
  <si>
    <t>601树脂</t>
  </si>
  <si>
    <t>605NW-3凹印镭射转移树脂</t>
  </si>
  <si>
    <t>605凹印镭射转移树脂</t>
  </si>
  <si>
    <t>606F凹印镭射转移树脂（高固）</t>
  </si>
  <si>
    <t>606NW-3凹印镭射转移树脂</t>
  </si>
  <si>
    <t>606凹印镭射转移树脂</t>
  </si>
  <si>
    <t>606凹印镭射转移涂料（高固）</t>
  </si>
  <si>
    <t>607F-2凹印镭射转移树脂</t>
  </si>
  <si>
    <t>607H凹印镭射转移树脂</t>
  </si>
  <si>
    <t>607Y凹印镭射转移树脂</t>
  </si>
  <si>
    <t>608G-1凹印光银转移树脂</t>
  </si>
  <si>
    <t>608G-B</t>
  </si>
  <si>
    <t>608G凹印光银转移树脂</t>
  </si>
  <si>
    <t>608G-C凹印光银转移树脂</t>
  </si>
  <si>
    <t>608KR-1</t>
  </si>
  <si>
    <t>608KR-2</t>
  </si>
  <si>
    <t>608KR-A1</t>
  </si>
  <si>
    <t>608KR-A2</t>
  </si>
  <si>
    <t>608M凹印光银转移树脂</t>
  </si>
  <si>
    <t>608M-2凹印光银转移树脂</t>
  </si>
  <si>
    <t>608M-5凹印光银转移树脂</t>
  </si>
  <si>
    <t>608凹印镭射转移树脂</t>
  </si>
  <si>
    <t>609C凹印光银转移树脂</t>
  </si>
  <si>
    <t>611S高光转移树脂</t>
  </si>
  <si>
    <t>621B胶印镭射转移树脂</t>
  </si>
  <si>
    <t>621E-2胶印镭射转移树脂</t>
  </si>
  <si>
    <t>621E-3胶印镭射转移树脂</t>
  </si>
  <si>
    <t>621E胶印镭射转移树脂</t>
  </si>
  <si>
    <t>621J胶印镭射转移树脂</t>
  </si>
  <si>
    <t>621J-2胶印镭射转移树脂</t>
  </si>
  <si>
    <t>621J-5胶印镭射转移树脂</t>
  </si>
  <si>
    <t>621J-6胶印镭射转移树脂</t>
  </si>
  <si>
    <t>621J-7胶印镭射转移树脂</t>
  </si>
  <si>
    <t>621J-8胶印镭射转移树脂</t>
  </si>
  <si>
    <t>621H-3胶印镭射转移树脂</t>
  </si>
  <si>
    <t>625A胶印镭射转移树脂</t>
  </si>
  <si>
    <t>625B胶印光银转移树脂</t>
  </si>
  <si>
    <t>625C胶印光银转移树脂</t>
  </si>
  <si>
    <t>BT-01水性背涂乳液</t>
  </si>
  <si>
    <t>CY-138水性转移胶</t>
  </si>
  <si>
    <t>JT-700聚乙烯醇</t>
  </si>
  <si>
    <t>JT-200聚乙烯醇</t>
  </si>
  <si>
    <t>JS-3水性转移胶</t>
  </si>
  <si>
    <t>LY-10700(F15胶)</t>
  </si>
  <si>
    <t>R90水性背涂乳液</t>
  </si>
  <si>
    <t>RX-2034进口转移涂料</t>
  </si>
  <si>
    <t>RZ-0801水性背涂（改良）</t>
  </si>
  <si>
    <t>RZ-3260水性背涂</t>
  </si>
  <si>
    <t>SH-G11背涂</t>
  </si>
  <si>
    <t>W001-BH红色浆,028C-2橙色浆,ZY-01橙色浆中山博海</t>
  </si>
  <si>
    <t>W002-BH黄色浆,ZY-02黄色浆中山博海</t>
  </si>
  <si>
    <t>027H--2黄色浆（190黄粉生产）</t>
  </si>
  <si>
    <t>127-2黄色浆</t>
  </si>
  <si>
    <t>128-2红色浆</t>
  </si>
  <si>
    <t>W05J凹印介质转移树脂（605J）</t>
  </si>
  <si>
    <t>W06凹印镭射转移树脂</t>
  </si>
  <si>
    <t>W07F凹印镭射转移树脂</t>
  </si>
  <si>
    <t>W08G凹印光银转移树脂</t>
  </si>
  <si>
    <t>W22胶印光银转移树脂</t>
  </si>
  <si>
    <t>XB-1206背涂</t>
  </si>
  <si>
    <t>XB-3031A水性转移胶(XB3031A-1)</t>
  </si>
  <si>
    <t>XB-3031B水性转移胶(XB3031B-1)</t>
  </si>
  <si>
    <t>XB-608镭射转移涂料</t>
  </si>
  <si>
    <t>Z018保湿剂</t>
  </si>
  <si>
    <t>Z020A保湿剂</t>
  </si>
  <si>
    <t>Z020B保湿剂</t>
  </si>
  <si>
    <t>Z228保湿剂</t>
  </si>
  <si>
    <t>Z269B保湿剂</t>
  </si>
  <si>
    <t>Z300水性转移胶</t>
  </si>
  <si>
    <t>Z301B水性转移胶</t>
  </si>
  <si>
    <t>Z309水性转移胶</t>
  </si>
  <si>
    <t>Z326PET复合胶</t>
  </si>
  <si>
    <t>Z330水性转移胶</t>
  </si>
  <si>
    <t>Z338水性转移胶</t>
  </si>
  <si>
    <t>Z360水性转移胶</t>
  </si>
  <si>
    <t>Z360A水性转移胶</t>
  </si>
  <si>
    <t>Z362水性转移胶</t>
  </si>
  <si>
    <t>Z380水性转移胶</t>
  </si>
  <si>
    <t>Z383PET复合胶</t>
  </si>
  <si>
    <t>ZTG-013水性转移胶</t>
  </si>
  <si>
    <t>Z345水性转移胶</t>
  </si>
  <si>
    <t>旧涂料</t>
  </si>
  <si>
    <t>苏烟水性光油</t>
  </si>
  <si>
    <t>W2670光油</t>
  </si>
  <si>
    <t>800A水性高光转移树脂</t>
  </si>
  <si>
    <t>水性高光转移树脂</t>
  </si>
  <si>
    <t>合计</t>
  </si>
  <si>
    <t>一车间</t>
  </si>
  <si>
    <t>二车间</t>
  </si>
  <si>
    <t>江西辙炜2019年7月成品产，销，存报表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</si>
</sst>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_ "/>
  </numFmts>
  <fonts count="13" x14ac:knownFonts="1">
    <font>
      <sz val="12"/>
      <color theme="1"/>
      <name val="宋体"/>
      <family val="2"/>
      <charset val="134"/>
      <scheme val="minor"/>
    </font>
    <font>
      <sz val="24"/>
      <name val="宋体"/>
      <charset val="134"/>
    </font>
    <font>
      <sz val="9"/>
      <name val="宋体"/>
      <family val="2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</font>
    <font>
      <sz val="9"/>
      <name val="宋体"/>
      <charset val="134"/>
    </font>
    <font>
      <sz val="10"/>
      <color theme="1"/>
      <name val="宋体"/>
      <charset val="134"/>
      <scheme val="minor"/>
    </font>
    <font>
      <sz val="11"/>
      <color indexed="8"/>
      <name val="Tahoma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1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29">
    <xf numFmtId="0" fontId="0" fillId="0" borderId="0" xfId="0"/>
    <xf numFmtId="176" fontId="1" fillId="0" borderId="1" xfId="0" applyNumberFormat="1" applyFont="1" applyFill="1" applyBorder="1" applyAlignment="1" applyProtection="1">
      <alignment horizontal="center"/>
      <protection locked="0"/>
    </xf>
    <xf numFmtId="177" fontId="1" fillId="0" borderId="1" xfId="0" applyNumberFormat="1" applyFont="1" applyFill="1" applyBorder="1" applyAlignment="1">
      <alignment horizontal="right"/>
    </xf>
    <xf numFmtId="177" fontId="1" fillId="0" borderId="1" xfId="0" applyNumberFormat="1" applyFont="1" applyFill="1" applyBorder="1" applyAlignment="1">
      <alignment horizontal="center"/>
    </xf>
    <xf numFmtId="176" fontId="3" fillId="0" borderId="1" xfId="0" applyNumberFormat="1" applyFont="1" applyFill="1" applyBorder="1" applyAlignment="1" applyProtection="1">
      <alignment horizontal="center" vertical="center"/>
      <protection locked="0"/>
    </xf>
    <xf numFmtId="177" fontId="3" fillId="0" borderId="1" xfId="0" applyNumberFormat="1" applyFont="1" applyFill="1" applyBorder="1" applyAlignment="1">
      <alignment horizontal="center" vertical="center"/>
    </xf>
    <xf numFmtId="177" fontId="3" fillId="0" borderId="2" xfId="0" applyNumberFormat="1" applyFont="1" applyFill="1" applyBorder="1" applyAlignment="1">
      <alignment horizontal="center" vertical="center"/>
    </xf>
    <xf numFmtId="177" fontId="3" fillId="0" borderId="3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3" fillId="0" borderId="4" xfId="0" applyNumberFormat="1" applyFont="1" applyFill="1" applyBorder="1" applyAlignment="1">
      <alignment horizontal="center" vertical="center"/>
    </xf>
    <xf numFmtId="177" fontId="3" fillId="0" borderId="5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right"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 vertical="center"/>
      <protection locked="0"/>
    </xf>
    <xf numFmtId="177" fontId="6" fillId="0" borderId="1" xfId="0" applyNumberFormat="1" applyFont="1" applyFill="1" applyBorder="1" applyAlignment="1">
      <alignment vertical="center"/>
    </xf>
    <xf numFmtId="176" fontId="8" fillId="0" borderId="1" xfId="1" applyNumberFormat="1" applyFont="1" applyFill="1" applyBorder="1" applyAlignment="1" applyProtection="1">
      <alignment horizontal="left"/>
      <protection locked="0"/>
    </xf>
    <xf numFmtId="176" fontId="8" fillId="0" borderId="1" xfId="2" applyNumberFormat="1" applyFont="1" applyFill="1" applyBorder="1" applyAlignment="1" applyProtection="1">
      <alignment horizontal="left"/>
      <protection locked="0"/>
    </xf>
    <xf numFmtId="176" fontId="8" fillId="0" borderId="1" xfId="0" applyNumberFormat="1" applyFont="1" applyFill="1" applyBorder="1" applyAlignment="1" applyProtection="1">
      <alignment horizontal="left"/>
      <protection locked="0"/>
    </xf>
    <xf numFmtId="177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76" fontId="9" fillId="2" borderId="1" xfId="0" applyNumberFormat="1" applyFont="1" applyFill="1" applyBorder="1" applyAlignment="1" applyProtection="1">
      <alignment horizontal="left" wrapText="1"/>
      <protection locked="0"/>
    </xf>
    <xf numFmtId="177" fontId="6" fillId="0" borderId="1" xfId="0" applyNumberFormat="1" applyFont="1" applyFill="1" applyBorder="1" applyAlignment="1">
      <alignment vertical="center" wrapText="1"/>
    </xf>
    <xf numFmtId="177" fontId="10" fillId="0" borderId="1" xfId="0" applyNumberFormat="1" applyFont="1" applyFill="1" applyBorder="1" applyAlignment="1">
      <alignment vertical="center" wrapText="1"/>
    </xf>
    <xf numFmtId="176" fontId="8" fillId="2" borderId="1" xfId="0" applyNumberFormat="1" applyFont="1" applyFill="1" applyBorder="1" applyAlignment="1" applyProtection="1">
      <alignment horizontal="left" wrapText="1"/>
      <protection locked="0"/>
    </xf>
    <xf numFmtId="177" fontId="0" fillId="0" borderId="1" xfId="0" applyNumberFormat="1" applyFill="1" applyBorder="1" applyAlignment="1">
      <alignment vertical="center" wrapText="1"/>
    </xf>
    <xf numFmtId="176" fontId="9" fillId="0" borderId="1" xfId="0" applyNumberFormat="1" applyFont="1" applyFill="1" applyBorder="1" applyAlignment="1" applyProtection="1">
      <alignment horizontal="left"/>
      <protection locked="0"/>
    </xf>
    <xf numFmtId="177" fontId="10" fillId="0" borderId="1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77" fontId="0" fillId="0" borderId="0" xfId="0" applyNumberFormat="1" applyFill="1" applyBorder="1" applyAlignment="1">
      <alignment vertical="center"/>
    </xf>
  </cellXfs>
  <cellStyles count="3">
    <cellStyle name="常规 2 2 4" xfId="1"/>
    <cellStyle name="常规 6" xfId="2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69"/>
  <sheetViews>
    <sheetView tabSelected="1" workbookViewId="0">
      <selection activeCell="D36" sqref="D36"/>
    </sheetView>
  </sheetViews>
  <sheetFormatPr baseColWidth="10" defaultRowHeight="15" x14ac:dyDescent="0"/>
  <cols>
    <col min="19" max="19" width="15.83203125" customWidth="1"/>
    <col min="30" max="30" width="17" customWidth="1"/>
  </cols>
  <sheetData>
    <row r="1" spans="1:30" ht="27">
      <c r="A1" s="1" t="s">
        <v>183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>
      <c r="A2" s="4" t="s">
        <v>0</v>
      </c>
      <c r="B2" s="5" t="s">
        <v>1</v>
      </c>
      <c r="C2" s="5"/>
      <c r="D2" s="5"/>
      <c r="E2" s="5" t="s">
        <v>2</v>
      </c>
      <c r="F2" s="5"/>
      <c r="G2" s="5"/>
      <c r="H2" s="5"/>
      <c r="I2" s="5"/>
      <c r="J2" s="5"/>
      <c r="K2" s="5" t="s">
        <v>3</v>
      </c>
      <c r="L2" s="5"/>
      <c r="M2" s="5" t="s">
        <v>4</v>
      </c>
      <c r="N2" s="5"/>
      <c r="O2" s="5" t="s">
        <v>5</v>
      </c>
      <c r="P2" s="5"/>
      <c r="Q2" s="5" t="s">
        <v>6</v>
      </c>
      <c r="R2" s="5"/>
      <c r="S2" s="5"/>
      <c r="T2" s="6" t="s">
        <v>7</v>
      </c>
      <c r="U2" s="7"/>
      <c r="V2" s="5" t="s">
        <v>8</v>
      </c>
      <c r="W2" s="5"/>
      <c r="X2" s="6" t="s">
        <v>9</v>
      </c>
      <c r="Y2" s="7"/>
      <c r="Z2" s="8" t="s">
        <v>10</v>
      </c>
      <c r="AA2" s="8"/>
      <c r="AB2" s="5" t="s">
        <v>11</v>
      </c>
      <c r="AC2" s="5"/>
      <c r="AD2" s="5"/>
    </row>
    <row r="3" spans="1:30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9"/>
      <c r="U3" s="10"/>
      <c r="V3" s="5"/>
      <c r="W3" s="5"/>
      <c r="X3" s="9"/>
      <c r="Y3" s="10"/>
      <c r="Z3" s="8"/>
      <c r="AA3" s="8"/>
      <c r="AB3" s="5"/>
      <c r="AC3" s="5"/>
      <c r="AD3" s="5"/>
    </row>
    <row r="4" spans="1:30">
      <c r="A4" s="4"/>
      <c r="B4" s="11" t="s">
        <v>12</v>
      </c>
      <c r="C4" s="12" t="s">
        <v>13</v>
      </c>
      <c r="D4" s="12" t="s">
        <v>14</v>
      </c>
      <c r="E4" s="12" t="s">
        <v>12</v>
      </c>
      <c r="F4" s="12" t="s">
        <v>13</v>
      </c>
      <c r="G4" s="12" t="s">
        <v>15</v>
      </c>
      <c r="H4" s="12" t="s">
        <v>16</v>
      </c>
      <c r="I4" s="12" t="s">
        <v>17</v>
      </c>
      <c r="J4" s="12" t="s">
        <v>14</v>
      </c>
      <c r="K4" s="12" t="s">
        <v>12</v>
      </c>
      <c r="L4" s="12" t="s">
        <v>14</v>
      </c>
      <c r="M4" s="12" t="s">
        <v>12</v>
      </c>
      <c r="N4" s="12" t="s">
        <v>14</v>
      </c>
      <c r="O4" s="12" t="s">
        <v>12</v>
      </c>
      <c r="P4" s="12" t="s">
        <v>14</v>
      </c>
      <c r="Q4" s="12" t="s">
        <v>12</v>
      </c>
      <c r="R4" s="12" t="s">
        <v>13</v>
      </c>
      <c r="S4" s="12" t="s">
        <v>14</v>
      </c>
      <c r="T4" s="12" t="s">
        <v>12</v>
      </c>
      <c r="U4" s="12" t="s">
        <v>14</v>
      </c>
      <c r="V4" s="12" t="s">
        <v>12</v>
      </c>
      <c r="W4" s="12" t="s">
        <v>14</v>
      </c>
      <c r="X4" s="12" t="s">
        <v>12</v>
      </c>
      <c r="Y4" s="12" t="s">
        <v>14</v>
      </c>
      <c r="Z4" s="12" t="s">
        <v>12</v>
      </c>
      <c r="AA4" s="12" t="s">
        <v>18</v>
      </c>
      <c r="AB4" s="12" t="s">
        <v>12</v>
      </c>
      <c r="AC4" s="12" t="s">
        <v>13</v>
      </c>
      <c r="AD4" s="12" t="s">
        <v>14</v>
      </c>
    </row>
    <row r="5" spans="1:30">
      <c r="A5" s="13" t="s">
        <v>19</v>
      </c>
      <c r="B5" s="14">
        <v>2600</v>
      </c>
      <c r="C5" s="14"/>
      <c r="D5" s="14">
        <v>22577.995436630299</v>
      </c>
      <c r="E5" s="14">
        <f>2000+1000+2000</f>
        <v>5000</v>
      </c>
      <c r="F5" s="14">
        <f>J5/E5</f>
        <v>8.0904170234039743</v>
      </c>
      <c r="G5" s="14">
        <v>38450</v>
      </c>
      <c r="H5" s="14">
        <f>E5*$H$168</f>
        <v>1082.2008830130007</v>
      </c>
      <c r="I5" s="14">
        <f>E5*$I$168</f>
        <v>919.88423400687111</v>
      </c>
      <c r="J5" s="14">
        <f>G5+H5+I5</f>
        <v>40452.085117019873</v>
      </c>
      <c r="K5" s="14"/>
      <c r="L5" s="14"/>
      <c r="M5" s="14"/>
      <c r="N5" s="14"/>
      <c r="O5" s="14"/>
      <c r="P5" s="14"/>
      <c r="Q5" s="14">
        <f t="shared" ref="Q5:Q38" si="0">B5+E5+K5+M5-O5</f>
        <v>7600</v>
      </c>
      <c r="R5" s="14">
        <f t="shared" ref="R5:R68" si="1">S5/Q5</f>
        <v>8.2934316517960749</v>
      </c>
      <c r="S5" s="14">
        <f>D5+J5+L5+N5-P5</f>
        <v>63030.080553650172</v>
      </c>
      <c r="T5" s="14"/>
      <c r="U5" s="14"/>
      <c r="V5" s="14"/>
      <c r="W5" s="14"/>
      <c r="X5" s="14"/>
      <c r="Y5" s="14"/>
      <c r="Z5" s="14">
        <f>2000+600+2000+1000+2000</f>
        <v>7600</v>
      </c>
      <c r="AA5" s="14">
        <f>R5*Z5</f>
        <v>63030.080553650172</v>
      </c>
      <c r="AB5" s="14">
        <f t="shared" ref="AB5:AB68" si="2">Q5-T5-V5-X5-Z5</f>
        <v>0</v>
      </c>
      <c r="AC5" s="14"/>
      <c r="AD5" s="14">
        <f t="shared" ref="AD5:AD42" si="3">S5-U5-W5-Y5-AA5</f>
        <v>0</v>
      </c>
    </row>
    <row r="6" spans="1:30">
      <c r="A6" s="13" t="s">
        <v>20</v>
      </c>
      <c r="B6" s="14">
        <v>0</v>
      </c>
      <c r="C6" s="14"/>
      <c r="D6" s="14">
        <v>0</v>
      </c>
      <c r="E6" s="14"/>
      <c r="F6" s="14" t="e">
        <f t="shared" ref="F6:F69" si="4">J6/E6</f>
        <v>#DIV/0!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>
        <f t="shared" si="0"/>
        <v>0</v>
      </c>
      <c r="R6" s="14" t="e">
        <f t="shared" si="1"/>
        <v>#DIV/0!</v>
      </c>
      <c r="S6" s="14">
        <f t="shared" ref="S6:S69" si="5">D6+J6+L6+N6-P6</f>
        <v>0</v>
      </c>
      <c r="T6" s="14"/>
      <c r="U6" s="14"/>
      <c r="V6" s="14"/>
      <c r="W6" s="14"/>
      <c r="X6" s="14"/>
      <c r="Y6" s="14"/>
      <c r="Z6" s="14"/>
      <c r="AA6" s="14"/>
      <c r="AB6" s="14">
        <f t="shared" si="2"/>
        <v>0</v>
      </c>
      <c r="AC6" s="14"/>
      <c r="AD6" s="14">
        <f t="shared" si="3"/>
        <v>0</v>
      </c>
    </row>
    <row r="7" spans="1:30">
      <c r="A7" s="13" t="s">
        <v>21</v>
      </c>
      <c r="B7" s="14">
        <v>0</v>
      </c>
      <c r="C7" s="14"/>
      <c r="D7" s="14">
        <v>0</v>
      </c>
      <c r="E7" s="14">
        <f>2000+3000</f>
        <v>5000</v>
      </c>
      <c r="F7" s="14">
        <f t="shared" si="4"/>
        <v>8.1040730234039735</v>
      </c>
      <c r="G7" s="14">
        <v>38518.28</v>
      </c>
      <c r="H7" s="14">
        <f t="shared" ref="H7:H33" si="6">E7*$H$168</f>
        <v>1082.2008830130007</v>
      </c>
      <c r="I7" s="14">
        <f t="shared" ref="I7:I33" si="7">E7*$I$168</f>
        <v>919.88423400687111</v>
      </c>
      <c r="J7" s="14">
        <f t="shared" ref="J7:J33" si="8">G7+H7+I7</f>
        <v>40520.365117019872</v>
      </c>
      <c r="K7" s="14"/>
      <c r="L7" s="14"/>
      <c r="M7" s="14"/>
      <c r="N7" s="14"/>
      <c r="O7" s="14"/>
      <c r="P7" s="14"/>
      <c r="Q7" s="14">
        <f t="shared" si="0"/>
        <v>5000</v>
      </c>
      <c r="R7" s="14">
        <f t="shared" si="1"/>
        <v>8.1040730234039735</v>
      </c>
      <c r="S7" s="14">
        <f t="shared" si="5"/>
        <v>40520.365117019872</v>
      </c>
      <c r="T7" s="14"/>
      <c r="U7" s="14"/>
      <c r="V7" s="14"/>
      <c r="W7" s="14"/>
      <c r="X7" s="14"/>
      <c r="Y7" s="14"/>
      <c r="Z7" s="14">
        <f>2000+3000</f>
        <v>5000</v>
      </c>
      <c r="AA7" s="14">
        <f>R7*Z7</f>
        <v>40520.365117019865</v>
      </c>
      <c r="AB7" s="14">
        <f t="shared" si="2"/>
        <v>0</v>
      </c>
      <c r="AC7" s="14"/>
      <c r="AD7" s="14">
        <f t="shared" si="3"/>
        <v>0</v>
      </c>
    </row>
    <row r="8" spans="1:30">
      <c r="A8" s="13" t="s">
        <v>22</v>
      </c>
      <c r="B8" s="14">
        <v>48</v>
      </c>
      <c r="C8" s="14"/>
      <c r="D8" s="14">
        <v>-26.2438529620512</v>
      </c>
      <c r="E8" s="14"/>
      <c r="F8" s="14" t="e">
        <f t="shared" si="4"/>
        <v>#DIV/0!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f t="shared" si="0"/>
        <v>48</v>
      </c>
      <c r="R8" s="14">
        <f t="shared" si="1"/>
        <v>-0.5467469367094</v>
      </c>
      <c r="S8" s="14">
        <f t="shared" si="5"/>
        <v>-26.2438529620512</v>
      </c>
      <c r="T8" s="14"/>
      <c r="U8" s="14"/>
      <c r="V8" s="14"/>
      <c r="W8" s="14"/>
      <c r="X8" s="14">
        <v>30</v>
      </c>
      <c r="Y8" s="14">
        <v>0</v>
      </c>
      <c r="Z8" s="14"/>
      <c r="AA8" s="14">
        <v>-175</v>
      </c>
      <c r="AB8" s="14">
        <f t="shared" si="2"/>
        <v>18</v>
      </c>
      <c r="AC8" s="14">
        <f>AD8/AB8</f>
        <v>8.264230390997156</v>
      </c>
      <c r="AD8" s="14">
        <f t="shared" si="3"/>
        <v>148.75614703794881</v>
      </c>
    </row>
    <row r="9" spans="1:30">
      <c r="A9" s="13" t="s">
        <v>23</v>
      </c>
      <c r="B9" s="14">
        <v>0</v>
      </c>
      <c r="C9" s="14"/>
      <c r="D9" s="14">
        <v>0</v>
      </c>
      <c r="E9" s="14"/>
      <c r="F9" s="14" t="e">
        <f t="shared" si="4"/>
        <v>#DIV/0!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>
        <f t="shared" si="0"/>
        <v>0</v>
      </c>
      <c r="R9" s="14" t="e">
        <f t="shared" si="1"/>
        <v>#DIV/0!</v>
      </c>
      <c r="S9" s="14">
        <f t="shared" si="5"/>
        <v>0</v>
      </c>
      <c r="T9" s="14"/>
      <c r="U9" s="14"/>
      <c r="V9" s="14"/>
      <c r="W9" s="14"/>
      <c r="X9" s="14"/>
      <c r="Y9" s="14"/>
      <c r="Z9" s="14"/>
      <c r="AA9" s="14"/>
      <c r="AB9" s="14">
        <f t="shared" si="2"/>
        <v>0</v>
      </c>
      <c r="AC9" s="14"/>
      <c r="AD9" s="14">
        <f t="shared" si="3"/>
        <v>0</v>
      </c>
    </row>
    <row r="10" spans="1:30">
      <c r="A10" s="13" t="s">
        <v>24</v>
      </c>
      <c r="B10" s="14">
        <v>0</v>
      </c>
      <c r="C10" s="14"/>
      <c r="D10" s="14">
        <v>0</v>
      </c>
      <c r="E10" s="14">
        <v>1000</v>
      </c>
      <c r="F10" s="14">
        <f t="shared" si="4"/>
        <v>8.0704170234039747</v>
      </c>
      <c r="G10" s="14">
        <v>7670</v>
      </c>
      <c r="H10" s="14">
        <f t="shared" si="6"/>
        <v>216.44017660260016</v>
      </c>
      <c r="I10" s="14">
        <f t="shared" si="7"/>
        <v>183.97684680137422</v>
      </c>
      <c r="J10" s="14">
        <f t="shared" si="8"/>
        <v>8070.4170234039748</v>
      </c>
      <c r="K10" s="14"/>
      <c r="L10" s="14"/>
      <c r="M10" s="14"/>
      <c r="N10" s="14"/>
      <c r="O10" s="14"/>
      <c r="P10" s="14"/>
      <c r="Q10" s="14">
        <f t="shared" si="0"/>
        <v>1000</v>
      </c>
      <c r="R10" s="14">
        <f t="shared" si="1"/>
        <v>8.0704170234039747</v>
      </c>
      <c r="S10" s="14">
        <f t="shared" si="5"/>
        <v>8070.4170234039748</v>
      </c>
      <c r="T10" s="14"/>
      <c r="U10" s="14"/>
      <c r="V10" s="14"/>
      <c r="W10" s="14"/>
      <c r="X10" s="14"/>
      <c r="Y10" s="14"/>
      <c r="Z10" s="14">
        <v>1000</v>
      </c>
      <c r="AA10" s="14">
        <f>R10*Z10</f>
        <v>8070.4170234039748</v>
      </c>
      <c r="AB10" s="14">
        <f t="shared" si="2"/>
        <v>0</v>
      </c>
      <c r="AC10" s="14"/>
      <c r="AD10" s="14">
        <f t="shared" si="3"/>
        <v>0</v>
      </c>
    </row>
    <row r="11" spans="1:30">
      <c r="A11" s="13" t="s">
        <v>25</v>
      </c>
      <c r="B11" s="14">
        <v>0</v>
      </c>
      <c r="C11" s="14"/>
      <c r="D11" s="14">
        <v>0</v>
      </c>
      <c r="E11" s="14">
        <v>1000</v>
      </c>
      <c r="F11" s="14">
        <f t="shared" si="4"/>
        <v>9.1804170234039741</v>
      </c>
      <c r="G11" s="14">
        <v>8780</v>
      </c>
      <c r="H11" s="14">
        <f t="shared" si="6"/>
        <v>216.44017660260016</v>
      </c>
      <c r="I11" s="14">
        <f t="shared" si="7"/>
        <v>183.97684680137422</v>
      </c>
      <c r="J11" s="14">
        <f t="shared" si="8"/>
        <v>9180.4170234039739</v>
      </c>
      <c r="K11" s="14"/>
      <c r="L11" s="14"/>
      <c r="M11" s="14"/>
      <c r="N11" s="14"/>
      <c r="O11" s="14"/>
      <c r="P11" s="14"/>
      <c r="Q11" s="14">
        <f t="shared" si="0"/>
        <v>1000</v>
      </c>
      <c r="R11" s="14">
        <f t="shared" si="1"/>
        <v>9.1804170234039741</v>
      </c>
      <c r="S11" s="14">
        <f t="shared" si="5"/>
        <v>9180.4170234039739</v>
      </c>
      <c r="T11" s="14"/>
      <c r="U11" s="14"/>
      <c r="V11" s="14"/>
      <c r="W11" s="14"/>
      <c r="X11" s="14"/>
      <c r="Y11" s="14"/>
      <c r="Z11" s="14">
        <v>1000</v>
      </c>
      <c r="AA11" s="14">
        <f>R11*Z11</f>
        <v>9180.4170234039739</v>
      </c>
      <c r="AB11" s="14">
        <f t="shared" si="2"/>
        <v>0</v>
      </c>
      <c r="AC11" s="14"/>
      <c r="AD11" s="14">
        <f t="shared" si="3"/>
        <v>0</v>
      </c>
    </row>
    <row r="12" spans="1:30">
      <c r="A12" s="13" t="s">
        <v>26</v>
      </c>
      <c r="B12" s="14">
        <v>0</v>
      </c>
      <c r="C12" s="14"/>
      <c r="D12" s="14">
        <v>0</v>
      </c>
      <c r="E12" s="14">
        <v>100</v>
      </c>
      <c r="F12" s="14">
        <f t="shared" si="4"/>
        <v>8.0704170234039747</v>
      </c>
      <c r="G12" s="14">
        <v>767</v>
      </c>
      <c r="H12" s="14">
        <f t="shared" si="6"/>
        <v>21.644017660260015</v>
      </c>
      <c r="I12" s="14">
        <f t="shared" si="7"/>
        <v>18.39768468013742</v>
      </c>
      <c r="J12" s="14">
        <f t="shared" si="8"/>
        <v>807.04170234039748</v>
      </c>
      <c r="K12" s="14"/>
      <c r="L12" s="14"/>
      <c r="M12" s="14"/>
      <c r="N12" s="14"/>
      <c r="O12" s="14"/>
      <c r="P12" s="14"/>
      <c r="Q12" s="14">
        <f t="shared" si="0"/>
        <v>100</v>
      </c>
      <c r="R12" s="14">
        <f t="shared" si="1"/>
        <v>8.0704170234039747</v>
      </c>
      <c r="S12" s="14">
        <f t="shared" si="5"/>
        <v>807.04170234039748</v>
      </c>
      <c r="T12" s="14"/>
      <c r="U12" s="14"/>
      <c r="V12" s="14"/>
      <c r="W12" s="14"/>
      <c r="X12" s="14"/>
      <c r="Y12" s="14"/>
      <c r="Z12" s="14">
        <v>100</v>
      </c>
      <c r="AA12" s="14">
        <f>R12*Z12</f>
        <v>807.04170234039748</v>
      </c>
      <c r="AB12" s="14">
        <f t="shared" si="2"/>
        <v>0</v>
      </c>
      <c r="AC12" s="14"/>
      <c r="AD12" s="14">
        <f t="shared" si="3"/>
        <v>0</v>
      </c>
    </row>
    <row r="13" spans="1:30">
      <c r="A13" s="13" t="s">
        <v>27</v>
      </c>
      <c r="B13" s="14">
        <v>50</v>
      </c>
      <c r="C13" s="14"/>
      <c r="D13" s="14">
        <v>434.50541969888201</v>
      </c>
      <c r="E13" s="14">
        <f>40+1000</f>
        <v>1040</v>
      </c>
      <c r="F13" s="14">
        <f t="shared" si="4"/>
        <v>8.6821958695578196</v>
      </c>
      <c r="G13" s="14">
        <v>8613.0499999999993</v>
      </c>
      <c r="H13" s="14">
        <f t="shared" si="6"/>
        <v>225.09778366670415</v>
      </c>
      <c r="I13" s="14">
        <f t="shared" si="7"/>
        <v>191.33592067342917</v>
      </c>
      <c r="J13" s="14">
        <f t="shared" si="8"/>
        <v>9029.483704340133</v>
      </c>
      <c r="K13" s="14"/>
      <c r="L13" s="14"/>
      <c r="M13" s="14"/>
      <c r="N13" s="14"/>
      <c r="O13" s="14"/>
      <c r="P13" s="14"/>
      <c r="Q13" s="14">
        <f t="shared" si="0"/>
        <v>1090</v>
      </c>
      <c r="R13" s="14">
        <f t="shared" si="1"/>
        <v>8.6825588293935922</v>
      </c>
      <c r="S13" s="14">
        <f t="shared" si="5"/>
        <v>9463.9891240390152</v>
      </c>
      <c r="T13" s="14"/>
      <c r="U13" s="14"/>
      <c r="V13" s="14"/>
      <c r="W13" s="14"/>
      <c r="X13" s="14">
        <v>40</v>
      </c>
      <c r="Y13" s="14">
        <f>R13*X13</f>
        <v>347.30235317574369</v>
      </c>
      <c r="Z13" s="14">
        <v>1000</v>
      </c>
      <c r="AA13" s="14">
        <f>R13*Z13</f>
        <v>8682.5588293935925</v>
      </c>
      <c r="AB13" s="14">
        <f t="shared" si="2"/>
        <v>50</v>
      </c>
      <c r="AC13" s="14">
        <f>AD13/AB13</f>
        <v>8.6825588293935656</v>
      </c>
      <c r="AD13" s="14">
        <f t="shared" si="3"/>
        <v>434.12794146967826</v>
      </c>
    </row>
    <row r="14" spans="1:30">
      <c r="A14" s="13" t="s">
        <v>28</v>
      </c>
      <c r="B14" s="14">
        <v>0</v>
      </c>
      <c r="C14" s="14"/>
      <c r="D14" s="14">
        <v>0</v>
      </c>
      <c r="E14" s="14"/>
      <c r="F14" s="14" t="e">
        <f t="shared" si="4"/>
        <v>#DIV/0!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f t="shared" si="0"/>
        <v>0</v>
      </c>
      <c r="R14" s="14" t="e">
        <f t="shared" si="1"/>
        <v>#DIV/0!</v>
      </c>
      <c r="S14" s="14">
        <f t="shared" si="5"/>
        <v>0</v>
      </c>
      <c r="T14" s="14"/>
      <c r="U14" s="14"/>
      <c r="V14" s="14"/>
      <c r="W14" s="14"/>
      <c r="X14" s="14"/>
      <c r="Y14" s="14"/>
      <c r="Z14" s="14"/>
      <c r="AA14" s="14"/>
      <c r="AB14" s="14">
        <f t="shared" si="2"/>
        <v>0</v>
      </c>
      <c r="AC14" s="14"/>
      <c r="AD14" s="14">
        <f t="shared" si="3"/>
        <v>0</v>
      </c>
    </row>
    <row r="15" spans="1:30">
      <c r="A15" s="13" t="s">
        <v>29</v>
      </c>
      <c r="B15" s="14">
        <v>100</v>
      </c>
      <c r="C15" s="14"/>
      <c r="D15" s="14">
        <v>1356.5206990132499</v>
      </c>
      <c r="E15" s="14"/>
      <c r="F15" s="14" t="e">
        <f t="shared" si="4"/>
        <v>#DIV/0!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f t="shared" si="0"/>
        <v>100</v>
      </c>
      <c r="R15" s="14">
        <f t="shared" si="1"/>
        <v>13.565206990132499</v>
      </c>
      <c r="S15" s="14">
        <f t="shared" si="5"/>
        <v>1356.5206990132499</v>
      </c>
      <c r="T15" s="14"/>
      <c r="U15" s="14"/>
      <c r="V15" s="14"/>
      <c r="W15" s="14"/>
      <c r="X15" s="14"/>
      <c r="Y15" s="14"/>
      <c r="Z15" s="14"/>
      <c r="AA15" s="14"/>
      <c r="AB15" s="14">
        <f t="shared" si="2"/>
        <v>100</v>
      </c>
      <c r="AC15" s="14">
        <f>AD15/AB15</f>
        <v>13.565206990132499</v>
      </c>
      <c r="AD15" s="14">
        <f t="shared" si="3"/>
        <v>1356.5206990132499</v>
      </c>
    </row>
    <row r="16" spans="1:30">
      <c r="A16" s="13" t="s">
        <v>30</v>
      </c>
      <c r="B16" s="14">
        <v>0</v>
      </c>
      <c r="C16" s="14"/>
      <c r="D16" s="14">
        <v>0</v>
      </c>
      <c r="E16" s="14"/>
      <c r="F16" s="14" t="e">
        <f t="shared" si="4"/>
        <v>#DIV/0!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f t="shared" si="0"/>
        <v>0</v>
      </c>
      <c r="R16" s="14" t="e">
        <f t="shared" si="1"/>
        <v>#DIV/0!</v>
      </c>
      <c r="S16" s="14">
        <f t="shared" si="5"/>
        <v>0</v>
      </c>
      <c r="T16" s="14"/>
      <c r="U16" s="14"/>
      <c r="V16" s="14"/>
      <c r="W16" s="14"/>
      <c r="X16" s="14"/>
      <c r="Y16" s="14"/>
      <c r="Z16" s="14"/>
      <c r="AA16" s="14"/>
      <c r="AB16" s="14">
        <f t="shared" si="2"/>
        <v>0</v>
      </c>
      <c r="AC16" s="14"/>
      <c r="AD16" s="14">
        <f t="shared" si="3"/>
        <v>0</v>
      </c>
    </row>
    <row r="17" spans="1:30">
      <c r="A17" s="13" t="s">
        <v>31</v>
      </c>
      <c r="B17" s="14">
        <v>200</v>
      </c>
      <c r="C17" s="14"/>
      <c r="D17" s="14">
        <v>2100</v>
      </c>
      <c r="E17" s="14"/>
      <c r="F17" s="14" t="e">
        <f t="shared" si="4"/>
        <v>#DIV/0!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f t="shared" si="0"/>
        <v>200</v>
      </c>
      <c r="R17" s="14">
        <f t="shared" si="1"/>
        <v>10.5</v>
      </c>
      <c r="S17" s="14">
        <f t="shared" si="5"/>
        <v>2100</v>
      </c>
      <c r="T17" s="14"/>
      <c r="U17" s="14"/>
      <c r="V17" s="14"/>
      <c r="W17" s="14"/>
      <c r="X17" s="14"/>
      <c r="Y17" s="14"/>
      <c r="Z17" s="14"/>
      <c r="AA17" s="14"/>
      <c r="AB17" s="14">
        <f t="shared" si="2"/>
        <v>200</v>
      </c>
      <c r="AC17" s="14">
        <f>AD17/AB17</f>
        <v>10.5</v>
      </c>
      <c r="AD17" s="14">
        <f t="shared" si="3"/>
        <v>2100</v>
      </c>
    </row>
    <row r="18" spans="1:30">
      <c r="A18" s="13" t="s">
        <v>32</v>
      </c>
      <c r="B18" s="14">
        <v>0</v>
      </c>
      <c r="C18" s="14"/>
      <c r="D18" s="14">
        <v>0</v>
      </c>
      <c r="E18" s="14">
        <f>3000+3000+2000+2000</f>
        <v>10000</v>
      </c>
      <c r="F18" s="14">
        <f t="shared" si="4"/>
        <v>8.536437023403975</v>
      </c>
      <c r="G18" s="14">
        <v>81360.2</v>
      </c>
      <c r="H18" s="14">
        <f t="shared" si="6"/>
        <v>2164.4017660260015</v>
      </c>
      <c r="I18" s="14">
        <f t="shared" si="7"/>
        <v>1839.7684680137422</v>
      </c>
      <c r="J18" s="14">
        <f t="shared" si="8"/>
        <v>85364.370234039743</v>
      </c>
      <c r="K18" s="14"/>
      <c r="L18" s="14"/>
      <c r="M18" s="14"/>
      <c r="N18" s="14"/>
      <c r="O18" s="14"/>
      <c r="P18" s="14"/>
      <c r="Q18" s="14">
        <f t="shared" si="0"/>
        <v>10000</v>
      </c>
      <c r="R18" s="14">
        <f t="shared" si="1"/>
        <v>8.536437023403975</v>
      </c>
      <c r="S18" s="14">
        <f t="shared" si="5"/>
        <v>85364.370234039743</v>
      </c>
      <c r="T18" s="14"/>
      <c r="U18" s="14"/>
      <c r="V18" s="14"/>
      <c r="W18" s="14"/>
      <c r="X18" s="14"/>
      <c r="Y18" s="14"/>
      <c r="Z18" s="14">
        <f>3000+3000+2000+2000</f>
        <v>10000</v>
      </c>
      <c r="AA18" s="14">
        <f>R18*Z18</f>
        <v>85364.370234039743</v>
      </c>
      <c r="AB18" s="14">
        <f t="shared" si="2"/>
        <v>0</v>
      </c>
      <c r="AC18" s="14"/>
      <c r="AD18" s="14">
        <f t="shared" si="3"/>
        <v>0</v>
      </c>
    </row>
    <row r="19" spans="1:30">
      <c r="A19" s="13" t="s">
        <v>33</v>
      </c>
      <c r="B19" s="14">
        <v>0</v>
      </c>
      <c r="C19" s="14"/>
      <c r="D19" s="14">
        <v>0</v>
      </c>
      <c r="E19" s="14">
        <f>2000+3000</f>
        <v>5000</v>
      </c>
      <c r="F19" s="14">
        <f t="shared" si="4"/>
        <v>8.0904170234039743</v>
      </c>
      <c r="G19" s="14">
        <v>38450</v>
      </c>
      <c r="H19" s="14">
        <f t="shared" si="6"/>
        <v>1082.2008830130007</v>
      </c>
      <c r="I19" s="14">
        <f t="shared" si="7"/>
        <v>919.88423400687111</v>
      </c>
      <c r="J19" s="14">
        <f t="shared" si="8"/>
        <v>40452.085117019873</v>
      </c>
      <c r="K19" s="14"/>
      <c r="L19" s="14"/>
      <c r="M19" s="14"/>
      <c r="N19" s="14"/>
      <c r="O19" s="14"/>
      <c r="P19" s="14"/>
      <c r="Q19" s="14">
        <f t="shared" si="0"/>
        <v>5000</v>
      </c>
      <c r="R19" s="14">
        <f t="shared" si="1"/>
        <v>8.0904170234039743</v>
      </c>
      <c r="S19" s="14">
        <f t="shared" si="5"/>
        <v>40452.085117019873</v>
      </c>
      <c r="T19" s="14"/>
      <c r="U19" s="14"/>
      <c r="V19" s="14"/>
      <c r="W19" s="14"/>
      <c r="X19" s="14"/>
      <c r="Y19" s="14"/>
      <c r="Z19" s="14">
        <f>2000+3000</f>
        <v>5000</v>
      </c>
      <c r="AA19" s="14">
        <f>R19*Z19</f>
        <v>40452.085117019873</v>
      </c>
      <c r="AB19" s="14">
        <f t="shared" si="2"/>
        <v>0</v>
      </c>
      <c r="AC19" s="14"/>
      <c r="AD19" s="14">
        <f t="shared" si="3"/>
        <v>0</v>
      </c>
    </row>
    <row r="20" spans="1:30">
      <c r="A20" s="13" t="s">
        <v>34</v>
      </c>
      <c r="B20" s="14">
        <v>0</v>
      </c>
      <c r="C20" s="14"/>
      <c r="D20" s="14">
        <v>0</v>
      </c>
      <c r="E20" s="14">
        <v>100</v>
      </c>
      <c r="F20" s="14">
        <f t="shared" si="4"/>
        <v>8.0904170234039743</v>
      </c>
      <c r="G20" s="14">
        <v>769</v>
      </c>
      <c r="H20" s="14">
        <f t="shared" si="6"/>
        <v>21.644017660260015</v>
      </c>
      <c r="I20" s="14">
        <f t="shared" si="7"/>
        <v>18.39768468013742</v>
      </c>
      <c r="J20" s="14">
        <f t="shared" si="8"/>
        <v>809.04170234039748</v>
      </c>
      <c r="K20" s="14"/>
      <c r="L20" s="14"/>
      <c r="M20" s="14"/>
      <c r="N20" s="14"/>
      <c r="O20" s="14"/>
      <c r="P20" s="14"/>
      <c r="Q20" s="14">
        <f t="shared" si="0"/>
        <v>100</v>
      </c>
      <c r="R20" s="14">
        <f t="shared" si="1"/>
        <v>8.0904170234039743</v>
      </c>
      <c r="S20" s="14">
        <f t="shared" si="5"/>
        <v>809.04170234039748</v>
      </c>
      <c r="T20" s="14"/>
      <c r="U20" s="14"/>
      <c r="V20" s="14"/>
      <c r="W20" s="14"/>
      <c r="X20" s="14">
        <v>100</v>
      </c>
      <c r="Y20" s="14">
        <f>R20*X20</f>
        <v>809.04170234039748</v>
      </c>
      <c r="Z20" s="14"/>
      <c r="AA20" s="14"/>
      <c r="AB20" s="14">
        <f t="shared" si="2"/>
        <v>0</v>
      </c>
      <c r="AC20" s="14"/>
      <c r="AD20" s="14">
        <f t="shared" si="3"/>
        <v>0</v>
      </c>
    </row>
    <row r="21" spans="1:30">
      <c r="A21" s="13" t="s">
        <v>35</v>
      </c>
      <c r="B21" s="14">
        <v>0</v>
      </c>
      <c r="C21" s="14"/>
      <c r="D21" s="14">
        <v>0</v>
      </c>
      <c r="E21" s="14">
        <f>2000+1000+1000</f>
        <v>4000</v>
      </c>
      <c r="F21" s="14">
        <f t="shared" si="4"/>
        <v>8.5689670234039728</v>
      </c>
      <c r="G21" s="14">
        <v>32674.2</v>
      </c>
      <c r="H21" s="14">
        <f t="shared" si="6"/>
        <v>865.76070641040064</v>
      </c>
      <c r="I21" s="14">
        <f t="shared" si="7"/>
        <v>735.90738720549689</v>
      </c>
      <c r="J21" s="14">
        <f t="shared" si="8"/>
        <v>34275.868093615893</v>
      </c>
      <c r="K21" s="14"/>
      <c r="L21" s="14"/>
      <c r="M21" s="14"/>
      <c r="N21" s="14"/>
      <c r="O21" s="14"/>
      <c r="P21" s="14"/>
      <c r="Q21" s="14">
        <f t="shared" si="0"/>
        <v>4000</v>
      </c>
      <c r="R21" s="14">
        <f t="shared" si="1"/>
        <v>8.5689670234039728</v>
      </c>
      <c r="S21" s="14">
        <f t="shared" si="5"/>
        <v>34275.868093615893</v>
      </c>
      <c r="T21" s="14"/>
      <c r="U21" s="14"/>
      <c r="V21" s="14"/>
      <c r="W21" s="14"/>
      <c r="X21" s="14"/>
      <c r="Y21" s="14"/>
      <c r="Z21" s="14">
        <f>2000+1000+1000</f>
        <v>4000</v>
      </c>
      <c r="AA21" s="14">
        <f>R21*Z21</f>
        <v>34275.868093615893</v>
      </c>
      <c r="AB21" s="14">
        <f t="shared" si="2"/>
        <v>0</v>
      </c>
      <c r="AC21" s="14"/>
      <c r="AD21" s="14">
        <f t="shared" si="3"/>
        <v>0</v>
      </c>
    </row>
    <row r="22" spans="1:30">
      <c r="A22" s="13" t="s">
        <v>36</v>
      </c>
      <c r="B22" s="14">
        <v>0</v>
      </c>
      <c r="C22" s="14"/>
      <c r="D22" s="14">
        <v>0</v>
      </c>
      <c r="E22" s="14"/>
      <c r="F22" s="14" t="e">
        <f t="shared" si="4"/>
        <v>#DIV/0!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>
        <f t="shared" si="0"/>
        <v>0</v>
      </c>
      <c r="R22" s="14" t="e">
        <f t="shared" si="1"/>
        <v>#DIV/0!</v>
      </c>
      <c r="S22" s="14">
        <f t="shared" si="5"/>
        <v>0</v>
      </c>
      <c r="T22" s="14"/>
      <c r="U22" s="14"/>
      <c r="V22" s="14"/>
      <c r="W22" s="14"/>
      <c r="X22" s="14"/>
      <c r="Y22" s="14"/>
      <c r="Z22" s="14"/>
      <c r="AA22" s="14"/>
      <c r="AB22" s="14">
        <f t="shared" si="2"/>
        <v>0</v>
      </c>
      <c r="AC22" s="14"/>
      <c r="AD22" s="14">
        <f t="shared" si="3"/>
        <v>0</v>
      </c>
    </row>
    <row r="23" spans="1:30">
      <c r="A23" s="13" t="s">
        <v>37</v>
      </c>
      <c r="B23" s="14">
        <v>0</v>
      </c>
      <c r="C23" s="14"/>
      <c r="D23" s="14">
        <v>0</v>
      </c>
      <c r="E23" s="14"/>
      <c r="F23" s="14" t="e">
        <f t="shared" si="4"/>
        <v>#DIV/0!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>
        <f t="shared" si="0"/>
        <v>0</v>
      </c>
      <c r="R23" s="14" t="e">
        <f t="shared" si="1"/>
        <v>#DIV/0!</v>
      </c>
      <c r="S23" s="14">
        <f t="shared" si="5"/>
        <v>0</v>
      </c>
      <c r="T23" s="14"/>
      <c r="U23" s="14"/>
      <c r="V23" s="14"/>
      <c r="W23" s="14"/>
      <c r="X23" s="14"/>
      <c r="Y23" s="14"/>
      <c r="Z23" s="14"/>
      <c r="AA23" s="14"/>
      <c r="AB23" s="14">
        <f t="shared" si="2"/>
        <v>0</v>
      </c>
      <c r="AC23" s="14"/>
      <c r="AD23" s="14">
        <f t="shared" si="3"/>
        <v>0</v>
      </c>
    </row>
    <row r="24" spans="1:30">
      <c r="A24" s="13" t="s">
        <v>38</v>
      </c>
      <c r="B24" s="14">
        <v>0</v>
      </c>
      <c r="C24" s="14"/>
      <c r="D24" s="14">
        <v>0</v>
      </c>
      <c r="E24" s="14"/>
      <c r="F24" s="14" t="e">
        <f t="shared" si="4"/>
        <v>#DIV/0!</v>
      </c>
      <c r="G24" s="14"/>
      <c r="H24" s="14"/>
      <c r="I24" s="14"/>
      <c r="J24" s="14"/>
      <c r="K24" s="14">
        <f>1000+550</f>
        <v>1550</v>
      </c>
      <c r="L24" s="14">
        <f>11780+6479</f>
        <v>18259</v>
      </c>
      <c r="M24" s="14"/>
      <c r="N24" s="14"/>
      <c r="O24" s="14"/>
      <c r="P24" s="14"/>
      <c r="Q24" s="14">
        <f t="shared" si="0"/>
        <v>1550</v>
      </c>
      <c r="R24" s="14">
        <f t="shared" si="1"/>
        <v>11.78</v>
      </c>
      <c r="S24" s="14">
        <f t="shared" si="5"/>
        <v>18259</v>
      </c>
      <c r="T24" s="14"/>
      <c r="U24" s="14"/>
      <c r="V24" s="14"/>
      <c r="W24" s="14"/>
      <c r="X24" s="14"/>
      <c r="Y24" s="14"/>
      <c r="Z24" s="14"/>
      <c r="AA24" s="14"/>
      <c r="AB24" s="14">
        <f t="shared" si="2"/>
        <v>1550</v>
      </c>
      <c r="AC24" s="14">
        <f>AD24/AB24</f>
        <v>11.78</v>
      </c>
      <c r="AD24" s="14">
        <f t="shared" si="3"/>
        <v>18259</v>
      </c>
    </row>
    <row r="25" spans="1:30">
      <c r="A25" s="13" t="s">
        <v>39</v>
      </c>
      <c r="B25" s="14">
        <v>0</v>
      </c>
      <c r="C25" s="14"/>
      <c r="D25" s="14">
        <v>0</v>
      </c>
      <c r="E25" s="14">
        <v>25</v>
      </c>
      <c r="F25" s="14">
        <f t="shared" si="4"/>
        <v>8.0704170234039747</v>
      </c>
      <c r="G25" s="14">
        <v>191.75</v>
      </c>
      <c r="H25" s="14">
        <f t="shared" si="6"/>
        <v>5.4110044150650038</v>
      </c>
      <c r="I25" s="14">
        <f t="shared" si="7"/>
        <v>4.599421170034355</v>
      </c>
      <c r="J25" s="14">
        <f t="shared" si="8"/>
        <v>201.76042558509937</v>
      </c>
      <c r="K25" s="14"/>
      <c r="L25" s="14"/>
      <c r="M25" s="14"/>
      <c r="N25" s="14"/>
      <c r="O25" s="14"/>
      <c r="P25" s="14"/>
      <c r="Q25" s="14">
        <f t="shared" si="0"/>
        <v>25</v>
      </c>
      <c r="R25" s="14">
        <f t="shared" si="1"/>
        <v>8.0704170234039747</v>
      </c>
      <c r="S25" s="14">
        <f t="shared" si="5"/>
        <v>201.76042558509937</v>
      </c>
      <c r="T25" s="14"/>
      <c r="U25" s="14"/>
      <c r="V25" s="14"/>
      <c r="W25" s="14"/>
      <c r="X25" s="14">
        <v>25</v>
      </c>
      <c r="Y25" s="14">
        <f>R25*X25</f>
        <v>201.76042558509937</v>
      </c>
      <c r="Z25" s="14"/>
      <c r="AA25" s="14"/>
      <c r="AB25" s="14">
        <f t="shared" si="2"/>
        <v>0</v>
      </c>
      <c r="AC25" s="14"/>
      <c r="AD25" s="14">
        <f t="shared" si="3"/>
        <v>0</v>
      </c>
    </row>
    <row r="26" spans="1:30">
      <c r="A26" s="13" t="s">
        <v>40</v>
      </c>
      <c r="B26" s="14">
        <v>30</v>
      </c>
      <c r="C26" s="14"/>
      <c r="D26" s="14">
        <v>271.63110339766399</v>
      </c>
      <c r="E26" s="14"/>
      <c r="F26" s="14" t="e">
        <f t="shared" si="4"/>
        <v>#DIV/0!</v>
      </c>
      <c r="G26" s="14"/>
      <c r="H26" s="14"/>
      <c r="I26" s="14">
        <f t="shared" si="7"/>
        <v>0</v>
      </c>
      <c r="J26" s="14"/>
      <c r="K26" s="14"/>
      <c r="L26" s="14"/>
      <c r="M26" s="14"/>
      <c r="N26" s="14"/>
      <c r="O26" s="14"/>
      <c r="P26" s="14"/>
      <c r="Q26" s="14">
        <f t="shared" si="0"/>
        <v>30</v>
      </c>
      <c r="R26" s="14">
        <f t="shared" si="1"/>
        <v>9.0543701132554659</v>
      </c>
      <c r="S26" s="14">
        <f t="shared" si="5"/>
        <v>271.63110339766399</v>
      </c>
      <c r="T26" s="14"/>
      <c r="U26" s="14"/>
      <c r="V26" s="14"/>
      <c r="W26" s="14"/>
      <c r="X26" s="14"/>
      <c r="Y26" s="14"/>
      <c r="Z26" s="14"/>
      <c r="AA26" s="14"/>
      <c r="AB26" s="14">
        <f t="shared" si="2"/>
        <v>30</v>
      </c>
      <c r="AC26" s="14">
        <f>AD26/AB26</f>
        <v>9.0543701132554659</v>
      </c>
      <c r="AD26" s="14">
        <f t="shared" si="3"/>
        <v>271.63110339766399</v>
      </c>
    </row>
    <row r="27" spans="1:30">
      <c r="A27" s="13" t="s">
        <v>41</v>
      </c>
      <c r="B27" s="14">
        <v>0</v>
      </c>
      <c r="C27" s="14"/>
      <c r="D27" s="14">
        <v>0</v>
      </c>
      <c r="E27" s="14">
        <f>3000+7000</f>
        <v>10000</v>
      </c>
      <c r="F27" s="14">
        <f t="shared" si="4"/>
        <v>10.009885023403974</v>
      </c>
      <c r="G27" s="14">
        <v>96094.68</v>
      </c>
      <c r="H27" s="14">
        <f t="shared" si="6"/>
        <v>2164.4017660260015</v>
      </c>
      <c r="I27" s="14">
        <f t="shared" si="7"/>
        <v>1839.7684680137422</v>
      </c>
      <c r="J27" s="14">
        <f t="shared" si="8"/>
        <v>100098.85023403974</v>
      </c>
      <c r="K27" s="14"/>
      <c r="L27" s="14"/>
      <c r="M27" s="14"/>
      <c r="N27" s="14"/>
      <c r="O27" s="14"/>
      <c r="P27" s="14"/>
      <c r="Q27" s="14">
        <f t="shared" si="0"/>
        <v>10000</v>
      </c>
      <c r="R27" s="14">
        <f t="shared" si="1"/>
        <v>10.009885023403974</v>
      </c>
      <c r="S27" s="14">
        <f t="shared" si="5"/>
        <v>100098.85023403974</v>
      </c>
      <c r="T27" s="14"/>
      <c r="U27" s="14"/>
      <c r="V27" s="14"/>
      <c r="W27" s="14"/>
      <c r="X27" s="14"/>
      <c r="Y27" s="14"/>
      <c r="Z27" s="14">
        <f>5000+5000</f>
        <v>10000</v>
      </c>
      <c r="AA27" s="14">
        <f>R27*Z27</f>
        <v>100098.85023403974</v>
      </c>
      <c r="AB27" s="14">
        <f t="shared" si="2"/>
        <v>0</v>
      </c>
      <c r="AC27" s="14"/>
      <c r="AD27" s="14">
        <f t="shared" si="3"/>
        <v>0</v>
      </c>
    </row>
    <row r="28" spans="1:30">
      <c r="A28" s="13" t="s">
        <v>42</v>
      </c>
      <c r="B28" s="14">
        <v>0</v>
      </c>
      <c r="C28" s="14"/>
      <c r="D28" s="14">
        <v>-0.48916060223632502</v>
      </c>
      <c r="E28" s="14"/>
      <c r="F28" s="14" t="e">
        <f t="shared" si="4"/>
        <v>#DIV/0!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>
        <f t="shared" si="0"/>
        <v>0</v>
      </c>
      <c r="R28" s="14" t="e">
        <f t="shared" si="1"/>
        <v>#DIV/0!</v>
      </c>
      <c r="S28" s="14">
        <f t="shared" si="5"/>
        <v>-0.48916060223632502</v>
      </c>
      <c r="T28" s="14"/>
      <c r="U28" s="14"/>
      <c r="V28" s="14"/>
      <c r="W28" s="14"/>
      <c r="X28" s="14"/>
      <c r="Y28" s="14"/>
      <c r="Z28" s="14"/>
      <c r="AA28" s="14">
        <v>-0.49</v>
      </c>
      <c r="AB28" s="14">
        <f t="shared" si="2"/>
        <v>0</v>
      </c>
      <c r="AC28" s="14"/>
      <c r="AD28" s="14">
        <f t="shared" si="3"/>
        <v>8.3939776367497609E-4</v>
      </c>
    </row>
    <row r="29" spans="1:30">
      <c r="A29" s="13" t="s">
        <v>43</v>
      </c>
      <c r="B29" s="14">
        <v>7200</v>
      </c>
      <c r="C29" s="14"/>
      <c r="D29" s="14">
        <v>65987.1016741645</v>
      </c>
      <c r="E29" s="14">
        <f>5000+5000</f>
        <v>10000</v>
      </c>
      <c r="F29" s="14">
        <f t="shared" si="4"/>
        <v>9.1907490234039759</v>
      </c>
      <c r="G29" s="14">
        <v>87903.32</v>
      </c>
      <c r="H29" s="14">
        <f t="shared" si="6"/>
        <v>2164.4017660260015</v>
      </c>
      <c r="I29" s="14">
        <f t="shared" si="7"/>
        <v>1839.7684680137422</v>
      </c>
      <c r="J29" s="14">
        <f t="shared" si="8"/>
        <v>91907.490234039753</v>
      </c>
      <c r="K29" s="14"/>
      <c r="L29" s="14"/>
      <c r="M29" s="14"/>
      <c r="N29" s="14"/>
      <c r="O29" s="14">
        <v>2000</v>
      </c>
      <c r="P29" s="14">
        <v>18320</v>
      </c>
      <c r="Q29" s="14">
        <f t="shared" si="0"/>
        <v>15200</v>
      </c>
      <c r="R29" s="14">
        <f t="shared" si="1"/>
        <v>9.1825389413292271</v>
      </c>
      <c r="S29" s="14">
        <f t="shared" si="5"/>
        <v>139574.59190820425</v>
      </c>
      <c r="T29" s="14"/>
      <c r="U29" s="14"/>
      <c r="V29" s="14"/>
      <c r="W29" s="14"/>
      <c r="X29" s="14"/>
      <c r="Y29" s="14"/>
      <c r="Z29" s="14">
        <f>5000+5000+5000</f>
        <v>15000</v>
      </c>
      <c r="AA29" s="14">
        <f>R29*Z29</f>
        <v>137738.0841199384</v>
      </c>
      <c r="AB29" s="14">
        <f t="shared" si="2"/>
        <v>200</v>
      </c>
      <c r="AC29" s="14">
        <f>AD29/AB29</f>
        <v>9.1825389413292573</v>
      </c>
      <c r="AD29" s="14">
        <f t="shared" si="3"/>
        <v>1836.5077882658516</v>
      </c>
    </row>
    <row r="30" spans="1:30">
      <c r="A30" s="13" t="s">
        <v>44</v>
      </c>
      <c r="B30" s="14">
        <v>0</v>
      </c>
      <c r="C30" s="14"/>
      <c r="D30" s="14">
        <v>0</v>
      </c>
      <c r="E30" s="14">
        <v>200</v>
      </c>
      <c r="F30" s="14">
        <f t="shared" si="4"/>
        <v>10.510417023403974</v>
      </c>
      <c r="G30" s="14">
        <v>2022</v>
      </c>
      <c r="H30" s="14">
        <f t="shared" si="6"/>
        <v>43.288035320520031</v>
      </c>
      <c r="I30" s="14">
        <f t="shared" si="7"/>
        <v>36.79536936027484</v>
      </c>
      <c r="J30" s="14">
        <f t="shared" si="8"/>
        <v>2102.083404680795</v>
      </c>
      <c r="K30" s="14"/>
      <c r="L30" s="14"/>
      <c r="M30" s="14"/>
      <c r="N30" s="14"/>
      <c r="O30" s="14"/>
      <c r="P30" s="14"/>
      <c r="Q30" s="14">
        <f t="shared" si="0"/>
        <v>200</v>
      </c>
      <c r="R30" s="14">
        <f t="shared" si="1"/>
        <v>10.510417023403974</v>
      </c>
      <c r="S30" s="14">
        <f t="shared" si="5"/>
        <v>2102.083404680795</v>
      </c>
      <c r="T30" s="14"/>
      <c r="U30" s="14"/>
      <c r="V30" s="14"/>
      <c r="W30" s="14"/>
      <c r="X30" s="14"/>
      <c r="Y30" s="14"/>
      <c r="Z30" s="14">
        <v>200</v>
      </c>
      <c r="AA30" s="14">
        <f>R30*Z30</f>
        <v>2102.083404680795</v>
      </c>
      <c r="AB30" s="14">
        <f t="shared" si="2"/>
        <v>0</v>
      </c>
      <c r="AC30" s="14"/>
      <c r="AD30" s="14">
        <f t="shared" si="3"/>
        <v>0</v>
      </c>
    </row>
    <row r="31" spans="1:30">
      <c r="A31" s="13" t="s">
        <v>45</v>
      </c>
      <c r="B31" s="14">
        <v>0</v>
      </c>
      <c r="C31" s="14"/>
      <c r="D31" s="14">
        <v>0</v>
      </c>
      <c r="E31" s="14">
        <v>2000</v>
      </c>
      <c r="F31" s="14">
        <f t="shared" si="4"/>
        <v>8.6957970234039728</v>
      </c>
      <c r="G31" s="14">
        <v>16590.759999999998</v>
      </c>
      <c r="H31" s="14">
        <f t="shared" si="6"/>
        <v>432.88035320520032</v>
      </c>
      <c r="I31" s="14">
        <f t="shared" si="7"/>
        <v>367.95369360274844</v>
      </c>
      <c r="J31" s="14">
        <f t="shared" si="8"/>
        <v>17391.594046807946</v>
      </c>
      <c r="K31" s="14"/>
      <c r="L31" s="14"/>
      <c r="M31" s="14"/>
      <c r="N31" s="14"/>
      <c r="O31" s="14"/>
      <c r="P31" s="14"/>
      <c r="Q31" s="14">
        <f t="shared" si="0"/>
        <v>2000</v>
      </c>
      <c r="R31" s="14">
        <f t="shared" si="1"/>
        <v>8.6957970234039728</v>
      </c>
      <c r="S31" s="14">
        <f t="shared" si="5"/>
        <v>17391.594046807946</v>
      </c>
      <c r="T31" s="14"/>
      <c r="U31" s="14"/>
      <c r="V31" s="14"/>
      <c r="W31" s="14"/>
      <c r="X31" s="14"/>
      <c r="Y31" s="14"/>
      <c r="Z31" s="14">
        <v>2000</v>
      </c>
      <c r="AA31" s="14">
        <f>R31*Z31</f>
        <v>17391.594046807946</v>
      </c>
      <c r="AB31" s="14">
        <f t="shared" si="2"/>
        <v>0</v>
      </c>
      <c r="AC31" s="14"/>
      <c r="AD31" s="14">
        <f t="shared" si="3"/>
        <v>0</v>
      </c>
    </row>
    <row r="32" spans="1:30">
      <c r="A32" s="13" t="s">
        <v>46</v>
      </c>
      <c r="B32" s="14">
        <v>0</v>
      </c>
      <c r="C32" s="14"/>
      <c r="D32" s="14">
        <v>0</v>
      </c>
      <c r="E32" s="14">
        <f>5000+2000+5000+1000+500</f>
        <v>13500</v>
      </c>
      <c r="F32" s="14">
        <f t="shared" si="4"/>
        <v>10.316594060441011</v>
      </c>
      <c r="G32" s="14">
        <v>133868.39000000001</v>
      </c>
      <c r="H32" s="14">
        <f t="shared" si="6"/>
        <v>2921.9423841351022</v>
      </c>
      <c r="I32" s="14">
        <f t="shared" si="7"/>
        <v>2483.6874318185519</v>
      </c>
      <c r="J32" s="14">
        <f t="shared" si="8"/>
        <v>139274.01981595365</v>
      </c>
      <c r="K32" s="14"/>
      <c r="L32" s="14"/>
      <c r="M32" s="14"/>
      <c r="N32" s="14"/>
      <c r="O32" s="14"/>
      <c r="P32" s="14"/>
      <c r="Q32" s="14">
        <f t="shared" si="0"/>
        <v>13500</v>
      </c>
      <c r="R32" s="14">
        <f t="shared" si="1"/>
        <v>10.316594060441011</v>
      </c>
      <c r="S32" s="14">
        <f t="shared" si="5"/>
        <v>139274.01981595365</v>
      </c>
      <c r="T32" s="14"/>
      <c r="U32" s="14"/>
      <c r="V32" s="14"/>
      <c r="W32" s="14"/>
      <c r="X32" s="14"/>
      <c r="Y32" s="14"/>
      <c r="Z32" s="14">
        <f>5000+5000+2000+1000</f>
        <v>13000</v>
      </c>
      <c r="AA32" s="14">
        <f>R32*Z32</f>
        <v>134115.72278573315</v>
      </c>
      <c r="AB32" s="14">
        <f t="shared" si="2"/>
        <v>500</v>
      </c>
      <c r="AC32" s="14">
        <f t="shared" ref="AC32:AC37" si="9">AD32/AB32</f>
        <v>10.316594060441014</v>
      </c>
      <c r="AD32" s="14">
        <f t="shared" si="3"/>
        <v>5158.2970302205067</v>
      </c>
    </row>
    <row r="33" spans="1:30">
      <c r="A33" s="13" t="s">
        <v>47</v>
      </c>
      <c r="B33" s="14">
        <v>2970</v>
      </c>
      <c r="C33" s="14"/>
      <c r="D33" s="14">
        <v>26715.097552839899</v>
      </c>
      <c r="E33" s="14">
        <v>25</v>
      </c>
      <c r="F33" s="14">
        <f t="shared" si="4"/>
        <v>8.4984170234039738</v>
      </c>
      <c r="G33" s="14">
        <v>202.45</v>
      </c>
      <c r="H33" s="14">
        <f t="shared" si="6"/>
        <v>5.4110044150650038</v>
      </c>
      <c r="I33" s="14">
        <f t="shared" si="7"/>
        <v>4.599421170034355</v>
      </c>
      <c r="J33" s="14">
        <f t="shared" si="8"/>
        <v>212.46042558509936</v>
      </c>
      <c r="K33" s="14"/>
      <c r="L33" s="14"/>
      <c r="M33" s="14"/>
      <c r="N33" s="14"/>
      <c r="O33" s="14"/>
      <c r="P33" s="14"/>
      <c r="Q33" s="14">
        <f t="shared" si="0"/>
        <v>2995</v>
      </c>
      <c r="R33" s="14">
        <f t="shared" si="1"/>
        <v>8.9908373884557591</v>
      </c>
      <c r="S33" s="14">
        <f t="shared" si="5"/>
        <v>26927.557978425</v>
      </c>
      <c r="T33" s="14"/>
      <c r="U33" s="14"/>
      <c r="V33" s="14"/>
      <c r="W33" s="14"/>
      <c r="X33" s="14">
        <v>25</v>
      </c>
      <c r="Y33" s="14">
        <f>R33*X33</f>
        <v>224.77093471139398</v>
      </c>
      <c r="Z33" s="14">
        <v>1000</v>
      </c>
      <c r="AA33" s="14">
        <f>R33*Z33</f>
        <v>8990.8373884557586</v>
      </c>
      <c r="AB33" s="14">
        <f t="shared" si="2"/>
        <v>1970</v>
      </c>
      <c r="AC33" s="14">
        <f t="shared" si="9"/>
        <v>8.9908373884557609</v>
      </c>
      <c r="AD33" s="14">
        <f t="shared" si="3"/>
        <v>17711.949655257849</v>
      </c>
    </row>
    <row r="34" spans="1:30">
      <c r="A34" s="13" t="s">
        <v>48</v>
      </c>
      <c r="B34" s="14">
        <v>40</v>
      </c>
      <c r="C34" s="14"/>
      <c r="D34" s="14">
        <v>119.2</v>
      </c>
      <c r="E34" s="14"/>
      <c r="F34" s="14" t="e">
        <f t="shared" si="4"/>
        <v>#DIV/0!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>
        <f t="shared" si="0"/>
        <v>40</v>
      </c>
      <c r="R34" s="14">
        <f t="shared" si="1"/>
        <v>2.98</v>
      </c>
      <c r="S34" s="14">
        <f t="shared" si="5"/>
        <v>119.2</v>
      </c>
      <c r="T34" s="14"/>
      <c r="U34" s="14"/>
      <c r="V34" s="14"/>
      <c r="W34" s="14"/>
      <c r="X34" s="14"/>
      <c r="Y34" s="14"/>
      <c r="Z34" s="14"/>
      <c r="AA34" s="14"/>
      <c r="AB34" s="14">
        <f t="shared" si="2"/>
        <v>40</v>
      </c>
      <c r="AC34" s="14">
        <f t="shared" si="9"/>
        <v>2.98</v>
      </c>
      <c r="AD34" s="14">
        <f t="shared" si="3"/>
        <v>119.2</v>
      </c>
    </row>
    <row r="35" spans="1:30">
      <c r="A35" s="13" t="s">
        <v>49</v>
      </c>
      <c r="B35" s="14">
        <v>40</v>
      </c>
      <c r="C35" s="14"/>
      <c r="D35" s="14">
        <v>473.2</v>
      </c>
      <c r="E35" s="14"/>
      <c r="F35" s="14" t="e">
        <f t="shared" si="4"/>
        <v>#DIV/0!</v>
      </c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>
        <f t="shared" si="0"/>
        <v>40</v>
      </c>
      <c r="R35" s="14">
        <f t="shared" si="1"/>
        <v>11.83</v>
      </c>
      <c r="S35" s="14">
        <f t="shared" si="5"/>
        <v>473.2</v>
      </c>
      <c r="T35" s="14"/>
      <c r="U35" s="14"/>
      <c r="V35" s="14"/>
      <c r="W35" s="14"/>
      <c r="X35" s="14"/>
      <c r="Y35" s="14"/>
      <c r="Z35" s="14"/>
      <c r="AA35" s="14"/>
      <c r="AB35" s="14">
        <f t="shared" si="2"/>
        <v>40</v>
      </c>
      <c r="AC35" s="14">
        <f t="shared" si="9"/>
        <v>11.83</v>
      </c>
      <c r="AD35" s="14">
        <f t="shared" si="3"/>
        <v>473.2</v>
      </c>
    </row>
    <row r="36" spans="1:30">
      <c r="A36" s="13" t="s">
        <v>50</v>
      </c>
      <c r="B36" s="14">
        <v>1631</v>
      </c>
      <c r="C36" s="14"/>
      <c r="D36" s="14">
        <v>19147.939999999999</v>
      </c>
      <c r="E36" s="14"/>
      <c r="F36" s="14" t="e">
        <f t="shared" si="4"/>
        <v>#DIV/0!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>
        <f t="shared" si="0"/>
        <v>1631</v>
      </c>
      <c r="R36" s="14">
        <f t="shared" si="1"/>
        <v>11.739999999999998</v>
      </c>
      <c r="S36" s="14">
        <f t="shared" si="5"/>
        <v>19147.939999999999</v>
      </c>
      <c r="T36" s="14"/>
      <c r="U36" s="14"/>
      <c r="V36" s="14"/>
      <c r="W36" s="14"/>
      <c r="X36" s="14"/>
      <c r="Y36" s="14"/>
      <c r="Z36" s="14"/>
      <c r="AA36" s="14"/>
      <c r="AB36" s="14">
        <f t="shared" si="2"/>
        <v>1631</v>
      </c>
      <c r="AC36" s="14">
        <f t="shared" si="9"/>
        <v>11.739999999999998</v>
      </c>
      <c r="AD36" s="14">
        <f t="shared" si="3"/>
        <v>19147.939999999999</v>
      </c>
    </row>
    <row r="37" spans="1:30">
      <c r="A37" s="13" t="s">
        <v>51</v>
      </c>
      <c r="B37" s="14">
        <v>3200</v>
      </c>
      <c r="C37" s="14"/>
      <c r="D37" s="14">
        <v>40576</v>
      </c>
      <c r="E37" s="14"/>
      <c r="F37" s="14" t="e">
        <f t="shared" si="4"/>
        <v>#DIV/0!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>
        <f t="shared" si="0"/>
        <v>3200</v>
      </c>
      <c r="R37" s="14">
        <f t="shared" si="1"/>
        <v>12.68</v>
      </c>
      <c r="S37" s="14">
        <f t="shared" si="5"/>
        <v>40576</v>
      </c>
      <c r="T37" s="14"/>
      <c r="U37" s="14"/>
      <c r="V37" s="14"/>
      <c r="W37" s="14"/>
      <c r="X37" s="14"/>
      <c r="Y37" s="14"/>
      <c r="Z37" s="14"/>
      <c r="AA37" s="14"/>
      <c r="AB37" s="14">
        <f t="shared" si="2"/>
        <v>3200</v>
      </c>
      <c r="AC37" s="14">
        <f t="shared" si="9"/>
        <v>12.68</v>
      </c>
      <c r="AD37" s="14">
        <f t="shared" si="3"/>
        <v>40576</v>
      </c>
    </row>
    <row r="38" spans="1:30">
      <c r="A38" s="13" t="s">
        <v>52</v>
      </c>
      <c r="B38" s="14">
        <v>0</v>
      </c>
      <c r="C38" s="14"/>
      <c r="D38" s="14">
        <v>0</v>
      </c>
      <c r="E38" s="14">
        <v>50</v>
      </c>
      <c r="F38" s="14">
        <f t="shared" si="4"/>
        <v>10.272417023403975</v>
      </c>
      <c r="G38" s="14">
        <v>493.6</v>
      </c>
      <c r="H38" s="14">
        <f>E38*$H$168</f>
        <v>10.822008830130008</v>
      </c>
      <c r="I38" s="14">
        <f t="shared" ref="I38:I70" si="10">E38*$I$168</f>
        <v>9.19884234006871</v>
      </c>
      <c r="J38" s="14">
        <f t="shared" ref="J38:J70" si="11">G38+H38+I38</f>
        <v>513.62085117019876</v>
      </c>
      <c r="K38" s="14"/>
      <c r="L38" s="14"/>
      <c r="M38" s="14"/>
      <c r="N38" s="14"/>
      <c r="O38" s="14"/>
      <c r="P38" s="14"/>
      <c r="Q38" s="14">
        <f t="shared" si="0"/>
        <v>50</v>
      </c>
      <c r="R38" s="14">
        <f t="shared" si="1"/>
        <v>10.272417023403975</v>
      </c>
      <c r="S38" s="14">
        <f t="shared" si="5"/>
        <v>513.62085117019876</v>
      </c>
      <c r="T38" s="14"/>
      <c r="U38" s="14"/>
      <c r="V38" s="14"/>
      <c r="W38" s="14"/>
      <c r="X38" s="14">
        <v>50</v>
      </c>
      <c r="Y38" s="14">
        <f>R38*X38</f>
        <v>513.62085117019876</v>
      </c>
      <c r="Z38" s="14"/>
      <c r="AA38" s="14"/>
      <c r="AB38" s="14">
        <f t="shared" si="2"/>
        <v>0</v>
      </c>
      <c r="AC38" s="14"/>
      <c r="AD38" s="14">
        <f t="shared" si="3"/>
        <v>0</v>
      </c>
    </row>
    <row r="39" spans="1:30">
      <c r="A39" s="13" t="s">
        <v>53</v>
      </c>
      <c r="B39" s="14">
        <v>0</v>
      </c>
      <c r="C39" s="14"/>
      <c r="D39" s="14">
        <v>0</v>
      </c>
      <c r="E39" s="14">
        <v>140</v>
      </c>
      <c r="F39" s="14">
        <f t="shared" si="4"/>
        <v>11.785702737689689</v>
      </c>
      <c r="G39" s="14">
        <v>1593.94</v>
      </c>
      <c r="H39" s="14">
        <f>E39*$H$168</f>
        <v>30.301624724364022</v>
      </c>
      <c r="I39" s="14">
        <f t="shared" si="10"/>
        <v>25.756758552192391</v>
      </c>
      <c r="J39" s="14">
        <f t="shared" si="11"/>
        <v>1649.9983832765565</v>
      </c>
      <c r="K39" s="14"/>
      <c r="L39" s="14"/>
      <c r="M39" s="14"/>
      <c r="N39" s="14"/>
      <c r="O39" s="14"/>
      <c r="P39" s="14"/>
      <c r="Q39" s="14">
        <v>0</v>
      </c>
      <c r="R39" s="14" t="e">
        <f t="shared" si="1"/>
        <v>#DIV/0!</v>
      </c>
      <c r="S39" s="14">
        <f t="shared" si="5"/>
        <v>1649.9983832765565</v>
      </c>
      <c r="T39" s="14"/>
      <c r="U39" s="14"/>
      <c r="V39" s="14"/>
      <c r="W39" s="14"/>
      <c r="X39" s="14"/>
      <c r="Y39" s="14"/>
      <c r="Z39" s="14"/>
      <c r="AA39" s="14"/>
      <c r="AB39" s="14">
        <f t="shared" si="2"/>
        <v>0</v>
      </c>
      <c r="AC39" s="14"/>
      <c r="AD39" s="14">
        <f t="shared" si="3"/>
        <v>1649.9983832765565</v>
      </c>
    </row>
    <row r="40" spans="1:30">
      <c r="A40" s="13" t="s">
        <v>54</v>
      </c>
      <c r="B40" s="14">
        <v>0</v>
      </c>
      <c r="C40" s="14"/>
      <c r="D40" s="14">
        <v>0</v>
      </c>
      <c r="E40" s="14">
        <v>50</v>
      </c>
      <c r="F40" s="14">
        <f t="shared" si="4"/>
        <v>10.169577023403976</v>
      </c>
      <c r="G40" s="14">
        <v>488.45800000000003</v>
      </c>
      <c r="H40" s="14">
        <f>E40*$H$168</f>
        <v>10.822008830130008</v>
      </c>
      <c r="I40" s="14">
        <f t="shared" si="10"/>
        <v>9.19884234006871</v>
      </c>
      <c r="J40" s="14">
        <f t="shared" si="11"/>
        <v>508.47885117019877</v>
      </c>
      <c r="K40" s="14"/>
      <c r="L40" s="14"/>
      <c r="M40" s="14"/>
      <c r="N40" s="14"/>
      <c r="O40" s="14"/>
      <c r="P40" s="14"/>
      <c r="Q40" s="14">
        <f t="shared" ref="Q40:Q45" si="12">B40+E40+K40+M40-O40</f>
        <v>50</v>
      </c>
      <c r="R40" s="14">
        <f t="shared" si="1"/>
        <v>10.169577023403976</v>
      </c>
      <c r="S40" s="14">
        <f t="shared" si="5"/>
        <v>508.47885117019877</v>
      </c>
      <c r="T40" s="14"/>
      <c r="U40" s="14"/>
      <c r="V40" s="14"/>
      <c r="W40" s="14"/>
      <c r="X40" s="14">
        <v>50</v>
      </c>
      <c r="Y40" s="14">
        <f>R40*X40</f>
        <v>508.47885117019882</v>
      </c>
      <c r="Z40" s="14"/>
      <c r="AA40" s="14"/>
      <c r="AB40" s="14">
        <f t="shared" si="2"/>
        <v>0</v>
      </c>
      <c r="AC40" s="14"/>
      <c r="AD40" s="14">
        <f t="shared" si="3"/>
        <v>-5.6843418860808015E-14</v>
      </c>
    </row>
    <row r="41" spans="1:30">
      <c r="A41" s="13" t="s">
        <v>55</v>
      </c>
      <c r="B41" s="14">
        <v>100</v>
      </c>
      <c r="C41" s="14"/>
      <c r="D41" s="14">
        <v>1079.3736779922101</v>
      </c>
      <c r="E41" s="14"/>
      <c r="F41" s="14" t="e">
        <f t="shared" si="4"/>
        <v>#DIV/0!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>
        <f t="shared" si="12"/>
        <v>100</v>
      </c>
      <c r="R41" s="14">
        <f t="shared" si="1"/>
        <v>10.793736779922101</v>
      </c>
      <c r="S41" s="14">
        <f t="shared" si="5"/>
        <v>1079.3736779922101</v>
      </c>
      <c r="T41" s="14"/>
      <c r="U41" s="14"/>
      <c r="V41" s="14"/>
      <c r="W41" s="14"/>
      <c r="X41" s="14">
        <v>50</v>
      </c>
      <c r="Y41" s="14">
        <f>X41*R41</f>
        <v>539.68683899610505</v>
      </c>
      <c r="Z41" s="14"/>
      <c r="AA41" s="14"/>
      <c r="AB41" s="14">
        <f t="shared" si="2"/>
        <v>50</v>
      </c>
      <c r="AC41" s="14">
        <f t="shared" ref="AC41:AC68" si="13">AD41/AB41</f>
        <v>10.793736779922101</v>
      </c>
      <c r="AD41" s="14">
        <f t="shared" si="3"/>
        <v>539.68683899610505</v>
      </c>
    </row>
    <row r="42" spans="1:30">
      <c r="A42" s="13" t="s">
        <v>56</v>
      </c>
      <c r="B42" s="14">
        <v>0</v>
      </c>
      <c r="C42" s="14"/>
      <c r="D42" s="14">
        <v>-3.7426895421522199</v>
      </c>
      <c r="E42" s="14"/>
      <c r="F42" s="14" t="e">
        <f t="shared" si="4"/>
        <v>#DIV/0!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>
        <f t="shared" si="12"/>
        <v>0</v>
      </c>
      <c r="R42" s="14" t="e">
        <f t="shared" si="1"/>
        <v>#DIV/0!</v>
      </c>
      <c r="S42" s="14">
        <f t="shared" si="5"/>
        <v>-3.7426895421522199</v>
      </c>
      <c r="T42" s="14"/>
      <c r="U42" s="14"/>
      <c r="V42" s="14"/>
      <c r="W42" s="14"/>
      <c r="X42" s="14"/>
      <c r="Y42" s="14"/>
      <c r="Z42" s="14"/>
      <c r="AA42" s="14">
        <v>-3.74</v>
      </c>
      <c r="AB42" s="14">
        <f t="shared" si="2"/>
        <v>0</v>
      </c>
      <c r="AC42" s="14"/>
      <c r="AD42" s="14">
        <f t="shared" si="3"/>
        <v>-2.689542152219726E-3</v>
      </c>
    </row>
    <row r="43" spans="1:30">
      <c r="A43" s="13" t="s">
        <v>57</v>
      </c>
      <c r="B43" s="14">
        <v>0</v>
      </c>
      <c r="C43" s="14"/>
      <c r="D43" s="14">
        <v>0</v>
      </c>
      <c r="E43" s="14">
        <v>100</v>
      </c>
      <c r="F43" s="14">
        <f t="shared" si="4"/>
        <v>14.680417023403974</v>
      </c>
      <c r="G43" s="14">
        <v>1428</v>
      </c>
      <c r="H43" s="14">
        <f>E43*$H$168</f>
        <v>21.644017660260015</v>
      </c>
      <c r="I43" s="14">
        <f t="shared" si="10"/>
        <v>18.39768468013742</v>
      </c>
      <c r="J43" s="14">
        <f t="shared" si="11"/>
        <v>1468.0417023403975</v>
      </c>
      <c r="K43" s="14"/>
      <c r="L43" s="14"/>
      <c r="M43" s="14"/>
      <c r="N43" s="14"/>
      <c r="O43" s="14"/>
      <c r="P43" s="14"/>
      <c r="Q43" s="14">
        <f t="shared" si="12"/>
        <v>100</v>
      </c>
      <c r="R43" s="14">
        <f t="shared" si="1"/>
        <v>14.680417023403974</v>
      </c>
      <c r="S43" s="14">
        <f t="shared" si="5"/>
        <v>1468.0417023403975</v>
      </c>
      <c r="T43" s="14"/>
      <c r="U43" s="14"/>
      <c r="V43" s="14"/>
      <c r="W43" s="14"/>
      <c r="X43" s="14">
        <v>100</v>
      </c>
      <c r="Y43" s="14">
        <f>R43*X43</f>
        <v>1468.0417023403975</v>
      </c>
      <c r="Z43" s="14"/>
      <c r="AA43" s="14"/>
      <c r="AB43" s="14">
        <f t="shared" si="2"/>
        <v>0</v>
      </c>
      <c r="AC43" s="14"/>
      <c r="AD43" s="14">
        <v>0</v>
      </c>
    </row>
    <row r="44" spans="1:30">
      <c r="A44" s="13" t="s">
        <v>58</v>
      </c>
      <c r="B44" s="14">
        <v>0</v>
      </c>
      <c r="C44" s="14"/>
      <c r="D44" s="14">
        <v>0</v>
      </c>
      <c r="E44" s="14"/>
      <c r="F44" s="14" t="e">
        <f t="shared" si="4"/>
        <v>#DIV/0!</v>
      </c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>
        <f t="shared" si="12"/>
        <v>0</v>
      </c>
      <c r="R44" s="14" t="e">
        <f t="shared" si="1"/>
        <v>#DIV/0!</v>
      </c>
      <c r="S44" s="14">
        <f t="shared" si="5"/>
        <v>0</v>
      </c>
      <c r="T44" s="14"/>
      <c r="U44" s="14"/>
      <c r="V44" s="14"/>
      <c r="W44" s="14"/>
      <c r="X44" s="14"/>
      <c r="Y44" s="14"/>
      <c r="Z44" s="14"/>
      <c r="AA44" s="14"/>
      <c r="AB44" s="14">
        <f t="shared" si="2"/>
        <v>0</v>
      </c>
      <c r="AC44" s="14"/>
      <c r="AD44" s="14">
        <f>S44-U44-W44-Y44-AA44</f>
        <v>0</v>
      </c>
    </row>
    <row r="45" spans="1:30">
      <c r="A45" s="13" t="s">
        <v>59</v>
      </c>
      <c r="B45" s="14">
        <v>0</v>
      </c>
      <c r="C45" s="14"/>
      <c r="D45" s="14">
        <v>0</v>
      </c>
      <c r="E45" s="14">
        <v>40</v>
      </c>
      <c r="F45" s="14">
        <f t="shared" si="4"/>
        <v>0.40041702340397445</v>
      </c>
      <c r="G45" s="14"/>
      <c r="H45" s="14">
        <f>E45*$H$168</f>
        <v>8.6576070641040062</v>
      </c>
      <c r="I45" s="14">
        <f t="shared" si="10"/>
        <v>7.3590738720549691</v>
      </c>
      <c r="J45" s="14">
        <f t="shared" si="11"/>
        <v>16.016680936158977</v>
      </c>
      <c r="K45" s="14"/>
      <c r="L45" s="14"/>
      <c r="M45" s="14"/>
      <c r="N45" s="14"/>
      <c r="O45" s="14"/>
      <c r="P45" s="14"/>
      <c r="Q45" s="14">
        <f t="shared" si="12"/>
        <v>40</v>
      </c>
      <c r="R45" s="14">
        <f t="shared" si="1"/>
        <v>0.40041702340397445</v>
      </c>
      <c r="S45" s="14">
        <f t="shared" si="5"/>
        <v>16.016680936158977</v>
      </c>
      <c r="T45" s="14"/>
      <c r="U45" s="14"/>
      <c r="V45" s="14"/>
      <c r="W45" s="14"/>
      <c r="X45" s="14"/>
      <c r="Y45" s="14"/>
      <c r="Z45" s="14"/>
      <c r="AA45" s="14"/>
      <c r="AB45" s="14">
        <f t="shared" si="2"/>
        <v>40</v>
      </c>
      <c r="AC45" s="14">
        <f t="shared" si="13"/>
        <v>0.40041702340397445</v>
      </c>
      <c r="AD45" s="14">
        <f>S45-U45-W45-Y45-AA45</f>
        <v>16.016680936158977</v>
      </c>
    </row>
    <row r="46" spans="1:30">
      <c r="A46" s="13" t="s">
        <v>60</v>
      </c>
      <c r="B46" s="14">
        <v>0</v>
      </c>
      <c r="C46" s="14"/>
      <c r="D46" s="14">
        <v>0</v>
      </c>
      <c r="E46" s="14">
        <v>40</v>
      </c>
      <c r="F46" s="14">
        <f t="shared" si="4"/>
        <v>0.40041702340397445</v>
      </c>
      <c r="G46" s="14"/>
      <c r="H46" s="14">
        <f>E46*$H$168</f>
        <v>8.6576070641040062</v>
      </c>
      <c r="I46" s="14">
        <f t="shared" si="10"/>
        <v>7.3590738720549691</v>
      </c>
      <c r="J46" s="14">
        <f t="shared" si="11"/>
        <v>16.016680936158977</v>
      </c>
      <c r="K46" s="14"/>
      <c r="L46" s="14"/>
      <c r="M46" s="14"/>
      <c r="N46" s="14"/>
      <c r="O46" s="14"/>
      <c r="P46" s="14"/>
      <c r="Q46" s="14">
        <v>0</v>
      </c>
      <c r="R46" s="14" t="e">
        <f t="shared" si="1"/>
        <v>#DIV/0!</v>
      </c>
      <c r="S46" s="14">
        <f t="shared" si="5"/>
        <v>16.016680936158977</v>
      </c>
      <c r="T46" s="14"/>
      <c r="U46" s="14"/>
      <c r="V46" s="14"/>
      <c r="W46" s="14"/>
      <c r="X46" s="14"/>
      <c r="Y46" s="14"/>
      <c r="Z46" s="14"/>
      <c r="AA46" s="14"/>
      <c r="AB46" s="14">
        <f t="shared" si="2"/>
        <v>0</v>
      </c>
      <c r="AC46" s="14"/>
      <c r="AD46" s="14">
        <f>S46-U46-W46-Y46-AA46</f>
        <v>16.016680936158977</v>
      </c>
    </row>
    <row r="47" spans="1:30">
      <c r="A47" s="13" t="s">
        <v>61</v>
      </c>
      <c r="B47" s="14">
        <v>0</v>
      </c>
      <c r="C47" s="14"/>
      <c r="D47" s="14">
        <v>0</v>
      </c>
      <c r="E47" s="14">
        <v>200</v>
      </c>
      <c r="F47" s="14">
        <f t="shared" si="4"/>
        <v>11.760417023403974</v>
      </c>
      <c r="G47" s="14">
        <v>2272</v>
      </c>
      <c r="H47" s="14">
        <f>E47*$H$168</f>
        <v>43.288035320520031</v>
      </c>
      <c r="I47" s="14">
        <f t="shared" si="10"/>
        <v>36.79536936027484</v>
      </c>
      <c r="J47" s="14">
        <f t="shared" si="11"/>
        <v>2352.083404680795</v>
      </c>
      <c r="K47" s="14"/>
      <c r="L47" s="14"/>
      <c r="M47" s="14"/>
      <c r="N47" s="14"/>
      <c r="O47" s="14"/>
      <c r="P47" s="14"/>
      <c r="Q47" s="14">
        <f t="shared" ref="Q47:Q110" si="14">B47+E47+K47+M47-O47</f>
        <v>200</v>
      </c>
      <c r="R47" s="14">
        <f t="shared" si="1"/>
        <v>11.760417023403974</v>
      </c>
      <c r="S47" s="14">
        <f t="shared" si="5"/>
        <v>2352.083404680795</v>
      </c>
      <c r="T47" s="14"/>
      <c r="U47" s="14"/>
      <c r="V47" s="14"/>
      <c r="W47" s="14"/>
      <c r="X47" s="14"/>
      <c r="Y47" s="14"/>
      <c r="Z47" s="14">
        <v>200</v>
      </c>
      <c r="AA47" s="14">
        <f t="shared" ref="AA47:AA72" si="15">R47*Z47</f>
        <v>2352.083404680795</v>
      </c>
      <c r="AB47" s="14">
        <f t="shared" si="2"/>
        <v>0</v>
      </c>
      <c r="AC47" s="14"/>
      <c r="AD47" s="14">
        <f t="shared" ref="AD47:AD110" si="16">S47-U47-W47-Y47-AA47</f>
        <v>0</v>
      </c>
    </row>
    <row r="48" spans="1:30">
      <c r="A48" s="13" t="s">
        <v>62</v>
      </c>
      <c r="B48" s="14">
        <v>0</v>
      </c>
      <c r="C48" s="14"/>
      <c r="D48" s="14">
        <v>0</v>
      </c>
      <c r="E48" s="14">
        <v>1000</v>
      </c>
      <c r="F48" s="14">
        <f t="shared" si="4"/>
        <v>11.753177023403975</v>
      </c>
      <c r="G48" s="14">
        <v>11352.76</v>
      </c>
      <c r="H48" s="14">
        <f>E48*$H$168</f>
        <v>216.44017660260016</v>
      </c>
      <c r="I48" s="14">
        <f t="shared" si="10"/>
        <v>183.97684680137422</v>
      </c>
      <c r="J48" s="14">
        <f t="shared" si="11"/>
        <v>11753.177023403974</v>
      </c>
      <c r="K48" s="14"/>
      <c r="L48" s="14"/>
      <c r="M48" s="14"/>
      <c r="N48" s="14"/>
      <c r="O48" s="14"/>
      <c r="P48" s="14"/>
      <c r="Q48" s="14">
        <f t="shared" si="14"/>
        <v>1000</v>
      </c>
      <c r="R48" s="14">
        <f t="shared" si="1"/>
        <v>11.753177023403975</v>
      </c>
      <c r="S48" s="14">
        <f t="shared" si="5"/>
        <v>11753.177023403974</v>
      </c>
      <c r="T48" s="14"/>
      <c r="U48" s="14"/>
      <c r="V48" s="14"/>
      <c r="W48" s="14"/>
      <c r="X48" s="14"/>
      <c r="Y48" s="14"/>
      <c r="Z48" s="14">
        <v>1000</v>
      </c>
      <c r="AA48" s="14">
        <f t="shared" si="15"/>
        <v>11753.177023403974</v>
      </c>
      <c r="AB48" s="14">
        <f t="shared" si="2"/>
        <v>0</v>
      </c>
      <c r="AC48" s="14"/>
      <c r="AD48" s="14">
        <f t="shared" si="16"/>
        <v>0</v>
      </c>
    </row>
    <row r="49" spans="1:30">
      <c r="A49" s="13" t="s">
        <v>63</v>
      </c>
      <c r="B49" s="14">
        <v>0</v>
      </c>
      <c r="C49" s="14"/>
      <c r="D49" s="14">
        <v>0</v>
      </c>
      <c r="E49" s="14">
        <f>5000+5000+5000+6000</f>
        <v>21000</v>
      </c>
      <c r="F49" s="14">
        <f t="shared" si="4"/>
        <v>8.0904170234039743</v>
      </c>
      <c r="G49" s="14">
        <v>161490</v>
      </c>
      <c r="H49" s="14">
        <f>E49*$H$168</f>
        <v>4545.2437086546033</v>
      </c>
      <c r="I49" s="14">
        <f t="shared" si="10"/>
        <v>3863.5137828288584</v>
      </c>
      <c r="J49" s="14">
        <f t="shared" si="11"/>
        <v>169898.75749148347</v>
      </c>
      <c r="K49" s="14"/>
      <c r="L49" s="14"/>
      <c r="M49" s="14"/>
      <c r="N49" s="14"/>
      <c r="O49" s="14"/>
      <c r="P49" s="14"/>
      <c r="Q49" s="14">
        <f t="shared" si="14"/>
        <v>21000</v>
      </c>
      <c r="R49" s="14">
        <f t="shared" si="1"/>
        <v>8.0904170234039743</v>
      </c>
      <c r="S49" s="14">
        <f t="shared" si="5"/>
        <v>169898.75749148347</v>
      </c>
      <c r="T49" s="14"/>
      <c r="U49" s="14"/>
      <c r="V49" s="14"/>
      <c r="W49" s="14"/>
      <c r="X49" s="14"/>
      <c r="Y49" s="14"/>
      <c r="Z49" s="14">
        <f>5000+5000+5000+5000</f>
        <v>20000</v>
      </c>
      <c r="AA49" s="14">
        <f t="shared" si="15"/>
        <v>161808.34046807949</v>
      </c>
      <c r="AB49" s="14">
        <f t="shared" si="2"/>
        <v>1000</v>
      </c>
      <c r="AC49" s="14">
        <f t="shared" si="13"/>
        <v>8.0904170234039778</v>
      </c>
      <c r="AD49" s="14">
        <f t="shared" si="16"/>
        <v>8090.4170234039775</v>
      </c>
    </row>
    <row r="50" spans="1:30">
      <c r="A50" s="13" t="s">
        <v>64</v>
      </c>
      <c r="B50" s="14">
        <v>63</v>
      </c>
      <c r="C50" s="14"/>
      <c r="D50" s="14">
        <v>630</v>
      </c>
      <c r="E50" s="14"/>
      <c r="F50" s="14" t="e">
        <f t="shared" si="4"/>
        <v>#DIV/0!</v>
      </c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>
        <f t="shared" si="14"/>
        <v>63</v>
      </c>
      <c r="R50" s="14">
        <f t="shared" si="1"/>
        <v>10</v>
      </c>
      <c r="S50" s="14">
        <f t="shared" si="5"/>
        <v>630</v>
      </c>
      <c r="T50" s="14"/>
      <c r="U50" s="14"/>
      <c r="V50" s="14"/>
      <c r="W50" s="14"/>
      <c r="X50" s="14"/>
      <c r="Y50" s="14"/>
      <c r="Z50" s="14"/>
      <c r="AA50" s="14"/>
      <c r="AB50" s="14">
        <f t="shared" si="2"/>
        <v>63</v>
      </c>
      <c r="AC50" s="14">
        <f t="shared" si="13"/>
        <v>10</v>
      </c>
      <c r="AD50" s="14">
        <f t="shared" si="16"/>
        <v>630</v>
      </c>
    </row>
    <row r="51" spans="1:30">
      <c r="A51" s="13" t="s">
        <v>65</v>
      </c>
      <c r="B51" s="14">
        <v>100</v>
      </c>
      <c r="C51" s="14"/>
      <c r="D51" s="14">
        <v>1031</v>
      </c>
      <c r="E51" s="14"/>
      <c r="F51" s="14" t="e">
        <f t="shared" si="4"/>
        <v>#DIV/0!</v>
      </c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>
        <f t="shared" si="14"/>
        <v>100</v>
      </c>
      <c r="R51" s="14">
        <f t="shared" si="1"/>
        <v>10.31</v>
      </c>
      <c r="S51" s="14">
        <f t="shared" si="5"/>
        <v>1031</v>
      </c>
      <c r="T51" s="14"/>
      <c r="U51" s="14"/>
      <c r="V51" s="14"/>
      <c r="W51" s="14"/>
      <c r="X51" s="14"/>
      <c r="Y51" s="14"/>
      <c r="Z51" s="14"/>
      <c r="AA51" s="14"/>
      <c r="AB51" s="14">
        <f t="shared" si="2"/>
        <v>100</v>
      </c>
      <c r="AC51" s="14">
        <f t="shared" si="13"/>
        <v>10.31</v>
      </c>
      <c r="AD51" s="14">
        <f t="shared" si="16"/>
        <v>1031</v>
      </c>
    </row>
    <row r="52" spans="1:30">
      <c r="A52" s="13" t="s">
        <v>66</v>
      </c>
      <c r="B52" s="14">
        <v>2000</v>
      </c>
      <c r="C52" s="14"/>
      <c r="D52" s="14">
        <v>5634.6055532741802</v>
      </c>
      <c r="E52" s="14">
        <v>2000</v>
      </c>
      <c r="F52" s="14">
        <f t="shared" si="4"/>
        <v>2.4495592506119008</v>
      </c>
      <c r="G52" s="14">
        <v>4114.2299999999996</v>
      </c>
      <c r="H52" s="14">
        <f>E52*$H$169</f>
        <v>416.93480762105344</v>
      </c>
      <c r="I52" s="14">
        <f t="shared" si="10"/>
        <v>367.95369360274844</v>
      </c>
      <c r="J52" s="14">
        <f t="shared" si="11"/>
        <v>4899.118501223802</v>
      </c>
      <c r="K52" s="14"/>
      <c r="L52" s="14"/>
      <c r="M52" s="14"/>
      <c r="N52" s="14"/>
      <c r="O52" s="14"/>
      <c r="P52" s="14"/>
      <c r="Q52" s="14">
        <f t="shared" si="14"/>
        <v>4000</v>
      </c>
      <c r="R52" s="14">
        <f t="shared" si="1"/>
        <v>2.6334310136244956</v>
      </c>
      <c r="S52" s="14">
        <f t="shared" si="5"/>
        <v>10533.724054497983</v>
      </c>
      <c r="T52" s="14"/>
      <c r="U52" s="14"/>
      <c r="V52" s="14"/>
      <c r="W52" s="14"/>
      <c r="X52" s="14"/>
      <c r="Y52" s="14"/>
      <c r="Z52" s="14">
        <f>1000+1000+200</f>
        <v>2200</v>
      </c>
      <c r="AA52" s="14">
        <f t="shared" si="15"/>
        <v>5793.5482299738906</v>
      </c>
      <c r="AB52" s="14">
        <f t="shared" si="2"/>
        <v>1800</v>
      </c>
      <c r="AC52" s="14">
        <f t="shared" si="13"/>
        <v>2.6334310136244961</v>
      </c>
      <c r="AD52" s="14">
        <f t="shared" si="16"/>
        <v>4740.1758245240926</v>
      </c>
    </row>
    <row r="53" spans="1:30">
      <c r="A53" s="13" t="s">
        <v>67</v>
      </c>
      <c r="B53" s="14">
        <v>0</v>
      </c>
      <c r="C53" s="14"/>
      <c r="D53" s="14">
        <v>0</v>
      </c>
      <c r="E53" s="14">
        <f>2000+3000</f>
        <v>5000</v>
      </c>
      <c r="F53" s="14">
        <f t="shared" si="4"/>
        <v>9.2504170234039744</v>
      </c>
      <c r="G53" s="14">
        <v>44250</v>
      </c>
      <c r="H53" s="14">
        <f>E53*$H$168</f>
        <v>1082.2008830130007</v>
      </c>
      <c r="I53" s="14">
        <f t="shared" si="10"/>
        <v>919.88423400687111</v>
      </c>
      <c r="J53" s="14">
        <f t="shared" si="11"/>
        <v>46252.085117019873</v>
      </c>
      <c r="K53" s="14"/>
      <c r="L53" s="14"/>
      <c r="M53" s="14"/>
      <c r="N53" s="14"/>
      <c r="O53" s="14"/>
      <c r="P53" s="14"/>
      <c r="Q53" s="14">
        <f t="shared" si="14"/>
        <v>5000</v>
      </c>
      <c r="R53" s="14">
        <f t="shared" si="1"/>
        <v>9.2504170234039744</v>
      </c>
      <c r="S53" s="14">
        <f t="shared" si="5"/>
        <v>46252.085117019873</v>
      </c>
      <c r="T53" s="14"/>
      <c r="U53" s="14"/>
      <c r="V53" s="14"/>
      <c r="W53" s="14"/>
      <c r="X53" s="14"/>
      <c r="Y53" s="14"/>
      <c r="Z53" s="14">
        <v>2000</v>
      </c>
      <c r="AA53" s="14">
        <f t="shared" si="15"/>
        <v>18500.834046807948</v>
      </c>
      <c r="AB53" s="14">
        <f t="shared" si="2"/>
        <v>3000</v>
      </c>
      <c r="AC53" s="14">
        <f t="shared" si="13"/>
        <v>9.2504170234039744</v>
      </c>
      <c r="AD53" s="14">
        <f t="shared" si="16"/>
        <v>27751.251070211925</v>
      </c>
    </row>
    <row r="54" spans="1:30">
      <c r="A54" s="13" t="s">
        <v>68</v>
      </c>
      <c r="B54" s="14">
        <v>9000</v>
      </c>
      <c r="C54" s="14"/>
      <c r="D54" s="14">
        <v>14174.529748201299</v>
      </c>
      <c r="E54" s="14">
        <f>2000+2000+2000</f>
        <v>6000</v>
      </c>
      <c r="F54" s="14">
        <f t="shared" si="4"/>
        <v>2.2937442506119008</v>
      </c>
      <c r="G54" s="14">
        <v>11407.8</v>
      </c>
      <c r="H54" s="14">
        <f>E54*$H$169</f>
        <v>1250.8044228631604</v>
      </c>
      <c r="I54" s="14">
        <f t="shared" si="10"/>
        <v>1103.8610808082453</v>
      </c>
      <c r="J54" s="14">
        <f t="shared" si="11"/>
        <v>13762.465503671405</v>
      </c>
      <c r="K54" s="14"/>
      <c r="L54" s="14"/>
      <c r="M54" s="14"/>
      <c r="N54" s="14"/>
      <c r="O54" s="14"/>
      <c r="P54" s="14"/>
      <c r="Q54" s="14">
        <f t="shared" si="14"/>
        <v>15000</v>
      </c>
      <c r="R54" s="14">
        <f t="shared" si="1"/>
        <v>1.8624663501248468</v>
      </c>
      <c r="S54" s="14">
        <f t="shared" si="5"/>
        <v>27936.995251872704</v>
      </c>
      <c r="T54" s="14"/>
      <c r="U54" s="14"/>
      <c r="V54" s="14"/>
      <c r="W54" s="14"/>
      <c r="X54" s="14"/>
      <c r="Y54" s="14"/>
      <c r="Z54" s="14">
        <v>15000</v>
      </c>
      <c r="AA54" s="14">
        <f t="shared" si="15"/>
        <v>27936.995251872704</v>
      </c>
      <c r="AB54" s="14">
        <f t="shared" si="2"/>
        <v>0</v>
      </c>
      <c r="AC54" s="14"/>
      <c r="AD54" s="14">
        <f t="shared" si="16"/>
        <v>0</v>
      </c>
    </row>
    <row r="55" spans="1:30">
      <c r="A55" s="13" t="s">
        <v>69</v>
      </c>
      <c r="B55" s="14">
        <v>4510</v>
      </c>
      <c r="C55" s="14"/>
      <c r="D55" s="14">
        <v>9469.8698606314501</v>
      </c>
      <c r="E55" s="14"/>
      <c r="F55" s="14" t="e">
        <f t="shared" si="4"/>
        <v>#DIV/0!</v>
      </c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>
        <f t="shared" si="14"/>
        <v>4510</v>
      </c>
      <c r="R55" s="14">
        <f t="shared" si="1"/>
        <v>2.0997494147741573</v>
      </c>
      <c r="S55" s="14">
        <f t="shared" si="5"/>
        <v>9469.8698606314501</v>
      </c>
      <c r="T55" s="14"/>
      <c r="U55" s="14"/>
      <c r="V55" s="14"/>
      <c r="W55" s="14"/>
      <c r="X55" s="14"/>
      <c r="Y55" s="14"/>
      <c r="Z55" s="14">
        <v>1000</v>
      </c>
      <c r="AA55" s="14">
        <f t="shared" si="15"/>
        <v>2099.7494147741572</v>
      </c>
      <c r="AB55" s="14">
        <f t="shared" si="2"/>
        <v>3510</v>
      </c>
      <c r="AC55" s="14">
        <f t="shared" si="13"/>
        <v>2.0997494147741573</v>
      </c>
      <c r="AD55" s="14">
        <f t="shared" si="16"/>
        <v>7370.1204458572929</v>
      </c>
    </row>
    <row r="56" spans="1:30">
      <c r="A56" s="13" t="s">
        <v>70</v>
      </c>
      <c r="B56" s="14">
        <v>6000</v>
      </c>
      <c r="C56" s="14"/>
      <c r="D56" s="14">
        <v>11062.429443188599</v>
      </c>
      <c r="E56" s="14">
        <f>2000+2000+2000+2000+2000</f>
        <v>10000</v>
      </c>
      <c r="F56" s="14">
        <f t="shared" si="4"/>
        <v>1.7866720234039741</v>
      </c>
      <c r="G56" s="14">
        <v>13862.55</v>
      </c>
      <c r="H56" s="14">
        <f>E56*$H$168</f>
        <v>2164.4017660260015</v>
      </c>
      <c r="I56" s="14">
        <f t="shared" si="10"/>
        <v>1839.7684680137422</v>
      </c>
      <c r="J56" s="14">
        <f t="shared" si="11"/>
        <v>17866.720234039742</v>
      </c>
      <c r="K56" s="14"/>
      <c r="L56" s="14"/>
      <c r="M56" s="14"/>
      <c r="N56" s="14"/>
      <c r="O56" s="14"/>
      <c r="P56" s="14"/>
      <c r="Q56" s="14">
        <f t="shared" si="14"/>
        <v>16000</v>
      </c>
      <c r="R56" s="14">
        <f t="shared" si="1"/>
        <v>1.8080718548267714</v>
      </c>
      <c r="S56" s="14">
        <f t="shared" si="5"/>
        <v>28929.149677228343</v>
      </c>
      <c r="T56" s="14"/>
      <c r="U56" s="14"/>
      <c r="V56" s="14"/>
      <c r="W56" s="14"/>
      <c r="X56" s="14"/>
      <c r="Y56" s="14"/>
      <c r="Z56" s="14">
        <f>3000+3000+2000+2000</f>
        <v>10000</v>
      </c>
      <c r="AA56" s="14">
        <f t="shared" si="15"/>
        <v>18080.718548267712</v>
      </c>
      <c r="AB56" s="14">
        <f t="shared" si="2"/>
        <v>6000</v>
      </c>
      <c r="AC56" s="14">
        <f t="shared" si="13"/>
        <v>1.8080718548267718</v>
      </c>
      <c r="AD56" s="14">
        <f t="shared" si="16"/>
        <v>10848.43112896063</v>
      </c>
    </row>
    <row r="57" spans="1:30">
      <c r="A57" s="13" t="s">
        <v>71</v>
      </c>
      <c r="B57" s="14">
        <v>3000</v>
      </c>
      <c r="C57" s="14"/>
      <c r="D57" s="14">
        <v>5701.3527873925004</v>
      </c>
      <c r="E57" s="14"/>
      <c r="F57" s="14" t="e">
        <f t="shared" si="4"/>
        <v>#DIV/0!</v>
      </c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>
        <f t="shared" si="14"/>
        <v>3000</v>
      </c>
      <c r="R57" s="14">
        <f t="shared" si="1"/>
        <v>1.9004509291308336</v>
      </c>
      <c r="S57" s="14">
        <f t="shared" si="5"/>
        <v>5701.3527873925004</v>
      </c>
      <c r="T57" s="14"/>
      <c r="U57" s="14"/>
      <c r="V57" s="14"/>
      <c r="W57" s="14"/>
      <c r="X57" s="14"/>
      <c r="Y57" s="14"/>
      <c r="Z57" s="14">
        <v>200</v>
      </c>
      <c r="AA57" s="14">
        <f t="shared" si="15"/>
        <v>380.0901858261667</v>
      </c>
      <c r="AB57" s="14">
        <f t="shared" si="2"/>
        <v>2800</v>
      </c>
      <c r="AC57" s="14">
        <f t="shared" si="13"/>
        <v>1.9004509291308334</v>
      </c>
      <c r="AD57" s="14">
        <f t="shared" si="16"/>
        <v>5321.2626015663336</v>
      </c>
    </row>
    <row r="58" spans="1:30">
      <c r="A58" s="15" t="s">
        <v>72</v>
      </c>
      <c r="B58" s="14">
        <v>18906</v>
      </c>
      <c r="C58" s="14"/>
      <c r="D58" s="14">
        <v>39495.116310088699</v>
      </c>
      <c r="E58" s="14">
        <f>2000+2000+2000+2000+2000+2000+2000+2000+2000+2000</f>
        <v>20000</v>
      </c>
      <c r="F58" s="14">
        <f t="shared" si="4"/>
        <v>1.9399620234039747</v>
      </c>
      <c r="G58" s="14">
        <v>30790.9</v>
      </c>
      <c r="H58" s="14">
        <f>E58*$H$168</f>
        <v>4328.803532052003</v>
      </c>
      <c r="I58" s="14">
        <f t="shared" si="10"/>
        <v>3679.5369360274844</v>
      </c>
      <c r="J58" s="14">
        <f t="shared" si="11"/>
        <v>38799.240468079493</v>
      </c>
      <c r="K58" s="14"/>
      <c r="L58" s="14"/>
      <c r="M58" s="14"/>
      <c r="N58" s="14"/>
      <c r="O58" s="14">
        <v>880</v>
      </c>
      <c r="P58" s="14">
        <v>1839.2</v>
      </c>
      <c r="Q58" s="14">
        <f t="shared" si="14"/>
        <v>38026</v>
      </c>
      <c r="R58" s="14">
        <f t="shared" si="1"/>
        <v>2.0106021348069265</v>
      </c>
      <c r="S58" s="14">
        <f t="shared" si="5"/>
        <v>76455.156778168195</v>
      </c>
      <c r="T58" s="14"/>
      <c r="U58" s="14"/>
      <c r="V58" s="14"/>
      <c r="W58" s="14"/>
      <c r="X58" s="14"/>
      <c r="Y58" s="14"/>
      <c r="Z58" s="14">
        <f>660+5000+660+5000</f>
        <v>11320</v>
      </c>
      <c r="AA58" s="14">
        <f t="shared" si="15"/>
        <v>22760.016166014408</v>
      </c>
      <c r="AB58" s="14">
        <f t="shared" si="2"/>
        <v>26706</v>
      </c>
      <c r="AC58" s="14">
        <f t="shared" si="13"/>
        <v>2.010602134806927</v>
      </c>
      <c r="AD58" s="14">
        <f t="shared" si="16"/>
        <v>53695.140612153788</v>
      </c>
    </row>
    <row r="59" spans="1:30">
      <c r="A59" s="13" t="s">
        <v>73</v>
      </c>
      <c r="B59" s="14">
        <v>1000</v>
      </c>
      <c r="C59" s="14"/>
      <c r="D59" s="14">
        <v>5264.8045164793002</v>
      </c>
      <c r="E59" s="14">
        <f>2000+3000+2000</f>
        <v>7000</v>
      </c>
      <c r="F59" s="14">
        <f t="shared" si="4"/>
        <v>5.0303713934690437</v>
      </c>
      <c r="G59" s="14">
        <v>32465.49</v>
      </c>
      <c r="H59" s="14">
        <f>E59*$H$169</f>
        <v>1459.271826673687</v>
      </c>
      <c r="I59" s="14">
        <f t="shared" si="10"/>
        <v>1287.8379276096196</v>
      </c>
      <c r="J59" s="14">
        <f t="shared" si="11"/>
        <v>35212.599754283307</v>
      </c>
      <c r="K59" s="14"/>
      <c r="L59" s="14"/>
      <c r="M59" s="14"/>
      <c r="N59" s="14"/>
      <c r="O59" s="14"/>
      <c r="P59" s="14"/>
      <c r="Q59" s="14">
        <f t="shared" si="14"/>
        <v>8000</v>
      </c>
      <c r="R59" s="14">
        <f t="shared" si="1"/>
        <v>5.0596755338453256</v>
      </c>
      <c r="S59" s="14">
        <f t="shared" si="5"/>
        <v>40477.404270762607</v>
      </c>
      <c r="T59" s="14"/>
      <c r="U59" s="14"/>
      <c r="V59" s="14"/>
      <c r="W59" s="14"/>
      <c r="X59" s="14"/>
      <c r="Y59" s="14"/>
      <c r="Z59" s="14">
        <f>650+200+50+400+1700+1300</f>
        <v>4300</v>
      </c>
      <c r="AA59" s="14">
        <f t="shared" si="15"/>
        <v>21756.604795534899</v>
      </c>
      <c r="AB59" s="14">
        <f t="shared" si="2"/>
        <v>3700</v>
      </c>
      <c r="AC59" s="14">
        <f t="shared" si="13"/>
        <v>5.0596755338453265</v>
      </c>
      <c r="AD59" s="14">
        <f t="shared" si="16"/>
        <v>18720.799475227708</v>
      </c>
    </row>
    <row r="60" spans="1:30">
      <c r="A60" s="13" t="s">
        <v>74</v>
      </c>
      <c r="B60" s="14">
        <v>0</v>
      </c>
      <c r="C60" s="14"/>
      <c r="D60" s="14">
        <v>0</v>
      </c>
      <c r="E60" s="14"/>
      <c r="F60" s="14" t="e">
        <f t="shared" si="4"/>
        <v>#DIV/0!</v>
      </c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>
        <f t="shared" si="14"/>
        <v>0</v>
      </c>
      <c r="R60" s="14" t="e">
        <f t="shared" si="1"/>
        <v>#DIV/0!</v>
      </c>
      <c r="S60" s="14">
        <f t="shared" si="5"/>
        <v>0</v>
      </c>
      <c r="T60" s="14"/>
      <c r="U60" s="14"/>
      <c r="V60" s="14"/>
      <c r="W60" s="14"/>
      <c r="X60" s="14"/>
      <c r="Y60" s="14"/>
      <c r="Z60" s="14"/>
      <c r="AA60" s="14"/>
      <c r="AB60" s="14">
        <f t="shared" si="2"/>
        <v>0</v>
      </c>
      <c r="AC60" s="14"/>
      <c r="AD60" s="14">
        <f t="shared" si="16"/>
        <v>0</v>
      </c>
    </row>
    <row r="61" spans="1:30">
      <c r="A61" s="13" t="s">
        <v>75</v>
      </c>
      <c r="B61" s="14">
        <v>200</v>
      </c>
      <c r="C61" s="14"/>
      <c r="D61" s="14">
        <v>1731.32340381227</v>
      </c>
      <c r="E61" s="14"/>
      <c r="F61" s="14" t="e">
        <f t="shared" si="4"/>
        <v>#DIV/0!</v>
      </c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>
        <f t="shared" si="14"/>
        <v>200</v>
      </c>
      <c r="R61" s="14">
        <f t="shared" si="1"/>
        <v>8.6566170190613505</v>
      </c>
      <c r="S61" s="14">
        <f t="shared" si="5"/>
        <v>1731.32340381227</v>
      </c>
      <c r="T61" s="14"/>
      <c r="U61" s="14"/>
      <c r="V61" s="14"/>
      <c r="W61" s="14"/>
      <c r="X61" s="14"/>
      <c r="Y61" s="14"/>
      <c r="Z61" s="14"/>
      <c r="AA61" s="14"/>
      <c r="AB61" s="14">
        <f t="shared" si="2"/>
        <v>200</v>
      </c>
      <c r="AC61" s="14">
        <f t="shared" si="13"/>
        <v>8.6566170190613505</v>
      </c>
      <c r="AD61" s="14">
        <f t="shared" si="16"/>
        <v>1731.32340381227</v>
      </c>
    </row>
    <row r="62" spans="1:30">
      <c r="A62" s="13" t="s">
        <v>76</v>
      </c>
      <c r="B62" s="14">
        <v>0</v>
      </c>
      <c r="C62" s="14"/>
      <c r="D62" s="14">
        <v>0</v>
      </c>
      <c r="E62" s="14">
        <f>100+200+50</f>
        <v>350</v>
      </c>
      <c r="F62" s="14">
        <f t="shared" si="4"/>
        <v>7.6795228220404717</v>
      </c>
      <c r="G62" s="14">
        <v>2550.4775</v>
      </c>
      <c r="H62" s="14">
        <f>E62*$H$169</f>
        <v>72.963591333684349</v>
      </c>
      <c r="I62" s="14">
        <f t="shared" si="10"/>
        <v>64.391896380480972</v>
      </c>
      <c r="J62" s="14">
        <f t="shared" si="11"/>
        <v>2687.832987714165</v>
      </c>
      <c r="K62" s="14"/>
      <c r="L62" s="14"/>
      <c r="M62" s="14"/>
      <c r="N62" s="14"/>
      <c r="O62" s="14"/>
      <c r="P62" s="14"/>
      <c r="Q62" s="14">
        <f t="shared" si="14"/>
        <v>350</v>
      </c>
      <c r="R62" s="14">
        <f t="shared" si="1"/>
        <v>7.6795228220404717</v>
      </c>
      <c r="S62" s="14">
        <f t="shared" si="5"/>
        <v>2687.832987714165</v>
      </c>
      <c r="T62" s="14"/>
      <c r="U62" s="14"/>
      <c r="V62" s="14"/>
      <c r="W62" s="14"/>
      <c r="X62" s="14"/>
      <c r="Y62" s="14"/>
      <c r="Z62" s="14">
        <f>100+200+50</f>
        <v>350</v>
      </c>
      <c r="AA62" s="14">
        <f t="shared" si="15"/>
        <v>2687.832987714165</v>
      </c>
      <c r="AB62" s="14">
        <f t="shared" si="2"/>
        <v>0</v>
      </c>
      <c r="AC62" s="14"/>
      <c r="AD62" s="14">
        <f t="shared" si="16"/>
        <v>0</v>
      </c>
    </row>
    <row r="63" spans="1:30">
      <c r="A63" s="13" t="s">
        <v>77</v>
      </c>
      <c r="B63" s="14">
        <v>0</v>
      </c>
      <c r="C63" s="14"/>
      <c r="D63" s="14">
        <v>0</v>
      </c>
      <c r="E63" s="14">
        <v>5000</v>
      </c>
      <c r="F63" s="14">
        <f t="shared" si="4"/>
        <v>9.3326722506119015</v>
      </c>
      <c r="G63" s="14">
        <v>44701.14</v>
      </c>
      <c r="H63" s="14">
        <f>E63*$H$169</f>
        <v>1042.3370190526337</v>
      </c>
      <c r="I63" s="14">
        <f t="shared" si="10"/>
        <v>919.88423400687111</v>
      </c>
      <c r="J63" s="14">
        <f t="shared" si="11"/>
        <v>46663.361253059506</v>
      </c>
      <c r="K63" s="14"/>
      <c r="L63" s="14"/>
      <c r="M63" s="14"/>
      <c r="N63" s="14"/>
      <c r="O63" s="14"/>
      <c r="P63" s="14"/>
      <c r="Q63" s="14">
        <f t="shared" si="14"/>
        <v>5000</v>
      </c>
      <c r="R63" s="14">
        <f t="shared" si="1"/>
        <v>9.3326722506119015</v>
      </c>
      <c r="S63" s="14">
        <f t="shared" si="5"/>
        <v>46663.361253059506</v>
      </c>
      <c r="T63" s="14"/>
      <c r="U63" s="14"/>
      <c r="V63" s="14"/>
      <c r="W63" s="14"/>
      <c r="X63" s="14"/>
      <c r="Y63" s="14"/>
      <c r="Z63" s="14">
        <v>5000</v>
      </c>
      <c r="AA63" s="14">
        <f t="shared" si="15"/>
        <v>46663.361253059506</v>
      </c>
      <c r="AB63" s="14">
        <f t="shared" si="2"/>
        <v>0</v>
      </c>
      <c r="AC63" s="14"/>
      <c r="AD63" s="14">
        <f t="shared" si="16"/>
        <v>0</v>
      </c>
    </row>
    <row r="64" spans="1:30">
      <c r="A64" s="13" t="s">
        <v>78</v>
      </c>
      <c r="B64" s="14">
        <v>0</v>
      </c>
      <c r="C64" s="14"/>
      <c r="D64" s="14">
        <v>0</v>
      </c>
      <c r="E64" s="14">
        <v>3000</v>
      </c>
      <c r="F64" s="14">
        <f t="shared" si="4"/>
        <v>5.8181892506119013</v>
      </c>
      <c r="G64" s="14">
        <v>16277.235000000001</v>
      </c>
      <c r="H64" s="14">
        <f>E64*$H$169</f>
        <v>625.40221143158021</v>
      </c>
      <c r="I64" s="14">
        <f t="shared" si="10"/>
        <v>551.93054040412267</v>
      </c>
      <c r="J64" s="14">
        <f t="shared" si="11"/>
        <v>17454.567751835704</v>
      </c>
      <c r="K64" s="14"/>
      <c r="L64" s="14"/>
      <c r="M64" s="14"/>
      <c r="N64" s="14"/>
      <c r="O64" s="14"/>
      <c r="P64" s="14"/>
      <c r="Q64" s="14">
        <f t="shared" si="14"/>
        <v>3000</v>
      </c>
      <c r="R64" s="14">
        <f t="shared" si="1"/>
        <v>5.8181892506119013</v>
      </c>
      <c r="S64" s="14">
        <f t="shared" si="5"/>
        <v>17454.567751835704</v>
      </c>
      <c r="T64" s="14"/>
      <c r="U64" s="14"/>
      <c r="V64" s="14"/>
      <c r="W64" s="14"/>
      <c r="X64" s="14"/>
      <c r="Y64" s="14"/>
      <c r="Z64" s="14">
        <v>3000</v>
      </c>
      <c r="AA64" s="14">
        <f t="shared" si="15"/>
        <v>17454.567751835704</v>
      </c>
      <c r="AB64" s="14">
        <f t="shared" si="2"/>
        <v>0</v>
      </c>
      <c r="AC64" s="14"/>
      <c r="AD64" s="14">
        <f t="shared" si="16"/>
        <v>0</v>
      </c>
    </row>
    <row r="65" spans="1:30">
      <c r="A65" s="13" t="s">
        <v>79</v>
      </c>
      <c r="B65" s="14">
        <v>0</v>
      </c>
      <c r="C65" s="14"/>
      <c r="D65" s="14">
        <v>-168.36048438280699</v>
      </c>
      <c r="E65" s="14">
        <v>1500</v>
      </c>
      <c r="F65" s="14">
        <f t="shared" si="4"/>
        <v>12.9042882506119</v>
      </c>
      <c r="G65" s="14">
        <v>18767.766</v>
      </c>
      <c r="H65" s="14">
        <f>E65*$H$169</f>
        <v>312.70110571579011</v>
      </c>
      <c r="I65" s="14">
        <f t="shared" si="10"/>
        <v>275.96527020206133</v>
      </c>
      <c r="J65" s="14">
        <f t="shared" si="11"/>
        <v>19356.432375917851</v>
      </c>
      <c r="K65" s="14"/>
      <c r="L65" s="14"/>
      <c r="M65" s="14"/>
      <c r="N65" s="14"/>
      <c r="O65" s="14"/>
      <c r="P65" s="14"/>
      <c r="Q65" s="14">
        <f t="shared" si="14"/>
        <v>1500</v>
      </c>
      <c r="R65" s="14">
        <f t="shared" si="1"/>
        <v>12.79204792769003</v>
      </c>
      <c r="S65" s="14">
        <f t="shared" si="5"/>
        <v>19188.071891535044</v>
      </c>
      <c r="T65" s="14"/>
      <c r="U65" s="14"/>
      <c r="V65" s="14"/>
      <c r="W65" s="14"/>
      <c r="X65" s="14"/>
      <c r="Y65" s="14"/>
      <c r="Z65" s="14">
        <v>1200</v>
      </c>
      <c r="AA65" s="14">
        <f t="shared" si="15"/>
        <v>15350.457513228035</v>
      </c>
      <c r="AB65" s="14">
        <f t="shared" si="2"/>
        <v>300</v>
      </c>
      <c r="AC65" s="14">
        <f t="shared" si="13"/>
        <v>12.792047927690032</v>
      </c>
      <c r="AD65" s="14">
        <f t="shared" si="16"/>
        <v>3837.6143783070092</v>
      </c>
    </row>
    <row r="66" spans="1:30">
      <c r="A66" s="13" t="s">
        <v>80</v>
      </c>
      <c r="B66" s="14">
        <v>0</v>
      </c>
      <c r="C66" s="14"/>
      <c r="D66" s="14">
        <v>-2.4778005920040899E-3</v>
      </c>
      <c r="E66" s="14"/>
      <c r="F66" s="14" t="e">
        <f t="shared" si="4"/>
        <v>#DIV/0!</v>
      </c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>
        <f t="shared" si="14"/>
        <v>0</v>
      </c>
      <c r="R66" s="14" t="e">
        <f t="shared" si="1"/>
        <v>#DIV/0!</v>
      </c>
      <c r="S66" s="14">
        <f t="shared" si="5"/>
        <v>-2.4778005920040899E-3</v>
      </c>
      <c r="T66" s="14"/>
      <c r="U66" s="14"/>
      <c r="V66" s="14"/>
      <c r="W66" s="14"/>
      <c r="X66" s="14"/>
      <c r="Y66" s="14"/>
      <c r="Z66" s="14"/>
      <c r="AA66" s="14"/>
      <c r="AB66" s="14">
        <f t="shared" si="2"/>
        <v>0</v>
      </c>
      <c r="AC66" s="14"/>
      <c r="AD66" s="14">
        <f t="shared" si="16"/>
        <v>-2.4778005920040899E-3</v>
      </c>
    </row>
    <row r="67" spans="1:30">
      <c r="A67" s="13" t="s">
        <v>81</v>
      </c>
      <c r="B67" s="14">
        <v>0</v>
      </c>
      <c r="C67" s="14"/>
      <c r="D67" s="14">
        <v>0</v>
      </c>
      <c r="E67" s="14">
        <v>25</v>
      </c>
      <c r="F67" s="14">
        <f t="shared" si="4"/>
        <v>4.1812442506119005</v>
      </c>
      <c r="G67" s="14">
        <v>94.72</v>
      </c>
      <c r="H67" s="14">
        <f>E67*$H$169</f>
        <v>5.2116850952631681</v>
      </c>
      <c r="I67" s="14">
        <f t="shared" si="10"/>
        <v>4.599421170034355</v>
      </c>
      <c r="J67" s="14">
        <f t="shared" si="11"/>
        <v>104.53110626529752</v>
      </c>
      <c r="K67" s="14"/>
      <c r="L67" s="14"/>
      <c r="M67" s="14"/>
      <c r="N67" s="14"/>
      <c r="O67" s="14"/>
      <c r="P67" s="14"/>
      <c r="Q67" s="14">
        <f t="shared" si="14"/>
        <v>25</v>
      </c>
      <c r="R67" s="14">
        <f t="shared" si="1"/>
        <v>4.1812442506119005</v>
      </c>
      <c r="S67" s="14">
        <f t="shared" si="5"/>
        <v>104.53110626529752</v>
      </c>
      <c r="T67" s="14"/>
      <c r="U67" s="14"/>
      <c r="V67" s="14"/>
      <c r="W67" s="14"/>
      <c r="X67" s="14"/>
      <c r="Y67" s="14"/>
      <c r="Z67" s="14"/>
      <c r="AA67" s="14"/>
      <c r="AB67" s="14">
        <f t="shared" si="2"/>
        <v>25</v>
      </c>
      <c r="AC67" s="14">
        <f t="shared" si="13"/>
        <v>4.1812442506119005</v>
      </c>
      <c r="AD67" s="14">
        <f t="shared" si="16"/>
        <v>104.53110626529752</v>
      </c>
    </row>
    <row r="68" spans="1:30">
      <c r="A68" s="13" t="s">
        <v>82</v>
      </c>
      <c r="B68" s="14">
        <v>0</v>
      </c>
      <c r="C68" s="14"/>
      <c r="D68" s="14">
        <v>0</v>
      </c>
      <c r="E68" s="14">
        <v>25</v>
      </c>
      <c r="F68" s="14">
        <f t="shared" si="4"/>
        <v>6.7812442506119011</v>
      </c>
      <c r="G68" s="14">
        <v>159.72</v>
      </c>
      <c r="H68" s="14">
        <f>E68*$H$169</f>
        <v>5.2116850952631681</v>
      </c>
      <c r="I68" s="14">
        <f t="shared" si="10"/>
        <v>4.599421170034355</v>
      </c>
      <c r="J68" s="14">
        <f t="shared" si="11"/>
        <v>169.53110626529752</v>
      </c>
      <c r="K68" s="14"/>
      <c r="L68" s="14"/>
      <c r="M68" s="14"/>
      <c r="N68" s="14"/>
      <c r="O68" s="14"/>
      <c r="P68" s="14"/>
      <c r="Q68" s="14">
        <f t="shared" si="14"/>
        <v>25</v>
      </c>
      <c r="R68" s="14">
        <f t="shared" si="1"/>
        <v>6.7812442506119011</v>
      </c>
      <c r="S68" s="14">
        <f t="shared" si="5"/>
        <v>169.53110626529752</v>
      </c>
      <c r="T68" s="14"/>
      <c r="U68" s="14"/>
      <c r="V68" s="14"/>
      <c r="W68" s="14"/>
      <c r="X68" s="14"/>
      <c r="Y68" s="14"/>
      <c r="Z68" s="14"/>
      <c r="AA68" s="14"/>
      <c r="AB68" s="14">
        <f t="shared" si="2"/>
        <v>25</v>
      </c>
      <c r="AC68" s="14">
        <f t="shared" si="13"/>
        <v>6.7812442506119011</v>
      </c>
      <c r="AD68" s="14">
        <f t="shared" si="16"/>
        <v>169.53110626529752</v>
      </c>
    </row>
    <row r="69" spans="1:30">
      <c r="A69" s="13" t="s">
        <v>83</v>
      </c>
      <c r="B69" s="14">
        <v>0</v>
      </c>
      <c r="C69" s="14"/>
      <c r="D69" s="14">
        <v>0</v>
      </c>
      <c r="E69" s="14">
        <f>1000+1000+2000</f>
        <v>4000</v>
      </c>
      <c r="F69" s="14">
        <f t="shared" si="4"/>
        <v>4.9168692506119012</v>
      </c>
      <c r="G69" s="14">
        <v>18097.7</v>
      </c>
      <c r="H69" s="14">
        <f>E69*$H$169</f>
        <v>833.86961524210687</v>
      </c>
      <c r="I69" s="14">
        <f t="shared" si="10"/>
        <v>735.90738720549689</v>
      </c>
      <c r="J69" s="14">
        <f t="shared" si="11"/>
        <v>19667.477002447606</v>
      </c>
      <c r="K69" s="14"/>
      <c r="L69" s="14"/>
      <c r="M69" s="14"/>
      <c r="N69" s="14"/>
      <c r="O69" s="14"/>
      <c r="P69" s="14"/>
      <c r="Q69" s="14">
        <f t="shared" si="14"/>
        <v>4000</v>
      </c>
      <c r="R69" s="14">
        <f t="shared" ref="R69:R132" si="17">S69/Q69</f>
        <v>4.9168692506119012</v>
      </c>
      <c r="S69" s="14">
        <f t="shared" si="5"/>
        <v>19667.477002447606</v>
      </c>
      <c r="T69" s="14"/>
      <c r="U69" s="14"/>
      <c r="V69" s="14"/>
      <c r="W69" s="14"/>
      <c r="X69" s="14"/>
      <c r="Y69" s="14"/>
      <c r="Z69" s="14">
        <f>1000+1000+2000</f>
        <v>4000</v>
      </c>
      <c r="AA69" s="14">
        <f t="shared" si="15"/>
        <v>19667.477002447606</v>
      </c>
      <c r="AB69" s="14">
        <f t="shared" ref="AB69:AB132" si="18">Q69-T69-V69-X69-Z69</f>
        <v>0</v>
      </c>
      <c r="AC69" s="14"/>
      <c r="AD69" s="14">
        <f t="shared" si="16"/>
        <v>0</v>
      </c>
    </row>
    <row r="70" spans="1:30">
      <c r="A70" s="13" t="s">
        <v>84</v>
      </c>
      <c r="B70" s="14">
        <v>2000</v>
      </c>
      <c r="C70" s="14"/>
      <c r="D70" s="14">
        <v>9379.0446214681106</v>
      </c>
      <c r="E70" s="14">
        <v>1000</v>
      </c>
      <c r="F70" s="14">
        <f t="shared" ref="F70:F133" si="19">J70/E70</f>
        <v>5.0376520234039743</v>
      </c>
      <c r="G70" s="14">
        <v>4637.2349999999997</v>
      </c>
      <c r="H70" s="14">
        <f>E70*$H$168</f>
        <v>216.44017660260016</v>
      </c>
      <c r="I70" s="14">
        <f t="shared" si="10"/>
        <v>183.97684680137422</v>
      </c>
      <c r="J70" s="14">
        <f t="shared" si="11"/>
        <v>5037.6520234039745</v>
      </c>
      <c r="K70" s="14"/>
      <c r="L70" s="14"/>
      <c r="M70" s="14"/>
      <c r="N70" s="14"/>
      <c r="O70" s="14"/>
      <c r="P70" s="14"/>
      <c r="Q70" s="14">
        <f t="shared" si="14"/>
        <v>3000</v>
      </c>
      <c r="R70" s="14">
        <f t="shared" si="17"/>
        <v>4.8055655482906952</v>
      </c>
      <c r="S70" s="14">
        <f t="shared" ref="S70:S133" si="20">D70+J70+L70+N70-P70</f>
        <v>14416.696644872085</v>
      </c>
      <c r="T70" s="14"/>
      <c r="U70" s="14"/>
      <c r="V70" s="14"/>
      <c r="W70" s="14"/>
      <c r="X70" s="14"/>
      <c r="Y70" s="14"/>
      <c r="Z70" s="14">
        <v>2000</v>
      </c>
      <c r="AA70" s="14">
        <f t="shared" si="15"/>
        <v>9611.13109658139</v>
      </c>
      <c r="AB70" s="14">
        <f t="shared" si="18"/>
        <v>1000</v>
      </c>
      <c r="AC70" s="14">
        <f t="shared" ref="AC70:AC133" si="21">AD70/AB70</f>
        <v>4.8055655482906952</v>
      </c>
      <c r="AD70" s="14">
        <f t="shared" si="16"/>
        <v>4805.565548290695</v>
      </c>
    </row>
    <row r="71" spans="1:30">
      <c r="A71" s="13" t="s">
        <v>85</v>
      </c>
      <c r="B71" s="14">
        <v>50</v>
      </c>
      <c r="C71" s="14"/>
      <c r="D71" s="14">
        <v>726.42303123438705</v>
      </c>
      <c r="E71" s="14"/>
      <c r="F71" s="14" t="e">
        <f t="shared" si="19"/>
        <v>#DIV/0!</v>
      </c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>
        <f t="shared" si="14"/>
        <v>50</v>
      </c>
      <c r="R71" s="14">
        <f t="shared" si="17"/>
        <v>14.528460624687741</v>
      </c>
      <c r="S71" s="14">
        <f t="shared" si="20"/>
        <v>726.42303123438705</v>
      </c>
      <c r="T71" s="14"/>
      <c r="U71" s="14"/>
      <c r="V71" s="14"/>
      <c r="W71" s="14"/>
      <c r="X71" s="14"/>
      <c r="Y71" s="14"/>
      <c r="Z71" s="14"/>
      <c r="AA71" s="14">
        <f t="shared" si="15"/>
        <v>0</v>
      </c>
      <c r="AB71" s="14">
        <f t="shared" si="18"/>
        <v>50</v>
      </c>
      <c r="AC71" s="14">
        <f t="shared" si="21"/>
        <v>14.528460624687741</v>
      </c>
      <c r="AD71" s="14">
        <f t="shared" si="16"/>
        <v>726.42303123438705</v>
      </c>
    </row>
    <row r="72" spans="1:30">
      <c r="A72" s="13" t="s">
        <v>86</v>
      </c>
      <c r="B72" s="14">
        <v>0</v>
      </c>
      <c r="C72" s="14"/>
      <c r="D72" s="14">
        <v>0</v>
      </c>
      <c r="E72" s="14">
        <v>2000</v>
      </c>
      <c r="F72" s="14">
        <f t="shared" si="19"/>
        <v>1.9164880006119009</v>
      </c>
      <c r="G72" s="14">
        <v>3048.0875000000001</v>
      </c>
      <c r="H72" s="14">
        <f>E72*$H$169</f>
        <v>416.93480762105344</v>
      </c>
      <c r="I72" s="14">
        <f>E72*$I$168</f>
        <v>367.95369360274844</v>
      </c>
      <c r="J72" s="14">
        <f>G72+H72+I72</f>
        <v>3832.9760012238021</v>
      </c>
      <c r="K72" s="14"/>
      <c r="L72" s="14"/>
      <c r="M72" s="14"/>
      <c r="N72" s="14"/>
      <c r="O72" s="14"/>
      <c r="P72" s="14"/>
      <c r="Q72" s="14">
        <f t="shared" si="14"/>
        <v>2000</v>
      </c>
      <c r="R72" s="14">
        <f t="shared" si="17"/>
        <v>1.9164880006119009</v>
      </c>
      <c r="S72" s="14">
        <f t="shared" si="20"/>
        <v>3832.9760012238021</v>
      </c>
      <c r="T72" s="14"/>
      <c r="U72" s="14"/>
      <c r="V72" s="14"/>
      <c r="W72" s="14"/>
      <c r="X72" s="14"/>
      <c r="Y72" s="14"/>
      <c r="Z72" s="14">
        <v>2000</v>
      </c>
      <c r="AA72" s="14">
        <f t="shared" si="15"/>
        <v>3832.9760012238021</v>
      </c>
      <c r="AB72" s="14">
        <f t="shared" si="18"/>
        <v>0</v>
      </c>
      <c r="AC72" s="14"/>
      <c r="AD72" s="14">
        <f t="shared" si="16"/>
        <v>0</v>
      </c>
    </row>
    <row r="73" spans="1:30">
      <c r="A73" s="13" t="s">
        <v>87</v>
      </c>
      <c r="B73" s="14">
        <v>700</v>
      </c>
      <c r="C73" s="14"/>
      <c r="D73" s="14">
        <v>6221.7983079454298</v>
      </c>
      <c r="E73" s="14"/>
      <c r="F73" s="14" t="e">
        <f t="shared" si="19"/>
        <v>#DIV/0!</v>
      </c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>
        <f t="shared" si="14"/>
        <v>700</v>
      </c>
      <c r="R73" s="14">
        <f t="shared" si="17"/>
        <v>8.8882832970649002</v>
      </c>
      <c r="S73" s="14">
        <f t="shared" si="20"/>
        <v>6221.7983079454298</v>
      </c>
      <c r="T73" s="14"/>
      <c r="U73" s="14"/>
      <c r="V73" s="14"/>
      <c r="W73" s="14"/>
      <c r="X73" s="14"/>
      <c r="Y73" s="14"/>
      <c r="Z73" s="14"/>
      <c r="AA73" s="14"/>
      <c r="AB73" s="14">
        <f t="shared" si="18"/>
        <v>700</v>
      </c>
      <c r="AC73" s="14">
        <f t="shared" si="21"/>
        <v>8.8882832970649002</v>
      </c>
      <c r="AD73" s="14">
        <f t="shared" si="16"/>
        <v>6221.7983079454298</v>
      </c>
    </row>
    <row r="74" spans="1:30">
      <c r="A74" s="13" t="s">
        <v>88</v>
      </c>
      <c r="B74" s="14">
        <v>0</v>
      </c>
      <c r="C74" s="14"/>
      <c r="D74" s="14">
        <v>0</v>
      </c>
      <c r="E74" s="14"/>
      <c r="F74" s="14" t="e">
        <f t="shared" si="19"/>
        <v>#DIV/0!</v>
      </c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>
        <f t="shared" si="14"/>
        <v>0</v>
      </c>
      <c r="R74" s="14" t="e">
        <f t="shared" si="17"/>
        <v>#DIV/0!</v>
      </c>
      <c r="S74" s="14">
        <f t="shared" si="20"/>
        <v>0</v>
      </c>
      <c r="T74" s="14"/>
      <c r="U74" s="14"/>
      <c r="V74" s="14"/>
      <c r="W74" s="14"/>
      <c r="X74" s="14"/>
      <c r="Y74" s="14"/>
      <c r="Z74" s="14"/>
      <c r="AA74" s="14"/>
      <c r="AB74" s="14">
        <f t="shared" si="18"/>
        <v>0</v>
      </c>
      <c r="AC74" s="14"/>
      <c r="AD74" s="14">
        <f t="shared" si="16"/>
        <v>0</v>
      </c>
    </row>
    <row r="75" spans="1:30">
      <c r="A75" s="13" t="s">
        <v>89</v>
      </c>
      <c r="B75" s="14">
        <v>3197</v>
      </c>
      <c r="C75" s="14"/>
      <c r="D75" s="14">
        <v>36506.8286827302</v>
      </c>
      <c r="E75" s="14">
        <f>1000+500+1000+1000+1000+1000</f>
        <v>5500</v>
      </c>
      <c r="F75" s="14">
        <f t="shared" si="19"/>
        <v>6.8401206597676101</v>
      </c>
      <c r="G75" s="14">
        <v>35418.370000000003</v>
      </c>
      <c r="H75" s="14">
        <f>E75*$H$168</f>
        <v>1190.4209713143009</v>
      </c>
      <c r="I75" s="14">
        <f>E75*$I$168</f>
        <v>1011.8726574075582</v>
      </c>
      <c r="J75" s="14">
        <f>G75+H75+I75</f>
        <v>37620.663628721857</v>
      </c>
      <c r="K75" s="14"/>
      <c r="L75" s="14"/>
      <c r="M75" s="14"/>
      <c r="N75" s="14"/>
      <c r="O75" s="14">
        <v>1450</v>
      </c>
      <c r="P75" s="14">
        <v>16559</v>
      </c>
      <c r="Q75" s="14">
        <f t="shared" si="14"/>
        <v>7247</v>
      </c>
      <c r="R75" s="14">
        <f t="shared" si="17"/>
        <v>7.9437687748657444</v>
      </c>
      <c r="S75" s="14">
        <f t="shared" si="20"/>
        <v>57568.49231145205</v>
      </c>
      <c r="T75" s="14"/>
      <c r="U75" s="14"/>
      <c r="V75" s="14"/>
      <c r="W75" s="14"/>
      <c r="X75" s="14"/>
      <c r="Y75" s="14"/>
      <c r="Z75" s="14">
        <f>1800+1100+1000+1000</f>
        <v>4900</v>
      </c>
      <c r="AA75" s="14">
        <f>R75*Z75</f>
        <v>38924.466996842144</v>
      </c>
      <c r="AB75" s="14">
        <f t="shared" si="18"/>
        <v>2347</v>
      </c>
      <c r="AC75" s="14">
        <f t="shared" si="21"/>
        <v>7.9437687748657462</v>
      </c>
      <c r="AD75" s="14">
        <f t="shared" si="16"/>
        <v>18644.025314609906</v>
      </c>
    </row>
    <row r="76" spans="1:30">
      <c r="A76" s="13" t="s">
        <v>90</v>
      </c>
      <c r="B76" s="14">
        <v>20</v>
      </c>
      <c r="C76" s="14"/>
      <c r="D76" s="14">
        <v>188.89073084958699</v>
      </c>
      <c r="E76" s="14">
        <f>1000+2000+1000</f>
        <v>4000</v>
      </c>
      <c r="F76" s="14">
        <f t="shared" si="19"/>
        <v>8.4975170234039741</v>
      </c>
      <c r="G76" s="14">
        <v>32388.400000000001</v>
      </c>
      <c r="H76" s="14">
        <f>E76*$H$168</f>
        <v>865.76070641040064</v>
      </c>
      <c r="I76" s="14">
        <f>E76*$I$168</f>
        <v>735.90738720549689</v>
      </c>
      <c r="J76" s="14">
        <f>G76+H76+I76</f>
        <v>33990.068093615897</v>
      </c>
      <c r="K76" s="14"/>
      <c r="L76" s="14"/>
      <c r="M76" s="14"/>
      <c r="N76" s="14"/>
      <c r="O76" s="14"/>
      <c r="P76" s="14"/>
      <c r="Q76" s="14">
        <f t="shared" si="14"/>
        <v>4020</v>
      </c>
      <c r="R76" s="14">
        <f t="shared" si="17"/>
        <v>8.5022285632998713</v>
      </c>
      <c r="S76" s="14">
        <f t="shared" si="20"/>
        <v>34178.958824465481</v>
      </c>
      <c r="T76" s="14"/>
      <c r="U76" s="14"/>
      <c r="V76" s="14"/>
      <c r="W76" s="14"/>
      <c r="X76" s="14"/>
      <c r="Y76" s="14"/>
      <c r="Z76" s="14">
        <f>1000+2000</f>
        <v>3000</v>
      </c>
      <c r="AA76" s="14">
        <f>R76*Z76</f>
        <v>25506.685689899616</v>
      </c>
      <c r="AB76" s="14">
        <f t="shared" si="18"/>
        <v>1020</v>
      </c>
      <c r="AC76" s="14">
        <f t="shared" si="21"/>
        <v>8.5022285632998678</v>
      </c>
      <c r="AD76" s="14">
        <f t="shared" si="16"/>
        <v>8672.2731345658649</v>
      </c>
    </row>
    <row r="77" spans="1:30">
      <c r="A77" s="13" t="s">
        <v>91</v>
      </c>
      <c r="B77" s="14">
        <v>30</v>
      </c>
      <c r="C77" s="14"/>
      <c r="D77" s="14">
        <v>491.33368387366602</v>
      </c>
      <c r="E77" s="14"/>
      <c r="F77" s="14" t="e">
        <f t="shared" si="19"/>
        <v>#DIV/0!</v>
      </c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>
        <f t="shared" si="14"/>
        <v>30</v>
      </c>
      <c r="R77" s="14">
        <f t="shared" si="17"/>
        <v>16.377789462455535</v>
      </c>
      <c r="S77" s="14">
        <f t="shared" si="20"/>
        <v>491.33368387366602</v>
      </c>
      <c r="T77" s="14"/>
      <c r="U77" s="14"/>
      <c r="V77" s="14"/>
      <c r="W77" s="14"/>
      <c r="X77" s="14"/>
      <c r="Y77" s="14"/>
      <c r="Z77" s="14"/>
      <c r="AA77" s="14"/>
      <c r="AB77" s="14">
        <f t="shared" si="18"/>
        <v>30</v>
      </c>
      <c r="AC77" s="14">
        <f t="shared" si="21"/>
        <v>16.377789462455535</v>
      </c>
      <c r="AD77" s="14">
        <f t="shared" si="16"/>
        <v>491.33368387366602</v>
      </c>
    </row>
    <row r="78" spans="1:30">
      <c r="A78" s="13" t="s">
        <v>92</v>
      </c>
      <c r="B78" s="14">
        <v>20</v>
      </c>
      <c r="C78" s="14"/>
      <c r="D78" s="14">
        <v>230.71073559844299</v>
      </c>
      <c r="E78" s="14"/>
      <c r="F78" s="14" t="e">
        <f t="shared" si="19"/>
        <v>#DIV/0!</v>
      </c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>
        <f t="shared" si="14"/>
        <v>20</v>
      </c>
      <c r="R78" s="14">
        <f t="shared" si="17"/>
        <v>11.53553677992215</v>
      </c>
      <c r="S78" s="14">
        <f t="shared" si="20"/>
        <v>230.71073559844299</v>
      </c>
      <c r="T78" s="14"/>
      <c r="U78" s="14"/>
      <c r="V78" s="14"/>
      <c r="W78" s="14"/>
      <c r="X78" s="14"/>
      <c r="Y78" s="14"/>
      <c r="Z78" s="14"/>
      <c r="AA78" s="14"/>
      <c r="AB78" s="14">
        <f t="shared" si="18"/>
        <v>20</v>
      </c>
      <c r="AC78" s="14">
        <f t="shared" si="21"/>
        <v>11.53553677992215</v>
      </c>
      <c r="AD78" s="14">
        <f t="shared" si="16"/>
        <v>230.71073559844299</v>
      </c>
    </row>
    <row r="79" spans="1:30">
      <c r="A79" s="13" t="s">
        <v>93</v>
      </c>
      <c r="B79" s="14">
        <v>50</v>
      </c>
      <c r="C79" s="14"/>
      <c r="D79" s="14">
        <v>625</v>
      </c>
      <c r="E79" s="14"/>
      <c r="F79" s="14" t="e">
        <f t="shared" si="19"/>
        <v>#DIV/0!</v>
      </c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>
        <f t="shared" si="14"/>
        <v>50</v>
      </c>
      <c r="R79" s="14">
        <f t="shared" si="17"/>
        <v>12.5</v>
      </c>
      <c r="S79" s="14">
        <f t="shared" si="20"/>
        <v>625</v>
      </c>
      <c r="T79" s="14"/>
      <c r="U79" s="14"/>
      <c r="V79" s="14"/>
      <c r="W79" s="14"/>
      <c r="X79" s="14"/>
      <c r="Y79" s="14"/>
      <c r="Z79" s="14"/>
      <c r="AA79" s="14"/>
      <c r="AB79" s="14">
        <f t="shared" si="18"/>
        <v>50</v>
      </c>
      <c r="AC79" s="14">
        <f t="shared" si="21"/>
        <v>12.5</v>
      </c>
      <c r="AD79" s="14">
        <f t="shared" si="16"/>
        <v>625</v>
      </c>
    </row>
    <row r="80" spans="1:30">
      <c r="A80" s="13" t="s">
        <v>94</v>
      </c>
      <c r="B80" s="14">
        <v>0</v>
      </c>
      <c r="C80" s="14"/>
      <c r="D80" s="14">
        <v>0</v>
      </c>
      <c r="E80" s="14">
        <v>150</v>
      </c>
      <c r="F80" s="14">
        <f t="shared" si="19"/>
        <v>15.526133250611901</v>
      </c>
      <c r="G80" s="14">
        <v>2270.0533500000001</v>
      </c>
      <c r="H80" s="14">
        <f>E80*$H$169</f>
        <v>31.270110571579007</v>
      </c>
      <c r="I80" s="14">
        <f>E80*$I$168</f>
        <v>27.596527020206132</v>
      </c>
      <c r="J80" s="14">
        <f>G80+H80+I80</f>
        <v>2328.9199875917852</v>
      </c>
      <c r="K80" s="14"/>
      <c r="L80" s="14"/>
      <c r="M80" s="14"/>
      <c r="N80" s="14"/>
      <c r="O80" s="14"/>
      <c r="P80" s="14"/>
      <c r="Q80" s="14">
        <f t="shared" si="14"/>
        <v>150</v>
      </c>
      <c r="R80" s="14">
        <f t="shared" si="17"/>
        <v>15.526133250611901</v>
      </c>
      <c r="S80" s="14">
        <f t="shared" si="20"/>
        <v>2328.9199875917852</v>
      </c>
      <c r="T80" s="14"/>
      <c r="U80" s="14"/>
      <c r="V80" s="14"/>
      <c r="W80" s="14"/>
      <c r="X80" s="14"/>
      <c r="Y80" s="14"/>
      <c r="Z80" s="14">
        <v>150</v>
      </c>
      <c r="AA80" s="14">
        <f>R80*Z80</f>
        <v>2328.9199875917852</v>
      </c>
      <c r="AB80" s="14">
        <f t="shared" si="18"/>
        <v>0</v>
      </c>
      <c r="AC80" s="14"/>
      <c r="AD80" s="14">
        <f t="shared" si="16"/>
        <v>0</v>
      </c>
    </row>
    <row r="81" spans="1:30">
      <c r="A81" s="16" t="s">
        <v>95</v>
      </c>
      <c r="B81" s="14">
        <v>2191.9</v>
      </c>
      <c r="C81" s="14"/>
      <c r="D81" s="14">
        <v>42573.969618619201</v>
      </c>
      <c r="E81" s="14"/>
      <c r="F81" s="14" t="e">
        <f t="shared" si="19"/>
        <v>#DIV/0!</v>
      </c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>
        <f t="shared" si="14"/>
        <v>2191.9</v>
      </c>
      <c r="R81" s="14">
        <f t="shared" si="17"/>
        <v>19.423317495606184</v>
      </c>
      <c r="S81" s="14">
        <f t="shared" si="20"/>
        <v>42573.969618619201</v>
      </c>
      <c r="T81" s="14"/>
      <c r="U81" s="14"/>
      <c r="V81" s="14"/>
      <c r="W81" s="14"/>
      <c r="X81" s="14"/>
      <c r="Y81" s="14"/>
      <c r="Z81" s="14"/>
      <c r="AA81" s="14">
        <f>R81*Z81</f>
        <v>0</v>
      </c>
      <c r="AB81" s="14">
        <f t="shared" si="18"/>
        <v>2191.9</v>
      </c>
      <c r="AC81" s="14">
        <f t="shared" si="21"/>
        <v>19.423317495606184</v>
      </c>
      <c r="AD81" s="14">
        <f t="shared" si="16"/>
        <v>42573.969618619201</v>
      </c>
    </row>
    <row r="82" spans="1:30">
      <c r="A82" s="16" t="s">
        <v>96</v>
      </c>
      <c r="B82" s="14">
        <v>3641</v>
      </c>
      <c r="C82" s="14"/>
      <c r="D82" s="14">
        <v>59152.665294888</v>
      </c>
      <c r="E82" s="14">
        <f>5126+760+5081+5067+4557</f>
        <v>20591</v>
      </c>
      <c r="F82" s="14">
        <f t="shared" si="19"/>
        <v>15.549783452204826</v>
      </c>
      <c r="G82" s="14">
        <v>312104.77149999997</v>
      </c>
      <c r="H82" s="14">
        <f>E82*$H$169</f>
        <v>4292.5523118625561</v>
      </c>
      <c r="I82" s="14">
        <f>E82*$I$168</f>
        <v>3788.2672524870964</v>
      </c>
      <c r="J82" s="14">
        <f>G82+H82+I82</f>
        <v>320185.59106434957</v>
      </c>
      <c r="K82" s="14"/>
      <c r="L82" s="14"/>
      <c r="M82" s="14"/>
      <c r="N82" s="14"/>
      <c r="O82" s="14"/>
      <c r="P82" s="14"/>
      <c r="Q82" s="14">
        <f t="shared" si="14"/>
        <v>24232</v>
      </c>
      <c r="R82" s="14">
        <f t="shared" si="17"/>
        <v>15.654434481645659</v>
      </c>
      <c r="S82" s="14">
        <f t="shared" si="20"/>
        <v>379338.2563592376</v>
      </c>
      <c r="T82" s="14"/>
      <c r="U82" s="14"/>
      <c r="V82" s="14"/>
      <c r="W82" s="14"/>
      <c r="X82" s="14"/>
      <c r="Y82" s="14"/>
      <c r="Z82" s="14">
        <f>3990+3990+760+760+7030+1900+2090</f>
        <v>20520</v>
      </c>
      <c r="AA82" s="14">
        <f>R82*Z82</f>
        <v>321228.9955633689</v>
      </c>
      <c r="AB82" s="14">
        <f t="shared" si="18"/>
        <v>3712</v>
      </c>
      <c r="AC82" s="14">
        <f t="shared" si="21"/>
        <v>15.654434481645662</v>
      </c>
      <c r="AD82" s="14">
        <f t="shared" si="16"/>
        <v>58109.2607958687</v>
      </c>
    </row>
    <row r="83" spans="1:30">
      <c r="A83" s="17" t="s">
        <v>97</v>
      </c>
      <c r="B83" s="14">
        <v>0</v>
      </c>
      <c r="C83" s="14"/>
      <c r="D83" s="14">
        <v>0</v>
      </c>
      <c r="E83" s="14"/>
      <c r="F83" s="14" t="e">
        <f t="shared" si="19"/>
        <v>#DIV/0!</v>
      </c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>
        <f t="shared" si="14"/>
        <v>0</v>
      </c>
      <c r="R83" s="14" t="e">
        <f t="shared" si="17"/>
        <v>#DIV/0!</v>
      </c>
      <c r="S83" s="14">
        <f t="shared" si="20"/>
        <v>0</v>
      </c>
      <c r="T83" s="14"/>
      <c r="U83" s="14"/>
      <c r="V83" s="14"/>
      <c r="W83" s="14"/>
      <c r="X83" s="14"/>
      <c r="Y83" s="14"/>
      <c r="Z83" s="14"/>
      <c r="AA83" s="14"/>
      <c r="AB83" s="14">
        <f t="shared" si="18"/>
        <v>0</v>
      </c>
      <c r="AC83" s="14"/>
      <c r="AD83" s="14">
        <f t="shared" si="16"/>
        <v>0</v>
      </c>
    </row>
    <row r="84" spans="1:30">
      <c r="A84" s="17" t="s">
        <v>98</v>
      </c>
      <c r="B84" s="14">
        <v>20</v>
      </c>
      <c r="C84" s="14"/>
      <c r="D84" s="14">
        <v>409.69606140075501</v>
      </c>
      <c r="E84" s="14"/>
      <c r="F84" s="14" t="e">
        <f t="shared" si="19"/>
        <v>#DIV/0!</v>
      </c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>
        <f t="shared" si="14"/>
        <v>20</v>
      </c>
      <c r="R84" s="14">
        <f t="shared" si="17"/>
        <v>20.484803070037749</v>
      </c>
      <c r="S84" s="14">
        <f t="shared" si="20"/>
        <v>409.69606140075501</v>
      </c>
      <c r="T84" s="14"/>
      <c r="U84" s="14"/>
      <c r="V84" s="14"/>
      <c r="W84" s="14"/>
      <c r="X84" s="14"/>
      <c r="Y84" s="14"/>
      <c r="Z84" s="14"/>
      <c r="AA84" s="14"/>
      <c r="AB84" s="14">
        <f t="shared" si="18"/>
        <v>20</v>
      </c>
      <c r="AC84" s="14">
        <f t="shared" si="21"/>
        <v>20.484803070037749</v>
      </c>
      <c r="AD84" s="14">
        <f t="shared" si="16"/>
        <v>409.69606140075501</v>
      </c>
    </row>
    <row r="85" spans="1:30">
      <c r="A85" s="17" t="s">
        <v>99</v>
      </c>
      <c r="B85" s="14">
        <v>0</v>
      </c>
      <c r="C85" s="14"/>
      <c r="D85" s="14">
        <v>0</v>
      </c>
      <c r="E85" s="14">
        <v>5082</v>
      </c>
      <c r="F85" s="14">
        <f t="shared" si="19"/>
        <v>15.675152633138467</v>
      </c>
      <c r="G85" s="14">
        <v>77666.724000000002</v>
      </c>
      <c r="H85" s="14">
        <f>E85*$H$169</f>
        <v>1059.4313461650968</v>
      </c>
      <c r="I85" s="14">
        <f>E85*$I$168</f>
        <v>934.97033544458372</v>
      </c>
      <c r="J85" s="14">
        <f>G85+H85+I85</f>
        <v>79661.125681609687</v>
      </c>
      <c r="K85" s="14"/>
      <c r="L85" s="14"/>
      <c r="M85" s="14"/>
      <c r="N85" s="14"/>
      <c r="O85" s="14"/>
      <c r="P85" s="14"/>
      <c r="Q85" s="14">
        <f t="shared" si="14"/>
        <v>5082</v>
      </c>
      <c r="R85" s="14">
        <f t="shared" si="17"/>
        <v>15.675152633138467</v>
      </c>
      <c r="S85" s="14">
        <f t="shared" si="20"/>
        <v>79661.125681609687</v>
      </c>
      <c r="T85" s="14"/>
      <c r="U85" s="14"/>
      <c r="V85" s="14"/>
      <c r="W85" s="14"/>
      <c r="X85" s="14"/>
      <c r="Y85" s="14"/>
      <c r="Z85" s="14"/>
      <c r="AA85" s="14"/>
      <c r="AB85" s="14">
        <f t="shared" si="18"/>
        <v>5082</v>
      </c>
      <c r="AC85" s="14">
        <f t="shared" si="21"/>
        <v>15.675152633138467</v>
      </c>
      <c r="AD85" s="14">
        <f t="shared" si="16"/>
        <v>79661.125681609687</v>
      </c>
    </row>
    <row r="86" spans="1:30">
      <c r="A86" s="17" t="s">
        <v>100</v>
      </c>
      <c r="B86" s="14">
        <v>5280</v>
      </c>
      <c r="C86" s="14"/>
      <c r="D86" s="14">
        <v>90302.331455934094</v>
      </c>
      <c r="E86" s="14">
        <f>4876+4877+5007+5005+1320+660</f>
        <v>21745</v>
      </c>
      <c r="F86" s="14">
        <f t="shared" si="19"/>
        <v>16.496905662430709</v>
      </c>
      <c r="G86" s="14">
        <v>350191.5134</v>
      </c>
      <c r="H86" s="14">
        <f>E86*$H$169</f>
        <v>4533.1236958599038</v>
      </c>
      <c r="I86" s="14">
        <f>E86*$I$168</f>
        <v>4000.5765336958825</v>
      </c>
      <c r="J86" s="14">
        <f>G86+H86+I86</f>
        <v>358725.21362955577</v>
      </c>
      <c r="K86" s="14"/>
      <c r="L86" s="14"/>
      <c r="M86" s="14"/>
      <c r="N86" s="14"/>
      <c r="O86" s="14">
        <v>570</v>
      </c>
      <c r="P86" s="14">
        <v>9747</v>
      </c>
      <c r="Q86" s="14">
        <f t="shared" si="14"/>
        <v>26455</v>
      </c>
      <c r="R86" s="14">
        <f t="shared" si="17"/>
        <v>16.604821209052727</v>
      </c>
      <c r="S86" s="14">
        <f t="shared" si="20"/>
        <v>439280.54508548987</v>
      </c>
      <c r="T86" s="14"/>
      <c r="U86" s="14"/>
      <c r="V86" s="14"/>
      <c r="W86" s="14"/>
      <c r="X86" s="14"/>
      <c r="Y86" s="14"/>
      <c r="Z86" s="14">
        <f>4500+5400+5400+3600+1800</f>
        <v>20700</v>
      </c>
      <c r="AA86" s="14">
        <f>R86*Z86</f>
        <v>343719.79902739142</v>
      </c>
      <c r="AB86" s="14">
        <f t="shared" si="18"/>
        <v>5755</v>
      </c>
      <c r="AC86" s="14">
        <f t="shared" si="21"/>
        <v>16.604821209052727</v>
      </c>
      <c r="AD86" s="14">
        <f t="shared" si="16"/>
        <v>95560.746058098448</v>
      </c>
    </row>
    <row r="87" spans="1:30">
      <c r="A87" s="16" t="s">
        <v>101</v>
      </c>
      <c r="B87" s="14">
        <v>7429.6</v>
      </c>
      <c r="C87" s="14"/>
      <c r="D87" s="14">
        <v>126095.327069483</v>
      </c>
      <c r="E87" s="14">
        <f>3990+1140</f>
        <v>5130</v>
      </c>
      <c r="F87" s="14">
        <f t="shared" si="19"/>
        <v>15.965135069325351</v>
      </c>
      <c r="G87" s="14">
        <v>79887.903900000005</v>
      </c>
      <c r="H87" s="14">
        <f>E87*$H$169</f>
        <v>1069.437781548002</v>
      </c>
      <c r="I87" s="14">
        <f>E87*$I$168</f>
        <v>943.80122409104968</v>
      </c>
      <c r="J87" s="14">
        <f>G87+H87+I87</f>
        <v>81901.142905639048</v>
      </c>
      <c r="K87" s="14"/>
      <c r="L87" s="14"/>
      <c r="M87" s="14"/>
      <c r="N87" s="14"/>
      <c r="O87" s="14"/>
      <c r="P87" s="14"/>
      <c r="Q87" s="14">
        <f t="shared" si="14"/>
        <v>12559.6</v>
      </c>
      <c r="R87" s="14">
        <f t="shared" si="17"/>
        <v>16.560755913812706</v>
      </c>
      <c r="S87" s="14">
        <f t="shared" si="20"/>
        <v>207996.46997512205</v>
      </c>
      <c r="T87" s="14"/>
      <c r="U87" s="14"/>
      <c r="V87" s="14"/>
      <c r="W87" s="14"/>
      <c r="X87" s="14">
        <v>40</v>
      </c>
      <c r="Y87" s="14">
        <f>R87*X87</f>
        <v>662.43023655250818</v>
      </c>
      <c r="Z87" s="14">
        <f>3990+1140+1140</f>
        <v>6270</v>
      </c>
      <c r="AA87" s="14">
        <f>R87*Z87</f>
        <v>103835.93957960566</v>
      </c>
      <c r="AB87" s="14">
        <f t="shared" si="18"/>
        <v>6249.6</v>
      </c>
      <c r="AC87" s="14">
        <f t="shared" si="21"/>
        <v>16.560755913812702</v>
      </c>
      <c r="AD87" s="14">
        <f t="shared" si="16"/>
        <v>103498.10015896386</v>
      </c>
    </row>
    <row r="88" spans="1:30">
      <c r="A88" s="16" t="s">
        <v>102</v>
      </c>
      <c r="B88" s="14">
        <v>3530</v>
      </c>
      <c r="C88" s="14"/>
      <c r="D88" s="14">
        <v>72652.399999999994</v>
      </c>
      <c r="E88" s="14"/>
      <c r="F88" s="14" t="e">
        <f t="shared" si="19"/>
        <v>#DIV/0!</v>
      </c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>
        <f t="shared" si="14"/>
        <v>3530</v>
      </c>
      <c r="R88" s="14">
        <f t="shared" si="17"/>
        <v>20.581416430594899</v>
      </c>
      <c r="S88" s="14">
        <f t="shared" si="20"/>
        <v>72652.399999999994</v>
      </c>
      <c r="T88" s="14"/>
      <c r="U88" s="14"/>
      <c r="V88" s="14"/>
      <c r="W88" s="14"/>
      <c r="X88" s="14"/>
      <c r="Y88" s="14"/>
      <c r="Z88" s="14"/>
      <c r="AA88" s="14"/>
      <c r="AB88" s="14">
        <f t="shared" si="18"/>
        <v>3530</v>
      </c>
      <c r="AC88" s="14">
        <f t="shared" si="21"/>
        <v>20.581416430594899</v>
      </c>
      <c r="AD88" s="14">
        <f t="shared" si="16"/>
        <v>72652.399999999994</v>
      </c>
    </row>
    <row r="89" spans="1:30">
      <c r="A89" s="16" t="s">
        <v>103</v>
      </c>
      <c r="B89" s="14">
        <v>51</v>
      </c>
      <c r="C89" s="14"/>
      <c r="D89" s="14">
        <v>912.96965765170205</v>
      </c>
      <c r="E89" s="14"/>
      <c r="F89" s="14" t="e">
        <f t="shared" si="19"/>
        <v>#DIV/0!</v>
      </c>
      <c r="G89" s="14"/>
      <c r="H89" s="14"/>
      <c r="I89" s="14"/>
      <c r="J89" s="14"/>
      <c r="K89" s="14">
        <v>3777</v>
      </c>
      <c r="L89" s="14">
        <v>67608.3</v>
      </c>
      <c r="M89" s="14"/>
      <c r="N89" s="14"/>
      <c r="O89" s="14"/>
      <c r="P89" s="14"/>
      <c r="Q89" s="14">
        <f t="shared" si="14"/>
        <v>3828</v>
      </c>
      <c r="R89" s="14">
        <f t="shared" si="17"/>
        <v>17.900018196878712</v>
      </c>
      <c r="S89" s="14">
        <f t="shared" si="20"/>
        <v>68521.269657651705</v>
      </c>
      <c r="T89" s="14"/>
      <c r="U89" s="14"/>
      <c r="V89" s="14"/>
      <c r="W89" s="14"/>
      <c r="X89" s="14"/>
      <c r="Y89" s="14"/>
      <c r="Z89" s="14"/>
      <c r="AA89" s="14"/>
      <c r="AB89" s="14">
        <f t="shared" si="18"/>
        <v>3828</v>
      </c>
      <c r="AC89" s="14">
        <f t="shared" si="21"/>
        <v>17.900018196878712</v>
      </c>
      <c r="AD89" s="14">
        <f t="shared" si="16"/>
        <v>68521.269657651705</v>
      </c>
    </row>
    <row r="90" spans="1:30">
      <c r="A90" s="17" t="s">
        <v>104</v>
      </c>
      <c r="B90" s="14">
        <v>574</v>
      </c>
      <c r="C90" s="14"/>
      <c r="D90" s="14">
        <v>9872.9017529554094</v>
      </c>
      <c r="E90" s="14"/>
      <c r="F90" s="14" t="e">
        <f t="shared" si="19"/>
        <v>#DIV/0!</v>
      </c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>
        <f t="shared" si="14"/>
        <v>574</v>
      </c>
      <c r="R90" s="14">
        <f t="shared" si="17"/>
        <v>17.200177269957159</v>
      </c>
      <c r="S90" s="14">
        <f t="shared" si="20"/>
        <v>9872.9017529554094</v>
      </c>
      <c r="T90" s="14"/>
      <c r="U90" s="14"/>
      <c r="V90" s="14"/>
      <c r="W90" s="14"/>
      <c r="X90" s="14"/>
      <c r="Y90" s="14"/>
      <c r="Z90" s="14"/>
      <c r="AA90" s="14"/>
      <c r="AB90" s="14">
        <f t="shared" si="18"/>
        <v>574</v>
      </c>
      <c r="AC90" s="14">
        <f t="shared" si="21"/>
        <v>17.200177269957159</v>
      </c>
      <c r="AD90" s="14">
        <f t="shared" si="16"/>
        <v>9872.9017529554094</v>
      </c>
    </row>
    <row r="91" spans="1:30">
      <c r="A91" s="17" t="s">
        <v>105</v>
      </c>
      <c r="B91" s="14">
        <v>2430</v>
      </c>
      <c r="C91" s="14"/>
      <c r="D91" s="14">
        <v>43910.1</v>
      </c>
      <c r="E91" s="14"/>
      <c r="F91" s="14" t="e">
        <f t="shared" si="19"/>
        <v>#DIV/0!</v>
      </c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>
        <f t="shared" si="14"/>
        <v>2430</v>
      </c>
      <c r="R91" s="14">
        <f t="shared" si="17"/>
        <v>18.07</v>
      </c>
      <c r="S91" s="14">
        <f t="shared" si="20"/>
        <v>43910.1</v>
      </c>
      <c r="T91" s="14"/>
      <c r="U91" s="14"/>
      <c r="V91" s="14"/>
      <c r="W91" s="14"/>
      <c r="X91" s="14"/>
      <c r="Y91" s="14"/>
      <c r="Z91" s="14"/>
      <c r="AA91" s="14"/>
      <c r="AB91" s="14">
        <f t="shared" si="18"/>
        <v>2430</v>
      </c>
      <c r="AC91" s="14">
        <f t="shared" si="21"/>
        <v>18.07</v>
      </c>
      <c r="AD91" s="14">
        <f t="shared" si="16"/>
        <v>43910.1</v>
      </c>
    </row>
    <row r="92" spans="1:30">
      <c r="A92" s="17" t="s">
        <v>106</v>
      </c>
      <c r="B92" s="14">
        <v>3030</v>
      </c>
      <c r="C92" s="14"/>
      <c r="D92" s="14">
        <v>50682.821326400699</v>
      </c>
      <c r="E92" s="14"/>
      <c r="F92" s="14" t="e">
        <f t="shared" si="19"/>
        <v>#DIV/0!</v>
      </c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>
        <f t="shared" si="14"/>
        <v>3030</v>
      </c>
      <c r="R92" s="14">
        <f t="shared" si="17"/>
        <v>16.72700373808604</v>
      </c>
      <c r="S92" s="14">
        <f t="shared" si="20"/>
        <v>50682.821326400699</v>
      </c>
      <c r="T92" s="14"/>
      <c r="U92" s="14"/>
      <c r="V92" s="14"/>
      <c r="W92" s="14"/>
      <c r="X92" s="14"/>
      <c r="Y92" s="14"/>
      <c r="Z92" s="14"/>
      <c r="AA92" s="14"/>
      <c r="AB92" s="14">
        <f t="shared" si="18"/>
        <v>3030</v>
      </c>
      <c r="AC92" s="14">
        <f t="shared" si="21"/>
        <v>16.72700373808604</v>
      </c>
      <c r="AD92" s="14">
        <f t="shared" si="16"/>
        <v>50682.821326400699</v>
      </c>
    </row>
    <row r="93" spans="1:30">
      <c r="A93" s="16" t="s">
        <v>107</v>
      </c>
      <c r="B93" s="14">
        <v>25</v>
      </c>
      <c r="C93" s="14"/>
      <c r="D93" s="14">
        <v>430.63940274926102</v>
      </c>
      <c r="E93" s="14"/>
      <c r="F93" s="14" t="e">
        <f t="shared" si="19"/>
        <v>#DIV/0!</v>
      </c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>
        <f t="shared" si="14"/>
        <v>25</v>
      </c>
      <c r="R93" s="14">
        <f t="shared" si="17"/>
        <v>17.22557610997044</v>
      </c>
      <c r="S93" s="14">
        <f t="shared" si="20"/>
        <v>430.63940274926102</v>
      </c>
      <c r="T93" s="14"/>
      <c r="U93" s="14"/>
      <c r="V93" s="14"/>
      <c r="W93" s="14"/>
      <c r="X93" s="14"/>
      <c r="Y93" s="14"/>
      <c r="Z93" s="14"/>
      <c r="AA93" s="14"/>
      <c r="AB93" s="14">
        <f t="shared" si="18"/>
        <v>25</v>
      </c>
      <c r="AC93" s="14">
        <f t="shared" si="21"/>
        <v>17.22557610997044</v>
      </c>
      <c r="AD93" s="14">
        <f t="shared" si="16"/>
        <v>430.63940274926102</v>
      </c>
    </row>
    <row r="94" spans="1:30">
      <c r="A94" s="16" t="s">
        <v>108</v>
      </c>
      <c r="B94" s="14">
        <v>25</v>
      </c>
      <c r="C94" s="14"/>
      <c r="D94" s="14">
        <v>1086.1322670950101</v>
      </c>
      <c r="E94" s="14"/>
      <c r="F94" s="14" t="e">
        <f t="shared" si="19"/>
        <v>#DIV/0!</v>
      </c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>
        <f t="shared" si="14"/>
        <v>25</v>
      </c>
      <c r="R94" s="14">
        <f t="shared" si="17"/>
        <v>43.445290683800401</v>
      </c>
      <c r="S94" s="14">
        <f t="shared" si="20"/>
        <v>1086.1322670950101</v>
      </c>
      <c r="T94" s="14"/>
      <c r="U94" s="14"/>
      <c r="V94" s="14"/>
      <c r="W94" s="14"/>
      <c r="X94" s="14"/>
      <c r="Y94" s="14"/>
      <c r="Z94" s="14"/>
      <c r="AA94" s="14"/>
      <c r="AB94" s="14">
        <f t="shared" si="18"/>
        <v>25</v>
      </c>
      <c r="AC94" s="14">
        <f t="shared" si="21"/>
        <v>43.445290683800401</v>
      </c>
      <c r="AD94" s="14">
        <f t="shared" si="16"/>
        <v>1086.1322670950101</v>
      </c>
    </row>
    <row r="95" spans="1:30">
      <c r="A95" s="16" t="s">
        <v>109</v>
      </c>
      <c r="B95" s="14">
        <v>25</v>
      </c>
      <c r="C95" s="14"/>
      <c r="D95" s="14">
        <v>1064.1422670950101</v>
      </c>
      <c r="E95" s="14"/>
      <c r="F95" s="14" t="e">
        <f t="shared" si="19"/>
        <v>#DIV/0!</v>
      </c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>
        <f t="shared" si="14"/>
        <v>25</v>
      </c>
      <c r="R95" s="14">
        <f t="shared" si="17"/>
        <v>42.565690683800405</v>
      </c>
      <c r="S95" s="14">
        <f t="shared" si="20"/>
        <v>1064.1422670950101</v>
      </c>
      <c r="T95" s="14"/>
      <c r="U95" s="14"/>
      <c r="V95" s="14"/>
      <c r="W95" s="14"/>
      <c r="X95" s="14"/>
      <c r="Y95" s="14"/>
      <c r="Z95" s="14"/>
      <c r="AA95" s="14"/>
      <c r="AB95" s="14">
        <f t="shared" si="18"/>
        <v>25</v>
      </c>
      <c r="AC95" s="14">
        <f t="shared" si="21"/>
        <v>42.565690683800405</v>
      </c>
      <c r="AD95" s="14">
        <f t="shared" si="16"/>
        <v>1064.1422670950101</v>
      </c>
    </row>
    <row r="96" spans="1:30">
      <c r="A96" s="16" t="s">
        <v>110</v>
      </c>
      <c r="B96" s="14">
        <v>0</v>
      </c>
      <c r="C96" s="14"/>
      <c r="D96" s="14">
        <v>0</v>
      </c>
      <c r="E96" s="14"/>
      <c r="F96" s="14" t="e">
        <f t="shared" si="19"/>
        <v>#DIV/0!</v>
      </c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>
        <f t="shared" si="14"/>
        <v>0</v>
      </c>
      <c r="R96" s="14" t="e">
        <f t="shared" si="17"/>
        <v>#DIV/0!</v>
      </c>
      <c r="S96" s="14">
        <f t="shared" si="20"/>
        <v>0</v>
      </c>
      <c r="T96" s="14"/>
      <c r="U96" s="14"/>
      <c r="V96" s="14"/>
      <c r="W96" s="14"/>
      <c r="X96" s="14"/>
      <c r="Y96" s="14"/>
      <c r="Z96" s="14"/>
      <c r="AA96" s="14"/>
      <c r="AB96" s="14">
        <f t="shared" si="18"/>
        <v>0</v>
      </c>
      <c r="AC96" s="14"/>
      <c r="AD96" s="14">
        <f t="shared" si="16"/>
        <v>0</v>
      </c>
    </row>
    <row r="97" spans="1:30">
      <c r="A97" s="16" t="s">
        <v>111</v>
      </c>
      <c r="B97" s="14">
        <v>25</v>
      </c>
      <c r="C97" s="14"/>
      <c r="D97" s="14">
        <v>377.71940274926101</v>
      </c>
      <c r="E97" s="14"/>
      <c r="F97" s="14" t="e">
        <f t="shared" si="19"/>
        <v>#DIV/0!</v>
      </c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>
        <f t="shared" si="14"/>
        <v>25</v>
      </c>
      <c r="R97" s="14">
        <f t="shared" si="17"/>
        <v>15.108776109970441</v>
      </c>
      <c r="S97" s="14">
        <f t="shared" si="20"/>
        <v>377.71940274926101</v>
      </c>
      <c r="T97" s="14"/>
      <c r="U97" s="14"/>
      <c r="V97" s="14"/>
      <c r="W97" s="14"/>
      <c r="X97" s="14"/>
      <c r="Y97" s="14"/>
      <c r="Z97" s="14"/>
      <c r="AA97" s="14"/>
      <c r="AB97" s="14">
        <f t="shared" si="18"/>
        <v>25</v>
      </c>
      <c r="AC97" s="14">
        <f t="shared" si="21"/>
        <v>15.108776109970441</v>
      </c>
      <c r="AD97" s="14">
        <f t="shared" si="16"/>
        <v>377.71940274926101</v>
      </c>
    </row>
    <row r="98" spans="1:30">
      <c r="A98" s="17" t="s">
        <v>112</v>
      </c>
      <c r="B98" s="14">
        <v>44</v>
      </c>
      <c r="C98" s="14"/>
      <c r="D98" s="14">
        <v>896.1</v>
      </c>
      <c r="E98" s="14"/>
      <c r="F98" s="14" t="e">
        <f t="shared" si="19"/>
        <v>#DIV/0!</v>
      </c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>
        <f t="shared" si="14"/>
        <v>44</v>
      </c>
      <c r="R98" s="14">
        <f t="shared" si="17"/>
        <v>20.365909090909092</v>
      </c>
      <c r="S98" s="14">
        <f t="shared" si="20"/>
        <v>896.1</v>
      </c>
      <c r="T98" s="14"/>
      <c r="U98" s="14"/>
      <c r="V98" s="14"/>
      <c r="W98" s="14"/>
      <c r="X98" s="14"/>
      <c r="Y98" s="14"/>
      <c r="Z98" s="14"/>
      <c r="AA98" s="14"/>
      <c r="AB98" s="14">
        <f t="shared" si="18"/>
        <v>44</v>
      </c>
      <c r="AC98" s="14">
        <f t="shared" si="21"/>
        <v>20.365909090909092</v>
      </c>
      <c r="AD98" s="14">
        <f t="shared" si="16"/>
        <v>896.1</v>
      </c>
    </row>
    <row r="99" spans="1:30">
      <c r="A99" s="17" t="s">
        <v>113</v>
      </c>
      <c r="B99" s="14">
        <v>92</v>
      </c>
      <c r="C99" s="14"/>
      <c r="D99" s="14">
        <v>1844.39409276882</v>
      </c>
      <c r="E99" s="14"/>
      <c r="F99" s="14" t="e">
        <f t="shared" si="19"/>
        <v>#DIV/0!</v>
      </c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>
        <f t="shared" si="14"/>
        <v>92</v>
      </c>
      <c r="R99" s="14">
        <f t="shared" si="17"/>
        <v>20.047761877921957</v>
      </c>
      <c r="S99" s="14">
        <f t="shared" si="20"/>
        <v>1844.39409276882</v>
      </c>
      <c r="T99" s="14"/>
      <c r="U99" s="14"/>
      <c r="V99" s="14"/>
      <c r="W99" s="14"/>
      <c r="X99" s="14"/>
      <c r="Y99" s="14"/>
      <c r="Z99" s="14"/>
      <c r="AA99" s="14"/>
      <c r="AB99" s="14">
        <f t="shared" si="18"/>
        <v>92</v>
      </c>
      <c r="AC99" s="14">
        <f t="shared" si="21"/>
        <v>20.047761877921957</v>
      </c>
      <c r="AD99" s="14">
        <f t="shared" si="16"/>
        <v>1844.39409276882</v>
      </c>
    </row>
    <row r="100" spans="1:30">
      <c r="A100" s="17" t="s">
        <v>114</v>
      </c>
      <c r="B100" s="14">
        <v>50</v>
      </c>
      <c r="C100" s="14"/>
      <c r="D100" s="14">
        <v>933.98623258737996</v>
      </c>
      <c r="E100" s="14"/>
      <c r="F100" s="14" t="e">
        <f t="shared" si="19"/>
        <v>#DIV/0!</v>
      </c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>
        <f t="shared" si="14"/>
        <v>50</v>
      </c>
      <c r="R100" s="14">
        <f t="shared" si="17"/>
        <v>18.679724651747598</v>
      </c>
      <c r="S100" s="14">
        <f t="shared" si="20"/>
        <v>933.98623258737996</v>
      </c>
      <c r="T100" s="14"/>
      <c r="U100" s="14"/>
      <c r="V100" s="14"/>
      <c r="W100" s="14"/>
      <c r="X100" s="14"/>
      <c r="Y100" s="14"/>
      <c r="Z100" s="14"/>
      <c r="AA100" s="14"/>
      <c r="AB100" s="14">
        <f t="shared" si="18"/>
        <v>50</v>
      </c>
      <c r="AC100" s="14">
        <f t="shared" si="21"/>
        <v>18.679724651747598</v>
      </c>
      <c r="AD100" s="14">
        <f t="shared" si="16"/>
        <v>933.98623258737996</v>
      </c>
    </row>
    <row r="101" spans="1:30">
      <c r="A101" s="17" t="s">
        <v>115</v>
      </c>
      <c r="B101" s="14">
        <v>55</v>
      </c>
      <c r="C101" s="14"/>
      <c r="D101" s="14">
        <v>1047.2</v>
      </c>
      <c r="E101" s="14"/>
      <c r="F101" s="14" t="e">
        <f t="shared" si="19"/>
        <v>#DIV/0!</v>
      </c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>
        <f t="shared" si="14"/>
        <v>55</v>
      </c>
      <c r="R101" s="14">
        <f t="shared" si="17"/>
        <v>19.04</v>
      </c>
      <c r="S101" s="14">
        <f t="shared" si="20"/>
        <v>1047.2</v>
      </c>
      <c r="T101" s="14"/>
      <c r="U101" s="14"/>
      <c r="V101" s="14"/>
      <c r="W101" s="14"/>
      <c r="X101" s="14"/>
      <c r="Y101" s="14"/>
      <c r="Z101" s="14"/>
      <c r="AA101" s="14"/>
      <c r="AB101" s="14">
        <f t="shared" si="18"/>
        <v>55</v>
      </c>
      <c r="AC101" s="14">
        <f t="shared" si="21"/>
        <v>19.04</v>
      </c>
      <c r="AD101" s="14">
        <f t="shared" si="16"/>
        <v>1047.2</v>
      </c>
    </row>
    <row r="102" spans="1:30">
      <c r="A102" s="16" t="s">
        <v>116</v>
      </c>
      <c r="B102" s="14">
        <v>118</v>
      </c>
      <c r="C102" s="14"/>
      <c r="D102" s="14">
        <v>1711</v>
      </c>
      <c r="E102" s="14"/>
      <c r="F102" s="14" t="e">
        <f t="shared" si="19"/>
        <v>#DIV/0!</v>
      </c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>
        <f t="shared" si="14"/>
        <v>118</v>
      </c>
      <c r="R102" s="14">
        <f t="shared" si="17"/>
        <v>14.5</v>
      </c>
      <c r="S102" s="14">
        <f t="shared" si="20"/>
        <v>1711</v>
      </c>
      <c r="T102" s="14"/>
      <c r="U102" s="14"/>
      <c r="V102" s="14"/>
      <c r="W102" s="14"/>
      <c r="X102" s="14"/>
      <c r="Y102" s="14"/>
      <c r="Z102" s="14"/>
      <c r="AA102" s="14"/>
      <c r="AB102" s="14">
        <f t="shared" si="18"/>
        <v>118</v>
      </c>
      <c r="AC102" s="14">
        <f t="shared" si="21"/>
        <v>14.5</v>
      </c>
      <c r="AD102" s="14">
        <f t="shared" si="16"/>
        <v>1711</v>
      </c>
    </row>
    <row r="103" spans="1:30">
      <c r="A103" s="16" t="s">
        <v>117</v>
      </c>
      <c r="B103" s="14">
        <v>9</v>
      </c>
      <c r="C103" s="14"/>
      <c r="D103" s="14">
        <v>158.31</v>
      </c>
      <c r="E103" s="14"/>
      <c r="F103" s="14" t="e">
        <f t="shared" si="19"/>
        <v>#DIV/0!</v>
      </c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>
        <f t="shared" si="14"/>
        <v>9</v>
      </c>
      <c r="R103" s="14">
        <f t="shared" si="17"/>
        <v>17.59</v>
      </c>
      <c r="S103" s="14">
        <f t="shared" si="20"/>
        <v>158.31</v>
      </c>
      <c r="T103" s="14"/>
      <c r="U103" s="14"/>
      <c r="V103" s="14"/>
      <c r="W103" s="14"/>
      <c r="X103" s="14"/>
      <c r="Y103" s="14"/>
      <c r="Z103" s="14"/>
      <c r="AA103" s="14"/>
      <c r="AB103" s="14">
        <f t="shared" si="18"/>
        <v>9</v>
      </c>
      <c r="AC103" s="14">
        <f t="shared" si="21"/>
        <v>17.59</v>
      </c>
      <c r="AD103" s="14">
        <f t="shared" si="16"/>
        <v>158.31</v>
      </c>
    </row>
    <row r="104" spans="1:30">
      <c r="A104" s="16" t="s">
        <v>118</v>
      </c>
      <c r="B104" s="14">
        <v>1903</v>
      </c>
      <c r="C104" s="14"/>
      <c r="D104" s="14">
        <v>33923.718781425501</v>
      </c>
      <c r="E104" s="18"/>
      <c r="F104" s="14" t="e">
        <f t="shared" si="19"/>
        <v>#DIV/0!</v>
      </c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>
        <f t="shared" si="14"/>
        <v>1903</v>
      </c>
      <c r="R104" s="14">
        <f t="shared" si="17"/>
        <v>17.826441818930899</v>
      </c>
      <c r="S104" s="14">
        <f t="shared" si="20"/>
        <v>33923.718781425501</v>
      </c>
      <c r="T104" s="14"/>
      <c r="U104" s="14"/>
      <c r="V104" s="14"/>
      <c r="W104" s="14"/>
      <c r="X104" s="14"/>
      <c r="Y104" s="14"/>
      <c r="Z104" s="14"/>
      <c r="AA104" s="14"/>
      <c r="AB104" s="14">
        <f t="shared" si="18"/>
        <v>1903</v>
      </c>
      <c r="AC104" s="14">
        <f t="shared" si="21"/>
        <v>17.826441818930899</v>
      </c>
      <c r="AD104" s="14">
        <f t="shared" si="16"/>
        <v>33923.718781425501</v>
      </c>
    </row>
    <row r="105" spans="1:30">
      <c r="A105" s="17" t="s">
        <v>119</v>
      </c>
      <c r="B105" s="14">
        <v>50</v>
      </c>
      <c r="C105" s="14"/>
      <c r="D105" s="14">
        <v>876.19203123438695</v>
      </c>
      <c r="E105" s="14">
        <f>50+50+80</f>
        <v>180</v>
      </c>
      <c r="F105" s="14">
        <f t="shared" si="19"/>
        <v>17.05471202838968</v>
      </c>
      <c r="G105" s="14">
        <v>2999.2082</v>
      </c>
      <c r="H105" s="14">
        <f>E105*$H$169</f>
        <v>37.524132685894813</v>
      </c>
      <c r="I105" s="14">
        <f>E105*$I$168</f>
        <v>33.115832424247358</v>
      </c>
      <c r="J105" s="14">
        <f>G105+H105+I105</f>
        <v>3069.8481651101424</v>
      </c>
      <c r="K105" s="14"/>
      <c r="L105" s="14"/>
      <c r="M105" s="14"/>
      <c r="N105" s="14"/>
      <c r="O105" s="14"/>
      <c r="P105" s="14"/>
      <c r="Q105" s="14">
        <f t="shared" si="14"/>
        <v>230</v>
      </c>
      <c r="R105" s="14">
        <f t="shared" si="17"/>
        <v>17.15669650584578</v>
      </c>
      <c r="S105" s="14">
        <f t="shared" si="20"/>
        <v>3946.0401963445292</v>
      </c>
      <c r="T105" s="14"/>
      <c r="U105" s="14"/>
      <c r="V105" s="14"/>
      <c r="W105" s="14"/>
      <c r="X105" s="14">
        <f>50+80+50</f>
        <v>180</v>
      </c>
      <c r="Y105" s="14">
        <f>R105*X105</f>
        <v>3088.2053710522405</v>
      </c>
      <c r="Z105" s="14"/>
      <c r="AA105" s="14"/>
      <c r="AB105" s="14">
        <f t="shared" si="18"/>
        <v>50</v>
      </c>
      <c r="AC105" s="14">
        <f t="shared" si="21"/>
        <v>17.156696505845776</v>
      </c>
      <c r="AD105" s="14">
        <f t="shared" si="16"/>
        <v>857.83482529228877</v>
      </c>
    </row>
    <row r="106" spans="1:30">
      <c r="A106" s="17" t="s">
        <v>120</v>
      </c>
      <c r="B106" s="14">
        <v>0</v>
      </c>
      <c r="C106" s="14"/>
      <c r="D106" s="14">
        <v>0</v>
      </c>
      <c r="E106" s="14">
        <v>50</v>
      </c>
      <c r="F106" s="14">
        <f t="shared" si="19"/>
        <v>19.032544250611902</v>
      </c>
      <c r="G106" s="14">
        <v>932.005</v>
      </c>
      <c r="H106" s="14">
        <f>E106*$H$169</f>
        <v>10.423370190526336</v>
      </c>
      <c r="I106" s="14">
        <f>E106*$I$168</f>
        <v>9.19884234006871</v>
      </c>
      <c r="J106" s="14">
        <f>G106+H106+I106</f>
        <v>951.6272125305951</v>
      </c>
      <c r="K106" s="14"/>
      <c r="L106" s="14"/>
      <c r="M106" s="14"/>
      <c r="N106" s="14"/>
      <c r="O106" s="14"/>
      <c r="P106" s="14"/>
      <c r="Q106" s="14">
        <f t="shared" si="14"/>
        <v>50</v>
      </c>
      <c r="R106" s="14">
        <f t="shared" si="17"/>
        <v>19.032544250611902</v>
      </c>
      <c r="S106" s="14">
        <f t="shared" si="20"/>
        <v>951.6272125305951</v>
      </c>
      <c r="T106" s="14"/>
      <c r="U106" s="14"/>
      <c r="V106" s="14"/>
      <c r="W106" s="14"/>
      <c r="X106" s="14">
        <v>50</v>
      </c>
      <c r="Y106" s="14">
        <f>R106*X106</f>
        <v>951.6272125305951</v>
      </c>
      <c r="Z106" s="14"/>
      <c r="AA106" s="14"/>
      <c r="AB106" s="14">
        <f t="shared" si="18"/>
        <v>0</v>
      </c>
      <c r="AC106" s="14"/>
      <c r="AD106" s="14">
        <f t="shared" si="16"/>
        <v>0</v>
      </c>
    </row>
    <row r="107" spans="1:30">
      <c r="A107" s="17" t="s">
        <v>121</v>
      </c>
      <c r="B107" s="14">
        <v>847</v>
      </c>
      <c r="C107" s="14"/>
      <c r="D107" s="14">
        <v>15400.9986384609</v>
      </c>
      <c r="E107" s="14">
        <f>700+695</f>
        <v>1395</v>
      </c>
      <c r="F107" s="14">
        <f t="shared" si="19"/>
        <v>18.166811132332334</v>
      </c>
      <c r="G107" s="14">
        <v>24795.2418</v>
      </c>
      <c r="H107" s="14">
        <f>E107*$H$169</f>
        <v>290.81202831568476</v>
      </c>
      <c r="I107" s="14">
        <f>E107*$I$168</f>
        <v>256.64770128791702</v>
      </c>
      <c r="J107" s="14">
        <f>G107+H107+I107</f>
        <v>25342.701529603604</v>
      </c>
      <c r="K107" s="14"/>
      <c r="L107" s="14"/>
      <c r="M107" s="14"/>
      <c r="N107" s="14"/>
      <c r="O107" s="14"/>
      <c r="P107" s="14"/>
      <c r="Q107" s="14">
        <f t="shared" si="14"/>
        <v>2242</v>
      </c>
      <c r="R107" s="14">
        <f t="shared" si="17"/>
        <v>18.172926033927077</v>
      </c>
      <c r="S107" s="14">
        <f t="shared" si="20"/>
        <v>40743.700168064504</v>
      </c>
      <c r="T107" s="14"/>
      <c r="U107" s="14"/>
      <c r="V107" s="14"/>
      <c r="W107" s="14"/>
      <c r="X107" s="14">
        <v>50</v>
      </c>
      <c r="Y107" s="14">
        <f>R107*X107</f>
        <v>908.64630169635382</v>
      </c>
      <c r="Z107" s="14">
        <v>1440</v>
      </c>
      <c r="AA107" s="14">
        <f>R107*Z107</f>
        <v>26169.013488854991</v>
      </c>
      <c r="AB107" s="14">
        <f t="shared" si="18"/>
        <v>752</v>
      </c>
      <c r="AC107" s="14">
        <f t="shared" si="21"/>
        <v>18.172926033927073</v>
      </c>
      <c r="AD107" s="14">
        <f t="shared" si="16"/>
        <v>13666.04037751316</v>
      </c>
    </row>
    <row r="108" spans="1:30">
      <c r="A108" s="17" t="s">
        <v>122</v>
      </c>
      <c r="B108" s="14">
        <v>0</v>
      </c>
      <c r="C108" s="14"/>
      <c r="D108" s="14">
        <v>0</v>
      </c>
      <c r="E108" s="14"/>
      <c r="F108" s="14" t="e">
        <f t="shared" si="19"/>
        <v>#DIV/0!</v>
      </c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>
        <f t="shared" si="14"/>
        <v>0</v>
      </c>
      <c r="R108" s="14" t="e">
        <f t="shared" si="17"/>
        <v>#DIV/0!</v>
      </c>
      <c r="S108" s="14">
        <f t="shared" si="20"/>
        <v>0</v>
      </c>
      <c r="T108" s="14"/>
      <c r="U108" s="14"/>
      <c r="V108" s="14"/>
      <c r="W108" s="14"/>
      <c r="X108" s="14"/>
      <c r="Y108" s="14"/>
      <c r="Z108" s="14"/>
      <c r="AA108" s="14"/>
      <c r="AB108" s="14">
        <f t="shared" si="18"/>
        <v>0</v>
      </c>
      <c r="AC108" s="14"/>
      <c r="AD108" s="14">
        <f t="shared" si="16"/>
        <v>0</v>
      </c>
    </row>
    <row r="109" spans="1:30">
      <c r="A109" s="17" t="s">
        <v>123</v>
      </c>
      <c r="B109" s="14">
        <v>178</v>
      </c>
      <c r="C109" s="14"/>
      <c r="D109" s="14">
        <v>3063.5093648818702</v>
      </c>
      <c r="E109" s="19">
        <f>353+830</f>
        <v>1183</v>
      </c>
      <c r="F109" s="14">
        <f t="shared" si="19"/>
        <v>16.393410691862957</v>
      </c>
      <c r="G109" s="14">
        <v>18929.1433</v>
      </c>
      <c r="H109" s="14">
        <f>E109*$H$169</f>
        <v>246.61693870785311</v>
      </c>
      <c r="I109" s="14">
        <f>E109*$I$168</f>
        <v>217.6446097660257</v>
      </c>
      <c r="J109" s="14">
        <f>G109+H109+I109</f>
        <v>19393.404848473878</v>
      </c>
      <c r="K109" s="14"/>
      <c r="L109" s="14"/>
      <c r="M109" s="14"/>
      <c r="N109" s="14"/>
      <c r="O109" s="14"/>
      <c r="P109" s="14"/>
      <c r="Q109" s="14">
        <f t="shared" si="14"/>
        <v>1361</v>
      </c>
      <c r="R109" s="14">
        <f t="shared" si="17"/>
        <v>16.500304344860947</v>
      </c>
      <c r="S109" s="14">
        <f t="shared" si="20"/>
        <v>22456.914213355747</v>
      </c>
      <c r="T109" s="14"/>
      <c r="U109" s="14"/>
      <c r="V109" s="14"/>
      <c r="W109" s="14"/>
      <c r="X109" s="14"/>
      <c r="Y109" s="14"/>
      <c r="Z109" s="14">
        <v>380</v>
      </c>
      <c r="AA109" s="14">
        <f>R109*Z109</f>
        <v>6270.1156510471601</v>
      </c>
      <c r="AB109" s="14">
        <f t="shared" si="18"/>
        <v>981</v>
      </c>
      <c r="AC109" s="14">
        <f t="shared" si="21"/>
        <v>16.500304344860947</v>
      </c>
      <c r="AD109" s="14">
        <f t="shared" si="16"/>
        <v>16186.798562308588</v>
      </c>
    </row>
    <row r="110" spans="1:30">
      <c r="A110" s="17" t="s">
        <v>124</v>
      </c>
      <c r="B110" s="14">
        <v>0</v>
      </c>
      <c r="C110" s="14"/>
      <c r="D110" s="14">
        <v>0</v>
      </c>
      <c r="E110" s="14"/>
      <c r="F110" s="14" t="e">
        <f t="shared" si="19"/>
        <v>#DIV/0!</v>
      </c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>
        <f t="shared" si="14"/>
        <v>0</v>
      </c>
      <c r="R110" s="14" t="e">
        <f t="shared" si="17"/>
        <v>#DIV/0!</v>
      </c>
      <c r="S110" s="14">
        <f t="shared" si="20"/>
        <v>0</v>
      </c>
      <c r="T110" s="14"/>
      <c r="U110" s="14"/>
      <c r="V110" s="14"/>
      <c r="W110" s="14"/>
      <c r="X110" s="14"/>
      <c r="Y110" s="14"/>
      <c r="Z110" s="14"/>
      <c r="AA110" s="14"/>
      <c r="AB110" s="14">
        <f t="shared" si="18"/>
        <v>0</v>
      </c>
      <c r="AC110" s="14"/>
      <c r="AD110" s="14">
        <f t="shared" si="16"/>
        <v>0</v>
      </c>
    </row>
    <row r="111" spans="1:30">
      <c r="A111" s="17" t="s">
        <v>125</v>
      </c>
      <c r="B111" s="14">
        <v>0</v>
      </c>
      <c r="C111" s="14"/>
      <c r="D111" s="14">
        <v>0</v>
      </c>
      <c r="E111" s="14">
        <f>100+3420+3040</f>
        <v>6560</v>
      </c>
      <c r="F111" s="14">
        <f t="shared" si="19"/>
        <v>16.311812954880192</v>
      </c>
      <c r="G111" s="14">
        <v>104431.05869999999</v>
      </c>
      <c r="H111" s="14">
        <f>E111*$H$169</f>
        <v>1367.5461689970552</v>
      </c>
      <c r="I111" s="14">
        <f>E111*$I$168</f>
        <v>1206.8881150170148</v>
      </c>
      <c r="J111" s="14">
        <f>G111+H111+I111</f>
        <v>107005.49298401407</v>
      </c>
      <c r="K111" s="14"/>
      <c r="L111" s="14"/>
      <c r="M111" s="14"/>
      <c r="N111" s="14"/>
      <c r="O111" s="14"/>
      <c r="P111" s="14"/>
      <c r="Q111" s="14">
        <f t="shared" ref="Q111:Q165" si="22">B111+E111+K111+M111-O111</f>
        <v>6560</v>
      </c>
      <c r="R111" s="14">
        <f t="shared" si="17"/>
        <v>16.311812954880192</v>
      </c>
      <c r="S111" s="14">
        <f t="shared" si="20"/>
        <v>107005.49298401407</v>
      </c>
      <c r="T111" s="14"/>
      <c r="U111" s="14"/>
      <c r="V111" s="14"/>
      <c r="W111" s="14"/>
      <c r="X111" s="14">
        <v>100</v>
      </c>
      <c r="Y111" s="14">
        <f>R111*X111</f>
        <v>1631.1812954880193</v>
      </c>
      <c r="Z111" s="14">
        <f>3420+3040</f>
        <v>6460</v>
      </c>
      <c r="AA111" s="14">
        <f>R111*Z111</f>
        <v>105374.31168852604</v>
      </c>
      <c r="AB111" s="14">
        <f t="shared" si="18"/>
        <v>0</v>
      </c>
      <c r="AC111" s="14"/>
      <c r="AD111" s="14">
        <f t="shared" ref="AD111:AD165" si="23">S111-U111-W111-Y111-AA111</f>
        <v>0</v>
      </c>
    </row>
    <row r="112" spans="1:30">
      <c r="A112" s="17" t="s">
        <v>126</v>
      </c>
      <c r="B112" s="14">
        <v>0</v>
      </c>
      <c r="C112" s="14"/>
      <c r="D112" s="14">
        <v>0</v>
      </c>
      <c r="E112" s="14"/>
      <c r="F112" s="14" t="e">
        <f t="shared" si="19"/>
        <v>#DIV/0!</v>
      </c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>
        <f t="shared" si="22"/>
        <v>0</v>
      </c>
      <c r="R112" s="14" t="e">
        <f t="shared" si="17"/>
        <v>#DIV/0!</v>
      </c>
      <c r="S112" s="14">
        <f t="shared" si="20"/>
        <v>0</v>
      </c>
      <c r="T112" s="14"/>
      <c r="U112" s="14"/>
      <c r="V112" s="14"/>
      <c r="W112" s="14"/>
      <c r="X112" s="14"/>
      <c r="Y112" s="14"/>
      <c r="Z112" s="14"/>
      <c r="AA112" s="14"/>
      <c r="AB112" s="14">
        <f t="shared" si="18"/>
        <v>0</v>
      </c>
      <c r="AC112" s="14"/>
      <c r="AD112" s="14">
        <f t="shared" si="23"/>
        <v>0</v>
      </c>
    </row>
    <row r="113" spans="1:30">
      <c r="A113" s="17" t="s">
        <v>127</v>
      </c>
      <c r="B113" s="14">
        <v>0</v>
      </c>
      <c r="C113" s="14"/>
      <c r="D113" s="14">
        <v>0</v>
      </c>
      <c r="E113" s="14"/>
      <c r="F113" s="14" t="e">
        <f t="shared" si="19"/>
        <v>#DIV/0!</v>
      </c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>
        <f t="shared" si="22"/>
        <v>0</v>
      </c>
      <c r="R113" s="14" t="e">
        <f t="shared" si="17"/>
        <v>#DIV/0!</v>
      </c>
      <c r="S113" s="14">
        <f t="shared" si="20"/>
        <v>0</v>
      </c>
      <c r="T113" s="14"/>
      <c r="U113" s="14"/>
      <c r="V113" s="14"/>
      <c r="W113" s="14"/>
      <c r="X113" s="14"/>
      <c r="Y113" s="14"/>
      <c r="Z113" s="14"/>
      <c r="AA113" s="14"/>
      <c r="AB113" s="14">
        <f t="shared" si="18"/>
        <v>0</v>
      </c>
      <c r="AC113" s="14"/>
      <c r="AD113" s="14">
        <f t="shared" si="23"/>
        <v>0</v>
      </c>
    </row>
    <row r="114" spans="1:30">
      <c r="A114" s="17" t="s">
        <v>128</v>
      </c>
      <c r="B114" s="14">
        <v>0</v>
      </c>
      <c r="C114" s="14"/>
      <c r="D114" s="14">
        <v>0</v>
      </c>
      <c r="E114" s="14"/>
      <c r="F114" s="14" t="e">
        <f t="shared" si="19"/>
        <v>#DIV/0!</v>
      </c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>
        <f t="shared" si="22"/>
        <v>0</v>
      </c>
      <c r="R114" s="14" t="e">
        <f t="shared" si="17"/>
        <v>#DIV/0!</v>
      </c>
      <c r="S114" s="14">
        <f t="shared" si="20"/>
        <v>0</v>
      </c>
      <c r="T114" s="14"/>
      <c r="U114" s="14"/>
      <c r="V114" s="14"/>
      <c r="W114" s="14"/>
      <c r="X114" s="14"/>
      <c r="Y114" s="14"/>
      <c r="Z114" s="14"/>
      <c r="AA114" s="14"/>
      <c r="AB114" s="14">
        <f t="shared" si="18"/>
        <v>0</v>
      </c>
      <c r="AC114" s="14"/>
      <c r="AD114" s="14">
        <f t="shared" si="23"/>
        <v>0</v>
      </c>
    </row>
    <row r="115" spans="1:30">
      <c r="A115" s="15" t="s">
        <v>129</v>
      </c>
      <c r="B115" s="14">
        <v>18</v>
      </c>
      <c r="C115" s="14"/>
      <c r="D115" s="14">
        <v>348.55530389568099</v>
      </c>
      <c r="E115" s="14"/>
      <c r="F115" s="14" t="e">
        <f t="shared" si="19"/>
        <v>#DIV/0!</v>
      </c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>
        <f t="shared" si="22"/>
        <v>18</v>
      </c>
      <c r="R115" s="14">
        <f t="shared" si="17"/>
        <v>19.364183549760057</v>
      </c>
      <c r="S115" s="14">
        <f t="shared" si="20"/>
        <v>348.55530389568099</v>
      </c>
      <c r="T115" s="14"/>
      <c r="U115" s="14"/>
      <c r="V115" s="14"/>
      <c r="W115" s="14"/>
      <c r="X115" s="14"/>
      <c r="Y115" s="14"/>
      <c r="Z115" s="14"/>
      <c r="AA115" s="14"/>
      <c r="AB115" s="14">
        <f t="shared" si="18"/>
        <v>18</v>
      </c>
      <c r="AC115" s="14">
        <f t="shared" si="21"/>
        <v>19.364183549760057</v>
      </c>
      <c r="AD115" s="14">
        <f t="shared" si="23"/>
        <v>348.55530389568099</v>
      </c>
    </row>
    <row r="116" spans="1:30">
      <c r="A116" s="15" t="s">
        <v>130</v>
      </c>
      <c r="B116" s="14">
        <v>9</v>
      </c>
      <c r="C116" s="14"/>
      <c r="D116" s="14">
        <v>153.51543884012801</v>
      </c>
      <c r="E116" s="14">
        <f>572+100</f>
        <v>672</v>
      </c>
      <c r="F116" s="14">
        <f t="shared" si="19"/>
        <v>17.404542167278571</v>
      </c>
      <c r="G116" s="14">
        <v>11432.129800000001</v>
      </c>
      <c r="H116" s="14">
        <f>E116*$H$169</f>
        <v>140.09009536067396</v>
      </c>
      <c r="I116" s="14">
        <f>E116*$I$168</f>
        <v>123.63244105052347</v>
      </c>
      <c r="J116" s="14">
        <f>G116+H116+I116</f>
        <v>11695.852336411199</v>
      </c>
      <c r="K116" s="14"/>
      <c r="L116" s="14"/>
      <c r="M116" s="14"/>
      <c r="N116" s="14"/>
      <c r="O116" s="14"/>
      <c r="P116" s="14"/>
      <c r="Q116" s="14">
        <f t="shared" si="22"/>
        <v>681</v>
      </c>
      <c r="R116" s="14">
        <f t="shared" si="17"/>
        <v>17.39995268025158</v>
      </c>
      <c r="S116" s="14">
        <f t="shared" si="20"/>
        <v>11849.367775251327</v>
      </c>
      <c r="T116" s="14"/>
      <c r="U116" s="14"/>
      <c r="V116" s="14"/>
      <c r="W116" s="14"/>
      <c r="X116" s="14">
        <v>100</v>
      </c>
      <c r="Y116" s="14">
        <f>R116*X116</f>
        <v>1739.9952680251581</v>
      </c>
      <c r="Z116" s="14">
        <v>570</v>
      </c>
      <c r="AA116" s="14">
        <f>R116*Z116</f>
        <v>9917.973027743401</v>
      </c>
      <c r="AB116" s="14">
        <f t="shared" si="18"/>
        <v>11</v>
      </c>
      <c r="AC116" s="14">
        <f t="shared" si="21"/>
        <v>17.39995268025169</v>
      </c>
      <c r="AD116" s="14">
        <f t="shared" si="23"/>
        <v>191.39947948276858</v>
      </c>
    </row>
    <row r="117" spans="1:30">
      <c r="A117" s="15" t="s">
        <v>131</v>
      </c>
      <c r="B117" s="14">
        <v>349</v>
      </c>
      <c r="C117" s="14"/>
      <c r="D117" s="14">
        <v>6001.7838186157496</v>
      </c>
      <c r="E117" s="14"/>
      <c r="F117" s="14" t="e">
        <f t="shared" si="19"/>
        <v>#DIV/0!</v>
      </c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>
        <f t="shared" si="22"/>
        <v>349</v>
      </c>
      <c r="R117" s="14">
        <f t="shared" si="17"/>
        <v>17.197088305489252</v>
      </c>
      <c r="S117" s="14">
        <f t="shared" si="20"/>
        <v>6001.7838186157496</v>
      </c>
      <c r="T117" s="14"/>
      <c r="U117" s="14"/>
      <c r="V117" s="14"/>
      <c r="W117" s="14"/>
      <c r="X117" s="14"/>
      <c r="Y117" s="14"/>
      <c r="Z117" s="14"/>
      <c r="AA117" s="14"/>
      <c r="AB117" s="14">
        <f t="shared" si="18"/>
        <v>349</v>
      </c>
      <c r="AC117" s="14">
        <f t="shared" si="21"/>
        <v>17.197088305489252</v>
      </c>
      <c r="AD117" s="14">
        <f t="shared" si="23"/>
        <v>6001.7838186157496</v>
      </c>
    </row>
    <row r="118" spans="1:30">
      <c r="A118" s="15" t="s">
        <v>132</v>
      </c>
      <c r="B118" s="14">
        <v>0</v>
      </c>
      <c r="C118" s="14"/>
      <c r="D118" s="14">
        <v>0</v>
      </c>
      <c r="E118" s="14"/>
      <c r="F118" s="14" t="e">
        <f t="shared" si="19"/>
        <v>#DIV/0!</v>
      </c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>
        <f t="shared" si="22"/>
        <v>0</v>
      </c>
      <c r="R118" s="14" t="e">
        <f t="shared" si="17"/>
        <v>#DIV/0!</v>
      </c>
      <c r="S118" s="14">
        <f t="shared" si="20"/>
        <v>0</v>
      </c>
      <c r="T118" s="14"/>
      <c r="U118" s="14"/>
      <c r="V118" s="14"/>
      <c r="W118" s="14"/>
      <c r="X118" s="14"/>
      <c r="Y118" s="14"/>
      <c r="Z118" s="14"/>
      <c r="AA118" s="14"/>
      <c r="AB118" s="14">
        <f t="shared" si="18"/>
        <v>0</v>
      </c>
      <c r="AC118" s="14"/>
      <c r="AD118" s="14">
        <f t="shared" si="23"/>
        <v>0</v>
      </c>
    </row>
    <row r="119" spans="1:30">
      <c r="A119" s="15" t="s">
        <v>133</v>
      </c>
      <c r="B119" s="14">
        <v>943</v>
      </c>
      <c r="C119" s="14"/>
      <c r="D119" s="14">
        <v>8522.8149794691399</v>
      </c>
      <c r="E119" s="14"/>
      <c r="F119" s="14" t="e">
        <f t="shared" si="19"/>
        <v>#DIV/0!</v>
      </c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>
        <f t="shared" si="22"/>
        <v>943</v>
      </c>
      <c r="R119" s="14">
        <f t="shared" si="17"/>
        <v>9.0379798297657903</v>
      </c>
      <c r="S119" s="14">
        <f t="shared" si="20"/>
        <v>8522.8149794691399</v>
      </c>
      <c r="T119" s="14"/>
      <c r="U119" s="14"/>
      <c r="V119" s="14"/>
      <c r="W119" s="14"/>
      <c r="X119" s="14"/>
      <c r="Y119" s="14"/>
      <c r="Z119" s="14"/>
      <c r="AA119" s="14"/>
      <c r="AB119" s="14">
        <f t="shared" si="18"/>
        <v>943</v>
      </c>
      <c r="AC119" s="14">
        <f t="shared" si="21"/>
        <v>9.0379798297657903</v>
      </c>
      <c r="AD119" s="14">
        <f t="shared" si="23"/>
        <v>8522.8149794691399</v>
      </c>
    </row>
    <row r="120" spans="1:30">
      <c r="A120" s="17" t="s">
        <v>134</v>
      </c>
      <c r="B120" s="14">
        <v>0</v>
      </c>
      <c r="C120" s="14"/>
      <c r="D120" s="14">
        <v>0</v>
      </c>
      <c r="E120" s="14"/>
      <c r="F120" s="14" t="e">
        <f t="shared" si="19"/>
        <v>#DIV/0!</v>
      </c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>
        <f t="shared" si="22"/>
        <v>0</v>
      </c>
      <c r="R120" s="14" t="e">
        <f t="shared" si="17"/>
        <v>#DIV/0!</v>
      </c>
      <c r="S120" s="14">
        <f t="shared" si="20"/>
        <v>0</v>
      </c>
      <c r="T120" s="14"/>
      <c r="U120" s="14"/>
      <c r="V120" s="14"/>
      <c r="W120" s="14"/>
      <c r="X120" s="14"/>
      <c r="Y120" s="14"/>
      <c r="Z120" s="14"/>
      <c r="AA120" s="14"/>
      <c r="AB120" s="14">
        <f t="shared" si="18"/>
        <v>0</v>
      </c>
      <c r="AC120" s="14"/>
      <c r="AD120" s="14">
        <f t="shared" si="23"/>
        <v>0</v>
      </c>
    </row>
    <row r="121" spans="1:30">
      <c r="A121" s="17" t="s">
        <v>135</v>
      </c>
      <c r="B121" s="14">
        <v>0</v>
      </c>
      <c r="C121" s="14"/>
      <c r="D121" s="14">
        <v>0</v>
      </c>
      <c r="E121" s="14"/>
      <c r="F121" s="14" t="e">
        <f t="shared" si="19"/>
        <v>#DIV/0!</v>
      </c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>
        <f t="shared" si="22"/>
        <v>0</v>
      </c>
      <c r="R121" s="14" t="e">
        <f t="shared" si="17"/>
        <v>#DIV/0!</v>
      </c>
      <c r="S121" s="14">
        <f t="shared" si="20"/>
        <v>0</v>
      </c>
      <c r="T121" s="14"/>
      <c r="U121" s="14"/>
      <c r="V121" s="14"/>
      <c r="W121" s="14"/>
      <c r="X121" s="14"/>
      <c r="Y121" s="14"/>
      <c r="Z121" s="14"/>
      <c r="AA121" s="14"/>
      <c r="AB121" s="14">
        <f t="shared" si="18"/>
        <v>0</v>
      </c>
      <c r="AC121" s="14"/>
      <c r="AD121" s="14">
        <f t="shared" si="23"/>
        <v>0</v>
      </c>
    </row>
    <row r="122" spans="1:30">
      <c r="A122" s="17" t="s">
        <v>136</v>
      </c>
      <c r="B122" s="14">
        <v>0</v>
      </c>
      <c r="C122" s="14"/>
      <c r="D122" s="14">
        <v>0</v>
      </c>
      <c r="E122" s="14"/>
      <c r="F122" s="14" t="e">
        <f t="shared" si="19"/>
        <v>#DIV/0!</v>
      </c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>
        <f t="shared" si="22"/>
        <v>0</v>
      </c>
      <c r="R122" s="14" t="e">
        <f t="shared" si="17"/>
        <v>#DIV/0!</v>
      </c>
      <c r="S122" s="14">
        <f t="shared" si="20"/>
        <v>0</v>
      </c>
      <c r="T122" s="14"/>
      <c r="U122" s="14"/>
      <c r="V122" s="14"/>
      <c r="W122" s="14"/>
      <c r="X122" s="14"/>
      <c r="Y122" s="14"/>
      <c r="Z122" s="14"/>
      <c r="AA122" s="14"/>
      <c r="AB122" s="14">
        <f t="shared" si="18"/>
        <v>0</v>
      </c>
      <c r="AC122" s="14"/>
      <c r="AD122" s="14">
        <f t="shared" si="23"/>
        <v>0</v>
      </c>
    </row>
    <row r="123" spans="1:30">
      <c r="A123" s="17" t="s">
        <v>137</v>
      </c>
      <c r="B123" s="14">
        <v>152</v>
      </c>
      <c r="C123" s="14"/>
      <c r="D123" s="14">
        <v>67.358718564401599</v>
      </c>
      <c r="E123" s="14">
        <f>5+2</f>
        <v>7</v>
      </c>
      <c r="F123" s="14">
        <f t="shared" si="19"/>
        <v>0.83244425061190086</v>
      </c>
      <c r="G123" s="14">
        <v>3.08</v>
      </c>
      <c r="H123" s="14">
        <f>E123*$H$169</f>
        <v>1.459271826673687</v>
      </c>
      <c r="I123" s="14">
        <f>E123*$I$168</f>
        <v>1.2878379276096195</v>
      </c>
      <c r="J123" s="14">
        <f>G123+H123+I123</f>
        <v>5.8271097542833061</v>
      </c>
      <c r="K123" s="14"/>
      <c r="L123" s="14"/>
      <c r="M123" s="14"/>
      <c r="N123" s="14"/>
      <c r="O123" s="14">
        <v>17</v>
      </c>
      <c r="P123" s="14">
        <v>7.48</v>
      </c>
      <c r="Q123" s="14">
        <f t="shared" si="22"/>
        <v>142</v>
      </c>
      <c r="R123" s="14">
        <f t="shared" si="17"/>
        <v>0.46271710083580919</v>
      </c>
      <c r="S123" s="14">
        <f t="shared" si="20"/>
        <v>65.705828318684908</v>
      </c>
      <c r="T123" s="14"/>
      <c r="U123" s="14"/>
      <c r="V123" s="14"/>
      <c r="W123" s="14"/>
      <c r="X123" s="14"/>
      <c r="Y123" s="14"/>
      <c r="Z123" s="14"/>
      <c r="AA123" s="14"/>
      <c r="AB123" s="14">
        <f t="shared" si="18"/>
        <v>142</v>
      </c>
      <c r="AC123" s="14">
        <f t="shared" si="21"/>
        <v>0.46271710083580919</v>
      </c>
      <c r="AD123" s="14">
        <f t="shared" si="23"/>
        <v>65.705828318684908</v>
      </c>
    </row>
    <row r="124" spans="1:30">
      <c r="A124" s="17" t="s">
        <v>138</v>
      </c>
      <c r="B124" s="14">
        <v>0</v>
      </c>
      <c r="C124" s="14"/>
      <c r="D124" s="14">
        <v>3.1234387224685599E-3</v>
      </c>
      <c r="E124" s="14"/>
      <c r="F124" s="14" t="e">
        <f t="shared" si="19"/>
        <v>#DIV/0!</v>
      </c>
      <c r="G124" s="14"/>
      <c r="H124" s="14"/>
      <c r="I124" s="14">
        <f>E124*$I$168</f>
        <v>0</v>
      </c>
      <c r="J124" s="14"/>
      <c r="K124" s="14"/>
      <c r="L124" s="14"/>
      <c r="M124" s="14"/>
      <c r="N124" s="14"/>
      <c r="O124" s="14"/>
      <c r="P124" s="14"/>
      <c r="Q124" s="14">
        <f t="shared" si="22"/>
        <v>0</v>
      </c>
      <c r="R124" s="14" t="e">
        <f t="shared" si="17"/>
        <v>#DIV/0!</v>
      </c>
      <c r="S124" s="14">
        <f t="shared" si="20"/>
        <v>3.1234387224685599E-3</v>
      </c>
      <c r="T124" s="14"/>
      <c r="U124" s="14"/>
      <c r="V124" s="14"/>
      <c r="W124" s="14"/>
      <c r="X124" s="14"/>
      <c r="Y124" s="14"/>
      <c r="Z124" s="14"/>
      <c r="AA124" s="14"/>
      <c r="AB124" s="14">
        <f t="shared" si="18"/>
        <v>0</v>
      </c>
      <c r="AC124" s="14"/>
      <c r="AD124" s="14">
        <f t="shared" si="23"/>
        <v>3.1234387224685599E-3</v>
      </c>
    </row>
    <row r="125" spans="1:30">
      <c r="A125" s="17" t="s">
        <v>139</v>
      </c>
      <c r="B125" s="14">
        <v>0</v>
      </c>
      <c r="C125" s="14"/>
      <c r="D125" s="14">
        <v>0</v>
      </c>
      <c r="E125" s="14">
        <v>2000</v>
      </c>
      <c r="F125" s="14">
        <f t="shared" si="19"/>
        <v>6.076784250611901</v>
      </c>
      <c r="G125" s="14">
        <v>11368.68</v>
      </c>
      <c r="H125" s="14">
        <f>E125*$H$169</f>
        <v>416.93480762105344</v>
      </c>
      <c r="I125" s="14">
        <f>E125*$I$168</f>
        <v>367.95369360274844</v>
      </c>
      <c r="J125" s="14">
        <f>G125+H125+I125</f>
        <v>12153.568501223803</v>
      </c>
      <c r="K125" s="14"/>
      <c r="L125" s="14"/>
      <c r="M125" s="14"/>
      <c r="N125" s="14"/>
      <c r="O125" s="14"/>
      <c r="P125" s="14"/>
      <c r="Q125" s="14">
        <f t="shared" si="22"/>
        <v>2000</v>
      </c>
      <c r="R125" s="14">
        <f t="shared" si="17"/>
        <v>6.076784250611901</v>
      </c>
      <c r="S125" s="14">
        <f t="shared" si="20"/>
        <v>12153.568501223803</v>
      </c>
      <c r="T125" s="14"/>
      <c r="U125" s="14"/>
      <c r="V125" s="14"/>
      <c r="W125" s="14"/>
      <c r="X125" s="14"/>
      <c r="Y125" s="14"/>
      <c r="Z125" s="14">
        <f>1900+100</f>
        <v>2000</v>
      </c>
      <c r="AA125" s="14">
        <f>R125*Z125</f>
        <v>12153.568501223803</v>
      </c>
      <c r="AB125" s="14">
        <f t="shared" si="18"/>
        <v>0</v>
      </c>
      <c r="AC125" s="14"/>
      <c r="AD125" s="14">
        <f t="shared" si="23"/>
        <v>0</v>
      </c>
    </row>
    <row r="126" spans="1:30">
      <c r="A126" s="17" t="s">
        <v>140</v>
      </c>
      <c r="B126" s="14">
        <v>3000</v>
      </c>
      <c r="C126" s="14"/>
      <c r="D126" s="14">
        <v>8151.9411162838496</v>
      </c>
      <c r="E126" s="14"/>
      <c r="F126" s="14" t="e">
        <f t="shared" si="19"/>
        <v>#DIV/0!</v>
      </c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>
        <f t="shared" si="22"/>
        <v>3000</v>
      </c>
      <c r="R126" s="14">
        <f t="shared" si="17"/>
        <v>2.7173137054279497</v>
      </c>
      <c r="S126" s="14">
        <f t="shared" si="20"/>
        <v>8151.9411162838496</v>
      </c>
      <c r="T126" s="14"/>
      <c r="U126" s="14"/>
      <c r="V126" s="14"/>
      <c r="W126" s="14"/>
      <c r="X126" s="14"/>
      <c r="Y126" s="14"/>
      <c r="Z126" s="14"/>
      <c r="AA126" s="14"/>
      <c r="AB126" s="14">
        <f t="shared" si="18"/>
        <v>3000</v>
      </c>
      <c r="AC126" s="14">
        <f t="shared" si="21"/>
        <v>2.7173137054279497</v>
      </c>
      <c r="AD126" s="14">
        <f t="shared" si="23"/>
        <v>8151.9411162838496</v>
      </c>
    </row>
    <row r="127" spans="1:30">
      <c r="A127" s="17" t="s">
        <v>141</v>
      </c>
      <c r="B127" s="14">
        <v>0</v>
      </c>
      <c r="C127" s="14"/>
      <c r="D127" s="14">
        <v>0</v>
      </c>
      <c r="E127" s="14">
        <f>450+450</f>
        <v>900</v>
      </c>
      <c r="F127" s="14">
        <f t="shared" si="19"/>
        <v>1.8401886950563453</v>
      </c>
      <c r="G127" s="14">
        <v>1302.97</v>
      </c>
      <c r="H127" s="14">
        <f>E127*$H$169</f>
        <v>187.62066342947406</v>
      </c>
      <c r="I127" s="14">
        <f>E127*$I$168</f>
        <v>165.57916212123681</v>
      </c>
      <c r="J127" s="14">
        <f>G127+H127+I127</f>
        <v>1656.1698255507108</v>
      </c>
      <c r="K127" s="14"/>
      <c r="L127" s="14"/>
      <c r="M127" s="14"/>
      <c r="N127" s="14"/>
      <c r="O127" s="14"/>
      <c r="P127" s="14"/>
      <c r="Q127" s="14">
        <f t="shared" si="22"/>
        <v>900</v>
      </c>
      <c r="R127" s="14">
        <f t="shared" si="17"/>
        <v>1.8401886950563453</v>
      </c>
      <c r="S127" s="14">
        <f t="shared" si="20"/>
        <v>1656.1698255507108</v>
      </c>
      <c r="T127" s="14"/>
      <c r="U127" s="14"/>
      <c r="V127" s="14"/>
      <c r="W127" s="14"/>
      <c r="X127" s="14"/>
      <c r="Y127" s="14"/>
      <c r="Z127" s="14">
        <f>450+450</f>
        <v>900</v>
      </c>
      <c r="AA127" s="14">
        <f>R127*Z127</f>
        <v>1656.1698255507108</v>
      </c>
      <c r="AB127" s="14">
        <f t="shared" si="18"/>
        <v>0</v>
      </c>
      <c r="AC127" s="14"/>
      <c r="AD127" s="14">
        <f t="shared" si="23"/>
        <v>0</v>
      </c>
    </row>
    <row r="128" spans="1:30">
      <c r="A128" s="17" t="s">
        <v>142</v>
      </c>
      <c r="B128" s="14">
        <v>3600</v>
      </c>
      <c r="C128" s="14"/>
      <c r="D128" s="14">
        <v>7188.9213294552401</v>
      </c>
      <c r="E128" s="14">
        <f>2000+2000+2000</f>
        <v>6000</v>
      </c>
      <c r="F128" s="14">
        <f t="shared" si="19"/>
        <v>1.931989250611901</v>
      </c>
      <c r="G128" s="14">
        <v>9237.27</v>
      </c>
      <c r="H128" s="14">
        <f>E128*$H$169</f>
        <v>1250.8044228631604</v>
      </c>
      <c r="I128" s="14">
        <f>E128*$I$168</f>
        <v>1103.8610808082453</v>
      </c>
      <c r="J128" s="14">
        <f>G128+H128+I128</f>
        <v>11591.935503671406</v>
      </c>
      <c r="K128" s="14"/>
      <c r="L128" s="14"/>
      <c r="M128" s="14"/>
      <c r="N128" s="14"/>
      <c r="O128" s="14"/>
      <c r="P128" s="14"/>
      <c r="Q128" s="14">
        <f t="shared" si="22"/>
        <v>9600</v>
      </c>
      <c r="R128" s="14">
        <f t="shared" si="17"/>
        <v>1.9563392534506925</v>
      </c>
      <c r="S128" s="14">
        <f t="shared" si="20"/>
        <v>18780.856833126647</v>
      </c>
      <c r="T128" s="14"/>
      <c r="U128" s="14"/>
      <c r="V128" s="14"/>
      <c r="W128" s="14"/>
      <c r="X128" s="14"/>
      <c r="Y128" s="14"/>
      <c r="Z128" s="14">
        <f>1900+1600+1500+300+1600</f>
        <v>6900</v>
      </c>
      <c r="AA128" s="14">
        <f>R128*Z128</f>
        <v>13498.740848809779</v>
      </c>
      <c r="AB128" s="14">
        <f t="shared" si="18"/>
        <v>2700</v>
      </c>
      <c r="AC128" s="14">
        <f t="shared" si="21"/>
        <v>1.9563392534506918</v>
      </c>
      <c r="AD128" s="14">
        <f t="shared" si="23"/>
        <v>5282.115984316868</v>
      </c>
    </row>
    <row r="129" spans="1:30" ht="66">
      <c r="A129" s="20" t="s">
        <v>143</v>
      </c>
      <c r="B129" s="21">
        <v>323</v>
      </c>
      <c r="C129" s="21"/>
      <c r="D129" s="21">
        <v>24568.525176552601</v>
      </c>
      <c r="E129" s="14">
        <v>460</v>
      </c>
      <c r="F129" s="14">
        <f t="shared" si="19"/>
        <v>75.13763441470833</v>
      </c>
      <c r="G129" s="21">
        <v>34379.120000000003</v>
      </c>
      <c r="H129" s="14">
        <f>E129*$H$168</f>
        <v>99.562481237196067</v>
      </c>
      <c r="I129" s="14">
        <f>E129*$I$168</f>
        <v>84.629349528632133</v>
      </c>
      <c r="J129" s="14">
        <f>G129+H129+I129</f>
        <v>34563.31183076583</v>
      </c>
      <c r="K129" s="21"/>
      <c r="L129" s="21"/>
      <c r="M129" s="22">
        <v>400</v>
      </c>
      <c r="N129" s="22">
        <v>34000</v>
      </c>
      <c r="O129" s="21">
        <v>452</v>
      </c>
      <c r="P129" s="21">
        <v>34379.120000000003</v>
      </c>
      <c r="Q129" s="14">
        <f t="shared" si="22"/>
        <v>731</v>
      </c>
      <c r="R129" s="14">
        <f t="shared" si="17"/>
        <v>80.373073881420567</v>
      </c>
      <c r="S129" s="14">
        <f t="shared" si="20"/>
        <v>58752.717007318432</v>
      </c>
      <c r="T129" s="21"/>
      <c r="U129" s="21"/>
      <c r="V129" s="21">
        <v>11</v>
      </c>
      <c r="W129" s="21">
        <v>836.66</v>
      </c>
      <c r="X129" s="21"/>
      <c r="Y129" s="14"/>
      <c r="Z129" s="21">
        <f>100+80+80+200+120+140</f>
        <v>720</v>
      </c>
      <c r="AA129" s="14">
        <f>R129*Z129+47.44</f>
        <v>57916.053194622807</v>
      </c>
      <c r="AB129" s="14">
        <f t="shared" si="18"/>
        <v>0</v>
      </c>
      <c r="AC129" s="14"/>
      <c r="AD129" s="14">
        <f t="shared" si="23"/>
        <v>3.8126956205815077E-3</v>
      </c>
    </row>
    <row r="130" spans="1:30" ht="53">
      <c r="A130" s="23" t="s">
        <v>144</v>
      </c>
      <c r="B130" s="21">
        <v>564</v>
      </c>
      <c r="C130" s="24"/>
      <c r="D130" s="21">
        <v>43391.732569502601</v>
      </c>
      <c r="E130" s="21"/>
      <c r="F130" s="14" t="e">
        <f t="shared" si="19"/>
        <v>#DIV/0!</v>
      </c>
      <c r="G130" s="21"/>
      <c r="H130" s="14"/>
      <c r="I130" s="14"/>
      <c r="J130" s="14"/>
      <c r="K130" s="21"/>
      <c r="L130" s="21"/>
      <c r="M130" s="21">
        <v>350</v>
      </c>
      <c r="N130" s="21">
        <v>29750</v>
      </c>
      <c r="O130" s="21"/>
      <c r="P130" s="21"/>
      <c r="Q130" s="14">
        <f t="shared" si="22"/>
        <v>914</v>
      </c>
      <c r="R130" s="14">
        <f t="shared" si="17"/>
        <v>80.023777428339841</v>
      </c>
      <c r="S130" s="14">
        <f t="shared" si="20"/>
        <v>73141.732569502608</v>
      </c>
      <c r="T130" s="21"/>
      <c r="U130" s="21"/>
      <c r="V130" s="21">
        <v>11</v>
      </c>
      <c r="W130" s="21">
        <v>846.34</v>
      </c>
      <c r="X130" s="21"/>
      <c r="Y130" s="14"/>
      <c r="Z130" s="21">
        <f>200+160+80</f>
        <v>440</v>
      </c>
      <c r="AA130" s="14">
        <f>R130*Z130</f>
        <v>35210.462068469533</v>
      </c>
      <c r="AB130" s="14">
        <f t="shared" si="18"/>
        <v>463</v>
      </c>
      <c r="AC130" s="14">
        <f t="shared" si="21"/>
        <v>80.097042118861935</v>
      </c>
      <c r="AD130" s="14">
        <f t="shared" si="23"/>
        <v>37084.930501033079</v>
      </c>
    </row>
    <row r="131" spans="1:30" ht="40">
      <c r="A131" s="23" t="s">
        <v>145</v>
      </c>
      <c r="B131" s="21">
        <v>248.5</v>
      </c>
      <c r="C131" s="24"/>
      <c r="D131" s="21">
        <v>11679.5</v>
      </c>
      <c r="E131" s="21"/>
      <c r="F131" s="14" t="e">
        <f t="shared" si="19"/>
        <v>#DIV/0!</v>
      </c>
      <c r="G131" s="21"/>
      <c r="H131" s="14"/>
      <c r="I131" s="14"/>
      <c r="J131" s="14"/>
      <c r="K131" s="21"/>
      <c r="L131" s="21"/>
      <c r="M131" s="21"/>
      <c r="N131" s="21"/>
      <c r="O131" s="21"/>
      <c r="P131" s="21"/>
      <c r="Q131" s="14">
        <f t="shared" si="22"/>
        <v>248.5</v>
      </c>
      <c r="R131" s="14">
        <f t="shared" si="17"/>
        <v>47</v>
      </c>
      <c r="S131" s="14">
        <f t="shared" si="20"/>
        <v>11679.5</v>
      </c>
      <c r="T131" s="21"/>
      <c r="U131" s="21"/>
      <c r="V131" s="21"/>
      <c r="W131" s="21"/>
      <c r="X131" s="21"/>
      <c r="Y131" s="14"/>
      <c r="Z131" s="21">
        <f>60+80</f>
        <v>140</v>
      </c>
      <c r="AA131" s="14">
        <f>R131*Z131</f>
        <v>6580</v>
      </c>
      <c r="AB131" s="14">
        <f t="shared" si="18"/>
        <v>108.5</v>
      </c>
      <c r="AC131" s="14">
        <f t="shared" si="21"/>
        <v>47</v>
      </c>
      <c r="AD131" s="14">
        <f t="shared" si="23"/>
        <v>5099.5</v>
      </c>
    </row>
    <row r="132" spans="1:30">
      <c r="A132" s="23" t="s">
        <v>146</v>
      </c>
      <c r="B132" s="21">
        <v>10</v>
      </c>
      <c r="C132" s="21"/>
      <c r="D132" s="21">
        <v>500</v>
      </c>
      <c r="E132" s="21"/>
      <c r="F132" s="14" t="e">
        <f t="shared" si="19"/>
        <v>#DIV/0!</v>
      </c>
      <c r="G132" s="21"/>
      <c r="H132" s="14"/>
      <c r="I132" s="14"/>
      <c r="J132" s="14"/>
      <c r="K132" s="21"/>
      <c r="L132" s="21"/>
      <c r="M132" s="21"/>
      <c r="N132" s="21"/>
      <c r="O132" s="21"/>
      <c r="P132" s="21"/>
      <c r="Q132" s="14">
        <f t="shared" si="22"/>
        <v>10</v>
      </c>
      <c r="R132" s="14">
        <f t="shared" si="17"/>
        <v>50</v>
      </c>
      <c r="S132" s="14">
        <f t="shared" si="20"/>
        <v>500</v>
      </c>
      <c r="T132" s="21"/>
      <c r="U132" s="21"/>
      <c r="V132" s="21"/>
      <c r="W132" s="21"/>
      <c r="X132" s="21"/>
      <c r="Y132" s="21"/>
      <c r="Z132" s="21"/>
      <c r="AA132" s="14"/>
      <c r="AB132" s="14">
        <f t="shared" si="18"/>
        <v>10</v>
      </c>
      <c r="AC132" s="14">
        <f t="shared" si="21"/>
        <v>50</v>
      </c>
      <c r="AD132" s="14">
        <f t="shared" si="23"/>
        <v>500</v>
      </c>
    </row>
    <row r="133" spans="1:30">
      <c r="A133" s="23" t="s">
        <v>147</v>
      </c>
      <c r="B133" s="21">
        <v>10</v>
      </c>
      <c r="C133" s="21"/>
      <c r="D133" s="21">
        <v>500</v>
      </c>
      <c r="E133" s="21"/>
      <c r="F133" s="14" t="e">
        <f t="shared" si="19"/>
        <v>#DIV/0!</v>
      </c>
      <c r="G133" s="21"/>
      <c r="H133" s="14"/>
      <c r="I133" s="14"/>
      <c r="J133" s="14"/>
      <c r="K133" s="21"/>
      <c r="L133" s="21"/>
      <c r="M133" s="21"/>
      <c r="N133" s="21"/>
      <c r="O133" s="21"/>
      <c r="P133" s="21"/>
      <c r="Q133" s="14">
        <f t="shared" si="22"/>
        <v>10</v>
      </c>
      <c r="R133" s="14">
        <f t="shared" ref="R133:R169" si="24">S133/Q133</f>
        <v>50</v>
      </c>
      <c r="S133" s="14">
        <f t="shared" si="20"/>
        <v>500</v>
      </c>
      <c r="T133" s="21"/>
      <c r="U133" s="21"/>
      <c r="V133" s="21"/>
      <c r="W133" s="21"/>
      <c r="X133" s="21"/>
      <c r="Y133" s="21"/>
      <c r="Z133" s="21"/>
      <c r="AA133" s="14"/>
      <c r="AB133" s="14">
        <f t="shared" ref="AB133:AB165" si="25">Q133-T133-V133-X133-Z133</f>
        <v>10</v>
      </c>
      <c r="AC133" s="14">
        <f t="shared" si="21"/>
        <v>50</v>
      </c>
      <c r="AD133" s="14">
        <f t="shared" si="23"/>
        <v>500</v>
      </c>
    </row>
    <row r="134" spans="1:30">
      <c r="A134" s="17" t="s">
        <v>148</v>
      </c>
      <c r="B134" s="14">
        <v>392</v>
      </c>
      <c r="C134" s="14"/>
      <c r="D134" s="14">
        <v>6716.9532398629499</v>
      </c>
      <c r="E134" s="14"/>
      <c r="F134" s="14" t="e">
        <f t="shared" ref="F134:F165" si="26">J134/E134</f>
        <v>#DIV/0!</v>
      </c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>
        <f t="shared" si="22"/>
        <v>392</v>
      </c>
      <c r="R134" s="14">
        <f t="shared" si="24"/>
        <v>17.135084795568751</v>
      </c>
      <c r="S134" s="14">
        <f t="shared" ref="S134:S165" si="27">D134+J134+L134+N134-P134</f>
        <v>6716.9532398629499</v>
      </c>
      <c r="T134" s="14"/>
      <c r="U134" s="14"/>
      <c r="V134" s="14"/>
      <c r="W134" s="14"/>
      <c r="X134" s="14"/>
      <c r="Y134" s="14"/>
      <c r="Z134" s="14"/>
      <c r="AA134" s="14"/>
      <c r="AB134" s="14">
        <f t="shared" si="25"/>
        <v>392</v>
      </c>
      <c r="AC134" s="14">
        <f t="shared" ref="AC134:AC166" si="28">AD134/AB134</f>
        <v>17.135084795568751</v>
      </c>
      <c r="AD134" s="14">
        <f t="shared" si="23"/>
        <v>6716.9532398629499</v>
      </c>
    </row>
    <row r="135" spans="1:30">
      <c r="A135" s="17" t="s">
        <v>149</v>
      </c>
      <c r="B135" s="14">
        <v>0</v>
      </c>
      <c r="C135" s="14"/>
      <c r="D135" s="14">
        <v>0</v>
      </c>
      <c r="E135" s="14"/>
      <c r="F135" s="14" t="e">
        <f t="shared" si="26"/>
        <v>#DIV/0!</v>
      </c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>
        <f t="shared" si="22"/>
        <v>0</v>
      </c>
      <c r="R135" s="14" t="e">
        <f t="shared" si="24"/>
        <v>#DIV/0!</v>
      </c>
      <c r="S135" s="14">
        <f t="shared" si="27"/>
        <v>0</v>
      </c>
      <c r="T135" s="14"/>
      <c r="U135" s="14"/>
      <c r="V135" s="14"/>
      <c r="W135" s="14"/>
      <c r="X135" s="14"/>
      <c r="Y135" s="14"/>
      <c r="Z135" s="14"/>
      <c r="AA135" s="14"/>
      <c r="AB135" s="14">
        <f t="shared" si="25"/>
        <v>0</v>
      </c>
      <c r="AC135" s="14"/>
      <c r="AD135" s="14">
        <f t="shared" si="23"/>
        <v>0</v>
      </c>
    </row>
    <row r="136" spans="1:30">
      <c r="A136" s="17" t="s">
        <v>150</v>
      </c>
      <c r="B136" s="14">
        <v>0</v>
      </c>
      <c r="C136" s="14"/>
      <c r="D136" s="14">
        <v>0</v>
      </c>
      <c r="E136" s="14"/>
      <c r="F136" s="14" t="e">
        <f t="shared" si="26"/>
        <v>#DIV/0!</v>
      </c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>
        <f t="shared" si="22"/>
        <v>0</v>
      </c>
      <c r="R136" s="14" t="e">
        <f t="shared" si="24"/>
        <v>#DIV/0!</v>
      </c>
      <c r="S136" s="14">
        <f t="shared" si="27"/>
        <v>0</v>
      </c>
      <c r="T136" s="14"/>
      <c r="U136" s="14"/>
      <c r="V136" s="14"/>
      <c r="W136" s="14"/>
      <c r="X136" s="14"/>
      <c r="Y136" s="14"/>
      <c r="Z136" s="14"/>
      <c r="AA136" s="14"/>
      <c r="AB136" s="14">
        <f t="shared" si="25"/>
        <v>0</v>
      </c>
      <c r="AC136" s="14"/>
      <c r="AD136" s="14">
        <f t="shared" si="23"/>
        <v>0</v>
      </c>
    </row>
    <row r="137" spans="1:30">
      <c r="A137" s="17" t="s">
        <v>151</v>
      </c>
      <c r="B137" s="14">
        <v>7019</v>
      </c>
      <c r="C137" s="14"/>
      <c r="D137" s="14">
        <v>120520.439818281</v>
      </c>
      <c r="E137" s="14"/>
      <c r="F137" s="14" t="e">
        <f t="shared" si="26"/>
        <v>#DIV/0!</v>
      </c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>
        <f t="shared" si="22"/>
        <v>7019</v>
      </c>
      <c r="R137" s="14">
        <f t="shared" si="24"/>
        <v>17.170599774651802</v>
      </c>
      <c r="S137" s="14">
        <f t="shared" si="27"/>
        <v>120520.439818281</v>
      </c>
      <c r="T137" s="14"/>
      <c r="U137" s="14"/>
      <c r="V137" s="14"/>
      <c r="W137" s="14"/>
      <c r="X137" s="14">
        <v>100</v>
      </c>
      <c r="Y137" s="14">
        <f>R137*X137</f>
        <v>1717.0599774651801</v>
      </c>
      <c r="Z137" s="14"/>
      <c r="AA137" s="14"/>
      <c r="AB137" s="14">
        <f t="shared" si="25"/>
        <v>6919</v>
      </c>
      <c r="AC137" s="14">
        <f>AD137/AB137</f>
        <v>17.170599774651802</v>
      </c>
      <c r="AD137" s="14">
        <f t="shared" si="23"/>
        <v>118803.37984081582</v>
      </c>
    </row>
    <row r="138" spans="1:30">
      <c r="A138" s="17" t="s">
        <v>152</v>
      </c>
      <c r="B138" s="14">
        <v>8225</v>
      </c>
      <c r="C138" s="14"/>
      <c r="D138" s="14">
        <v>129056.17135308401</v>
      </c>
      <c r="E138" s="14"/>
      <c r="F138" s="14" t="e">
        <f t="shared" si="26"/>
        <v>#DIV/0!</v>
      </c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>
        <f t="shared" si="22"/>
        <v>8225</v>
      </c>
      <c r="R138" s="14">
        <f t="shared" si="24"/>
        <v>15.690719921347599</v>
      </c>
      <c r="S138" s="14">
        <f t="shared" si="27"/>
        <v>129056.17135308401</v>
      </c>
      <c r="T138" s="14"/>
      <c r="U138" s="14"/>
      <c r="V138" s="14"/>
      <c r="W138" s="14"/>
      <c r="X138" s="14"/>
      <c r="Y138" s="14"/>
      <c r="Z138" s="14"/>
      <c r="AA138" s="14"/>
      <c r="AB138" s="14">
        <f t="shared" si="25"/>
        <v>8225</v>
      </c>
      <c r="AC138" s="14">
        <f>AD138/AB138</f>
        <v>15.690719921347599</v>
      </c>
      <c r="AD138" s="14">
        <f t="shared" si="23"/>
        <v>129056.17135308401</v>
      </c>
    </row>
    <row r="139" spans="1:30">
      <c r="A139" s="17" t="s">
        <v>153</v>
      </c>
      <c r="B139" s="14">
        <v>0</v>
      </c>
      <c r="C139" s="14"/>
      <c r="D139" s="14">
        <v>0</v>
      </c>
      <c r="E139" s="14"/>
      <c r="F139" s="14" t="e">
        <f t="shared" si="26"/>
        <v>#DIV/0!</v>
      </c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>
        <f t="shared" si="22"/>
        <v>0</v>
      </c>
      <c r="R139" s="14" t="e">
        <f t="shared" si="24"/>
        <v>#DIV/0!</v>
      </c>
      <c r="S139" s="14">
        <f t="shared" si="27"/>
        <v>0</v>
      </c>
      <c r="T139" s="14"/>
      <c r="U139" s="14"/>
      <c r="V139" s="14"/>
      <c r="W139" s="14"/>
      <c r="X139" s="14"/>
      <c r="Y139" s="14"/>
      <c r="Z139" s="14"/>
      <c r="AA139" s="14"/>
      <c r="AB139" s="14">
        <f t="shared" si="25"/>
        <v>0</v>
      </c>
      <c r="AC139" s="14"/>
      <c r="AD139" s="14">
        <f t="shared" si="23"/>
        <v>0</v>
      </c>
    </row>
    <row r="140" spans="1:30">
      <c r="A140" s="17" t="s">
        <v>154</v>
      </c>
      <c r="B140" s="14">
        <v>0</v>
      </c>
      <c r="C140" s="14"/>
      <c r="D140" s="14">
        <v>0</v>
      </c>
      <c r="E140" s="14">
        <f>5000+10000</f>
        <v>15000</v>
      </c>
      <c r="F140" s="14">
        <f t="shared" si="26"/>
        <v>8.1018321300706404</v>
      </c>
      <c r="G140" s="14">
        <v>115521.22659999999</v>
      </c>
      <c r="H140" s="14">
        <f>E140*$H$168</f>
        <v>3246.6026490390022</v>
      </c>
      <c r="I140" s="14">
        <f t="shared" ref="I140:I164" si="29">E140*$I$168</f>
        <v>2759.6527020206131</v>
      </c>
      <c r="J140" s="14">
        <f>G140+H140+I140</f>
        <v>121527.48195105961</v>
      </c>
      <c r="K140" s="14"/>
      <c r="L140" s="14"/>
      <c r="M140" s="14"/>
      <c r="N140" s="14"/>
      <c r="O140" s="14"/>
      <c r="P140" s="14"/>
      <c r="Q140" s="14">
        <f t="shared" si="22"/>
        <v>15000</v>
      </c>
      <c r="R140" s="14">
        <f t="shared" si="24"/>
        <v>8.1018321300706404</v>
      </c>
      <c r="S140" s="14">
        <f t="shared" si="27"/>
        <v>121527.48195105961</v>
      </c>
      <c r="T140" s="14"/>
      <c r="U140" s="14"/>
      <c r="V140" s="14"/>
      <c r="W140" s="14"/>
      <c r="X140" s="14"/>
      <c r="Y140" s="14"/>
      <c r="Z140" s="14">
        <f>5000+10000</f>
        <v>15000</v>
      </c>
      <c r="AA140" s="14">
        <f t="shared" ref="AA140:AA163" si="30">R140*Z140</f>
        <v>121527.4819510596</v>
      </c>
      <c r="AB140" s="14">
        <f t="shared" si="25"/>
        <v>0</v>
      </c>
      <c r="AC140" s="14"/>
      <c r="AD140" s="14">
        <f t="shared" si="23"/>
        <v>0</v>
      </c>
    </row>
    <row r="141" spans="1:30">
      <c r="A141" s="17" t="s">
        <v>155</v>
      </c>
      <c r="B141" s="14">
        <v>0</v>
      </c>
      <c r="C141" s="14"/>
      <c r="D141" s="14">
        <v>-0.24009232808748501</v>
      </c>
      <c r="E141" s="14"/>
      <c r="F141" s="14" t="e">
        <f t="shared" si="26"/>
        <v>#DIV/0!</v>
      </c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>
        <f t="shared" si="22"/>
        <v>0</v>
      </c>
      <c r="R141" s="14" t="e">
        <f t="shared" si="24"/>
        <v>#DIV/0!</v>
      </c>
      <c r="S141" s="14">
        <f t="shared" si="27"/>
        <v>-0.24009232808748501</v>
      </c>
      <c r="T141" s="14"/>
      <c r="U141" s="14"/>
      <c r="V141" s="14"/>
      <c r="W141" s="14"/>
      <c r="X141" s="14"/>
      <c r="Y141" s="14"/>
      <c r="Z141" s="14"/>
      <c r="AA141" s="14">
        <v>-0.24</v>
      </c>
      <c r="AB141" s="14">
        <v>0</v>
      </c>
      <c r="AC141" s="14"/>
      <c r="AD141" s="14">
        <f t="shared" si="23"/>
        <v>-9.2328087485021859E-5</v>
      </c>
    </row>
    <row r="142" spans="1:30">
      <c r="A142" s="17" t="s">
        <v>156</v>
      </c>
      <c r="B142" s="14">
        <v>607.4</v>
      </c>
      <c r="C142" s="14"/>
      <c r="D142" s="14">
        <v>10933.2</v>
      </c>
      <c r="E142" s="14"/>
      <c r="F142" s="14" t="e">
        <f t="shared" si="26"/>
        <v>#DIV/0!</v>
      </c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>
        <f t="shared" si="22"/>
        <v>607.4</v>
      </c>
      <c r="R142" s="14">
        <f t="shared" si="24"/>
        <v>18.000000000000004</v>
      </c>
      <c r="S142" s="14">
        <f t="shared" si="27"/>
        <v>10933.2</v>
      </c>
      <c r="T142" s="14"/>
      <c r="U142" s="14"/>
      <c r="V142" s="14"/>
      <c r="W142" s="14"/>
      <c r="X142" s="14"/>
      <c r="Y142" s="14"/>
      <c r="Z142" s="14"/>
      <c r="AA142" s="14">
        <f t="shared" si="30"/>
        <v>0</v>
      </c>
      <c r="AB142" s="14">
        <f t="shared" si="25"/>
        <v>607.4</v>
      </c>
      <c r="AC142" s="14">
        <f>AD142/AB142</f>
        <v>18.000000000000004</v>
      </c>
      <c r="AD142" s="14">
        <f t="shared" si="23"/>
        <v>10933.2</v>
      </c>
    </row>
    <row r="143" spans="1:30">
      <c r="A143" s="17" t="s">
        <v>157</v>
      </c>
      <c r="B143" s="14">
        <v>3000</v>
      </c>
      <c r="C143" s="14"/>
      <c r="D143" s="14">
        <v>5813.5359517733996</v>
      </c>
      <c r="E143" s="14">
        <f>2000+2000+2000</f>
        <v>6000</v>
      </c>
      <c r="F143" s="14">
        <f t="shared" si="26"/>
        <v>1.9399620234039743</v>
      </c>
      <c r="G143" s="14">
        <v>9237.27</v>
      </c>
      <c r="H143" s="14">
        <f>E143*$H$168</f>
        <v>1298.6410596156009</v>
      </c>
      <c r="I143" s="14">
        <f t="shared" si="29"/>
        <v>1103.8610808082453</v>
      </c>
      <c r="J143" s="14">
        <f>G143+H143+I143</f>
        <v>11639.772140423845</v>
      </c>
      <c r="K143" s="14"/>
      <c r="L143" s="14"/>
      <c r="M143" s="14"/>
      <c r="N143" s="14"/>
      <c r="O143" s="14"/>
      <c r="P143" s="14"/>
      <c r="Q143" s="14">
        <f t="shared" si="22"/>
        <v>9000</v>
      </c>
      <c r="R143" s="14">
        <f t="shared" si="24"/>
        <v>1.9392564546885827</v>
      </c>
      <c r="S143" s="14">
        <f t="shared" si="27"/>
        <v>17453.308092197243</v>
      </c>
      <c r="T143" s="14"/>
      <c r="U143" s="14"/>
      <c r="V143" s="14"/>
      <c r="W143" s="14"/>
      <c r="X143" s="14"/>
      <c r="Y143" s="14"/>
      <c r="Z143" s="14">
        <f>1000+2000+2000+1000</f>
        <v>6000</v>
      </c>
      <c r="AA143" s="14">
        <f t="shared" si="30"/>
        <v>11635.538728131496</v>
      </c>
      <c r="AB143" s="14">
        <f t="shared" si="25"/>
        <v>3000</v>
      </c>
      <c r="AC143" s="14">
        <f>AD143/AB143</f>
        <v>1.9392564546885824</v>
      </c>
      <c r="AD143" s="14">
        <f t="shared" si="23"/>
        <v>5817.7693640657471</v>
      </c>
    </row>
    <row r="144" spans="1:30">
      <c r="A144" s="17" t="s">
        <v>158</v>
      </c>
      <c r="B144" s="14">
        <v>3000</v>
      </c>
      <c r="C144" s="14"/>
      <c r="D144" s="14">
        <v>16954.5379918955</v>
      </c>
      <c r="E144" s="14">
        <v>3000</v>
      </c>
      <c r="F144" s="14">
        <f t="shared" si="26"/>
        <v>5.5963586900706419</v>
      </c>
      <c r="G144" s="14">
        <v>15587.825000000001</v>
      </c>
      <c r="H144" s="14">
        <f>E144*$H$168</f>
        <v>649.32052980780043</v>
      </c>
      <c r="I144" s="14">
        <f t="shared" si="29"/>
        <v>551.93054040412267</v>
      </c>
      <c r="J144" s="14">
        <f>G144+H144+I144</f>
        <v>16789.076070211926</v>
      </c>
      <c r="K144" s="14"/>
      <c r="L144" s="14"/>
      <c r="M144" s="14"/>
      <c r="N144" s="14"/>
      <c r="O144" s="14"/>
      <c r="P144" s="14"/>
      <c r="Q144" s="14">
        <f t="shared" si="22"/>
        <v>6000</v>
      </c>
      <c r="R144" s="14">
        <f t="shared" si="24"/>
        <v>5.6239356770179052</v>
      </c>
      <c r="S144" s="14">
        <f t="shared" si="27"/>
        <v>33743.61406210743</v>
      </c>
      <c r="T144" s="14"/>
      <c r="U144" s="14"/>
      <c r="V144" s="14"/>
      <c r="W144" s="14"/>
      <c r="X144" s="14"/>
      <c r="Y144" s="14"/>
      <c r="Z144" s="14">
        <f>3000+3000</f>
        <v>6000</v>
      </c>
      <c r="AA144" s="14">
        <f t="shared" si="30"/>
        <v>33743.61406210743</v>
      </c>
      <c r="AB144" s="14">
        <f t="shared" si="25"/>
        <v>0</v>
      </c>
      <c r="AC144" s="14"/>
      <c r="AD144" s="14">
        <f t="shared" si="23"/>
        <v>0</v>
      </c>
    </row>
    <row r="145" spans="1:30">
      <c r="A145" s="17" t="s">
        <v>159</v>
      </c>
      <c r="B145" s="14">
        <v>0</v>
      </c>
      <c r="C145" s="14"/>
      <c r="D145" s="14">
        <v>0</v>
      </c>
      <c r="E145" s="14"/>
      <c r="F145" s="14" t="e">
        <f t="shared" si="26"/>
        <v>#DIV/0!</v>
      </c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>
        <f t="shared" si="22"/>
        <v>0</v>
      </c>
      <c r="R145" s="14" t="e">
        <f t="shared" si="24"/>
        <v>#DIV/0!</v>
      </c>
      <c r="S145" s="14">
        <f t="shared" si="27"/>
        <v>0</v>
      </c>
      <c r="T145" s="14"/>
      <c r="U145" s="14"/>
      <c r="V145" s="14"/>
      <c r="W145" s="14"/>
      <c r="X145" s="14"/>
      <c r="Y145" s="14"/>
      <c r="Z145" s="14"/>
      <c r="AA145" s="14"/>
      <c r="AB145" s="14">
        <f t="shared" si="25"/>
        <v>0</v>
      </c>
      <c r="AC145" s="14"/>
      <c r="AD145" s="14">
        <f t="shared" si="23"/>
        <v>0</v>
      </c>
    </row>
    <row r="146" spans="1:30">
      <c r="A146" s="17" t="s">
        <v>160</v>
      </c>
      <c r="B146" s="14">
        <v>36</v>
      </c>
      <c r="C146" s="14"/>
      <c r="D146" s="14">
        <v>17.643902183194999</v>
      </c>
      <c r="E146" s="14"/>
      <c r="F146" s="14" t="e">
        <f t="shared" si="26"/>
        <v>#DIV/0!</v>
      </c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>
        <f t="shared" si="22"/>
        <v>36</v>
      </c>
      <c r="R146" s="14">
        <f t="shared" si="24"/>
        <v>0.49010839397763889</v>
      </c>
      <c r="S146" s="14">
        <f t="shared" si="27"/>
        <v>17.643902183194999</v>
      </c>
      <c r="T146" s="14"/>
      <c r="U146" s="14"/>
      <c r="V146" s="14"/>
      <c r="W146" s="14"/>
      <c r="X146" s="14"/>
      <c r="Y146" s="14"/>
      <c r="Z146" s="14"/>
      <c r="AA146" s="14"/>
      <c r="AB146" s="14">
        <f t="shared" si="25"/>
        <v>36</v>
      </c>
      <c r="AC146" s="14">
        <f>AD146/AB146</f>
        <v>0.49010839397763889</v>
      </c>
      <c r="AD146" s="14">
        <f t="shared" si="23"/>
        <v>17.643902183194999</v>
      </c>
    </row>
    <row r="147" spans="1:30">
      <c r="A147" s="17" t="s">
        <v>161</v>
      </c>
      <c r="B147" s="14">
        <v>1000</v>
      </c>
      <c r="C147" s="14"/>
      <c r="D147" s="14">
        <v>3087.1244740727002</v>
      </c>
      <c r="E147" s="14"/>
      <c r="F147" s="14" t="e">
        <f t="shared" si="26"/>
        <v>#DIV/0!</v>
      </c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>
        <f t="shared" si="22"/>
        <v>1000</v>
      </c>
      <c r="R147" s="14">
        <f t="shared" si="24"/>
        <v>3.0871244740727004</v>
      </c>
      <c r="S147" s="14">
        <f t="shared" si="27"/>
        <v>3087.1244740727002</v>
      </c>
      <c r="T147" s="14"/>
      <c r="U147" s="14"/>
      <c r="V147" s="14"/>
      <c r="W147" s="14"/>
      <c r="X147" s="14"/>
      <c r="Y147" s="14"/>
      <c r="Z147" s="14"/>
      <c r="AA147" s="14"/>
      <c r="AB147" s="14">
        <f t="shared" si="25"/>
        <v>1000</v>
      </c>
      <c r="AC147" s="14">
        <f>AD147/AB147</f>
        <v>3.0871244740727004</v>
      </c>
      <c r="AD147" s="14">
        <f t="shared" si="23"/>
        <v>3087.1244740727002</v>
      </c>
    </row>
    <row r="148" spans="1:30">
      <c r="A148" s="17" t="s">
        <v>162</v>
      </c>
      <c r="B148" s="14">
        <v>0</v>
      </c>
      <c r="C148" s="14"/>
      <c r="D148" s="14">
        <v>0</v>
      </c>
      <c r="E148" s="14">
        <f>1900+3100</f>
        <v>5000</v>
      </c>
      <c r="F148" s="14">
        <f t="shared" si="26"/>
        <v>8.0704170234039747</v>
      </c>
      <c r="G148" s="14">
        <v>38350</v>
      </c>
      <c r="H148" s="14">
        <f>E148*$H$168</f>
        <v>1082.2008830130007</v>
      </c>
      <c r="I148" s="14">
        <f t="shared" si="29"/>
        <v>919.88423400687111</v>
      </c>
      <c r="J148" s="14">
        <f t="shared" ref="J148:J155" si="31">G148+H148+I148</f>
        <v>40352.085117019873</v>
      </c>
      <c r="K148" s="14"/>
      <c r="L148" s="14"/>
      <c r="M148" s="14"/>
      <c r="N148" s="14"/>
      <c r="O148" s="14"/>
      <c r="P148" s="14"/>
      <c r="Q148" s="14">
        <f t="shared" si="22"/>
        <v>5000</v>
      </c>
      <c r="R148" s="14">
        <f t="shared" si="24"/>
        <v>8.0704170234039747</v>
      </c>
      <c r="S148" s="14">
        <f t="shared" si="27"/>
        <v>40352.085117019873</v>
      </c>
      <c r="T148" s="14"/>
      <c r="U148" s="14"/>
      <c r="V148" s="14"/>
      <c r="W148" s="14"/>
      <c r="X148" s="14"/>
      <c r="Y148" s="14"/>
      <c r="Z148" s="14">
        <f>1900+3100</f>
        <v>5000</v>
      </c>
      <c r="AA148" s="14">
        <f t="shared" si="30"/>
        <v>40352.085117019873</v>
      </c>
      <c r="AB148" s="14">
        <f t="shared" si="25"/>
        <v>0</v>
      </c>
      <c r="AC148" s="14"/>
      <c r="AD148" s="14">
        <f t="shared" si="23"/>
        <v>0</v>
      </c>
    </row>
    <row r="149" spans="1:30">
      <c r="A149" s="17" t="s">
        <v>163</v>
      </c>
      <c r="B149" s="14">
        <v>0</v>
      </c>
      <c r="C149" s="14"/>
      <c r="D149" s="14">
        <v>0</v>
      </c>
      <c r="E149" s="14">
        <v>2000</v>
      </c>
      <c r="F149" s="14">
        <f t="shared" si="26"/>
        <v>9.1804170234039741</v>
      </c>
      <c r="G149" s="14">
        <v>17560</v>
      </c>
      <c r="H149" s="14">
        <f t="shared" ref="H149:H160" si="32">E149*$H$168</f>
        <v>432.88035320520032</v>
      </c>
      <c r="I149" s="14">
        <f t="shared" si="29"/>
        <v>367.95369360274844</v>
      </c>
      <c r="J149" s="14">
        <f t="shared" si="31"/>
        <v>18360.834046807948</v>
      </c>
      <c r="K149" s="14"/>
      <c r="L149" s="14"/>
      <c r="M149" s="14"/>
      <c r="N149" s="14"/>
      <c r="O149" s="14"/>
      <c r="P149" s="14"/>
      <c r="Q149" s="14">
        <f t="shared" si="22"/>
        <v>2000</v>
      </c>
      <c r="R149" s="14">
        <f t="shared" si="24"/>
        <v>9.1804170234039741</v>
      </c>
      <c r="S149" s="14">
        <f t="shared" si="27"/>
        <v>18360.834046807948</v>
      </c>
      <c r="T149" s="14"/>
      <c r="U149" s="14"/>
      <c r="V149" s="14"/>
      <c r="W149" s="14"/>
      <c r="X149" s="14"/>
      <c r="Y149" s="14"/>
      <c r="Z149" s="14">
        <v>2000</v>
      </c>
      <c r="AA149" s="14">
        <f t="shared" si="30"/>
        <v>18360.834046807948</v>
      </c>
      <c r="AB149" s="14">
        <f t="shared" si="25"/>
        <v>0</v>
      </c>
      <c r="AC149" s="14"/>
      <c r="AD149" s="14">
        <f t="shared" si="23"/>
        <v>0</v>
      </c>
    </row>
    <row r="150" spans="1:30">
      <c r="A150" s="17" t="s">
        <v>164</v>
      </c>
      <c r="B150" s="14">
        <v>0</v>
      </c>
      <c r="C150" s="14"/>
      <c r="D150" s="14">
        <v>0</v>
      </c>
      <c r="E150" s="14">
        <v>400</v>
      </c>
      <c r="F150" s="14">
        <f t="shared" si="26"/>
        <v>15.530417023403976</v>
      </c>
      <c r="G150" s="14">
        <v>6052</v>
      </c>
      <c r="H150" s="14">
        <f t="shared" si="32"/>
        <v>86.576070641040062</v>
      </c>
      <c r="I150" s="14">
        <f t="shared" si="29"/>
        <v>73.59073872054968</v>
      </c>
      <c r="J150" s="14">
        <f t="shared" si="31"/>
        <v>6212.1668093615899</v>
      </c>
      <c r="K150" s="14"/>
      <c r="L150" s="14"/>
      <c r="M150" s="14"/>
      <c r="N150" s="14"/>
      <c r="O150" s="14"/>
      <c r="P150" s="14"/>
      <c r="Q150" s="14">
        <f t="shared" si="22"/>
        <v>400</v>
      </c>
      <c r="R150" s="14">
        <f t="shared" si="24"/>
        <v>15.530417023403976</v>
      </c>
      <c r="S150" s="14">
        <f t="shared" si="27"/>
        <v>6212.1668093615899</v>
      </c>
      <c r="T150" s="14"/>
      <c r="U150" s="14"/>
      <c r="V150" s="14"/>
      <c r="W150" s="14"/>
      <c r="X150" s="14"/>
      <c r="Y150" s="14"/>
      <c r="Z150" s="14">
        <v>400</v>
      </c>
      <c r="AA150" s="14">
        <f t="shared" si="30"/>
        <v>6212.1668093615899</v>
      </c>
      <c r="AB150" s="14">
        <f t="shared" si="25"/>
        <v>0</v>
      </c>
      <c r="AC150" s="14"/>
      <c r="AD150" s="14">
        <f t="shared" si="23"/>
        <v>0</v>
      </c>
    </row>
    <row r="151" spans="1:30">
      <c r="A151" s="17" t="s">
        <v>165</v>
      </c>
      <c r="B151" s="14">
        <v>0</v>
      </c>
      <c r="C151" s="14"/>
      <c r="D151" s="14">
        <v>0</v>
      </c>
      <c r="E151" s="14">
        <f>1000+500</f>
        <v>1500</v>
      </c>
      <c r="F151" s="14">
        <f t="shared" si="26"/>
        <v>11.745590356737308</v>
      </c>
      <c r="G151" s="14">
        <v>17017.759999999998</v>
      </c>
      <c r="H151" s="14">
        <f t="shared" si="32"/>
        <v>324.66026490390021</v>
      </c>
      <c r="I151" s="14">
        <f t="shared" si="29"/>
        <v>275.96527020206133</v>
      </c>
      <c r="J151" s="14">
        <f t="shared" si="31"/>
        <v>17618.385535105961</v>
      </c>
      <c r="K151" s="14"/>
      <c r="L151" s="14"/>
      <c r="M151" s="14"/>
      <c r="N151" s="14"/>
      <c r="O151" s="14"/>
      <c r="P151" s="14"/>
      <c r="Q151" s="14">
        <f t="shared" si="22"/>
        <v>1500</v>
      </c>
      <c r="R151" s="14">
        <f t="shared" si="24"/>
        <v>11.745590356737308</v>
      </c>
      <c r="S151" s="14">
        <f t="shared" si="27"/>
        <v>17618.385535105961</v>
      </c>
      <c r="T151" s="14"/>
      <c r="U151" s="14"/>
      <c r="V151" s="14"/>
      <c r="W151" s="14"/>
      <c r="X151" s="14"/>
      <c r="Y151" s="14"/>
      <c r="Z151" s="14">
        <f>1000+500</f>
        <v>1500</v>
      </c>
      <c r="AA151" s="14">
        <f t="shared" si="30"/>
        <v>17618.385535105961</v>
      </c>
      <c r="AB151" s="14">
        <f t="shared" si="25"/>
        <v>0</v>
      </c>
      <c r="AC151" s="14"/>
      <c r="AD151" s="14">
        <f t="shared" si="23"/>
        <v>0</v>
      </c>
    </row>
    <row r="152" spans="1:30">
      <c r="A152" s="17" t="s">
        <v>166</v>
      </c>
      <c r="B152" s="14">
        <v>0</v>
      </c>
      <c r="C152" s="14"/>
      <c r="D152" s="14">
        <v>0</v>
      </c>
      <c r="E152" s="14">
        <f>2000+2000+3000</f>
        <v>7000</v>
      </c>
      <c r="F152" s="14">
        <f t="shared" si="26"/>
        <v>8.3989398805468323</v>
      </c>
      <c r="G152" s="14">
        <v>55989.66</v>
      </c>
      <c r="H152" s="14">
        <f t="shared" si="32"/>
        <v>1515.081236218201</v>
      </c>
      <c r="I152" s="14">
        <f t="shared" si="29"/>
        <v>1287.8379276096196</v>
      </c>
      <c r="J152" s="14">
        <f t="shared" si="31"/>
        <v>58792.579163827824</v>
      </c>
      <c r="K152" s="14"/>
      <c r="L152" s="14"/>
      <c r="M152" s="14"/>
      <c r="N152" s="14"/>
      <c r="O152" s="14"/>
      <c r="P152" s="14"/>
      <c r="Q152" s="14">
        <f t="shared" si="22"/>
        <v>7000</v>
      </c>
      <c r="R152" s="14">
        <f t="shared" si="24"/>
        <v>8.3989398805468323</v>
      </c>
      <c r="S152" s="14">
        <f t="shared" si="27"/>
        <v>58792.579163827824</v>
      </c>
      <c r="T152" s="14"/>
      <c r="U152" s="14"/>
      <c r="V152" s="14"/>
      <c r="W152" s="14"/>
      <c r="X152" s="14"/>
      <c r="Y152" s="14"/>
      <c r="Z152" s="14">
        <f>2000+2000+3000</f>
        <v>7000</v>
      </c>
      <c r="AA152" s="14">
        <f t="shared" si="30"/>
        <v>58792.579163827824</v>
      </c>
      <c r="AB152" s="14">
        <f t="shared" si="25"/>
        <v>0</v>
      </c>
      <c r="AC152" s="14"/>
      <c r="AD152" s="14">
        <f t="shared" si="23"/>
        <v>0</v>
      </c>
    </row>
    <row r="153" spans="1:30">
      <c r="A153" s="17" t="s">
        <v>167</v>
      </c>
      <c r="B153" s="14">
        <v>0</v>
      </c>
      <c r="C153" s="14"/>
      <c r="D153" s="14">
        <v>0</v>
      </c>
      <c r="E153" s="14">
        <f>50+5000</f>
        <v>5050</v>
      </c>
      <c r="F153" s="14">
        <f t="shared" si="26"/>
        <v>9.2389318748891238</v>
      </c>
      <c r="G153" s="14">
        <v>44634.5</v>
      </c>
      <c r="H153" s="14">
        <f t="shared" si="32"/>
        <v>1093.0228918431308</v>
      </c>
      <c r="I153" s="14">
        <f t="shared" si="29"/>
        <v>929.08307634693983</v>
      </c>
      <c r="J153" s="14">
        <f t="shared" si="31"/>
        <v>46656.605968190073</v>
      </c>
      <c r="K153" s="14">
        <v>2000</v>
      </c>
      <c r="L153" s="14">
        <v>18260</v>
      </c>
      <c r="M153" s="14"/>
      <c r="N153" s="14"/>
      <c r="O153" s="14"/>
      <c r="P153" s="14"/>
      <c r="Q153" s="14">
        <f t="shared" si="22"/>
        <v>7050</v>
      </c>
      <c r="R153" s="14">
        <f t="shared" si="24"/>
        <v>9.2080292153461105</v>
      </c>
      <c r="S153" s="14">
        <f t="shared" si="27"/>
        <v>64916.605968190073</v>
      </c>
      <c r="T153" s="14"/>
      <c r="U153" s="14"/>
      <c r="V153" s="14"/>
      <c r="W153" s="14"/>
      <c r="X153" s="14">
        <v>50</v>
      </c>
      <c r="Y153" s="14">
        <f>R153*X153</f>
        <v>460.40146076730554</v>
      </c>
      <c r="Z153" s="14">
        <v>5000</v>
      </c>
      <c r="AA153" s="14">
        <f t="shared" si="30"/>
        <v>46040.146076730554</v>
      </c>
      <c r="AB153" s="14">
        <f t="shared" si="25"/>
        <v>2000</v>
      </c>
      <c r="AC153" s="14">
        <f>AD153/AB153</f>
        <v>9.2080292153461052</v>
      </c>
      <c r="AD153" s="14">
        <f t="shared" si="23"/>
        <v>18416.05843069221</v>
      </c>
    </row>
    <row r="154" spans="1:30">
      <c r="A154" s="17" t="s">
        <v>168</v>
      </c>
      <c r="B154" s="14">
        <v>0</v>
      </c>
      <c r="C154" s="14"/>
      <c r="D154" s="14">
        <v>0</v>
      </c>
      <c r="E154" s="14">
        <v>1700</v>
      </c>
      <c r="F154" s="14">
        <f t="shared" si="26"/>
        <v>10.186617023403976</v>
      </c>
      <c r="G154" s="14">
        <v>16636.54</v>
      </c>
      <c r="H154" s="14">
        <f t="shared" si="32"/>
        <v>367.94830022442028</v>
      </c>
      <c r="I154" s="14">
        <f t="shared" si="29"/>
        <v>312.76063956233617</v>
      </c>
      <c r="J154" s="14">
        <f t="shared" si="31"/>
        <v>17317.248939786758</v>
      </c>
      <c r="K154" s="14"/>
      <c r="L154" s="14"/>
      <c r="M154" s="14"/>
      <c r="N154" s="14"/>
      <c r="O154" s="14"/>
      <c r="P154" s="14"/>
      <c r="Q154" s="14">
        <f t="shared" si="22"/>
        <v>1700</v>
      </c>
      <c r="R154" s="14">
        <f t="shared" si="24"/>
        <v>10.186617023403976</v>
      </c>
      <c r="S154" s="14">
        <f t="shared" si="27"/>
        <v>17317.248939786758</v>
      </c>
      <c r="T154" s="14"/>
      <c r="U154" s="14"/>
      <c r="V154" s="14"/>
      <c r="W154" s="14"/>
      <c r="X154" s="14"/>
      <c r="Y154" s="14"/>
      <c r="Z154" s="14"/>
      <c r="AA154" s="14"/>
      <c r="AB154" s="14">
        <f t="shared" si="25"/>
        <v>1700</v>
      </c>
      <c r="AC154" s="14">
        <f>AD154/AB154</f>
        <v>10.186617023403976</v>
      </c>
      <c r="AD154" s="14">
        <f t="shared" si="23"/>
        <v>17317.248939786758</v>
      </c>
    </row>
    <row r="155" spans="1:30">
      <c r="A155" s="17" t="s">
        <v>169</v>
      </c>
      <c r="B155" s="14">
        <v>0</v>
      </c>
      <c r="C155" s="14"/>
      <c r="D155" s="14">
        <v>0</v>
      </c>
      <c r="E155" s="14">
        <f>2000+2000+2000+2000</f>
        <v>8000</v>
      </c>
      <c r="F155" s="14">
        <f t="shared" si="26"/>
        <v>8.5984095234039746</v>
      </c>
      <c r="G155" s="14">
        <v>65583.94</v>
      </c>
      <c r="H155" s="14">
        <f t="shared" si="32"/>
        <v>1731.5214128208013</v>
      </c>
      <c r="I155" s="14">
        <f t="shared" si="29"/>
        <v>1471.8147744109938</v>
      </c>
      <c r="J155" s="14">
        <f t="shared" si="31"/>
        <v>68787.276187231793</v>
      </c>
      <c r="K155" s="14"/>
      <c r="L155" s="14"/>
      <c r="M155" s="14"/>
      <c r="N155" s="14"/>
      <c r="O155" s="14"/>
      <c r="P155" s="14"/>
      <c r="Q155" s="14">
        <f t="shared" si="22"/>
        <v>8000</v>
      </c>
      <c r="R155" s="14">
        <f t="shared" si="24"/>
        <v>8.5984095234039746</v>
      </c>
      <c r="S155" s="14">
        <f t="shared" si="27"/>
        <v>68787.276187231793</v>
      </c>
      <c r="T155" s="14"/>
      <c r="U155" s="14"/>
      <c r="V155" s="14"/>
      <c r="W155" s="14"/>
      <c r="X155" s="14"/>
      <c r="Y155" s="14"/>
      <c r="Z155" s="14">
        <f>2000+2000+2000+2000</f>
        <v>8000</v>
      </c>
      <c r="AA155" s="14">
        <f t="shared" si="30"/>
        <v>68787.276187231793</v>
      </c>
      <c r="AB155" s="14">
        <f t="shared" si="25"/>
        <v>0</v>
      </c>
      <c r="AC155" s="14"/>
      <c r="AD155" s="14">
        <f t="shared" si="23"/>
        <v>0</v>
      </c>
    </row>
    <row r="156" spans="1:30">
      <c r="A156" s="17" t="s">
        <v>170</v>
      </c>
      <c r="B156" s="14">
        <v>4000</v>
      </c>
      <c r="C156" s="14"/>
      <c r="D156" s="14">
        <v>47465.4201438249</v>
      </c>
      <c r="E156" s="14"/>
      <c r="F156" s="14" t="e">
        <f t="shared" si="26"/>
        <v>#DIV/0!</v>
      </c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>
        <f t="shared" si="22"/>
        <v>4000</v>
      </c>
      <c r="R156" s="14">
        <f t="shared" si="24"/>
        <v>11.866355035956225</v>
      </c>
      <c r="S156" s="14">
        <f t="shared" si="27"/>
        <v>47465.4201438249</v>
      </c>
      <c r="T156" s="14"/>
      <c r="U156" s="14"/>
      <c r="V156" s="14"/>
      <c r="W156" s="14"/>
      <c r="X156" s="14"/>
      <c r="Y156" s="14"/>
      <c r="Z156" s="14"/>
      <c r="AA156" s="14"/>
      <c r="AB156" s="14">
        <f t="shared" si="25"/>
        <v>4000</v>
      </c>
      <c r="AC156" s="14">
        <f>AD156/AB156</f>
        <v>11.866355035956225</v>
      </c>
      <c r="AD156" s="14">
        <f t="shared" si="23"/>
        <v>47465.4201438249</v>
      </c>
    </row>
    <row r="157" spans="1:30">
      <c r="A157" s="17" t="s">
        <v>171</v>
      </c>
      <c r="B157" s="14">
        <v>0</v>
      </c>
      <c r="C157" s="14"/>
      <c r="D157" s="14">
        <v>0</v>
      </c>
      <c r="E157" s="14">
        <f>3000+2000</f>
        <v>5000</v>
      </c>
      <c r="F157" s="14">
        <f t="shared" si="26"/>
        <v>14.920417023403974</v>
      </c>
      <c r="G157" s="14">
        <v>72600</v>
      </c>
      <c r="H157" s="14">
        <f t="shared" si="32"/>
        <v>1082.2008830130007</v>
      </c>
      <c r="I157" s="14">
        <f t="shared" si="29"/>
        <v>919.88423400687111</v>
      </c>
      <c r="J157" s="14">
        <f>G157+H157+I157</f>
        <v>74602.085117019873</v>
      </c>
      <c r="K157" s="14"/>
      <c r="L157" s="14"/>
      <c r="M157" s="14"/>
      <c r="N157" s="14"/>
      <c r="O157" s="14"/>
      <c r="P157" s="14"/>
      <c r="Q157" s="14">
        <f t="shared" si="22"/>
        <v>5000</v>
      </c>
      <c r="R157" s="14">
        <f t="shared" si="24"/>
        <v>14.920417023403974</v>
      </c>
      <c r="S157" s="14">
        <f t="shared" si="27"/>
        <v>74602.085117019873</v>
      </c>
      <c r="T157" s="14"/>
      <c r="U157" s="14"/>
      <c r="V157" s="14"/>
      <c r="W157" s="14"/>
      <c r="X157" s="14"/>
      <c r="Y157" s="14"/>
      <c r="Z157" s="14">
        <f>3000+2000</f>
        <v>5000</v>
      </c>
      <c r="AA157" s="14">
        <f t="shared" si="30"/>
        <v>74602.085117019873</v>
      </c>
      <c r="AB157" s="14">
        <f t="shared" si="25"/>
        <v>0</v>
      </c>
      <c r="AC157" s="14"/>
      <c r="AD157" s="14">
        <f t="shared" si="23"/>
        <v>0</v>
      </c>
    </row>
    <row r="158" spans="1:30">
      <c r="A158" s="15" t="s">
        <v>172</v>
      </c>
      <c r="B158" s="14">
        <v>0</v>
      </c>
      <c r="C158" s="14"/>
      <c r="D158" s="14">
        <v>0</v>
      </c>
      <c r="E158" s="14"/>
      <c r="F158" s="14" t="e">
        <f t="shared" si="26"/>
        <v>#DIV/0!</v>
      </c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>
        <f t="shared" si="22"/>
        <v>0</v>
      </c>
      <c r="R158" s="14" t="e">
        <f t="shared" si="24"/>
        <v>#DIV/0!</v>
      </c>
      <c r="S158" s="14">
        <f t="shared" si="27"/>
        <v>0</v>
      </c>
      <c r="T158" s="14"/>
      <c r="U158" s="14"/>
      <c r="V158" s="14"/>
      <c r="W158" s="14"/>
      <c r="X158" s="14"/>
      <c r="Y158" s="14"/>
      <c r="Z158" s="14"/>
      <c r="AA158" s="14"/>
      <c r="AB158" s="14">
        <f t="shared" si="25"/>
        <v>0</v>
      </c>
      <c r="AC158" s="14"/>
      <c r="AD158" s="14">
        <f t="shared" si="23"/>
        <v>0</v>
      </c>
    </row>
    <row r="159" spans="1:30">
      <c r="A159" s="17" t="s">
        <v>173</v>
      </c>
      <c r="B159" s="14">
        <v>0</v>
      </c>
      <c r="C159" s="14"/>
      <c r="D159" s="14">
        <v>0</v>
      </c>
      <c r="E159" s="14">
        <f>2000+2000+2000</f>
        <v>6000</v>
      </c>
      <c r="F159" s="14">
        <f t="shared" si="26"/>
        <v>8.0704170234039747</v>
      </c>
      <c r="G159" s="14">
        <v>46020</v>
      </c>
      <c r="H159" s="14">
        <f t="shared" si="32"/>
        <v>1298.6410596156009</v>
      </c>
      <c r="I159" s="14">
        <f t="shared" si="29"/>
        <v>1103.8610808082453</v>
      </c>
      <c r="J159" s="14">
        <f>G159+H159+I159</f>
        <v>48422.502140423843</v>
      </c>
      <c r="K159" s="14"/>
      <c r="L159" s="14"/>
      <c r="M159" s="14"/>
      <c r="N159" s="14"/>
      <c r="O159" s="14"/>
      <c r="P159" s="14"/>
      <c r="Q159" s="14">
        <f t="shared" si="22"/>
        <v>6000</v>
      </c>
      <c r="R159" s="14">
        <f t="shared" si="24"/>
        <v>8.0704170234039747</v>
      </c>
      <c r="S159" s="14">
        <f t="shared" si="27"/>
        <v>48422.502140423843</v>
      </c>
      <c r="T159" s="14"/>
      <c r="U159" s="14"/>
      <c r="V159" s="14"/>
      <c r="W159" s="14"/>
      <c r="X159" s="14"/>
      <c r="Y159" s="14"/>
      <c r="Z159" s="14">
        <f>1000+1000+2000+2000</f>
        <v>6000</v>
      </c>
      <c r="AA159" s="14">
        <f t="shared" si="30"/>
        <v>48422.502140423851</v>
      </c>
      <c r="AB159" s="14">
        <f t="shared" si="25"/>
        <v>0</v>
      </c>
      <c r="AC159" s="14"/>
      <c r="AD159" s="14">
        <f t="shared" si="23"/>
        <v>0</v>
      </c>
    </row>
    <row r="160" spans="1:30">
      <c r="A160" s="17" t="s">
        <v>174</v>
      </c>
      <c r="B160" s="14">
        <v>0</v>
      </c>
      <c r="C160" s="14"/>
      <c r="D160" s="14">
        <v>0</v>
      </c>
      <c r="E160" s="14">
        <v>2000</v>
      </c>
      <c r="F160" s="14">
        <f t="shared" si="26"/>
        <v>8.0904170234039743</v>
      </c>
      <c r="G160" s="14">
        <v>15380</v>
      </c>
      <c r="H160" s="14">
        <f t="shared" si="32"/>
        <v>432.88035320520032</v>
      </c>
      <c r="I160" s="14">
        <f t="shared" si="29"/>
        <v>367.95369360274844</v>
      </c>
      <c r="J160" s="14">
        <f>G160+H160+I160</f>
        <v>16180.83404680795</v>
      </c>
      <c r="K160" s="14"/>
      <c r="L160" s="14"/>
      <c r="M160" s="14"/>
      <c r="N160" s="14"/>
      <c r="O160" s="14"/>
      <c r="P160" s="14"/>
      <c r="Q160" s="14">
        <f t="shared" si="22"/>
        <v>2000</v>
      </c>
      <c r="R160" s="14">
        <f t="shared" si="24"/>
        <v>8.0904170234039743</v>
      </c>
      <c r="S160" s="14">
        <f t="shared" si="27"/>
        <v>16180.83404680795</v>
      </c>
      <c r="T160" s="14"/>
      <c r="U160" s="14"/>
      <c r="V160" s="14"/>
      <c r="W160" s="14"/>
      <c r="X160" s="14"/>
      <c r="Y160" s="14"/>
      <c r="Z160" s="14">
        <v>2000</v>
      </c>
      <c r="AA160" s="14">
        <f t="shared" si="30"/>
        <v>16180.834046807948</v>
      </c>
      <c r="AB160" s="14">
        <f t="shared" si="25"/>
        <v>0</v>
      </c>
      <c r="AC160" s="14"/>
      <c r="AD160" s="14">
        <f t="shared" si="23"/>
        <v>0</v>
      </c>
    </row>
    <row r="161" spans="1:30">
      <c r="A161" s="17" t="s">
        <v>175</v>
      </c>
      <c r="B161" s="14">
        <v>106</v>
      </c>
      <c r="C161" s="14"/>
      <c r="D161" s="14">
        <v>0</v>
      </c>
      <c r="E161" s="14"/>
      <c r="F161" s="14" t="e">
        <f t="shared" si="26"/>
        <v>#DIV/0!</v>
      </c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>
        <f t="shared" si="22"/>
        <v>106</v>
      </c>
      <c r="R161" s="14">
        <f t="shared" si="24"/>
        <v>0</v>
      </c>
      <c r="S161" s="14">
        <f t="shared" si="27"/>
        <v>0</v>
      </c>
      <c r="T161" s="14"/>
      <c r="U161" s="14"/>
      <c r="V161" s="14"/>
      <c r="W161" s="14"/>
      <c r="X161" s="14"/>
      <c r="Y161" s="14"/>
      <c r="Z161" s="14"/>
      <c r="AA161" s="14"/>
      <c r="AB161" s="14">
        <f t="shared" si="25"/>
        <v>106</v>
      </c>
      <c r="AC161" s="14">
        <f>AD161/AB161</f>
        <v>0</v>
      </c>
      <c r="AD161" s="14">
        <f t="shared" si="23"/>
        <v>0</v>
      </c>
    </row>
    <row r="162" spans="1:30">
      <c r="A162" s="25" t="s">
        <v>176</v>
      </c>
      <c r="B162" s="26">
        <v>414</v>
      </c>
      <c r="C162" s="26"/>
      <c r="D162" s="26">
        <v>9646.2000000000007</v>
      </c>
      <c r="E162" s="26"/>
      <c r="F162" s="14" t="e">
        <f t="shared" si="26"/>
        <v>#DIV/0!</v>
      </c>
      <c r="G162" s="26"/>
      <c r="H162" s="14"/>
      <c r="I162" s="14"/>
      <c r="J162" s="14"/>
      <c r="K162" s="26"/>
      <c r="L162" s="26"/>
      <c r="M162" s="14">
        <f>306+216</f>
        <v>522</v>
      </c>
      <c r="N162" s="14">
        <f>7129.8+5032.8</f>
        <v>12162.6</v>
      </c>
      <c r="O162" s="26"/>
      <c r="P162" s="26"/>
      <c r="Q162" s="14">
        <f t="shared" si="22"/>
        <v>936</v>
      </c>
      <c r="R162" s="14">
        <f t="shared" si="24"/>
        <v>23.300000000000004</v>
      </c>
      <c r="S162" s="14">
        <f t="shared" si="27"/>
        <v>21808.800000000003</v>
      </c>
      <c r="T162" s="26"/>
      <c r="U162" s="26"/>
      <c r="V162" s="26"/>
      <c r="W162" s="26"/>
      <c r="X162" s="26"/>
      <c r="Y162" s="26"/>
      <c r="Z162" s="14">
        <f>306+216</f>
        <v>522</v>
      </c>
      <c r="AA162" s="14">
        <f t="shared" si="30"/>
        <v>12162.600000000002</v>
      </c>
      <c r="AB162" s="14">
        <f t="shared" si="25"/>
        <v>414</v>
      </c>
      <c r="AC162" s="14">
        <f>AD162/AB162</f>
        <v>23.3</v>
      </c>
      <c r="AD162" s="14">
        <f t="shared" si="23"/>
        <v>9646.2000000000007</v>
      </c>
    </row>
    <row r="163" spans="1:30">
      <c r="A163" s="25" t="s">
        <v>177</v>
      </c>
      <c r="B163" s="26">
        <v>0</v>
      </c>
      <c r="C163" s="26"/>
      <c r="D163" s="26">
        <v>0</v>
      </c>
      <c r="E163" s="26">
        <v>300</v>
      </c>
      <c r="F163" s="14">
        <f t="shared" si="26"/>
        <v>11.631917023403973</v>
      </c>
      <c r="G163" s="26">
        <v>3369.45</v>
      </c>
      <c r="H163" s="14">
        <f>E163*$H$168</f>
        <v>64.932052980780043</v>
      </c>
      <c r="I163" s="14">
        <f t="shared" si="29"/>
        <v>55.193054040412264</v>
      </c>
      <c r="J163" s="14">
        <f>G163+H163+I163</f>
        <v>3489.5751070211923</v>
      </c>
      <c r="K163" s="26"/>
      <c r="L163" s="26"/>
      <c r="M163" s="14"/>
      <c r="N163" s="14"/>
      <c r="O163" s="26"/>
      <c r="P163" s="26"/>
      <c r="Q163" s="14">
        <f t="shared" si="22"/>
        <v>300</v>
      </c>
      <c r="R163" s="14">
        <f t="shared" si="24"/>
        <v>11.631917023403973</v>
      </c>
      <c r="S163" s="14">
        <f t="shared" si="27"/>
        <v>3489.5751070211923</v>
      </c>
      <c r="T163" s="26"/>
      <c r="U163" s="26"/>
      <c r="V163" s="26"/>
      <c r="W163" s="26"/>
      <c r="X163" s="26"/>
      <c r="Y163" s="26"/>
      <c r="Z163" s="14">
        <v>300</v>
      </c>
      <c r="AA163" s="14">
        <f t="shared" si="30"/>
        <v>3489.5751070211923</v>
      </c>
      <c r="AB163" s="14">
        <f t="shared" si="25"/>
        <v>0</v>
      </c>
      <c r="AC163" s="14"/>
      <c r="AD163" s="14">
        <f t="shared" si="23"/>
        <v>0</v>
      </c>
    </row>
    <row r="164" spans="1:30">
      <c r="A164" s="17" t="s">
        <v>178</v>
      </c>
      <c r="B164" s="14">
        <v>0</v>
      </c>
      <c r="C164" s="14"/>
      <c r="D164" s="14">
        <v>0</v>
      </c>
      <c r="E164" s="14">
        <v>20</v>
      </c>
      <c r="F164" s="14">
        <f t="shared" si="26"/>
        <v>0.39244425061190091</v>
      </c>
      <c r="G164" s="14"/>
      <c r="H164" s="14">
        <f>E164*$H$169</f>
        <v>4.1693480762105342</v>
      </c>
      <c r="I164" s="14">
        <f t="shared" si="29"/>
        <v>3.6795369360274846</v>
      </c>
      <c r="J164" s="14">
        <f>G164+H164+I164</f>
        <v>7.8488850122380187</v>
      </c>
      <c r="K164" s="14"/>
      <c r="L164" s="14"/>
      <c r="M164" s="14"/>
      <c r="N164" s="14"/>
      <c r="O164" s="14"/>
      <c r="P164" s="14"/>
      <c r="Q164" s="14">
        <f t="shared" si="22"/>
        <v>20</v>
      </c>
      <c r="R164" s="14">
        <f t="shared" si="24"/>
        <v>0.39244425061190091</v>
      </c>
      <c r="S164" s="14">
        <f t="shared" si="27"/>
        <v>7.8488850122380187</v>
      </c>
      <c r="T164" s="14"/>
      <c r="U164" s="14"/>
      <c r="V164" s="14"/>
      <c r="W164" s="14"/>
      <c r="X164" s="14">
        <v>20</v>
      </c>
      <c r="Y164" s="14">
        <f>R164*X164</f>
        <v>7.8488850122380178</v>
      </c>
      <c r="Z164" s="14"/>
      <c r="AA164" s="14"/>
      <c r="AB164" s="14">
        <f t="shared" si="25"/>
        <v>0</v>
      </c>
      <c r="AC164" s="14"/>
      <c r="AD164" s="14">
        <f t="shared" si="23"/>
        <v>8.8817841970012523E-16</v>
      </c>
    </row>
    <row r="165" spans="1:30">
      <c r="A165" s="17" t="s">
        <v>179</v>
      </c>
      <c r="B165" s="14">
        <v>275</v>
      </c>
      <c r="C165" s="14"/>
      <c r="D165" s="14">
        <v>5003.6439966934904</v>
      </c>
      <c r="E165" s="14"/>
      <c r="F165" s="14" t="e">
        <f t="shared" si="26"/>
        <v>#DIV/0!</v>
      </c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>
        <f t="shared" si="22"/>
        <v>275</v>
      </c>
      <c r="R165" s="14">
        <f t="shared" si="24"/>
        <v>18.195069078885421</v>
      </c>
      <c r="S165" s="14">
        <f t="shared" si="27"/>
        <v>5003.6439966934904</v>
      </c>
      <c r="T165" s="14"/>
      <c r="U165" s="14"/>
      <c r="V165" s="14"/>
      <c r="W165" s="14"/>
      <c r="X165" s="14"/>
      <c r="Y165" s="14"/>
      <c r="Z165" s="14"/>
      <c r="AA165" s="14"/>
      <c r="AB165" s="14">
        <f t="shared" si="25"/>
        <v>275</v>
      </c>
      <c r="AC165" s="14">
        <f>AD165/AB165</f>
        <v>18.195069078885421</v>
      </c>
      <c r="AD165" s="14">
        <f t="shared" si="23"/>
        <v>5003.6439966934904</v>
      </c>
    </row>
    <row r="166" spans="1:30">
      <c r="A166" s="1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</row>
    <row r="167" spans="1:30">
      <c r="A167" s="15" t="s">
        <v>180</v>
      </c>
      <c r="B167" s="14">
        <f>SUM(B5:B166)</f>
        <v>137979.4</v>
      </c>
      <c r="C167" s="14"/>
      <c r="D167" s="14">
        <f t="shared" ref="D167:Q167" si="33">SUM(D5:D166)</f>
        <v>1354873.2953875565</v>
      </c>
      <c r="E167" s="14">
        <f t="shared" si="33"/>
        <v>307085</v>
      </c>
      <c r="F167" s="14"/>
      <c r="G167" s="14">
        <f>SUM(G5:G166)</f>
        <v>2666546.7035500002</v>
      </c>
      <c r="H167" s="14">
        <v>65647.86</v>
      </c>
      <c r="I167" s="14">
        <v>56496.53</v>
      </c>
      <c r="J167" s="14">
        <f>SUM(J5:J166)</f>
        <v>2788691.0377405896</v>
      </c>
      <c r="K167" s="14">
        <f t="shared" si="33"/>
        <v>7327</v>
      </c>
      <c r="L167" s="14">
        <f t="shared" si="33"/>
        <v>104127.3</v>
      </c>
      <c r="M167" s="14">
        <f t="shared" si="33"/>
        <v>1272</v>
      </c>
      <c r="N167" s="14">
        <f t="shared" si="33"/>
        <v>75912.600000000006</v>
      </c>
      <c r="O167" s="14">
        <f t="shared" si="33"/>
        <v>5369</v>
      </c>
      <c r="P167" s="14">
        <f t="shared" si="33"/>
        <v>80851.8</v>
      </c>
      <c r="Q167" s="14">
        <f t="shared" si="33"/>
        <v>448114.4</v>
      </c>
      <c r="R167" s="14"/>
      <c r="S167" s="26">
        <f>SUM(S5:S166)</f>
        <v>4242752.4331281474</v>
      </c>
      <c r="T167" s="14">
        <f t="shared" ref="T167:AB167" si="34">SUM(T5:T166)</f>
        <v>0</v>
      </c>
      <c r="U167" s="14">
        <f t="shared" si="34"/>
        <v>0</v>
      </c>
      <c r="V167" s="14">
        <f t="shared" si="34"/>
        <v>22</v>
      </c>
      <c r="W167" s="14">
        <f t="shared" si="34"/>
        <v>1683</v>
      </c>
      <c r="X167" s="14">
        <f t="shared" si="34"/>
        <v>1160</v>
      </c>
      <c r="Y167" s="14">
        <f t="shared" si="34"/>
        <v>15780.09966807913</v>
      </c>
      <c r="Z167" s="14">
        <f t="shared" si="34"/>
        <v>305882</v>
      </c>
      <c r="AA167" s="14">
        <f t="shared" si="34"/>
        <v>2787349.7860430744</v>
      </c>
      <c r="AB167" s="14">
        <f t="shared" si="34"/>
        <v>141050.4</v>
      </c>
      <c r="AC167" s="14"/>
      <c r="AD167" s="26">
        <f>SUM(AD5:AD166)</f>
        <v>1437939.5474169934</v>
      </c>
    </row>
    <row r="168" spans="1:30">
      <c r="A168" s="27"/>
      <c r="B168" s="28"/>
      <c r="C168" s="28"/>
      <c r="D168" s="28" t="s">
        <v>181</v>
      </c>
      <c r="E168" s="28">
        <f>E167-E169</f>
        <v>204527</v>
      </c>
      <c r="F168" s="28"/>
      <c r="G168" s="28"/>
      <c r="H168" s="28">
        <f>44267.86/E168</f>
        <v>0.21644017660260015</v>
      </c>
      <c r="I168" s="28">
        <f>I167/E167</f>
        <v>0.18397684680137422</v>
      </c>
      <c r="J168" s="14">
        <f>G167+H167+I167</f>
        <v>2788691.0935499999</v>
      </c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</row>
    <row r="169" spans="1:30">
      <c r="A169" s="27"/>
      <c r="B169" s="28"/>
      <c r="C169" s="28"/>
      <c r="D169" s="28" t="s">
        <v>182</v>
      </c>
      <c r="E169" s="28">
        <f>E164+E128+E127+E125+E116+E111+E109+E107+E106+E105+E87+E86+E85+E82+E80+E72+E69+E68+E67+E65+E64+E63+E62+E59+E54+E52</f>
        <v>102558</v>
      </c>
      <c r="F169" s="28"/>
      <c r="G169" s="28"/>
      <c r="H169" s="28">
        <f>21380/E169</f>
        <v>0.20846740381052672</v>
      </c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>
        <f>D167+J167+L167+N167-P167</f>
        <v>4242752.4331281455</v>
      </c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>
        <f>S169-Y167-AA167-W167</f>
        <v>1437939.547416992</v>
      </c>
    </row>
  </sheetData>
  <mergeCells count="13">
    <mergeCell ref="X2:Y3"/>
    <mergeCell ref="Z2:AA3"/>
    <mergeCell ref="AB2:AD3"/>
    <mergeCell ref="A1:AD1"/>
    <mergeCell ref="A2:A4"/>
    <mergeCell ref="B2:D3"/>
    <mergeCell ref="E2:J3"/>
    <mergeCell ref="K2:L3"/>
    <mergeCell ref="M2:N3"/>
    <mergeCell ref="O2:P3"/>
    <mergeCell ref="Q2:S3"/>
    <mergeCell ref="T2:U3"/>
    <mergeCell ref="V2:W3"/>
  </mergeCells>
  <phoneticPr fontId="2" type="noConversion"/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7月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Chunlong Wu</dc:creator>
  <cp:lastModifiedBy>Chunlong Wu</cp:lastModifiedBy>
  <dcterms:created xsi:type="dcterms:W3CDTF">2019-10-28T11:36:54Z</dcterms:created>
  <dcterms:modified xsi:type="dcterms:W3CDTF">2019-10-28T11:43:46Z</dcterms:modified>
</cp:coreProperties>
</file>