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560" yWindow="560" windowWidth="27280" windowHeight="16980" tabRatio="500"/>
  </bookViews>
  <sheets>
    <sheet name="7月份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4" i="1" l="1"/>
  <c r="U4" i="1"/>
  <c r="K5" i="1"/>
  <c r="U5" i="1"/>
  <c r="K6" i="1"/>
  <c r="U6" i="1"/>
  <c r="K7" i="1"/>
  <c r="U7" i="1"/>
  <c r="K8" i="1"/>
  <c r="U8" i="1"/>
  <c r="K9" i="1"/>
  <c r="U9" i="1"/>
  <c r="K10" i="1"/>
  <c r="U10" i="1"/>
  <c r="K11" i="1"/>
  <c r="N11" i="1"/>
  <c r="U11" i="1"/>
  <c r="K12" i="1"/>
  <c r="U12" i="1"/>
  <c r="K13" i="1"/>
  <c r="U13" i="1"/>
  <c r="K14" i="1"/>
  <c r="U14" i="1"/>
  <c r="K15" i="1"/>
  <c r="U15" i="1"/>
  <c r="K16" i="1"/>
  <c r="U16" i="1"/>
  <c r="K17" i="1"/>
  <c r="U17" i="1"/>
  <c r="K18" i="1"/>
  <c r="U18" i="1"/>
  <c r="K19" i="1"/>
  <c r="U19" i="1"/>
  <c r="K20" i="1"/>
  <c r="U20" i="1"/>
  <c r="K21" i="1"/>
  <c r="U21" i="1"/>
  <c r="K22" i="1"/>
  <c r="U22" i="1"/>
  <c r="H23" i="1"/>
  <c r="K23" i="1"/>
  <c r="U23" i="1"/>
  <c r="H24" i="1"/>
  <c r="K24" i="1"/>
  <c r="U24" i="1"/>
  <c r="K25" i="1"/>
  <c r="U25" i="1"/>
  <c r="K26" i="1"/>
  <c r="U26" i="1"/>
  <c r="K27" i="1"/>
  <c r="U27" i="1"/>
  <c r="K28" i="1"/>
  <c r="I28" i="1"/>
  <c r="J28" i="1"/>
  <c r="N28" i="1"/>
  <c r="U28" i="1"/>
  <c r="K29" i="1"/>
  <c r="I29" i="1"/>
  <c r="J29" i="1"/>
  <c r="N29" i="1"/>
  <c r="U29" i="1"/>
  <c r="K30" i="1"/>
  <c r="U30" i="1"/>
  <c r="K31" i="1"/>
  <c r="U31" i="1"/>
  <c r="K32" i="1"/>
  <c r="U32" i="1"/>
  <c r="H33" i="1"/>
  <c r="K33" i="1"/>
  <c r="U33" i="1"/>
  <c r="K34" i="1"/>
  <c r="U34" i="1"/>
  <c r="K35" i="1"/>
  <c r="U35" i="1"/>
  <c r="K36" i="1"/>
  <c r="U36" i="1"/>
  <c r="K37" i="1"/>
  <c r="U37" i="1"/>
  <c r="K38" i="1"/>
  <c r="U38" i="1"/>
  <c r="K39" i="1"/>
  <c r="U39" i="1"/>
  <c r="K40" i="1"/>
  <c r="U40" i="1"/>
  <c r="K41" i="1"/>
  <c r="U41" i="1"/>
  <c r="K42" i="1"/>
  <c r="U42" i="1"/>
  <c r="K43" i="1"/>
  <c r="U43" i="1"/>
  <c r="K44" i="1"/>
  <c r="U44" i="1"/>
  <c r="K45" i="1"/>
  <c r="U45" i="1"/>
  <c r="K46" i="1"/>
  <c r="U46" i="1"/>
  <c r="K47" i="1"/>
  <c r="U47" i="1"/>
  <c r="K48" i="1"/>
  <c r="U48" i="1"/>
  <c r="K49" i="1"/>
  <c r="U49" i="1"/>
  <c r="K50" i="1"/>
  <c r="U50" i="1"/>
  <c r="K51" i="1"/>
  <c r="U51" i="1"/>
  <c r="K52" i="1"/>
  <c r="U52" i="1"/>
  <c r="K53" i="1"/>
  <c r="U53" i="1"/>
  <c r="K54" i="1"/>
  <c r="U54" i="1"/>
  <c r="K55" i="1"/>
  <c r="U55" i="1"/>
  <c r="K56" i="1"/>
  <c r="N56" i="1"/>
  <c r="U56" i="1"/>
  <c r="K57" i="1"/>
  <c r="U57" i="1"/>
  <c r="K58" i="1"/>
  <c r="U58" i="1"/>
  <c r="K59" i="1"/>
  <c r="U59" i="1"/>
  <c r="H60" i="1"/>
  <c r="K60" i="1"/>
  <c r="U60" i="1"/>
  <c r="H61" i="1"/>
  <c r="K61" i="1"/>
  <c r="U61" i="1"/>
  <c r="K62" i="1"/>
  <c r="U62" i="1"/>
  <c r="K63" i="1"/>
  <c r="N63" i="1"/>
  <c r="I63" i="1"/>
  <c r="J63" i="1"/>
  <c r="R63" i="1"/>
  <c r="U63" i="1"/>
  <c r="K64" i="1"/>
  <c r="U64" i="1"/>
  <c r="K65" i="1"/>
  <c r="U65" i="1"/>
  <c r="K66" i="1"/>
  <c r="U66" i="1"/>
  <c r="H67" i="1"/>
  <c r="K67" i="1"/>
  <c r="N67" i="1"/>
  <c r="U67" i="1"/>
  <c r="K68" i="1"/>
  <c r="U68" i="1"/>
  <c r="K69" i="1"/>
  <c r="U69" i="1"/>
  <c r="K70" i="1"/>
  <c r="U70" i="1"/>
  <c r="K71" i="1"/>
  <c r="U71" i="1"/>
  <c r="K72" i="1"/>
  <c r="U72" i="1"/>
  <c r="K73" i="1"/>
  <c r="U73" i="1"/>
  <c r="K74" i="1"/>
  <c r="U74" i="1"/>
  <c r="K75" i="1"/>
  <c r="P75" i="1"/>
  <c r="U75" i="1"/>
  <c r="K76" i="1"/>
  <c r="U76" i="1"/>
  <c r="K77" i="1"/>
  <c r="U77" i="1"/>
  <c r="K78" i="1"/>
  <c r="U78" i="1"/>
  <c r="K79" i="1"/>
  <c r="P79" i="1"/>
  <c r="U79" i="1"/>
  <c r="K80" i="1"/>
  <c r="N80" i="1"/>
  <c r="U80" i="1"/>
  <c r="K81" i="1"/>
  <c r="U81" i="1"/>
  <c r="K82" i="1"/>
  <c r="U82" i="1"/>
  <c r="K83" i="1"/>
  <c r="U83" i="1"/>
  <c r="H84" i="1"/>
  <c r="K84" i="1"/>
  <c r="N84" i="1"/>
  <c r="U84" i="1"/>
  <c r="H85" i="1"/>
  <c r="K85" i="1"/>
  <c r="N85" i="1"/>
  <c r="U85" i="1"/>
  <c r="H86" i="1"/>
  <c r="K86" i="1"/>
  <c r="U86" i="1"/>
  <c r="K87" i="1"/>
  <c r="U87" i="1"/>
  <c r="K88" i="1"/>
  <c r="U88" i="1"/>
  <c r="K89" i="1"/>
  <c r="N89" i="1"/>
  <c r="U89" i="1"/>
  <c r="K90" i="1"/>
  <c r="U90" i="1"/>
  <c r="K91" i="1"/>
  <c r="U91" i="1"/>
  <c r="K92" i="1"/>
  <c r="P92" i="1"/>
  <c r="U92" i="1"/>
  <c r="K93" i="1"/>
  <c r="U93" i="1"/>
  <c r="K94" i="1"/>
  <c r="U94" i="1"/>
  <c r="K95" i="1"/>
  <c r="U95" i="1"/>
  <c r="K96" i="1"/>
  <c r="U96" i="1"/>
  <c r="K97" i="1"/>
  <c r="U97" i="1"/>
  <c r="K98" i="1"/>
  <c r="U98" i="1"/>
  <c r="K99" i="1"/>
  <c r="N99" i="1"/>
  <c r="U99" i="1"/>
  <c r="H100" i="1"/>
  <c r="K100" i="1"/>
  <c r="U100" i="1"/>
  <c r="K101" i="1"/>
  <c r="U101" i="1"/>
  <c r="K102" i="1"/>
  <c r="U102" i="1"/>
  <c r="H103" i="1"/>
  <c r="K103" i="1"/>
  <c r="U103" i="1"/>
  <c r="K104" i="1"/>
  <c r="U104" i="1"/>
  <c r="K105" i="1"/>
  <c r="U105" i="1"/>
  <c r="K106" i="1"/>
  <c r="U106" i="1"/>
  <c r="K107" i="1"/>
  <c r="U107" i="1"/>
  <c r="H108" i="1"/>
  <c r="K108" i="1"/>
  <c r="U108" i="1"/>
  <c r="K109" i="1"/>
  <c r="U109" i="1"/>
  <c r="K110" i="1"/>
  <c r="U110" i="1"/>
  <c r="K111" i="1"/>
  <c r="U111" i="1"/>
  <c r="K112" i="1"/>
  <c r="U112" i="1"/>
  <c r="K113" i="1"/>
  <c r="U113" i="1"/>
  <c r="K114" i="1"/>
  <c r="U114" i="1"/>
  <c r="K115" i="1"/>
  <c r="U115" i="1"/>
  <c r="K116" i="1"/>
  <c r="U116" i="1"/>
  <c r="K117" i="1"/>
  <c r="U117" i="1"/>
  <c r="H118" i="1"/>
  <c r="K118" i="1"/>
  <c r="N118" i="1"/>
  <c r="P118" i="1"/>
  <c r="U118" i="1"/>
  <c r="K119" i="1"/>
  <c r="P119" i="1"/>
  <c r="U119" i="1"/>
  <c r="K120" i="1"/>
  <c r="U120" i="1"/>
  <c r="K121" i="1"/>
  <c r="U121" i="1"/>
  <c r="K122" i="1"/>
  <c r="U122" i="1"/>
  <c r="K123" i="1"/>
  <c r="N123" i="1"/>
  <c r="U123" i="1"/>
  <c r="K124" i="1"/>
  <c r="N124" i="1"/>
  <c r="U124" i="1"/>
  <c r="K125" i="1"/>
  <c r="U125" i="1"/>
  <c r="K126" i="1"/>
  <c r="U126" i="1"/>
  <c r="K127" i="1"/>
  <c r="U127" i="1"/>
  <c r="K128" i="1"/>
  <c r="U128" i="1"/>
  <c r="H129" i="1"/>
  <c r="K129" i="1"/>
  <c r="N129" i="1"/>
  <c r="U129" i="1"/>
  <c r="H130" i="1"/>
  <c r="K130" i="1"/>
  <c r="N130" i="1"/>
  <c r="U130" i="1"/>
  <c r="K131" i="1"/>
  <c r="P131" i="1"/>
  <c r="U131" i="1"/>
  <c r="K132" i="1"/>
  <c r="U132" i="1"/>
  <c r="K133" i="1"/>
  <c r="U133" i="1"/>
  <c r="K134" i="1"/>
  <c r="U134" i="1"/>
  <c r="K135" i="1"/>
  <c r="U135" i="1"/>
  <c r="K136" i="1"/>
  <c r="N136" i="1"/>
  <c r="U136" i="1"/>
  <c r="K137" i="1"/>
  <c r="U137" i="1"/>
  <c r="K138" i="1"/>
  <c r="U138" i="1"/>
  <c r="K139" i="1"/>
  <c r="U139" i="1"/>
  <c r="K140" i="1"/>
  <c r="U140" i="1"/>
  <c r="K141" i="1"/>
  <c r="U141" i="1"/>
  <c r="K142" i="1"/>
  <c r="U142" i="1"/>
  <c r="K143" i="1"/>
  <c r="U143" i="1"/>
  <c r="K144" i="1"/>
  <c r="U144" i="1"/>
  <c r="K145" i="1"/>
  <c r="U145" i="1"/>
  <c r="K146" i="1"/>
  <c r="U146" i="1"/>
  <c r="K147" i="1"/>
  <c r="U147" i="1"/>
  <c r="K148" i="1"/>
  <c r="U148" i="1"/>
  <c r="K149" i="1"/>
  <c r="U149" i="1"/>
  <c r="K150" i="1"/>
  <c r="U150" i="1"/>
  <c r="K151" i="1"/>
  <c r="P151" i="1"/>
  <c r="U151" i="1"/>
  <c r="K152" i="1"/>
  <c r="U152" i="1"/>
  <c r="K153" i="1"/>
  <c r="U153" i="1"/>
  <c r="K154" i="1"/>
  <c r="U154" i="1"/>
  <c r="K155" i="1"/>
  <c r="U155" i="1"/>
  <c r="K156" i="1"/>
  <c r="U156" i="1"/>
  <c r="H157" i="1"/>
  <c r="K157" i="1"/>
  <c r="U157" i="1"/>
  <c r="K158" i="1"/>
  <c r="U158" i="1"/>
  <c r="H159" i="1"/>
  <c r="K159" i="1"/>
  <c r="U159" i="1"/>
  <c r="U161" i="1"/>
  <c r="I4" i="1"/>
  <c r="S4" i="1"/>
  <c r="I5" i="1"/>
  <c r="S5" i="1"/>
  <c r="I6" i="1"/>
  <c r="S6" i="1"/>
  <c r="I7" i="1"/>
  <c r="S7" i="1"/>
  <c r="I8" i="1"/>
  <c r="S8" i="1"/>
  <c r="I9" i="1"/>
  <c r="S9" i="1"/>
  <c r="I10" i="1"/>
  <c r="S10" i="1"/>
  <c r="I11" i="1"/>
  <c r="S11" i="1"/>
  <c r="I12" i="1"/>
  <c r="S12" i="1"/>
  <c r="I13" i="1"/>
  <c r="S13" i="1"/>
  <c r="I14" i="1"/>
  <c r="S14" i="1"/>
  <c r="I15" i="1"/>
  <c r="S15" i="1"/>
  <c r="I16" i="1"/>
  <c r="S16" i="1"/>
  <c r="I17" i="1"/>
  <c r="S17" i="1"/>
  <c r="I18" i="1"/>
  <c r="S18" i="1"/>
  <c r="I19" i="1"/>
  <c r="S19" i="1"/>
  <c r="I20" i="1"/>
  <c r="S20" i="1"/>
  <c r="I21" i="1"/>
  <c r="S21" i="1"/>
  <c r="I22" i="1"/>
  <c r="S22" i="1"/>
  <c r="F23" i="1"/>
  <c r="I23" i="1"/>
  <c r="S23" i="1"/>
  <c r="F24" i="1"/>
  <c r="I24" i="1"/>
  <c r="S24" i="1"/>
  <c r="I25" i="1"/>
  <c r="S25" i="1"/>
  <c r="I26" i="1"/>
  <c r="S26" i="1"/>
  <c r="I27" i="1"/>
  <c r="S27" i="1"/>
  <c r="S28" i="1"/>
  <c r="S29" i="1"/>
  <c r="I30" i="1"/>
  <c r="S30" i="1"/>
  <c r="I31" i="1"/>
  <c r="S31" i="1"/>
  <c r="I32" i="1"/>
  <c r="S32" i="1"/>
  <c r="F33" i="1"/>
  <c r="I33" i="1"/>
  <c r="S33" i="1"/>
  <c r="I34" i="1"/>
  <c r="O34" i="1"/>
  <c r="S34" i="1"/>
  <c r="I35" i="1"/>
  <c r="S35" i="1"/>
  <c r="I36" i="1"/>
  <c r="S36" i="1"/>
  <c r="I37" i="1"/>
  <c r="S37" i="1"/>
  <c r="I38" i="1"/>
  <c r="S38" i="1"/>
  <c r="I39" i="1"/>
  <c r="S39" i="1"/>
  <c r="I40" i="1"/>
  <c r="S40" i="1"/>
  <c r="I41" i="1"/>
  <c r="S41" i="1"/>
  <c r="I42" i="1"/>
  <c r="S42" i="1"/>
  <c r="F43" i="1"/>
  <c r="I43" i="1"/>
  <c r="S43" i="1"/>
  <c r="I44" i="1"/>
  <c r="S44" i="1"/>
  <c r="I45" i="1"/>
  <c r="S45" i="1"/>
  <c r="I46" i="1"/>
  <c r="S46" i="1"/>
  <c r="I47" i="1"/>
  <c r="S47" i="1"/>
  <c r="I48" i="1"/>
  <c r="S48" i="1"/>
  <c r="I49" i="1"/>
  <c r="S49" i="1"/>
  <c r="I50" i="1"/>
  <c r="S50" i="1"/>
  <c r="I51" i="1"/>
  <c r="S51" i="1"/>
  <c r="I52" i="1"/>
  <c r="S52" i="1"/>
  <c r="F53" i="1"/>
  <c r="I53" i="1"/>
  <c r="S53" i="1"/>
  <c r="I54" i="1"/>
  <c r="S54" i="1"/>
  <c r="I55" i="1"/>
  <c r="S55" i="1"/>
  <c r="I56" i="1"/>
  <c r="L56" i="1"/>
  <c r="S56" i="1"/>
  <c r="I57" i="1"/>
  <c r="S57" i="1"/>
  <c r="I58" i="1"/>
  <c r="S58" i="1"/>
  <c r="I59" i="1"/>
  <c r="S59" i="1"/>
  <c r="F60" i="1"/>
  <c r="I60" i="1"/>
  <c r="S60" i="1"/>
  <c r="F61" i="1"/>
  <c r="I61" i="1"/>
  <c r="S61" i="1"/>
  <c r="I62" i="1"/>
  <c r="S62" i="1"/>
  <c r="L63" i="1"/>
  <c r="S63" i="1"/>
  <c r="I64" i="1"/>
  <c r="S64" i="1"/>
  <c r="I65" i="1"/>
  <c r="S65" i="1"/>
  <c r="I66" i="1"/>
  <c r="S66" i="1"/>
  <c r="F67" i="1"/>
  <c r="I67" i="1"/>
  <c r="L67" i="1"/>
  <c r="S67" i="1"/>
  <c r="I68" i="1"/>
  <c r="S68" i="1"/>
  <c r="F69" i="1"/>
  <c r="I69" i="1"/>
  <c r="S69" i="1"/>
  <c r="F70" i="1"/>
  <c r="I70" i="1"/>
  <c r="S70" i="1"/>
  <c r="I71" i="1"/>
  <c r="S71" i="1"/>
  <c r="I72" i="1"/>
  <c r="S72" i="1"/>
  <c r="I73" i="1"/>
  <c r="S73" i="1"/>
  <c r="I74" i="1"/>
  <c r="S74" i="1"/>
  <c r="I75" i="1"/>
  <c r="O75" i="1"/>
  <c r="S75" i="1"/>
  <c r="I76" i="1"/>
  <c r="S76" i="1"/>
  <c r="I77" i="1"/>
  <c r="S77" i="1"/>
  <c r="I78" i="1"/>
  <c r="S78" i="1"/>
  <c r="I79" i="1"/>
  <c r="O79" i="1"/>
  <c r="S79" i="1"/>
  <c r="I80" i="1"/>
  <c r="L80" i="1"/>
  <c r="S80" i="1"/>
  <c r="I81" i="1"/>
  <c r="S81" i="1"/>
  <c r="I82" i="1"/>
  <c r="S82" i="1"/>
  <c r="I83" i="1"/>
  <c r="S83" i="1"/>
  <c r="F84" i="1"/>
  <c r="I84" i="1"/>
  <c r="L84" i="1"/>
  <c r="S84" i="1"/>
  <c r="F85" i="1"/>
  <c r="I85" i="1"/>
  <c r="L85" i="1"/>
  <c r="S85" i="1"/>
  <c r="F86" i="1"/>
  <c r="I86" i="1"/>
  <c r="S86" i="1"/>
  <c r="I87" i="1"/>
  <c r="S87" i="1"/>
  <c r="I88" i="1"/>
  <c r="S88" i="1"/>
  <c r="I89" i="1"/>
  <c r="L89" i="1"/>
  <c r="S89" i="1"/>
  <c r="I90" i="1"/>
  <c r="S90" i="1"/>
  <c r="I91" i="1"/>
  <c r="S91" i="1"/>
  <c r="I92" i="1"/>
  <c r="O92" i="1"/>
  <c r="S92" i="1"/>
  <c r="I93" i="1"/>
  <c r="S93" i="1"/>
  <c r="I94" i="1"/>
  <c r="S94" i="1"/>
  <c r="I95" i="1"/>
  <c r="S95" i="1"/>
  <c r="I96" i="1"/>
  <c r="S96" i="1"/>
  <c r="I97" i="1"/>
  <c r="S97" i="1"/>
  <c r="I98" i="1"/>
  <c r="S98" i="1"/>
  <c r="I99" i="1"/>
  <c r="L99" i="1"/>
  <c r="S99" i="1"/>
  <c r="I100" i="1"/>
  <c r="S100" i="1"/>
  <c r="I101" i="1"/>
  <c r="S101" i="1"/>
  <c r="I102" i="1"/>
  <c r="S102" i="1"/>
  <c r="I103" i="1"/>
  <c r="S103" i="1"/>
  <c r="I104" i="1"/>
  <c r="S104" i="1"/>
  <c r="I105" i="1"/>
  <c r="S105" i="1"/>
  <c r="I106" i="1"/>
  <c r="S106" i="1"/>
  <c r="I107" i="1"/>
  <c r="S107" i="1"/>
  <c r="F108" i="1"/>
  <c r="I108" i="1"/>
  <c r="S108" i="1"/>
  <c r="I109" i="1"/>
  <c r="S109" i="1"/>
  <c r="I110" i="1"/>
  <c r="S110" i="1"/>
  <c r="I111" i="1"/>
  <c r="S111" i="1"/>
  <c r="I112" i="1"/>
  <c r="S112" i="1"/>
  <c r="I113" i="1"/>
  <c r="S113" i="1"/>
  <c r="I114" i="1"/>
  <c r="S114" i="1"/>
  <c r="I115" i="1"/>
  <c r="S115" i="1"/>
  <c r="I116" i="1"/>
  <c r="S116" i="1"/>
  <c r="I117" i="1"/>
  <c r="S117" i="1"/>
  <c r="I118" i="1"/>
  <c r="L118" i="1"/>
  <c r="O118" i="1"/>
  <c r="S118" i="1"/>
  <c r="I119" i="1"/>
  <c r="O119" i="1"/>
  <c r="S119" i="1"/>
  <c r="I120" i="1"/>
  <c r="S120" i="1"/>
  <c r="I121" i="1"/>
  <c r="S121" i="1"/>
  <c r="I122" i="1"/>
  <c r="S122" i="1"/>
  <c r="I123" i="1"/>
  <c r="L123" i="1"/>
  <c r="S123" i="1"/>
  <c r="I125" i="1"/>
  <c r="S125" i="1"/>
  <c r="I126" i="1"/>
  <c r="S126" i="1"/>
  <c r="I127" i="1"/>
  <c r="O127" i="1"/>
  <c r="S127" i="1"/>
  <c r="I128" i="1"/>
  <c r="S128" i="1"/>
  <c r="I130" i="1"/>
  <c r="L130" i="1"/>
  <c r="S130" i="1"/>
  <c r="I131" i="1"/>
  <c r="O131" i="1"/>
  <c r="S131" i="1"/>
  <c r="I132" i="1"/>
  <c r="S132" i="1"/>
  <c r="I133" i="1"/>
  <c r="S133" i="1"/>
  <c r="I134" i="1"/>
  <c r="S134" i="1"/>
  <c r="I135" i="1"/>
  <c r="O135" i="1"/>
  <c r="S135" i="1"/>
  <c r="I137" i="1"/>
  <c r="S137" i="1"/>
  <c r="I138" i="1"/>
  <c r="S138" i="1"/>
  <c r="I139" i="1"/>
  <c r="S139" i="1"/>
  <c r="I140" i="1"/>
  <c r="S140" i="1"/>
  <c r="I141" i="1"/>
  <c r="S141" i="1"/>
  <c r="I142" i="1"/>
  <c r="S142" i="1"/>
  <c r="I143" i="1"/>
  <c r="S143" i="1"/>
  <c r="I144" i="1"/>
  <c r="S144" i="1"/>
  <c r="I145" i="1"/>
  <c r="S145" i="1"/>
  <c r="I146" i="1"/>
  <c r="S146" i="1"/>
  <c r="I147" i="1"/>
  <c r="S147" i="1"/>
  <c r="I148" i="1"/>
  <c r="S148" i="1"/>
  <c r="I149" i="1"/>
  <c r="S149" i="1"/>
  <c r="I150" i="1"/>
  <c r="S150" i="1"/>
  <c r="I151" i="1"/>
  <c r="O151" i="1"/>
  <c r="S151" i="1"/>
  <c r="I152" i="1"/>
  <c r="S152" i="1"/>
  <c r="I153" i="1"/>
  <c r="S153" i="1"/>
  <c r="I154" i="1"/>
  <c r="S154" i="1"/>
  <c r="I155" i="1"/>
  <c r="S155" i="1"/>
  <c r="I156" i="1"/>
  <c r="S156" i="1"/>
  <c r="F157" i="1"/>
  <c r="I157" i="1"/>
  <c r="S157" i="1"/>
  <c r="I158" i="1"/>
  <c r="S158" i="1"/>
  <c r="F159" i="1"/>
  <c r="I159" i="1"/>
  <c r="S159" i="1"/>
  <c r="S161" i="1"/>
  <c r="R161" i="1"/>
  <c r="Q161" i="1"/>
  <c r="P161" i="1"/>
  <c r="O161" i="1"/>
  <c r="N161" i="1"/>
  <c r="L124" i="1"/>
  <c r="L129" i="1"/>
  <c r="L136" i="1"/>
  <c r="L161" i="1"/>
  <c r="K161" i="1"/>
  <c r="I124" i="1"/>
  <c r="I129" i="1"/>
  <c r="I136" i="1"/>
  <c r="I161" i="1"/>
  <c r="H161" i="1"/>
  <c r="F161" i="1"/>
  <c r="E161" i="1"/>
  <c r="C161" i="1"/>
  <c r="J159" i="1"/>
  <c r="J158" i="1"/>
  <c r="J157" i="1"/>
  <c r="J156" i="1"/>
  <c r="J155" i="1"/>
  <c r="J154" i="1"/>
  <c r="J153" i="1"/>
  <c r="J152" i="1"/>
  <c r="J151" i="1"/>
  <c r="J150" i="1"/>
  <c r="J149" i="1"/>
  <c r="J148" i="1"/>
  <c r="J147" i="1"/>
  <c r="J146" i="1"/>
  <c r="J145" i="1"/>
  <c r="J144" i="1"/>
  <c r="J143" i="1"/>
  <c r="J142" i="1"/>
  <c r="J141" i="1"/>
  <c r="J140" i="1"/>
  <c r="J139" i="1"/>
  <c r="J138" i="1"/>
  <c r="J137" i="1"/>
  <c r="J136" i="1"/>
  <c r="J135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J122" i="1"/>
  <c r="J121" i="1"/>
  <c r="J120" i="1"/>
  <c r="J119" i="1"/>
  <c r="J118" i="1"/>
  <c r="J117" i="1"/>
  <c r="J116" i="1"/>
  <c r="J115" i="1"/>
  <c r="J114" i="1"/>
  <c r="J113" i="1"/>
  <c r="J112" i="1"/>
  <c r="J111" i="1"/>
  <c r="J110" i="1"/>
  <c r="J109" i="1"/>
  <c r="J108" i="1"/>
  <c r="J107" i="1"/>
  <c r="J106" i="1"/>
  <c r="J105" i="1"/>
  <c r="J104" i="1"/>
  <c r="J103" i="1"/>
  <c r="J102" i="1"/>
  <c r="J101" i="1"/>
  <c r="J100" i="1"/>
  <c r="J99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</calcChain>
</file>

<file path=xl/comments1.xml><?xml version="1.0" encoding="utf-8"?>
<comments xmlns="http://schemas.openxmlformats.org/spreadsheetml/2006/main">
  <authors>
    <author>Administrator</author>
  </authors>
  <commentList>
    <comment ref="L161" authorId="0">
      <text>
        <r>
          <rPr>
            <sz val="9"/>
            <rFont val="宋体"/>
            <charset val="134"/>
          </rPr>
          <t xml:space="preserve">
</t>
        </r>
      </text>
    </comment>
    <comment ref="N161" authorId="0">
      <text>
        <r>
          <rPr>
            <b/>
            <sz val="9"/>
            <rFont val="宋体"/>
            <charset val="134"/>
          </rPr>
          <t xml:space="preserve">Admnistrator:包装物：27466.54
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<sst xmlns="http://schemas.openxmlformats.org/spreadsheetml/2006/main" count="185" uniqueCount="169">
  <si>
    <t>材料名称</t>
  </si>
  <si>
    <t>上月结存</t>
  </si>
  <si>
    <t>本月收入</t>
  </si>
  <si>
    <t>加权平均</t>
  </si>
  <si>
    <t>本月生产支出</t>
  </si>
  <si>
    <t>自制材料支出</t>
  </si>
  <si>
    <t>本月销售</t>
  </si>
  <si>
    <t>本月结存</t>
  </si>
  <si>
    <t>数量</t>
  </si>
  <si>
    <t>单价</t>
  </si>
  <si>
    <t>金额</t>
  </si>
  <si>
    <r>
      <rPr>
        <sz val="10"/>
        <color rgb="FF000000"/>
        <rFont val="Tahoma"/>
        <charset val="134"/>
      </rPr>
      <t>W082</t>
    </r>
    <r>
      <rPr>
        <sz val="10"/>
        <color rgb="FF000000"/>
        <rFont val="宋体"/>
        <charset val="134"/>
      </rPr>
      <t>消泡剂</t>
    </r>
  </si>
  <si>
    <t>104E分散剂</t>
  </si>
  <si>
    <r>
      <rPr>
        <sz val="10"/>
        <color indexed="8"/>
        <rFont val="Tahoma"/>
        <charset val="134"/>
      </rPr>
      <t>105A</t>
    </r>
    <r>
      <rPr>
        <sz val="10"/>
        <color indexed="8"/>
        <rFont val="宋体"/>
        <charset val="134"/>
      </rPr>
      <t>增稠剂</t>
    </r>
  </si>
  <si>
    <r>
      <rPr>
        <sz val="10"/>
        <color rgb="FF000000"/>
        <rFont val="Tahoma"/>
        <charset val="134"/>
      </rPr>
      <t>106</t>
    </r>
    <r>
      <rPr>
        <sz val="10"/>
        <color rgb="FF000000"/>
        <rFont val="宋体"/>
        <charset val="134"/>
      </rPr>
      <t>助剂</t>
    </r>
  </si>
  <si>
    <r>
      <rPr>
        <sz val="10"/>
        <color indexed="8"/>
        <rFont val="Tahoma"/>
        <charset val="134"/>
      </rPr>
      <t>108K</t>
    </r>
    <r>
      <rPr>
        <sz val="10"/>
        <color indexed="8"/>
        <rFont val="宋体"/>
        <charset val="134"/>
      </rPr>
      <t>黄色粉</t>
    </r>
  </si>
  <si>
    <r>
      <rPr>
        <sz val="10"/>
        <color rgb="FF000000"/>
        <rFont val="Tahoma"/>
        <charset val="134"/>
      </rPr>
      <t>190</t>
    </r>
    <r>
      <rPr>
        <sz val="10"/>
        <color indexed="8"/>
        <rFont val="宋体"/>
        <charset val="134"/>
      </rPr>
      <t>信鑫黄粉</t>
    </r>
  </si>
  <si>
    <t>A-1127乳液</t>
  </si>
  <si>
    <t>146C胶乳</t>
  </si>
  <si>
    <r>
      <rPr>
        <sz val="10"/>
        <color indexed="8"/>
        <rFont val="Tahoma"/>
        <charset val="134"/>
      </rPr>
      <t>1491</t>
    </r>
    <r>
      <rPr>
        <sz val="10"/>
        <color indexed="8"/>
        <rFont val="宋体"/>
        <charset val="134"/>
      </rPr>
      <t>树脂</t>
    </r>
  </si>
  <si>
    <r>
      <rPr>
        <sz val="10"/>
        <color rgb="FF000000"/>
        <rFont val="Tahoma"/>
        <charset val="134"/>
      </rPr>
      <t>162</t>
    </r>
    <r>
      <rPr>
        <sz val="10"/>
        <color rgb="FF000000"/>
        <rFont val="宋体"/>
        <charset val="134"/>
      </rPr>
      <t>消泡剂</t>
    </r>
  </si>
  <si>
    <r>
      <rPr>
        <sz val="10"/>
        <color indexed="8"/>
        <rFont val="Tahoma"/>
        <charset val="134"/>
      </rPr>
      <t>163A</t>
    </r>
    <r>
      <rPr>
        <sz val="10"/>
        <color indexed="8"/>
        <rFont val="宋体"/>
        <charset val="134"/>
      </rPr>
      <t>半成品</t>
    </r>
  </si>
  <si>
    <r>
      <rPr>
        <sz val="10"/>
        <color rgb="FF000000"/>
        <rFont val="Tahoma"/>
        <charset val="134"/>
      </rPr>
      <t>1L</t>
    </r>
    <r>
      <rPr>
        <sz val="10"/>
        <color rgb="FF000000"/>
        <rFont val="宋体"/>
        <charset val="134"/>
      </rPr>
      <t>塑料桶</t>
    </r>
  </si>
  <si>
    <r>
      <rPr>
        <sz val="10"/>
        <color rgb="FF000000"/>
        <rFont val="Tahoma"/>
        <charset val="134"/>
      </rPr>
      <t>2L</t>
    </r>
    <r>
      <rPr>
        <sz val="10"/>
        <color rgb="FF000000"/>
        <rFont val="宋体"/>
        <charset val="134"/>
      </rPr>
      <t>塑料桶</t>
    </r>
  </si>
  <si>
    <r>
      <rPr>
        <sz val="10"/>
        <color indexed="8"/>
        <rFont val="Tahoma"/>
        <charset val="134"/>
      </rPr>
      <t>200L</t>
    </r>
    <r>
      <rPr>
        <sz val="10"/>
        <color indexed="8"/>
        <rFont val="宋体"/>
        <charset val="134"/>
      </rPr>
      <t>双环平口桶</t>
    </r>
  </si>
  <si>
    <r>
      <rPr>
        <sz val="10"/>
        <color rgb="FF000000"/>
        <rFont val="Tahoma"/>
        <charset val="134"/>
      </rPr>
      <t>20L</t>
    </r>
    <r>
      <rPr>
        <sz val="10"/>
        <color rgb="FF000000"/>
        <rFont val="宋体"/>
        <charset val="134"/>
      </rPr>
      <t>白色桶</t>
    </r>
  </si>
  <si>
    <r>
      <rPr>
        <sz val="10"/>
        <color rgb="FF000000"/>
        <rFont val="Tahoma"/>
        <charset val="134"/>
      </rPr>
      <t>203</t>
    </r>
    <r>
      <rPr>
        <sz val="10"/>
        <color indexed="8"/>
        <rFont val="宋体"/>
        <charset val="134"/>
      </rPr>
      <t>丁腈</t>
    </r>
  </si>
  <si>
    <t>246C胶乳</t>
  </si>
  <si>
    <r>
      <rPr>
        <sz val="10"/>
        <color indexed="8"/>
        <rFont val="Tahoma"/>
        <charset val="134"/>
      </rPr>
      <t>25L</t>
    </r>
    <r>
      <rPr>
        <sz val="10"/>
        <color indexed="8"/>
        <rFont val="宋体"/>
        <charset val="134"/>
      </rPr>
      <t>方塑料桶</t>
    </r>
  </si>
  <si>
    <r>
      <rPr>
        <sz val="10"/>
        <color indexed="8"/>
        <rFont val="Tahoma"/>
        <charset val="134"/>
      </rPr>
      <t>272</t>
    </r>
    <r>
      <rPr>
        <sz val="10"/>
        <color indexed="8"/>
        <rFont val="宋体"/>
        <charset val="134"/>
      </rPr>
      <t>橙色粉</t>
    </r>
  </si>
  <si>
    <t>300D胶乳</t>
  </si>
  <si>
    <t>302G胶乳</t>
  </si>
  <si>
    <t>410助剂</t>
  </si>
  <si>
    <t>450助剂</t>
  </si>
  <si>
    <t>5L塑料桶蓝色</t>
  </si>
  <si>
    <t>50L塑料桶（绿色）</t>
  </si>
  <si>
    <t>50L蓝色桶</t>
  </si>
  <si>
    <t>5102B树脂</t>
  </si>
  <si>
    <t>620杀菌剂</t>
  </si>
  <si>
    <r>
      <rPr>
        <sz val="10"/>
        <color indexed="8"/>
        <rFont val="Tahoma"/>
        <charset val="134"/>
      </rPr>
      <t>640</t>
    </r>
    <r>
      <rPr>
        <sz val="10"/>
        <color indexed="8"/>
        <rFont val="宋体"/>
        <charset val="134"/>
      </rPr>
      <t>防霉剂</t>
    </r>
  </si>
  <si>
    <t>660树脂</t>
  </si>
  <si>
    <t>678树脂</t>
  </si>
  <si>
    <t>706K胶水</t>
  </si>
  <si>
    <t>710瓦克增稠剂</t>
  </si>
  <si>
    <t>7190G胶水</t>
  </si>
  <si>
    <r>
      <rPr>
        <sz val="10"/>
        <color indexed="8"/>
        <rFont val="Tahoma"/>
        <charset val="134"/>
      </rPr>
      <t>7605</t>
    </r>
    <r>
      <rPr>
        <sz val="10"/>
        <color indexed="8"/>
        <rFont val="宋体"/>
        <charset val="134"/>
      </rPr>
      <t>滑爽剂</t>
    </r>
  </si>
  <si>
    <r>
      <rPr>
        <sz val="10"/>
        <color indexed="8"/>
        <rFont val="Tahoma"/>
        <charset val="134"/>
      </rPr>
      <t>760</t>
    </r>
    <r>
      <rPr>
        <sz val="10"/>
        <color indexed="8"/>
        <rFont val="宋体"/>
        <charset val="134"/>
      </rPr>
      <t>分散剂</t>
    </r>
  </si>
  <si>
    <r>
      <rPr>
        <sz val="10"/>
        <color rgb="FF000000"/>
        <rFont val="Tahoma"/>
        <charset val="134"/>
      </rPr>
      <t>7996G</t>
    </r>
    <r>
      <rPr>
        <sz val="10"/>
        <color indexed="8"/>
        <rFont val="宋体"/>
        <charset val="134"/>
      </rPr>
      <t>胶水</t>
    </r>
  </si>
  <si>
    <r>
      <rPr>
        <sz val="10"/>
        <color indexed="8"/>
        <rFont val="Tahoma"/>
        <charset val="134"/>
      </rPr>
      <t>8639</t>
    </r>
    <r>
      <rPr>
        <sz val="10"/>
        <color indexed="8"/>
        <rFont val="宋体"/>
        <charset val="134"/>
      </rPr>
      <t>半成品</t>
    </r>
  </si>
  <si>
    <r>
      <rPr>
        <sz val="10"/>
        <color rgb="FF000000"/>
        <rFont val="Tahoma"/>
        <charset val="134"/>
      </rPr>
      <t>8642A</t>
    </r>
    <r>
      <rPr>
        <sz val="10"/>
        <color rgb="FF000000"/>
        <rFont val="宋体"/>
        <charset val="134"/>
      </rPr>
      <t>半成品（聚合</t>
    </r>
    <r>
      <rPr>
        <sz val="10"/>
        <color rgb="FF000000"/>
        <rFont val="Tahoma"/>
        <charset val="134"/>
      </rPr>
      <t>8642</t>
    </r>
    <r>
      <rPr>
        <sz val="10"/>
        <color rgb="FF000000"/>
        <rFont val="宋体"/>
        <charset val="134"/>
      </rPr>
      <t>）</t>
    </r>
  </si>
  <si>
    <r>
      <rPr>
        <sz val="10"/>
        <color rgb="FF000000"/>
        <rFont val="Tahoma"/>
        <charset val="134"/>
      </rPr>
      <t>8713B</t>
    </r>
    <r>
      <rPr>
        <sz val="10"/>
        <color rgb="FF000000"/>
        <rFont val="宋体"/>
        <charset val="134"/>
      </rPr>
      <t>树脂（</t>
    </r>
    <r>
      <rPr>
        <sz val="10"/>
        <color rgb="FF000000"/>
        <rFont val="Tahoma"/>
        <charset val="134"/>
      </rPr>
      <t>387</t>
    </r>
    <r>
      <rPr>
        <sz val="10"/>
        <color rgb="FF000000"/>
        <rFont val="宋体"/>
        <charset val="134"/>
      </rPr>
      <t>）</t>
    </r>
  </si>
  <si>
    <r>
      <rPr>
        <sz val="10"/>
        <color indexed="8"/>
        <rFont val="Tahoma"/>
        <charset val="134"/>
      </rPr>
      <t>8713</t>
    </r>
    <r>
      <rPr>
        <sz val="10"/>
        <color indexed="8"/>
        <rFont val="宋体"/>
        <charset val="134"/>
      </rPr>
      <t>树脂</t>
    </r>
  </si>
  <si>
    <t>8721B胶水</t>
  </si>
  <si>
    <r>
      <rPr>
        <sz val="10"/>
        <color rgb="FF000000"/>
        <rFont val="Tahoma"/>
        <charset val="134"/>
      </rPr>
      <t>8725B</t>
    </r>
    <r>
      <rPr>
        <sz val="10"/>
        <color indexed="8"/>
        <rFont val="宋体"/>
        <charset val="134"/>
      </rPr>
      <t>树脂（</t>
    </r>
    <r>
      <rPr>
        <sz val="10"/>
        <color rgb="FF000000"/>
        <rFont val="Tahoma"/>
        <charset val="134"/>
      </rPr>
      <t>587</t>
    </r>
    <r>
      <rPr>
        <sz val="10"/>
        <color indexed="8"/>
        <rFont val="宋体"/>
        <charset val="134"/>
      </rPr>
      <t>）</t>
    </r>
  </si>
  <si>
    <r>
      <rPr>
        <sz val="10"/>
        <color rgb="FF000000"/>
        <rFont val="Tahoma"/>
        <charset val="134"/>
      </rPr>
      <t>89642</t>
    </r>
    <r>
      <rPr>
        <sz val="10"/>
        <color indexed="8"/>
        <rFont val="宋体"/>
        <charset val="134"/>
      </rPr>
      <t>聚氨酯</t>
    </r>
  </si>
  <si>
    <t>9002E</t>
  </si>
  <si>
    <r>
      <rPr>
        <sz val="10"/>
        <color rgb="FF000000"/>
        <rFont val="Tahoma"/>
        <charset val="134"/>
      </rPr>
      <t>ADM-1319</t>
    </r>
    <r>
      <rPr>
        <sz val="10"/>
        <color rgb="FF000000"/>
        <rFont val="宋体"/>
        <charset val="134"/>
      </rPr>
      <t>胶乳</t>
    </r>
  </si>
  <si>
    <r>
      <rPr>
        <sz val="10"/>
        <color rgb="FF000000"/>
        <rFont val="Tahoma"/>
        <charset val="134"/>
      </rPr>
      <t>ADM-1619</t>
    </r>
    <r>
      <rPr>
        <sz val="10"/>
        <color rgb="FF000000"/>
        <rFont val="宋体"/>
        <charset val="134"/>
      </rPr>
      <t>胶乳</t>
    </r>
  </si>
  <si>
    <r>
      <rPr>
        <sz val="10"/>
        <color rgb="FF000000"/>
        <rFont val="Tahoma"/>
        <charset val="134"/>
      </rPr>
      <t>ADM-1339</t>
    </r>
    <r>
      <rPr>
        <sz val="10"/>
        <color rgb="FF000000"/>
        <rFont val="宋体"/>
        <charset val="134"/>
      </rPr>
      <t>胶乳</t>
    </r>
  </si>
  <si>
    <r>
      <rPr>
        <sz val="10"/>
        <color rgb="FF000000"/>
        <rFont val="Tahoma"/>
        <charset val="134"/>
      </rPr>
      <t>ADM-1699</t>
    </r>
    <r>
      <rPr>
        <sz val="10"/>
        <color rgb="FF000000"/>
        <rFont val="宋体"/>
        <charset val="134"/>
      </rPr>
      <t>胶乳</t>
    </r>
  </si>
  <si>
    <r>
      <rPr>
        <sz val="10"/>
        <color rgb="FF000000"/>
        <rFont val="Tahoma"/>
        <charset val="134"/>
      </rPr>
      <t>ADM-1758</t>
    </r>
    <r>
      <rPr>
        <sz val="10"/>
        <color rgb="FF000000"/>
        <rFont val="宋体"/>
        <charset val="134"/>
      </rPr>
      <t>水性涂料</t>
    </r>
  </si>
  <si>
    <r>
      <rPr>
        <sz val="10"/>
        <color rgb="FF000000"/>
        <rFont val="Tahoma"/>
        <charset val="134"/>
      </rPr>
      <t>AH-3219</t>
    </r>
    <r>
      <rPr>
        <sz val="10"/>
        <color rgb="FF000000"/>
        <rFont val="宋体"/>
        <charset val="134"/>
      </rPr>
      <t>手感剂</t>
    </r>
  </si>
  <si>
    <t>AMP-95助剂</t>
  </si>
  <si>
    <r>
      <rPr>
        <sz val="10"/>
        <color rgb="FF000000"/>
        <rFont val="Tahoma"/>
        <charset val="134"/>
      </rPr>
      <t>B725</t>
    </r>
    <r>
      <rPr>
        <sz val="10"/>
        <color indexed="8"/>
        <rFont val="宋体"/>
        <charset val="134"/>
      </rPr>
      <t>树脂</t>
    </r>
  </si>
  <si>
    <r>
      <rPr>
        <sz val="10"/>
        <color rgb="FF000000"/>
        <rFont val="Tahoma"/>
        <charset val="134"/>
      </rPr>
      <t>B-728</t>
    </r>
    <r>
      <rPr>
        <sz val="10"/>
        <color indexed="8"/>
        <rFont val="宋体"/>
        <charset val="134"/>
      </rPr>
      <t>树脂</t>
    </r>
  </si>
  <si>
    <r>
      <rPr>
        <sz val="10"/>
        <color rgb="FF000000"/>
        <rFont val="Tahoma"/>
        <charset val="134"/>
      </rPr>
      <t>B-805</t>
    </r>
    <r>
      <rPr>
        <sz val="10"/>
        <color indexed="8"/>
        <rFont val="宋体"/>
        <charset val="134"/>
      </rPr>
      <t>上海凯娅</t>
    </r>
  </si>
  <si>
    <t>B-814</t>
  </si>
  <si>
    <r>
      <rPr>
        <sz val="10"/>
        <color rgb="FF000000"/>
        <rFont val="Tahoma"/>
        <charset val="134"/>
      </rPr>
      <t>B-817</t>
    </r>
    <r>
      <rPr>
        <sz val="10"/>
        <color indexed="8"/>
        <rFont val="宋体"/>
        <charset val="134"/>
      </rPr>
      <t>树脂</t>
    </r>
  </si>
  <si>
    <r>
      <rPr>
        <sz val="10"/>
        <color indexed="8"/>
        <rFont val="Tahoma"/>
        <charset val="134"/>
      </rPr>
      <t>BP-17</t>
    </r>
    <r>
      <rPr>
        <sz val="10"/>
        <color indexed="8"/>
        <rFont val="宋体"/>
        <charset val="134"/>
      </rPr>
      <t>聚乙烯醇</t>
    </r>
  </si>
  <si>
    <r>
      <rPr>
        <sz val="10"/>
        <color rgb="FF000000"/>
        <rFont val="Tahoma"/>
        <charset val="134"/>
      </rPr>
      <t>BYK378</t>
    </r>
    <r>
      <rPr>
        <sz val="10"/>
        <color rgb="FF000000"/>
        <rFont val="宋体"/>
        <charset val="134"/>
      </rPr>
      <t>助剂昆鹏</t>
    </r>
    <r>
      <rPr>
        <sz val="10"/>
        <color rgb="FF000000"/>
        <rFont val="Tahoma"/>
        <charset val="134"/>
      </rPr>
      <t>(W670)</t>
    </r>
  </si>
  <si>
    <t>BYK-S80</t>
  </si>
  <si>
    <t>BR-73</t>
  </si>
  <si>
    <r>
      <rPr>
        <sz val="10"/>
        <color indexed="8"/>
        <rFont val="Tahoma"/>
        <charset val="134"/>
      </rPr>
      <t>CAB-381-0.5</t>
    </r>
    <r>
      <rPr>
        <sz val="10"/>
        <color indexed="8"/>
        <rFont val="宋体"/>
        <charset val="134"/>
      </rPr>
      <t>树脂</t>
    </r>
  </si>
  <si>
    <t>CAP-482-0.5</t>
  </si>
  <si>
    <r>
      <rPr>
        <sz val="10"/>
        <color indexed="8"/>
        <rFont val="Tahoma"/>
        <charset val="134"/>
      </rPr>
      <t>CY-80</t>
    </r>
    <r>
      <rPr>
        <sz val="10"/>
        <color indexed="8"/>
        <rFont val="宋体"/>
        <charset val="134"/>
      </rPr>
      <t>半成品</t>
    </r>
  </si>
  <si>
    <r>
      <rPr>
        <sz val="10"/>
        <color indexed="8"/>
        <rFont val="宋体"/>
        <charset val="134"/>
      </rPr>
      <t>CZ-818</t>
    </r>
    <r>
      <rPr>
        <sz val="10"/>
        <color rgb="FF000000"/>
        <rFont val="宋体"/>
        <charset val="134"/>
      </rPr>
      <t>复合胶</t>
    </r>
  </si>
  <si>
    <r>
      <rPr>
        <sz val="10"/>
        <color indexed="8"/>
        <rFont val="Tahoma"/>
        <charset val="134"/>
      </rPr>
      <t>CZ-833</t>
    </r>
    <r>
      <rPr>
        <sz val="10"/>
        <color indexed="8"/>
        <rFont val="宋体"/>
        <charset val="134"/>
      </rPr>
      <t>胶水</t>
    </r>
  </si>
  <si>
    <t>CZ-826</t>
  </si>
  <si>
    <r>
      <rPr>
        <sz val="10"/>
        <color rgb="FF000000"/>
        <rFont val="Tahoma"/>
        <charset val="134"/>
      </rPr>
      <t>DA31</t>
    </r>
    <r>
      <rPr>
        <sz val="10"/>
        <color rgb="FF000000"/>
        <rFont val="宋体"/>
        <charset val="134"/>
      </rPr>
      <t>涂色胶</t>
    </r>
  </si>
  <si>
    <t>DC-51</t>
  </si>
  <si>
    <r>
      <rPr>
        <sz val="10"/>
        <color rgb="FF000000"/>
        <rFont val="Tahoma"/>
        <charset val="134"/>
      </rPr>
      <t>DC-57</t>
    </r>
    <r>
      <rPr>
        <sz val="10"/>
        <color indexed="8"/>
        <rFont val="宋体"/>
        <charset val="134"/>
      </rPr>
      <t>添加剂</t>
    </r>
  </si>
  <si>
    <t>DF-61助剂</t>
  </si>
  <si>
    <t>DF-771消泡剂</t>
  </si>
  <si>
    <t>DF-653消泡剂</t>
  </si>
  <si>
    <r>
      <rPr>
        <sz val="10"/>
        <color indexed="8"/>
        <rFont val="Tahoma"/>
        <charset val="134"/>
      </rPr>
      <t>DT-CAC</t>
    </r>
    <r>
      <rPr>
        <sz val="10"/>
        <color indexed="8"/>
        <rFont val="宋体"/>
        <charset val="134"/>
      </rPr>
      <t>树脂</t>
    </r>
  </si>
  <si>
    <t>EH-9-1助剂</t>
  </si>
  <si>
    <t>ENSURE-100</t>
  </si>
  <si>
    <t>ENSURE-120</t>
  </si>
  <si>
    <r>
      <rPr>
        <sz val="10"/>
        <color indexed="8"/>
        <rFont val="Tahoma"/>
        <charset val="134"/>
      </rPr>
      <t>J8631</t>
    </r>
    <r>
      <rPr>
        <sz val="10"/>
        <color indexed="8"/>
        <rFont val="宋体"/>
        <charset val="134"/>
      </rPr>
      <t>半成品</t>
    </r>
  </si>
  <si>
    <r>
      <rPr>
        <sz val="10"/>
        <color indexed="8"/>
        <rFont val="Tahoma"/>
        <charset val="134"/>
      </rPr>
      <t>J8826</t>
    </r>
    <r>
      <rPr>
        <sz val="10"/>
        <color indexed="8"/>
        <rFont val="宋体"/>
        <charset val="134"/>
      </rPr>
      <t>半成品</t>
    </r>
  </si>
  <si>
    <r>
      <rPr>
        <sz val="10"/>
        <color rgb="FF000000"/>
        <rFont val="Tahoma"/>
        <charset val="134"/>
      </rPr>
      <t>HZ-6510S</t>
    </r>
    <r>
      <rPr>
        <sz val="10"/>
        <color rgb="FF000000"/>
        <rFont val="宋体"/>
        <charset val="134"/>
      </rPr>
      <t>胶乳</t>
    </r>
  </si>
  <si>
    <r>
      <rPr>
        <sz val="10"/>
        <color rgb="FF000000"/>
        <rFont val="Tahoma"/>
        <charset val="134"/>
      </rPr>
      <t>HZ-616S</t>
    </r>
    <r>
      <rPr>
        <sz val="10"/>
        <color rgb="FF000000"/>
        <rFont val="宋体"/>
        <charset val="134"/>
      </rPr>
      <t>胶乳（高）</t>
    </r>
    <r>
      <rPr>
        <sz val="10"/>
        <color rgb="FF000000"/>
        <rFont val="Tahoma"/>
        <charset val="134"/>
      </rPr>
      <t>,HZ-616S</t>
    </r>
  </si>
  <si>
    <t>HZ-6522</t>
  </si>
  <si>
    <t>HZ6505B</t>
  </si>
  <si>
    <r>
      <rPr>
        <sz val="10"/>
        <color rgb="FF000000"/>
        <rFont val="Tahoma"/>
        <charset val="134"/>
      </rPr>
      <t>HS-800</t>
    </r>
    <r>
      <rPr>
        <sz val="10"/>
        <color rgb="FF000000"/>
        <rFont val="宋体"/>
        <charset val="134"/>
      </rPr>
      <t>滑爽剂</t>
    </r>
  </si>
  <si>
    <r>
      <rPr>
        <sz val="10"/>
        <color rgb="FF000000"/>
        <rFont val="Tahoma"/>
        <charset val="134"/>
      </rPr>
      <t>LP51-03</t>
    </r>
    <r>
      <rPr>
        <sz val="10"/>
        <color indexed="8"/>
        <rFont val="宋体"/>
        <charset val="134"/>
      </rPr>
      <t>树脂</t>
    </r>
  </si>
  <si>
    <t>LY-900</t>
  </si>
  <si>
    <t>ME91240</t>
  </si>
  <si>
    <t>P91防腐剂（备防多）（1,2车间）</t>
  </si>
  <si>
    <r>
      <rPr>
        <sz val="10"/>
        <color rgb="FF000000"/>
        <rFont val="Tahoma"/>
        <charset val="134"/>
      </rPr>
      <t>FH</t>
    </r>
    <r>
      <rPr>
        <sz val="10"/>
        <color rgb="FF000000"/>
        <rFont val="宋体"/>
        <charset val="134"/>
      </rPr>
      <t>—</t>
    </r>
    <r>
      <rPr>
        <sz val="10"/>
        <color rgb="FF000000"/>
        <rFont val="Tahoma"/>
        <charset val="134"/>
      </rPr>
      <t>9100</t>
    </r>
    <r>
      <rPr>
        <sz val="10"/>
        <color rgb="FF000000"/>
        <rFont val="宋体"/>
        <charset val="134"/>
      </rPr>
      <t>防腐剂</t>
    </r>
  </si>
  <si>
    <r>
      <rPr>
        <sz val="10"/>
        <color rgb="FF000000"/>
        <rFont val="Tahoma"/>
        <charset val="134"/>
      </rPr>
      <t>PVA205</t>
    </r>
    <r>
      <rPr>
        <sz val="10"/>
        <color rgb="FF000000"/>
        <rFont val="宋体"/>
        <charset val="134"/>
      </rPr>
      <t>聚乙烯醇（</t>
    </r>
    <r>
      <rPr>
        <sz val="10"/>
        <color rgb="FF000000"/>
        <rFont val="Tahoma"/>
        <charset val="134"/>
      </rPr>
      <t>5-88</t>
    </r>
    <r>
      <rPr>
        <sz val="10"/>
        <color rgb="FF000000"/>
        <rFont val="宋体"/>
        <charset val="134"/>
      </rPr>
      <t>树脂）</t>
    </r>
  </si>
  <si>
    <t>PCDL-2000</t>
  </si>
  <si>
    <r>
      <rPr>
        <sz val="10"/>
        <color rgb="FF000000"/>
        <rFont val="Tahoma"/>
        <charset val="134"/>
      </rPr>
      <t>RXG-1154</t>
    </r>
    <r>
      <rPr>
        <sz val="10"/>
        <color rgb="FF000000"/>
        <rFont val="宋体"/>
        <charset val="134"/>
      </rPr>
      <t>助剂</t>
    </r>
  </si>
  <si>
    <r>
      <rPr>
        <sz val="10"/>
        <color rgb="FF000000"/>
        <rFont val="Tahoma"/>
        <charset val="134"/>
      </rPr>
      <t>RXG-3312</t>
    </r>
    <r>
      <rPr>
        <sz val="10"/>
        <color rgb="FF000000"/>
        <rFont val="宋体"/>
        <charset val="134"/>
      </rPr>
      <t>树脂</t>
    </r>
  </si>
  <si>
    <r>
      <rPr>
        <sz val="10"/>
        <color rgb="FF000000"/>
        <rFont val="Tahoma"/>
        <charset val="134"/>
      </rPr>
      <t>RXG-3314</t>
    </r>
    <r>
      <rPr>
        <sz val="10"/>
        <color rgb="FF000000"/>
        <rFont val="宋体"/>
        <charset val="134"/>
      </rPr>
      <t>树脂</t>
    </r>
  </si>
  <si>
    <r>
      <rPr>
        <sz val="10"/>
        <color rgb="FF000000"/>
        <rFont val="Tahoma"/>
        <charset val="134"/>
      </rPr>
      <t>S1580</t>
    </r>
    <r>
      <rPr>
        <sz val="10"/>
        <color rgb="FF000000"/>
        <rFont val="宋体"/>
        <charset val="134"/>
      </rPr>
      <t>树脂顺泓达</t>
    </r>
  </si>
  <si>
    <r>
      <rPr>
        <sz val="10"/>
        <color rgb="FF000000"/>
        <rFont val="Tahoma"/>
        <charset val="134"/>
      </rPr>
      <t>S-3280</t>
    </r>
    <r>
      <rPr>
        <sz val="10"/>
        <color indexed="8"/>
        <rFont val="宋体"/>
        <charset val="134"/>
      </rPr>
      <t>树脂顺泓达</t>
    </r>
  </si>
  <si>
    <r>
      <rPr>
        <sz val="10"/>
        <color rgb="FF000000"/>
        <rFont val="Tahoma"/>
        <charset val="134"/>
      </rPr>
      <t>S-4001</t>
    </r>
    <r>
      <rPr>
        <sz val="10"/>
        <color rgb="FF000000"/>
        <rFont val="宋体"/>
        <charset val="134"/>
      </rPr>
      <t>树脂顺泓达</t>
    </r>
  </si>
  <si>
    <r>
      <rPr>
        <sz val="10"/>
        <color indexed="8"/>
        <rFont val="Tahoma"/>
        <charset val="134"/>
      </rPr>
      <t>S-70</t>
    </r>
    <r>
      <rPr>
        <sz val="10"/>
        <color indexed="8"/>
        <rFont val="宋体"/>
        <charset val="134"/>
      </rPr>
      <t>树脂亚利</t>
    </r>
  </si>
  <si>
    <t>S-8006树脂</t>
  </si>
  <si>
    <t>S-728</t>
  </si>
  <si>
    <t>S888</t>
  </si>
  <si>
    <t>S-90树脂，S-94</t>
  </si>
  <si>
    <r>
      <rPr>
        <sz val="10"/>
        <color rgb="FF000000"/>
        <rFont val="Tahoma"/>
        <charset val="134"/>
      </rPr>
      <t>SD-902</t>
    </r>
    <r>
      <rPr>
        <sz val="10"/>
        <color rgb="FF000000"/>
        <rFont val="宋体"/>
        <charset val="134"/>
      </rPr>
      <t>胶水</t>
    </r>
  </si>
  <si>
    <r>
      <rPr>
        <sz val="10"/>
        <color rgb="FF000000"/>
        <rFont val="Tahoma"/>
        <charset val="134"/>
      </rPr>
      <t>SD8758</t>
    </r>
    <r>
      <rPr>
        <sz val="10"/>
        <color rgb="FF000000"/>
        <rFont val="宋体"/>
        <charset val="134"/>
      </rPr>
      <t>胶水</t>
    </r>
  </si>
  <si>
    <t>SH-2800</t>
  </si>
  <si>
    <t>SH-9069</t>
  </si>
  <si>
    <r>
      <rPr>
        <sz val="10"/>
        <color rgb="FF000000"/>
        <rFont val="Tahoma"/>
        <charset val="134"/>
      </rPr>
      <t>SE-F</t>
    </r>
    <r>
      <rPr>
        <sz val="10"/>
        <color indexed="8"/>
        <rFont val="宋体"/>
        <charset val="134"/>
      </rPr>
      <t>消泡剂</t>
    </r>
  </si>
  <si>
    <t>V3000</t>
  </si>
  <si>
    <r>
      <rPr>
        <sz val="10"/>
        <color rgb="FF000000"/>
        <rFont val="Tahoma"/>
        <charset val="134"/>
      </rPr>
      <t>WA2228A</t>
    </r>
    <r>
      <rPr>
        <sz val="10"/>
        <color rgb="FF000000"/>
        <rFont val="宋体"/>
        <charset val="134"/>
      </rPr>
      <t>光油</t>
    </r>
  </si>
  <si>
    <t>X-405乙烯醚</t>
  </si>
  <si>
    <t>YJ-111树脂</t>
  </si>
  <si>
    <t>YS-8713</t>
  </si>
  <si>
    <t>YS-8715</t>
  </si>
  <si>
    <t>氨水（1,2车间）</t>
  </si>
  <si>
    <t>保险粉</t>
  </si>
  <si>
    <t>苯乙烯</t>
  </si>
  <si>
    <t>甲醚丙酸脂(PMP，慢干溶剂)</t>
  </si>
  <si>
    <t>丙烯酸</t>
  </si>
  <si>
    <t>醋酸乙脂</t>
  </si>
  <si>
    <t>丁酮(稀释剂10)</t>
  </si>
  <si>
    <t>丙烯酸丁脂</t>
  </si>
  <si>
    <t>吨桶（1000L）</t>
  </si>
  <si>
    <t>过硫酸铵</t>
  </si>
  <si>
    <t>甲基丙烯酸甲脂</t>
  </si>
  <si>
    <t>丙二醇甲醚（PM）</t>
  </si>
  <si>
    <t>酒精</t>
  </si>
  <si>
    <t>叔丁过氧化氢</t>
  </si>
  <si>
    <t>塑料袋</t>
  </si>
  <si>
    <t>硝化棉1/4</t>
  </si>
  <si>
    <t>硝化棉1/8</t>
  </si>
  <si>
    <t>异辛脂</t>
  </si>
  <si>
    <t>正丙脂</t>
  </si>
  <si>
    <t>正丁脂</t>
  </si>
  <si>
    <t>消光粉</t>
  </si>
  <si>
    <t>哑光粉</t>
  </si>
  <si>
    <t>硫酸</t>
  </si>
  <si>
    <t>喻教授材料</t>
  </si>
  <si>
    <t>白乳胶</t>
  </si>
  <si>
    <t>异丙醇（1车间）</t>
  </si>
  <si>
    <t>14丁二醇</t>
  </si>
  <si>
    <t>异丙醇（1，2车间）</t>
  </si>
  <si>
    <t>二异氰酸酯</t>
  </si>
  <si>
    <t>二羧甲基丙酸（DMPA）</t>
  </si>
  <si>
    <t>辛酸亚锡（T-9）</t>
  </si>
  <si>
    <t>三羟甲基丙烷（TMP）</t>
  </si>
  <si>
    <t>聚酯多元醇（HDPOL）</t>
  </si>
  <si>
    <t>甲甲脂（MMA）</t>
  </si>
  <si>
    <t>二甲基乙醇胺</t>
  </si>
  <si>
    <t>烧碱（氢氧化钠）</t>
  </si>
  <si>
    <t>三乙烯四胺</t>
  </si>
  <si>
    <t>二甲基甲酰胺(DMF)</t>
  </si>
  <si>
    <t>水合肼</t>
  </si>
  <si>
    <t>内胆1000L</t>
  </si>
  <si>
    <t>内胆（无阀门）1000L</t>
  </si>
  <si>
    <t>吨桶内衬袋</t>
  </si>
  <si>
    <t>合计</t>
  </si>
  <si>
    <t>江西辙炜2019年7月份材料报表</t>
    <phoneticPr fontId="3" type="noConversion"/>
  </si>
  <si>
    <t>时间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</si>
</sst>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0.00_ "/>
    <numFmt numFmtId="177" formatCode="0.00_);[Red]\(0.00\)"/>
    <numFmt numFmtId="178" formatCode="0.00_ "/>
  </numFmts>
  <fonts count="18" x14ac:knownFonts="1">
    <font>
      <sz val="12"/>
      <color theme="1"/>
      <name val="宋体"/>
      <family val="2"/>
      <charset val="134"/>
      <scheme val="minor"/>
    </font>
    <font>
      <sz val="11"/>
      <color indexed="8"/>
      <name val="Tahoma"/>
      <charset val="134"/>
    </font>
    <font>
      <b/>
      <sz val="28"/>
      <color indexed="8"/>
      <name val="宋体"/>
      <charset val="134"/>
    </font>
    <font>
      <sz val="9"/>
      <name val="宋体"/>
      <family val="2"/>
      <charset val="134"/>
      <scheme val="minor"/>
    </font>
    <font>
      <sz val="28"/>
      <color indexed="8"/>
      <name val="Tahoma"/>
      <charset val="134"/>
    </font>
    <font>
      <b/>
      <sz val="28"/>
      <color indexed="8"/>
      <name val="Tahoma"/>
      <charset val="134"/>
    </font>
    <font>
      <b/>
      <sz val="10"/>
      <color indexed="8"/>
      <name val="宋体"/>
      <charset val="134"/>
    </font>
    <font>
      <sz val="10"/>
      <color indexed="8"/>
      <name val="宋体"/>
      <charset val="134"/>
    </font>
    <font>
      <b/>
      <sz val="10"/>
      <color indexed="8"/>
      <name val="Tahoma"/>
      <charset val="134"/>
    </font>
    <font>
      <b/>
      <sz val="10"/>
      <color rgb="FF000000"/>
      <name val="宋体"/>
      <charset val="134"/>
    </font>
    <font>
      <sz val="10"/>
      <color rgb="FF000000"/>
      <name val="Tahoma"/>
      <charset val="134"/>
    </font>
    <font>
      <sz val="10"/>
      <color rgb="FF000000"/>
      <name val="宋体"/>
      <charset val="134"/>
    </font>
    <font>
      <b/>
      <sz val="10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indexed="8"/>
      <name val="Tahoma"/>
      <charset val="134"/>
    </font>
    <font>
      <sz val="10"/>
      <name val="宋体"/>
      <charset val="134"/>
      <scheme val="minor"/>
    </font>
    <font>
      <sz val="9"/>
      <name val="宋体"/>
      <charset val="134"/>
    </font>
    <font>
      <b/>
      <sz val="9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40">
    <xf numFmtId="0" fontId="0" fillId="0" borderId="0" xfId="0"/>
    <xf numFmtId="0" fontId="2" fillId="2" borderId="1" xfId="1" applyFont="1" applyFill="1" applyBorder="1" applyAlignment="1">
      <alignment horizontal="center"/>
    </xf>
    <xf numFmtId="0" fontId="4" fillId="2" borderId="1" xfId="1" applyFont="1" applyFill="1" applyBorder="1" applyAlignment="1">
      <alignment horizontal="center" wrapText="1"/>
    </xf>
    <xf numFmtId="176" fontId="5" fillId="2" borderId="1" xfId="1" applyNumberFormat="1" applyFont="1" applyFill="1" applyBorder="1" applyAlignment="1">
      <alignment horizontal="center"/>
    </xf>
    <xf numFmtId="176" fontId="5" fillId="0" borderId="1" xfId="1" applyNumberFormat="1" applyFont="1" applyFill="1" applyBorder="1" applyAlignment="1">
      <alignment horizontal="center"/>
    </xf>
    <xf numFmtId="0" fontId="7" fillId="2" borderId="1" xfId="1" applyNumberFormat="1" applyFont="1" applyFill="1" applyBorder="1" applyAlignment="1">
      <alignment horizontal="center" wrapText="1"/>
    </xf>
    <xf numFmtId="176" fontId="6" fillId="2" borderId="1" xfId="1" applyNumberFormat="1" applyFont="1" applyFill="1" applyBorder="1" applyAlignment="1">
      <alignment horizontal="center"/>
    </xf>
    <xf numFmtId="176" fontId="8" fillId="2" borderId="1" xfId="1" applyNumberFormat="1" applyFont="1" applyFill="1" applyBorder="1" applyAlignment="1">
      <alignment horizontal="center"/>
    </xf>
    <xf numFmtId="176" fontId="6" fillId="0" borderId="1" xfId="1" applyNumberFormat="1" applyFont="1" applyFill="1" applyBorder="1" applyAlignment="1">
      <alignment horizontal="center"/>
    </xf>
    <xf numFmtId="176" fontId="8" fillId="0" borderId="1" xfId="1" applyNumberFormat="1" applyFont="1" applyFill="1" applyBorder="1" applyAlignment="1">
      <alignment horizontal="center"/>
    </xf>
    <xf numFmtId="176" fontId="9" fillId="0" borderId="1" xfId="1" applyNumberFormat="1" applyFont="1" applyFill="1" applyBorder="1" applyAlignment="1">
      <alignment horizontal="center"/>
    </xf>
    <xf numFmtId="176" fontId="6" fillId="2" borderId="1" xfId="1" applyNumberFormat="1" applyFont="1" applyFill="1" applyBorder="1" applyAlignment="1">
      <alignment horizontal="center"/>
    </xf>
    <xf numFmtId="176" fontId="6" fillId="2" borderId="1" xfId="1" applyNumberFormat="1" applyFont="1" applyFill="1" applyBorder="1" applyAlignment="1"/>
    <xf numFmtId="176" fontId="6" fillId="0" borderId="1" xfId="1" applyNumberFormat="1" applyFont="1" applyFill="1" applyBorder="1" applyAlignment="1"/>
    <xf numFmtId="0" fontId="8" fillId="2" borderId="1" xfId="1" applyNumberFormat="1" applyFont="1" applyFill="1" applyBorder="1" applyAlignment="1">
      <alignment horizontal="center"/>
    </xf>
    <xf numFmtId="0" fontId="10" fillId="2" borderId="1" xfId="1" applyFont="1" applyFill="1" applyBorder="1" applyAlignment="1">
      <alignment wrapText="1"/>
    </xf>
    <xf numFmtId="176" fontId="12" fillId="2" borderId="1" xfId="0" applyNumberFormat="1" applyFont="1" applyFill="1" applyBorder="1" applyAlignment="1">
      <alignment vertical="center"/>
    </xf>
    <xf numFmtId="176" fontId="13" fillId="2" borderId="1" xfId="0" applyNumberFormat="1" applyFont="1" applyFill="1" applyBorder="1" applyAlignment="1">
      <alignment vertical="center"/>
    </xf>
    <xf numFmtId="176" fontId="13" fillId="0" borderId="1" xfId="0" applyNumberFormat="1" applyFont="1" applyFill="1" applyBorder="1" applyAlignment="1">
      <alignment vertical="center"/>
    </xf>
    <xf numFmtId="176" fontId="12" fillId="0" borderId="1" xfId="0" applyNumberFormat="1" applyFont="1" applyFill="1" applyBorder="1" applyAlignment="1">
      <alignment vertical="center"/>
    </xf>
    <xf numFmtId="0" fontId="14" fillId="2" borderId="1" xfId="1" applyFont="1" applyFill="1" applyBorder="1" applyAlignment="1">
      <alignment wrapText="1"/>
    </xf>
    <xf numFmtId="0" fontId="10" fillId="3" borderId="1" xfId="1" applyFont="1" applyFill="1" applyBorder="1" applyAlignment="1">
      <alignment wrapText="1"/>
    </xf>
    <xf numFmtId="0" fontId="14" fillId="3" borderId="1" xfId="1" applyFont="1" applyFill="1" applyBorder="1" applyAlignment="1">
      <alignment wrapText="1"/>
    </xf>
    <xf numFmtId="176" fontId="15" fillId="0" borderId="1" xfId="0" applyNumberFormat="1" applyFont="1" applyFill="1" applyBorder="1" applyAlignment="1">
      <alignment vertical="center"/>
    </xf>
    <xf numFmtId="177" fontId="7" fillId="3" borderId="1" xfId="2" applyNumberFormat="1" applyFont="1" applyFill="1" applyBorder="1" applyAlignment="1">
      <alignment wrapText="1"/>
    </xf>
    <xf numFmtId="0" fontId="7" fillId="3" borderId="1" xfId="1" applyFont="1" applyFill="1" applyBorder="1" applyAlignment="1">
      <alignment wrapText="1"/>
    </xf>
    <xf numFmtId="0" fontId="10" fillId="2" borderId="1" xfId="1" applyFont="1" applyFill="1" applyBorder="1" applyAlignment="1">
      <alignment horizontal="left" wrapText="1"/>
    </xf>
    <xf numFmtId="0" fontId="10" fillId="4" borderId="1" xfId="1" applyFont="1" applyFill="1" applyBorder="1" applyAlignment="1">
      <alignment horizontal="left" wrapText="1"/>
    </xf>
    <xf numFmtId="0" fontId="14" fillId="2" borderId="1" xfId="1" applyFont="1" applyFill="1" applyBorder="1" applyAlignment="1">
      <alignment horizontal="left" wrapText="1"/>
    </xf>
    <xf numFmtId="0" fontId="10" fillId="4" borderId="1" xfId="1" applyFont="1" applyFill="1" applyBorder="1" applyAlignment="1">
      <alignment wrapText="1"/>
    </xf>
    <xf numFmtId="176" fontId="0" fillId="0" borderId="1" xfId="0" applyNumberFormat="1" applyFill="1" applyBorder="1" applyAlignment="1">
      <alignment horizontal="center" vertical="center"/>
    </xf>
    <xf numFmtId="176" fontId="0" fillId="0" borderId="1" xfId="0" applyNumberFormat="1" applyFill="1" applyBorder="1" applyAlignment="1">
      <alignment vertical="center"/>
    </xf>
    <xf numFmtId="0" fontId="7" fillId="2" borderId="1" xfId="1" applyNumberFormat="1" applyFont="1" applyFill="1" applyBorder="1" applyAlignment="1">
      <alignment wrapText="1"/>
    </xf>
    <xf numFmtId="178" fontId="0" fillId="0" borderId="1" xfId="0" applyNumberFormat="1" applyFill="1" applyBorder="1" applyAlignment="1">
      <alignment vertical="center"/>
    </xf>
    <xf numFmtId="0" fontId="14" fillId="0" borderId="1" xfId="1" applyFont="1" applyFill="1" applyBorder="1" applyAlignment="1">
      <alignment wrapText="1"/>
    </xf>
    <xf numFmtId="0" fontId="7" fillId="2" borderId="1" xfId="1" applyFont="1" applyFill="1" applyBorder="1" applyAlignment="1">
      <alignment wrapText="1"/>
    </xf>
    <xf numFmtId="0" fontId="7" fillId="0" borderId="1" xfId="1" applyFont="1" applyFill="1" applyBorder="1" applyAlignment="1">
      <alignment wrapText="1"/>
    </xf>
    <xf numFmtId="0" fontId="7" fillId="3" borderId="1" xfId="1" applyNumberFormat="1" applyFont="1" applyFill="1" applyBorder="1" applyAlignment="1">
      <alignment wrapText="1"/>
    </xf>
    <xf numFmtId="0" fontId="6" fillId="2" borderId="2" xfId="1" applyNumberFormat="1" applyFont="1" applyFill="1" applyBorder="1" applyAlignment="1">
      <alignment horizontal="center"/>
    </xf>
    <xf numFmtId="0" fontId="6" fillId="2" borderId="3" xfId="1" applyNumberFormat="1" applyFont="1" applyFill="1" applyBorder="1" applyAlignment="1">
      <alignment horizontal="center"/>
    </xf>
  </cellXfs>
  <cellStyles count="3">
    <cellStyle name="常规 2 2 4" xfId="2"/>
    <cellStyle name="常规_Sheet1" xfId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161"/>
  <sheetViews>
    <sheetView tabSelected="1" workbookViewId="0">
      <selection activeCell="A4" sqref="A4:XFD4"/>
    </sheetView>
  </sheetViews>
  <sheetFormatPr baseColWidth="10" defaultRowHeight="15" x14ac:dyDescent="0"/>
  <cols>
    <col min="5" max="5" width="10.83203125" customWidth="1"/>
    <col min="8" max="8" width="10.83203125" customWidth="1"/>
    <col min="11" max="11" width="10.83203125" customWidth="1"/>
    <col min="14" max="14" width="10.83203125" customWidth="1"/>
    <col min="21" max="21" width="10.83203125" customWidth="1"/>
  </cols>
  <sheetData>
    <row r="1" spans="1:21" ht="35">
      <c r="A1" s="1" t="s">
        <v>167</v>
      </c>
      <c r="B1" s="2"/>
      <c r="C1" s="3"/>
      <c r="D1" s="3"/>
      <c r="E1" s="3"/>
      <c r="F1" s="4"/>
      <c r="G1" s="4"/>
      <c r="H1" s="4"/>
      <c r="I1" s="3"/>
      <c r="J1" s="3"/>
      <c r="K1" s="3"/>
      <c r="L1" s="4"/>
      <c r="M1" s="4"/>
      <c r="N1" s="4"/>
      <c r="O1" s="4"/>
      <c r="P1" s="4"/>
      <c r="Q1" s="4"/>
      <c r="R1" s="4"/>
      <c r="S1" s="4"/>
      <c r="T1" s="3"/>
      <c r="U1" s="3"/>
    </row>
    <row r="2" spans="1:21">
      <c r="A2" s="38" t="s">
        <v>168</v>
      </c>
      <c r="B2" s="5" t="s">
        <v>0</v>
      </c>
      <c r="C2" s="6" t="s">
        <v>1</v>
      </c>
      <c r="D2" s="7"/>
      <c r="E2" s="7"/>
      <c r="F2" s="8" t="s">
        <v>2</v>
      </c>
      <c r="G2" s="9"/>
      <c r="H2" s="9"/>
      <c r="I2" s="6" t="s">
        <v>3</v>
      </c>
      <c r="J2" s="7"/>
      <c r="K2" s="7"/>
      <c r="L2" s="8" t="s">
        <v>4</v>
      </c>
      <c r="M2" s="9"/>
      <c r="N2" s="9"/>
      <c r="O2" s="10" t="s">
        <v>5</v>
      </c>
      <c r="P2" s="9"/>
      <c r="Q2" s="10" t="s">
        <v>6</v>
      </c>
      <c r="R2" s="9"/>
      <c r="S2" s="8" t="s">
        <v>7</v>
      </c>
      <c r="T2" s="6"/>
      <c r="U2" s="6"/>
    </row>
    <row r="3" spans="1:21">
      <c r="A3" s="39"/>
      <c r="B3" s="5"/>
      <c r="C3" s="11" t="s">
        <v>8</v>
      </c>
      <c r="D3" s="12" t="s">
        <v>9</v>
      </c>
      <c r="E3" s="12" t="s">
        <v>10</v>
      </c>
      <c r="F3" s="13" t="s">
        <v>8</v>
      </c>
      <c r="G3" s="13" t="s">
        <v>9</v>
      </c>
      <c r="H3" s="13" t="s">
        <v>10</v>
      </c>
      <c r="I3" s="12" t="s">
        <v>8</v>
      </c>
      <c r="J3" s="12" t="s">
        <v>9</v>
      </c>
      <c r="K3" s="12" t="s">
        <v>10</v>
      </c>
      <c r="L3" s="13" t="s">
        <v>8</v>
      </c>
      <c r="M3" s="13" t="s">
        <v>9</v>
      </c>
      <c r="N3" s="13" t="s">
        <v>10</v>
      </c>
      <c r="O3" s="13" t="s">
        <v>8</v>
      </c>
      <c r="P3" s="13" t="s">
        <v>10</v>
      </c>
      <c r="Q3" s="13" t="s">
        <v>8</v>
      </c>
      <c r="R3" s="13" t="s">
        <v>10</v>
      </c>
      <c r="S3" s="13" t="s">
        <v>8</v>
      </c>
      <c r="T3" s="12" t="s">
        <v>9</v>
      </c>
      <c r="U3" s="12" t="s">
        <v>10</v>
      </c>
    </row>
    <row r="4" spans="1:21">
      <c r="A4" s="14"/>
      <c r="B4" s="15" t="s">
        <v>11</v>
      </c>
      <c r="C4" s="16">
        <v>-4.9999999999998899E-3</v>
      </c>
      <c r="D4" s="17"/>
      <c r="E4" s="16">
        <v>1.53305655001645E-3</v>
      </c>
      <c r="F4" s="18"/>
      <c r="G4" s="18"/>
      <c r="H4" s="18"/>
      <c r="I4" s="16">
        <f>C4+F4</f>
        <v>-4.9999999999998899E-3</v>
      </c>
      <c r="J4" s="17">
        <f t="shared" ref="J4:J67" si="0">K4/I4</f>
        <v>-0.30661131000329678</v>
      </c>
      <c r="K4" s="17">
        <f>E4+H4</f>
        <v>1.53305655001645E-3</v>
      </c>
      <c r="L4" s="19"/>
      <c r="M4" s="18"/>
      <c r="N4" s="18"/>
      <c r="O4" s="18"/>
      <c r="P4" s="18"/>
      <c r="Q4" s="18"/>
      <c r="R4" s="18"/>
      <c r="S4" s="18">
        <f>I4-L4-O4-Q4</f>
        <v>-4.9999999999998899E-3</v>
      </c>
      <c r="T4" s="17"/>
      <c r="U4" s="17">
        <f>K4-N4-P4-R4</f>
        <v>1.53305655001645E-3</v>
      </c>
    </row>
    <row r="5" spans="1:21">
      <c r="A5" s="14"/>
      <c r="B5" s="15" t="s">
        <v>12</v>
      </c>
      <c r="C5" s="16">
        <v>137.17500000000001</v>
      </c>
      <c r="D5" s="17"/>
      <c r="E5" s="16">
        <v>10974</v>
      </c>
      <c r="F5" s="18"/>
      <c r="G5" s="18"/>
      <c r="H5" s="18"/>
      <c r="I5" s="16">
        <f>C5+F5</f>
        <v>137.17500000000001</v>
      </c>
      <c r="J5" s="17">
        <f t="shared" si="0"/>
        <v>80</v>
      </c>
      <c r="K5" s="17">
        <f>E5+H5</f>
        <v>10974</v>
      </c>
      <c r="L5" s="19">
        <v>38.174999999999997</v>
      </c>
      <c r="M5" s="18"/>
      <c r="N5" s="18">
        <v>3054</v>
      </c>
      <c r="O5" s="18"/>
      <c r="P5" s="18"/>
      <c r="Q5" s="18"/>
      <c r="R5" s="18"/>
      <c r="S5" s="18">
        <f>I5-L5-O5-Q5</f>
        <v>99.000000000000014</v>
      </c>
      <c r="T5" s="17"/>
      <c r="U5" s="17">
        <f>K5-N5-P5-R5</f>
        <v>7920</v>
      </c>
    </row>
    <row r="6" spans="1:21">
      <c r="A6" s="14"/>
      <c r="B6" s="20" t="s">
        <v>13</v>
      </c>
      <c r="C6" s="16">
        <v>27</v>
      </c>
      <c r="D6" s="17"/>
      <c r="E6" s="16">
        <v>1155.78</v>
      </c>
      <c r="F6" s="18"/>
      <c r="G6" s="18"/>
      <c r="H6" s="18"/>
      <c r="I6" s="16">
        <f>C6+F6</f>
        <v>27</v>
      </c>
      <c r="J6" s="17">
        <f t="shared" si="0"/>
        <v>42.806666666666665</v>
      </c>
      <c r="K6" s="17">
        <f>E6+H6</f>
        <v>1155.78</v>
      </c>
      <c r="L6" s="19">
        <v>4</v>
      </c>
      <c r="M6" s="18"/>
      <c r="N6" s="18">
        <v>171.23</v>
      </c>
      <c r="O6" s="18"/>
      <c r="P6" s="18"/>
      <c r="Q6" s="18"/>
      <c r="R6" s="18"/>
      <c r="S6" s="18">
        <f>I6-L6-O6-Q6</f>
        <v>23</v>
      </c>
      <c r="T6" s="17"/>
      <c r="U6" s="17">
        <f>K6-N6-P6-R6</f>
        <v>984.55</v>
      </c>
    </row>
    <row r="7" spans="1:21">
      <c r="A7" s="14"/>
      <c r="B7" s="15" t="s">
        <v>14</v>
      </c>
      <c r="C7" s="16">
        <v>16</v>
      </c>
      <c r="D7" s="17"/>
      <c r="E7" s="16">
        <v>1459.04</v>
      </c>
      <c r="F7" s="18">
        <v>120</v>
      </c>
      <c r="G7" s="18"/>
      <c r="H7" s="18">
        <v>10800</v>
      </c>
      <c r="I7" s="16">
        <f>C7+F7</f>
        <v>136</v>
      </c>
      <c r="J7" s="17">
        <f t="shared" si="0"/>
        <v>90.14</v>
      </c>
      <c r="K7" s="17">
        <f>E7+H7</f>
        <v>12259.04</v>
      </c>
      <c r="L7" s="19">
        <v>60</v>
      </c>
      <c r="M7" s="18"/>
      <c r="N7" s="18">
        <v>5408.4</v>
      </c>
      <c r="O7" s="18"/>
      <c r="P7" s="18"/>
      <c r="Q7" s="18"/>
      <c r="R7" s="18"/>
      <c r="S7" s="18">
        <f>I7-L7-O7-Q7</f>
        <v>76</v>
      </c>
      <c r="T7" s="17"/>
      <c r="U7" s="17">
        <f>K7-N7-P7-R7</f>
        <v>6850.6400000000012</v>
      </c>
    </row>
    <row r="8" spans="1:21">
      <c r="A8" s="14"/>
      <c r="B8" s="20" t="s">
        <v>15</v>
      </c>
      <c r="C8" s="16">
        <v>100</v>
      </c>
      <c r="D8" s="17"/>
      <c r="E8" s="16">
        <v>40000.03</v>
      </c>
      <c r="F8" s="18"/>
      <c r="G8" s="18"/>
      <c r="H8" s="18"/>
      <c r="I8" s="16">
        <f>C8+F8</f>
        <v>100</v>
      </c>
      <c r="J8" s="17">
        <f t="shared" si="0"/>
        <v>400.00029999999998</v>
      </c>
      <c r="K8" s="17">
        <f>E8+H8</f>
        <v>40000.03</v>
      </c>
      <c r="L8" s="19"/>
      <c r="M8" s="18"/>
      <c r="N8" s="18"/>
      <c r="O8" s="18"/>
      <c r="P8" s="18"/>
      <c r="Q8" s="18"/>
      <c r="R8" s="18"/>
      <c r="S8" s="18">
        <f>I8-L8-O8-Q8</f>
        <v>100</v>
      </c>
      <c r="T8" s="17"/>
      <c r="U8" s="17">
        <f>K8-N8-P8-R8</f>
        <v>40000.03</v>
      </c>
    </row>
    <row r="9" spans="1:21">
      <c r="A9" s="14"/>
      <c r="B9" s="15" t="s">
        <v>16</v>
      </c>
      <c r="C9" s="16">
        <v>174</v>
      </c>
      <c r="D9" s="17"/>
      <c r="E9" s="16">
        <v>92768.22</v>
      </c>
      <c r="F9" s="18"/>
      <c r="G9" s="18"/>
      <c r="H9" s="18"/>
      <c r="I9" s="16">
        <f>C9+F9</f>
        <v>174</v>
      </c>
      <c r="J9" s="17">
        <f t="shared" si="0"/>
        <v>533.15068965517241</v>
      </c>
      <c r="K9" s="17">
        <f>E9+H9</f>
        <v>92768.22</v>
      </c>
      <c r="L9" s="19"/>
      <c r="M9" s="18"/>
      <c r="N9" s="18"/>
      <c r="O9" s="18"/>
      <c r="P9" s="18"/>
      <c r="Q9" s="18"/>
      <c r="R9" s="18"/>
      <c r="S9" s="18">
        <f>I9-L9-O9-Q9</f>
        <v>174</v>
      </c>
      <c r="T9" s="17"/>
      <c r="U9" s="17">
        <f>K9-N9-P9-R9</f>
        <v>92768.22</v>
      </c>
    </row>
    <row r="10" spans="1:21">
      <c r="A10" s="14"/>
      <c r="B10" s="15" t="s">
        <v>17</v>
      </c>
      <c r="C10" s="16">
        <v>305</v>
      </c>
      <c r="D10" s="17"/>
      <c r="E10" s="16">
        <v>8402.625</v>
      </c>
      <c r="F10" s="18"/>
      <c r="G10" s="18"/>
      <c r="H10" s="18"/>
      <c r="I10" s="16">
        <f>C10+F10</f>
        <v>305</v>
      </c>
      <c r="J10" s="17">
        <f t="shared" si="0"/>
        <v>27.549590163934425</v>
      </c>
      <c r="K10" s="17">
        <f>E10+H10</f>
        <v>8402.625</v>
      </c>
      <c r="L10" s="19">
        <v>200</v>
      </c>
      <c r="M10" s="18"/>
      <c r="N10" s="18">
        <v>5510</v>
      </c>
      <c r="O10" s="18"/>
      <c r="P10" s="18"/>
      <c r="Q10" s="18"/>
      <c r="R10" s="18"/>
      <c r="S10" s="18">
        <f>I10-L10-O10-Q10</f>
        <v>105</v>
      </c>
      <c r="T10" s="17"/>
      <c r="U10" s="17">
        <f>K10-N10-P10-R10</f>
        <v>2892.625</v>
      </c>
    </row>
    <row r="11" spans="1:21">
      <c r="A11" s="14"/>
      <c r="B11" s="15" t="s">
        <v>18</v>
      </c>
      <c r="C11" s="16">
        <v>5160</v>
      </c>
      <c r="D11" s="17"/>
      <c r="E11" s="16">
        <v>41292.347507259001</v>
      </c>
      <c r="F11" s="18"/>
      <c r="G11" s="18"/>
      <c r="H11" s="18"/>
      <c r="I11" s="16">
        <f>C11+F11</f>
        <v>5160</v>
      </c>
      <c r="J11" s="17">
        <f t="shared" si="0"/>
        <v>8.0023929277633723</v>
      </c>
      <c r="K11" s="17">
        <f>E11+H11</f>
        <v>41292.347507259001</v>
      </c>
      <c r="L11" s="19">
        <v>5160</v>
      </c>
      <c r="M11" s="18"/>
      <c r="N11" s="18">
        <f>41280</f>
        <v>41280</v>
      </c>
      <c r="O11" s="18"/>
      <c r="P11" s="18"/>
      <c r="Q11" s="18"/>
      <c r="R11" s="18"/>
      <c r="S11" s="18">
        <f>I11-L11-O11-Q11</f>
        <v>0</v>
      </c>
      <c r="T11" s="17"/>
      <c r="U11" s="17">
        <f>K11-N11-P11-R11</f>
        <v>12.347507259000849</v>
      </c>
    </row>
    <row r="12" spans="1:21">
      <c r="A12" s="14"/>
      <c r="B12" s="20" t="s">
        <v>19</v>
      </c>
      <c r="C12" s="16">
        <v>0</v>
      </c>
      <c r="D12" s="17"/>
      <c r="E12" s="16">
        <v>0</v>
      </c>
      <c r="F12" s="18"/>
      <c r="G12" s="18"/>
      <c r="H12" s="18"/>
      <c r="I12" s="16">
        <f>C12+F12</f>
        <v>0</v>
      </c>
      <c r="J12" s="17" t="e">
        <f t="shared" si="0"/>
        <v>#DIV/0!</v>
      </c>
      <c r="K12" s="17">
        <f>E12+H12</f>
        <v>0</v>
      </c>
      <c r="L12" s="19"/>
      <c r="M12" s="18"/>
      <c r="N12" s="18"/>
      <c r="O12" s="18"/>
      <c r="P12" s="18"/>
      <c r="Q12" s="18"/>
      <c r="R12" s="18"/>
      <c r="S12" s="18">
        <f>I12-L12-O12-Q12</f>
        <v>0</v>
      </c>
      <c r="T12" s="17"/>
      <c r="U12" s="17">
        <f>K12-N12-P12-R12</f>
        <v>0</v>
      </c>
    </row>
    <row r="13" spans="1:21">
      <c r="A13" s="14"/>
      <c r="B13" s="15" t="s">
        <v>20</v>
      </c>
      <c r="C13" s="16">
        <v>4.9999999999954499E-3</v>
      </c>
      <c r="D13" s="17"/>
      <c r="E13" s="16">
        <v>1.7699690004159799E-3</v>
      </c>
      <c r="F13" s="18"/>
      <c r="G13" s="18"/>
      <c r="H13" s="18"/>
      <c r="I13" s="16">
        <f>C13+F13</f>
        <v>4.9999999999954499E-3</v>
      </c>
      <c r="J13" s="17">
        <f t="shared" si="0"/>
        <v>0.35399380008351811</v>
      </c>
      <c r="K13" s="17">
        <f>E13+H13</f>
        <v>1.7699690004159799E-3</v>
      </c>
      <c r="L13" s="19"/>
      <c r="M13" s="18"/>
      <c r="N13" s="18"/>
      <c r="O13" s="18"/>
      <c r="P13" s="18"/>
      <c r="Q13" s="18"/>
      <c r="R13" s="18"/>
      <c r="S13" s="18">
        <f>I13-L13-O13-Q13</f>
        <v>4.9999999999954499E-3</v>
      </c>
      <c r="T13" s="17"/>
      <c r="U13" s="17">
        <f>K13-N13-P13-R13</f>
        <v>1.7699690004159799E-3</v>
      </c>
    </row>
    <row r="14" spans="1:21">
      <c r="A14" s="14"/>
      <c r="B14" s="20" t="s">
        <v>21</v>
      </c>
      <c r="C14" s="16">
        <v>400</v>
      </c>
      <c r="D14" s="17"/>
      <c r="E14" s="16">
        <v>4000</v>
      </c>
      <c r="F14" s="18"/>
      <c r="G14" s="18"/>
      <c r="H14" s="18"/>
      <c r="I14" s="16">
        <f>C14+F14</f>
        <v>400</v>
      </c>
      <c r="J14" s="17">
        <f t="shared" si="0"/>
        <v>10</v>
      </c>
      <c r="K14" s="17">
        <f>E14+H14</f>
        <v>4000</v>
      </c>
      <c r="L14" s="19"/>
      <c r="M14" s="18"/>
      <c r="N14" s="18"/>
      <c r="O14" s="18"/>
      <c r="P14" s="18"/>
      <c r="Q14" s="18"/>
      <c r="R14" s="18"/>
      <c r="S14" s="18">
        <f>I14-L14-O14-Q14</f>
        <v>400</v>
      </c>
      <c r="T14" s="17"/>
      <c r="U14" s="17">
        <f>K14-N14-P14-R14</f>
        <v>4000</v>
      </c>
    </row>
    <row r="15" spans="1:21">
      <c r="A15" s="14"/>
      <c r="B15" s="21" t="s">
        <v>22</v>
      </c>
      <c r="C15" s="16">
        <v>8</v>
      </c>
      <c r="D15" s="17"/>
      <c r="E15" s="16">
        <v>20.56</v>
      </c>
      <c r="F15" s="18"/>
      <c r="G15" s="18"/>
      <c r="H15" s="18"/>
      <c r="I15" s="16">
        <f>C15+F15</f>
        <v>8</v>
      </c>
      <c r="J15" s="17">
        <f t="shared" si="0"/>
        <v>2.57</v>
      </c>
      <c r="K15" s="17">
        <f>E15+H15</f>
        <v>20.56</v>
      </c>
      <c r="L15" s="19"/>
      <c r="M15" s="18"/>
      <c r="N15" s="18"/>
      <c r="O15" s="18"/>
      <c r="P15" s="18"/>
      <c r="Q15" s="18"/>
      <c r="R15" s="18"/>
      <c r="S15" s="18">
        <f>I15-L15-O15-Q15</f>
        <v>8</v>
      </c>
      <c r="T15" s="17"/>
      <c r="U15" s="17">
        <f>K15-N15-P15-R15</f>
        <v>20.56</v>
      </c>
    </row>
    <row r="16" spans="1:21">
      <c r="A16" s="14"/>
      <c r="B16" s="21" t="s">
        <v>23</v>
      </c>
      <c r="C16" s="16">
        <v>11</v>
      </c>
      <c r="D16" s="17"/>
      <c r="E16" s="16">
        <v>36.409999999999997</v>
      </c>
      <c r="F16" s="18"/>
      <c r="G16" s="18"/>
      <c r="H16" s="18"/>
      <c r="I16" s="16">
        <f>C16+F16</f>
        <v>11</v>
      </c>
      <c r="J16" s="17">
        <f t="shared" si="0"/>
        <v>3.3099999999999996</v>
      </c>
      <c r="K16" s="17">
        <f>E16+H16</f>
        <v>36.409999999999997</v>
      </c>
      <c r="L16" s="19"/>
      <c r="M16" s="18"/>
      <c r="N16" s="18"/>
      <c r="O16" s="18"/>
      <c r="P16" s="18"/>
      <c r="Q16" s="18"/>
      <c r="R16" s="18"/>
      <c r="S16" s="18">
        <f>I16-L16-O16-Q16</f>
        <v>11</v>
      </c>
      <c r="T16" s="17"/>
      <c r="U16" s="17">
        <f>K16-N16-P16-R16</f>
        <v>36.409999999999997</v>
      </c>
    </row>
    <row r="17" spans="1:21" ht="27">
      <c r="A17" s="14"/>
      <c r="B17" s="22" t="s">
        <v>24</v>
      </c>
      <c r="C17" s="16">
        <v>1401</v>
      </c>
      <c r="D17" s="17"/>
      <c r="E17" s="16">
        <v>202069.76549952201</v>
      </c>
      <c r="F17" s="18"/>
      <c r="G17" s="18"/>
      <c r="H17" s="18"/>
      <c r="I17" s="16">
        <f>C17+F17</f>
        <v>1401</v>
      </c>
      <c r="J17" s="17">
        <f t="shared" si="0"/>
        <v>144.23252355426268</v>
      </c>
      <c r="K17" s="17">
        <f>E17+H17</f>
        <v>202069.76549952201</v>
      </c>
      <c r="L17" s="19"/>
      <c r="M17" s="18"/>
      <c r="N17" s="18"/>
      <c r="O17" s="18"/>
      <c r="P17" s="18"/>
      <c r="Q17" s="18"/>
      <c r="R17" s="18"/>
      <c r="S17" s="18">
        <f>I17-L17-O17-Q17</f>
        <v>1401</v>
      </c>
      <c r="T17" s="17"/>
      <c r="U17" s="17">
        <f>K17-N17-P17-R17</f>
        <v>202069.76549952201</v>
      </c>
    </row>
    <row r="18" spans="1:21">
      <c r="A18" s="14"/>
      <c r="B18" s="21" t="s">
        <v>25</v>
      </c>
      <c r="C18" s="16">
        <v>478</v>
      </c>
      <c r="D18" s="17"/>
      <c r="E18" s="16">
        <v>9562.1219702647995</v>
      </c>
      <c r="F18" s="18"/>
      <c r="G18" s="18"/>
      <c r="H18" s="18"/>
      <c r="I18" s="16">
        <f>C18+F18</f>
        <v>478</v>
      </c>
      <c r="J18" s="17">
        <f t="shared" si="0"/>
        <v>20.004439268336402</v>
      </c>
      <c r="K18" s="17">
        <f>E18+H18</f>
        <v>9562.1219702647995</v>
      </c>
      <c r="L18" s="19"/>
      <c r="M18" s="18"/>
      <c r="N18" s="18"/>
      <c r="O18" s="18"/>
      <c r="P18" s="18"/>
      <c r="Q18" s="18"/>
      <c r="R18" s="18"/>
      <c r="S18" s="18">
        <f>I18-L18-O18-Q18</f>
        <v>478</v>
      </c>
      <c r="T18" s="17"/>
      <c r="U18" s="17">
        <f>K18-N18-P18-R18</f>
        <v>9562.1219702647995</v>
      </c>
    </row>
    <row r="19" spans="1:21">
      <c r="A19" s="14"/>
      <c r="B19" s="15" t="s">
        <v>26</v>
      </c>
      <c r="C19" s="16">
        <v>74</v>
      </c>
      <c r="D19" s="17"/>
      <c r="E19" s="16">
        <v>1480</v>
      </c>
      <c r="F19" s="18"/>
      <c r="G19" s="18"/>
      <c r="H19" s="18"/>
      <c r="I19" s="16">
        <f>C19+F19</f>
        <v>74</v>
      </c>
      <c r="J19" s="17">
        <f t="shared" si="0"/>
        <v>20</v>
      </c>
      <c r="K19" s="17">
        <f>E19+H19</f>
        <v>1480</v>
      </c>
      <c r="L19" s="19"/>
      <c r="M19" s="18"/>
      <c r="N19" s="18"/>
      <c r="O19" s="18"/>
      <c r="P19" s="18"/>
      <c r="Q19" s="18"/>
      <c r="R19" s="18"/>
      <c r="S19" s="23">
        <f>I19-L19-O19-Q19</f>
        <v>74</v>
      </c>
      <c r="T19" s="17"/>
      <c r="U19" s="17">
        <f>K19-N19-P19-R19</f>
        <v>1480</v>
      </c>
    </row>
    <row r="20" spans="1:21">
      <c r="A20" s="14"/>
      <c r="B20" s="15" t="s">
        <v>27</v>
      </c>
      <c r="C20" s="16">
        <v>5535</v>
      </c>
      <c r="D20" s="17"/>
      <c r="E20" s="16">
        <v>50093.416431033998</v>
      </c>
      <c r="F20" s="18">
        <v>4000</v>
      </c>
      <c r="G20" s="18"/>
      <c r="H20" s="18">
        <v>32960</v>
      </c>
      <c r="I20" s="16">
        <f>C20+F20</f>
        <v>9535</v>
      </c>
      <c r="J20" s="17">
        <f t="shared" si="0"/>
        <v>8.7103740357665433</v>
      </c>
      <c r="K20" s="17">
        <f>E20+H20</f>
        <v>83053.416431033998</v>
      </c>
      <c r="L20" s="19">
        <v>3700</v>
      </c>
      <c r="M20" s="18"/>
      <c r="N20" s="18">
        <v>32227</v>
      </c>
      <c r="O20" s="18"/>
      <c r="P20" s="18"/>
      <c r="Q20" s="18"/>
      <c r="R20" s="18"/>
      <c r="S20" s="18">
        <f>I20-L20-O20-Q20</f>
        <v>5835</v>
      </c>
      <c r="T20" s="17"/>
      <c r="U20" s="17">
        <f>K20-N20-P20-R20</f>
        <v>50826.416431033998</v>
      </c>
    </row>
    <row r="21" spans="1:21">
      <c r="A21" s="14"/>
      <c r="B21" s="22" t="s">
        <v>28</v>
      </c>
      <c r="C21" s="16">
        <v>578</v>
      </c>
      <c r="D21" s="17"/>
      <c r="E21" s="16">
        <v>11011.8784453715</v>
      </c>
      <c r="F21" s="18">
        <v>384</v>
      </c>
      <c r="G21" s="18"/>
      <c r="H21" s="18">
        <v>7296</v>
      </c>
      <c r="I21" s="16">
        <f>C21+F21</f>
        <v>962</v>
      </c>
      <c r="J21" s="17">
        <f t="shared" si="0"/>
        <v>19.031058675022347</v>
      </c>
      <c r="K21" s="17">
        <f>E21+H21</f>
        <v>18307.878445371498</v>
      </c>
      <c r="L21" s="19"/>
      <c r="M21" s="18"/>
      <c r="N21" s="18"/>
      <c r="O21" s="18"/>
      <c r="P21" s="18"/>
      <c r="Q21" s="18"/>
      <c r="R21" s="18"/>
      <c r="S21" s="18">
        <f>I21-L21-O21-Q21</f>
        <v>962</v>
      </c>
      <c r="T21" s="17"/>
      <c r="U21" s="17">
        <f>K21-N21-P21-R21</f>
        <v>18307.878445371498</v>
      </c>
    </row>
    <row r="22" spans="1:21">
      <c r="A22" s="14"/>
      <c r="B22" s="20" t="s">
        <v>29</v>
      </c>
      <c r="C22" s="16">
        <v>35</v>
      </c>
      <c r="D22" s="17"/>
      <c r="E22" s="16">
        <v>17872.490000000002</v>
      </c>
      <c r="F22" s="18"/>
      <c r="G22" s="18"/>
      <c r="H22" s="18"/>
      <c r="I22" s="16">
        <f>C22+F22</f>
        <v>35</v>
      </c>
      <c r="J22" s="17">
        <f t="shared" si="0"/>
        <v>510.6425714285715</v>
      </c>
      <c r="K22" s="17">
        <f>E22+H22</f>
        <v>17872.490000000002</v>
      </c>
      <c r="L22" s="19"/>
      <c r="M22" s="18"/>
      <c r="N22" s="18"/>
      <c r="O22" s="18"/>
      <c r="P22" s="18"/>
      <c r="Q22" s="18"/>
      <c r="R22" s="18"/>
      <c r="S22" s="18">
        <f>I22-L22-O22-Q22</f>
        <v>35</v>
      </c>
      <c r="T22" s="17"/>
      <c r="U22" s="17">
        <f>K22-N22-P22-R22</f>
        <v>17872.490000000002</v>
      </c>
    </row>
    <row r="23" spans="1:21">
      <c r="A23" s="14"/>
      <c r="B23" s="20" t="s">
        <v>30</v>
      </c>
      <c r="C23" s="16">
        <v>8466</v>
      </c>
      <c r="D23" s="17"/>
      <c r="E23" s="16">
        <v>73972.381456666</v>
      </c>
      <c r="F23" s="18">
        <f>5000+5000</f>
        <v>10000</v>
      </c>
      <c r="G23" s="18"/>
      <c r="H23" s="18">
        <f>43569+44599</f>
        <v>88168</v>
      </c>
      <c r="I23" s="16">
        <f>C23+F23</f>
        <v>18466</v>
      </c>
      <c r="J23" s="17">
        <f t="shared" si="0"/>
        <v>8.780482045741687</v>
      </c>
      <c r="K23" s="17">
        <f>E23+H23</f>
        <v>162140.38145666599</v>
      </c>
      <c r="L23" s="19">
        <v>5000</v>
      </c>
      <c r="M23" s="18"/>
      <c r="N23" s="18">
        <v>43900</v>
      </c>
      <c r="O23" s="18"/>
      <c r="P23" s="18"/>
      <c r="Q23" s="18"/>
      <c r="R23" s="18"/>
      <c r="S23" s="18">
        <f>I23-L23-O23-Q23</f>
        <v>13466</v>
      </c>
      <c r="T23" s="17"/>
      <c r="U23" s="17">
        <f>K23-N23-P23-R23</f>
        <v>118240.38145666599</v>
      </c>
    </row>
    <row r="24" spans="1:21">
      <c r="A24" s="14"/>
      <c r="B24" s="20" t="s">
        <v>31</v>
      </c>
      <c r="C24" s="16">
        <v>2494</v>
      </c>
      <c r="D24" s="17"/>
      <c r="E24" s="16">
        <v>21688.753212383999</v>
      </c>
      <c r="F24" s="18">
        <f>7000+8000+10000</f>
        <v>25000</v>
      </c>
      <c r="G24" s="18"/>
      <c r="H24" s="18">
        <f>60996.6+71358.4+89198</f>
        <v>221553</v>
      </c>
      <c r="I24" s="16">
        <f>C24+F24</f>
        <v>27494</v>
      </c>
      <c r="J24" s="17">
        <f t="shared" si="0"/>
        <v>8.8470849353453112</v>
      </c>
      <c r="K24" s="17">
        <f>E24+H24</f>
        <v>243241.75321238401</v>
      </c>
      <c r="L24" s="19">
        <v>12093</v>
      </c>
      <c r="M24" s="18"/>
      <c r="N24" s="18">
        <v>107023.05</v>
      </c>
      <c r="O24" s="18"/>
      <c r="P24" s="18"/>
      <c r="Q24" s="18"/>
      <c r="R24" s="18"/>
      <c r="S24" s="18">
        <f>I24-L24-O24-Q24</f>
        <v>15401</v>
      </c>
      <c r="T24" s="17"/>
      <c r="U24" s="17">
        <f>K24-N24-P24-R24</f>
        <v>136218.70321238402</v>
      </c>
    </row>
    <row r="25" spans="1:21">
      <c r="A25" s="14"/>
      <c r="B25" s="20" t="s">
        <v>32</v>
      </c>
      <c r="C25" s="16">
        <v>0</v>
      </c>
      <c r="D25" s="17"/>
      <c r="E25" s="16">
        <v>0</v>
      </c>
      <c r="F25" s="18">
        <v>1</v>
      </c>
      <c r="G25" s="18"/>
      <c r="H25" s="18">
        <v>250</v>
      </c>
      <c r="I25" s="16">
        <f>C25+F25</f>
        <v>1</v>
      </c>
      <c r="J25" s="17">
        <f t="shared" si="0"/>
        <v>250</v>
      </c>
      <c r="K25" s="17">
        <f>E25+H25</f>
        <v>250</v>
      </c>
      <c r="L25" s="19">
        <v>9.6000000000000002E-2</v>
      </c>
      <c r="M25" s="18"/>
      <c r="N25" s="18">
        <v>24.125</v>
      </c>
      <c r="O25" s="18"/>
      <c r="P25" s="18"/>
      <c r="Q25" s="18"/>
      <c r="R25" s="18"/>
      <c r="S25" s="18">
        <f>I25-L25-O25-Q25</f>
        <v>0.90400000000000003</v>
      </c>
      <c r="T25" s="17"/>
      <c r="U25" s="17">
        <f>K25-N25-P25-R25</f>
        <v>225.875</v>
      </c>
    </row>
    <row r="26" spans="1:21">
      <c r="A26" s="14"/>
      <c r="B26" s="20" t="s">
        <v>33</v>
      </c>
      <c r="C26" s="16">
        <v>0</v>
      </c>
      <c r="D26" s="17"/>
      <c r="E26" s="16">
        <v>0</v>
      </c>
      <c r="F26" s="18">
        <v>1</v>
      </c>
      <c r="G26" s="18"/>
      <c r="H26" s="18">
        <v>275</v>
      </c>
      <c r="I26" s="16">
        <f>C26+F26</f>
        <v>1</v>
      </c>
      <c r="J26" s="17">
        <f t="shared" si="0"/>
        <v>275</v>
      </c>
      <c r="K26" s="17">
        <f>E26+H26</f>
        <v>275</v>
      </c>
      <c r="L26" s="19">
        <v>3.3700000000000001E-2</v>
      </c>
      <c r="M26" s="18"/>
      <c r="N26" s="18">
        <v>9.2675000000000001</v>
      </c>
      <c r="O26" s="18"/>
      <c r="P26" s="18"/>
      <c r="Q26" s="18"/>
      <c r="R26" s="18"/>
      <c r="S26" s="18">
        <f>I26-L26-O26-Q26</f>
        <v>0.96630000000000005</v>
      </c>
      <c r="T26" s="17"/>
      <c r="U26" s="17">
        <f>K26-N26-P26-R26</f>
        <v>265.73250000000002</v>
      </c>
    </row>
    <row r="27" spans="1:21" ht="27">
      <c r="A27" s="14"/>
      <c r="B27" s="24" t="s">
        <v>34</v>
      </c>
      <c r="C27" s="16">
        <v>44</v>
      </c>
      <c r="D27" s="17"/>
      <c r="E27" s="16">
        <v>361.557162471396</v>
      </c>
      <c r="F27" s="18"/>
      <c r="G27" s="18"/>
      <c r="H27" s="18"/>
      <c r="I27" s="16">
        <f>C27+F27</f>
        <v>44</v>
      </c>
      <c r="J27" s="17">
        <f t="shared" si="0"/>
        <v>8.2172082379862719</v>
      </c>
      <c r="K27" s="17">
        <f>E27+H27</f>
        <v>361.557162471396</v>
      </c>
      <c r="L27" s="19"/>
      <c r="M27" s="18"/>
      <c r="N27" s="18"/>
      <c r="O27" s="18"/>
      <c r="P27" s="18"/>
      <c r="Q27" s="18"/>
      <c r="R27" s="18"/>
      <c r="S27" s="18">
        <f>I27-L27-O27-Q27</f>
        <v>44</v>
      </c>
      <c r="T27" s="17"/>
      <c r="U27" s="17">
        <f>K27-N27-P27-R27</f>
        <v>361.557162471396</v>
      </c>
    </row>
    <row r="28" spans="1:21" ht="27">
      <c r="A28" s="14"/>
      <c r="B28" s="25" t="s">
        <v>35</v>
      </c>
      <c r="C28" s="16">
        <v>698</v>
      </c>
      <c r="D28" s="17"/>
      <c r="E28" s="16">
        <v>10672.3345945293</v>
      </c>
      <c r="F28" s="18"/>
      <c r="G28" s="18"/>
      <c r="H28" s="18"/>
      <c r="I28" s="16">
        <f>C28+F28</f>
        <v>698</v>
      </c>
      <c r="J28" s="17">
        <f t="shared" si="0"/>
        <v>15.289877642592121</v>
      </c>
      <c r="K28" s="17">
        <f>E28+H28</f>
        <v>10672.3345945293</v>
      </c>
      <c r="L28" s="19">
        <v>170</v>
      </c>
      <c r="M28" s="18"/>
      <c r="N28" s="18">
        <f>J28*L28</f>
        <v>2599.2791992406605</v>
      </c>
      <c r="O28" s="18"/>
      <c r="P28" s="18"/>
      <c r="Q28" s="18"/>
      <c r="R28" s="18"/>
      <c r="S28" s="18">
        <f>I28-L28-O28-Q28</f>
        <v>528</v>
      </c>
      <c r="T28" s="17"/>
      <c r="U28" s="17">
        <f>K28-N28-P28-R28</f>
        <v>8073.0553952886403</v>
      </c>
    </row>
    <row r="29" spans="1:21">
      <c r="A29" s="14"/>
      <c r="B29" s="25" t="s">
        <v>36</v>
      </c>
      <c r="C29" s="16">
        <v>623</v>
      </c>
      <c r="D29" s="17"/>
      <c r="E29" s="16">
        <v>19604.3922681732</v>
      </c>
      <c r="F29" s="18">
        <v>403</v>
      </c>
      <c r="G29" s="18"/>
      <c r="H29" s="18">
        <v>11284</v>
      </c>
      <c r="I29" s="16">
        <f>C29+F29</f>
        <v>1026</v>
      </c>
      <c r="J29" s="17">
        <f t="shared" si="0"/>
        <v>30.105645485548926</v>
      </c>
      <c r="K29" s="17">
        <f>E29+H29</f>
        <v>30888.3922681732</v>
      </c>
      <c r="L29" s="19">
        <v>826</v>
      </c>
      <c r="M29" s="18"/>
      <c r="N29" s="18">
        <f>J29*L29</f>
        <v>24867.263171063412</v>
      </c>
      <c r="O29" s="18"/>
      <c r="P29" s="18"/>
      <c r="Q29" s="18"/>
      <c r="R29" s="18"/>
      <c r="S29" s="18">
        <f>I29-L29-O29-Q29</f>
        <v>200</v>
      </c>
      <c r="T29" s="17"/>
      <c r="U29" s="17">
        <f>K29-N29-P29-R29</f>
        <v>6021.1290971097878</v>
      </c>
    </row>
    <row r="30" spans="1:21">
      <c r="A30" s="14"/>
      <c r="B30" s="20" t="s">
        <v>37</v>
      </c>
      <c r="C30" s="16">
        <v>0</v>
      </c>
      <c r="D30" s="17"/>
      <c r="E30" s="16">
        <v>0</v>
      </c>
      <c r="F30" s="18"/>
      <c r="G30" s="18"/>
      <c r="H30" s="18"/>
      <c r="I30" s="16">
        <f>C30+F30</f>
        <v>0</v>
      </c>
      <c r="J30" s="17" t="e">
        <f t="shared" si="0"/>
        <v>#DIV/0!</v>
      </c>
      <c r="K30" s="17">
        <f>E30+H30</f>
        <v>0</v>
      </c>
      <c r="L30" s="19"/>
      <c r="M30" s="18"/>
      <c r="N30" s="18"/>
      <c r="O30" s="18"/>
      <c r="P30" s="18"/>
      <c r="Q30" s="18"/>
      <c r="R30" s="18"/>
      <c r="S30" s="18">
        <f>I30-L30-O30-Q30</f>
        <v>0</v>
      </c>
      <c r="T30" s="17"/>
      <c r="U30" s="17">
        <f>K30-N30-P30-R30</f>
        <v>0</v>
      </c>
    </row>
    <row r="31" spans="1:21">
      <c r="A31" s="14"/>
      <c r="B31" s="20" t="s">
        <v>38</v>
      </c>
      <c r="C31" s="16">
        <v>134</v>
      </c>
      <c r="D31" s="17"/>
      <c r="E31" s="16">
        <v>12461.483080788599</v>
      </c>
      <c r="F31" s="18"/>
      <c r="G31" s="18"/>
      <c r="H31" s="18"/>
      <c r="I31" s="16">
        <f>C31+F31</f>
        <v>134</v>
      </c>
      <c r="J31" s="17">
        <f t="shared" si="0"/>
        <v>92.996142393944766</v>
      </c>
      <c r="K31" s="17">
        <f>E31+H31</f>
        <v>12461.483080788599</v>
      </c>
      <c r="L31" s="19">
        <v>50</v>
      </c>
      <c r="M31" s="18"/>
      <c r="N31" s="18">
        <v>4650</v>
      </c>
      <c r="O31" s="18"/>
      <c r="P31" s="18"/>
      <c r="Q31" s="18"/>
      <c r="R31" s="18"/>
      <c r="S31" s="18">
        <f>I31-L31-O31-Q31</f>
        <v>84</v>
      </c>
      <c r="T31" s="17"/>
      <c r="U31" s="17">
        <f>K31-N31-P31-R31</f>
        <v>7811.4830807885992</v>
      </c>
    </row>
    <row r="32" spans="1:21">
      <c r="A32" s="14"/>
      <c r="B32" s="20" t="s">
        <v>39</v>
      </c>
      <c r="C32" s="16">
        <v>1</v>
      </c>
      <c r="D32" s="17"/>
      <c r="E32" s="16">
        <v>65</v>
      </c>
      <c r="F32" s="18"/>
      <c r="G32" s="18"/>
      <c r="H32" s="18"/>
      <c r="I32" s="16">
        <f>C32+F32</f>
        <v>1</v>
      </c>
      <c r="J32" s="17">
        <f t="shared" si="0"/>
        <v>65</v>
      </c>
      <c r="K32" s="17">
        <f>E32+H32</f>
        <v>65</v>
      </c>
      <c r="L32" s="19"/>
      <c r="M32" s="18"/>
      <c r="N32" s="18"/>
      <c r="O32" s="18"/>
      <c r="P32" s="18"/>
      <c r="Q32" s="18"/>
      <c r="R32" s="18"/>
      <c r="S32" s="18">
        <f>I32-L32-O32-Q32</f>
        <v>1</v>
      </c>
      <c r="T32" s="17"/>
      <c r="U32" s="17">
        <f>K32-N32-P32-R32</f>
        <v>65</v>
      </c>
    </row>
    <row r="33" spans="1:21">
      <c r="A33" s="14"/>
      <c r="B33" s="20" t="s">
        <v>40</v>
      </c>
      <c r="C33" s="16">
        <v>3.3</v>
      </c>
      <c r="D33" s="17"/>
      <c r="E33" s="16">
        <v>0</v>
      </c>
      <c r="F33" s="18">
        <f>85+15</f>
        <v>100</v>
      </c>
      <c r="G33" s="18"/>
      <c r="H33" s="18">
        <f>1700+300</f>
        <v>2000</v>
      </c>
      <c r="I33" s="16">
        <f>C33+F33</f>
        <v>103.3</v>
      </c>
      <c r="J33" s="17">
        <f t="shared" si="0"/>
        <v>19.361084220716361</v>
      </c>
      <c r="K33" s="17">
        <f>E33+H33</f>
        <v>2000</v>
      </c>
      <c r="L33" s="19">
        <v>83.5</v>
      </c>
      <c r="M33" s="18"/>
      <c r="N33" s="18">
        <v>1616.56</v>
      </c>
      <c r="O33" s="18"/>
      <c r="P33" s="18"/>
      <c r="Q33" s="18"/>
      <c r="R33" s="18"/>
      <c r="S33" s="18">
        <f>I33-L33-O33-Q33</f>
        <v>19.799999999999997</v>
      </c>
      <c r="T33" s="17"/>
      <c r="U33" s="17">
        <f>K33-N33-P33-R33</f>
        <v>383.44000000000005</v>
      </c>
    </row>
    <row r="34" spans="1:21">
      <c r="A34" s="14"/>
      <c r="B34" s="20" t="s">
        <v>41</v>
      </c>
      <c r="C34" s="16">
        <v>284.14</v>
      </c>
      <c r="D34" s="17"/>
      <c r="E34" s="16">
        <v>6671.4790292040998</v>
      </c>
      <c r="F34" s="18">
        <v>500</v>
      </c>
      <c r="G34" s="18"/>
      <c r="H34" s="18">
        <v>11750</v>
      </c>
      <c r="I34" s="16">
        <f>C34+F34</f>
        <v>784.14</v>
      </c>
      <c r="J34" s="17">
        <f t="shared" si="0"/>
        <v>23.492589370780856</v>
      </c>
      <c r="K34" s="17">
        <f>E34+H34</f>
        <v>18421.4790292041</v>
      </c>
      <c r="L34" s="19"/>
      <c r="M34" s="18"/>
      <c r="N34" s="18"/>
      <c r="O34" s="18">
        <f>124+124</f>
        <v>248</v>
      </c>
      <c r="P34" s="18">
        <v>5825.52</v>
      </c>
      <c r="Q34" s="18"/>
      <c r="R34" s="18"/>
      <c r="S34" s="18">
        <f>I34-L34-O34-Q34</f>
        <v>536.14</v>
      </c>
      <c r="T34" s="17"/>
      <c r="U34" s="17">
        <f>K34-N34-P34-R34</f>
        <v>12595.959029204099</v>
      </c>
    </row>
    <row r="35" spans="1:21">
      <c r="A35" s="14"/>
      <c r="B35" s="20" t="s">
        <v>42</v>
      </c>
      <c r="C35" s="16">
        <v>65</v>
      </c>
      <c r="D35" s="17"/>
      <c r="E35" s="16">
        <v>560.95000000000005</v>
      </c>
      <c r="F35" s="18"/>
      <c r="G35" s="18"/>
      <c r="H35" s="18"/>
      <c r="I35" s="16">
        <f>C35+F35</f>
        <v>65</v>
      </c>
      <c r="J35" s="17">
        <f t="shared" si="0"/>
        <v>8.6300000000000008</v>
      </c>
      <c r="K35" s="17">
        <f>E35+H35</f>
        <v>560.95000000000005</v>
      </c>
      <c r="L35" s="19"/>
      <c r="M35" s="18"/>
      <c r="N35" s="18"/>
      <c r="O35" s="18"/>
      <c r="P35" s="18"/>
      <c r="Q35" s="18"/>
      <c r="R35" s="18"/>
      <c r="S35" s="18">
        <f>I35-L35-O35-Q35</f>
        <v>65</v>
      </c>
      <c r="T35" s="17"/>
      <c r="U35" s="17">
        <f>K35-N35-P35-R35</f>
        <v>560.95000000000005</v>
      </c>
    </row>
    <row r="36" spans="1:21" ht="27">
      <c r="A36" s="14"/>
      <c r="B36" s="20" t="s">
        <v>43</v>
      </c>
      <c r="C36" s="16">
        <v>1157.5</v>
      </c>
      <c r="D36" s="17"/>
      <c r="E36" s="16">
        <v>9813.1780877259007</v>
      </c>
      <c r="F36" s="18">
        <v>2000</v>
      </c>
      <c r="G36" s="18"/>
      <c r="H36" s="18">
        <v>17200</v>
      </c>
      <c r="I36" s="16">
        <f>C36+F36</f>
        <v>3157.5</v>
      </c>
      <c r="J36" s="17">
        <f t="shared" si="0"/>
        <v>8.5552424664215039</v>
      </c>
      <c r="K36" s="17">
        <f>E36+H36</f>
        <v>27013.178087725901</v>
      </c>
      <c r="L36" s="19">
        <v>1087</v>
      </c>
      <c r="M36" s="18"/>
      <c r="N36" s="18">
        <v>9304.7199999999993</v>
      </c>
      <c r="O36" s="18"/>
      <c r="P36" s="18"/>
      <c r="Q36" s="18"/>
      <c r="R36" s="18"/>
      <c r="S36" s="18">
        <f>I36-L36-O36-Q36</f>
        <v>2070.5</v>
      </c>
      <c r="T36" s="17"/>
      <c r="U36" s="17">
        <f>K36-N36-P36-R36</f>
        <v>17708.4580877259</v>
      </c>
    </row>
    <row r="37" spans="1:21">
      <c r="A37" s="14"/>
      <c r="B37" s="20" t="s">
        <v>44</v>
      </c>
      <c r="C37" s="16">
        <v>7551</v>
      </c>
      <c r="D37" s="17"/>
      <c r="E37" s="16">
        <v>83177.385022966002</v>
      </c>
      <c r="F37" s="18"/>
      <c r="G37" s="18"/>
      <c r="H37" s="18"/>
      <c r="I37" s="16">
        <f>C37+F37</f>
        <v>7551</v>
      </c>
      <c r="J37" s="17">
        <f t="shared" si="0"/>
        <v>11.015413193347371</v>
      </c>
      <c r="K37" s="17">
        <f>E37+H37</f>
        <v>83177.385022966002</v>
      </c>
      <c r="L37" s="19"/>
      <c r="M37" s="18"/>
      <c r="N37" s="18"/>
      <c r="O37" s="18"/>
      <c r="P37" s="18"/>
      <c r="Q37" s="18"/>
      <c r="R37" s="18"/>
      <c r="S37" s="18">
        <f>I37-L37-O37-Q37</f>
        <v>7551</v>
      </c>
      <c r="T37" s="17"/>
      <c r="U37" s="17">
        <f>K37-N37-P37-R37</f>
        <v>83177.385022966002</v>
      </c>
    </row>
    <row r="38" spans="1:21">
      <c r="A38" s="14"/>
      <c r="B38" s="20" t="s">
        <v>45</v>
      </c>
      <c r="C38" s="16">
        <v>775</v>
      </c>
      <c r="D38" s="17"/>
      <c r="E38" s="16">
        <v>19620.900000000001</v>
      </c>
      <c r="F38" s="18"/>
      <c r="G38" s="18"/>
      <c r="H38" s="18"/>
      <c r="I38" s="16">
        <f>C38+F38</f>
        <v>775</v>
      </c>
      <c r="J38" s="17">
        <f t="shared" si="0"/>
        <v>25.317290322580646</v>
      </c>
      <c r="K38" s="17">
        <f>E38+H38</f>
        <v>19620.900000000001</v>
      </c>
      <c r="L38" s="19">
        <v>124.5</v>
      </c>
      <c r="M38" s="18"/>
      <c r="N38" s="18">
        <v>3152.34</v>
      </c>
      <c r="O38" s="18"/>
      <c r="P38" s="18"/>
      <c r="Q38" s="18"/>
      <c r="R38" s="18"/>
      <c r="S38" s="18">
        <f>I38-L38-O38-Q38</f>
        <v>650.5</v>
      </c>
      <c r="T38" s="17"/>
      <c r="U38" s="17">
        <f>K38-N38-P38-R38</f>
        <v>16468.560000000001</v>
      </c>
    </row>
    <row r="39" spans="1:21">
      <c r="A39" s="14"/>
      <c r="B39" s="20" t="s">
        <v>46</v>
      </c>
      <c r="C39" s="16">
        <v>206.5</v>
      </c>
      <c r="D39" s="17"/>
      <c r="E39" s="16">
        <v>13038.2499987681</v>
      </c>
      <c r="F39" s="18">
        <v>200</v>
      </c>
      <c r="G39" s="18"/>
      <c r="H39" s="18">
        <v>11600</v>
      </c>
      <c r="I39" s="16">
        <f>C39+F39</f>
        <v>406.5</v>
      </c>
      <c r="J39" s="17">
        <f t="shared" si="0"/>
        <v>60.610701103980567</v>
      </c>
      <c r="K39" s="17">
        <f>E39+H39</f>
        <v>24638.2499987681</v>
      </c>
      <c r="L39" s="19">
        <v>108</v>
      </c>
      <c r="M39" s="18"/>
      <c r="N39" s="18">
        <v>6819.12</v>
      </c>
      <c r="O39" s="18"/>
      <c r="P39" s="18"/>
      <c r="Q39" s="18"/>
      <c r="R39" s="18"/>
      <c r="S39" s="18">
        <f>I39-L39-O39-Q39</f>
        <v>298.5</v>
      </c>
      <c r="T39" s="17"/>
      <c r="U39" s="17">
        <f>K39-N39-P39-R39</f>
        <v>17819.129998768101</v>
      </c>
    </row>
    <row r="40" spans="1:21">
      <c r="A40" s="14"/>
      <c r="B40" s="26" t="s">
        <v>47</v>
      </c>
      <c r="C40" s="16">
        <v>7038</v>
      </c>
      <c r="D40" s="17"/>
      <c r="E40" s="16">
        <v>87067.814269278999</v>
      </c>
      <c r="F40" s="18">
        <v>9000</v>
      </c>
      <c r="G40" s="18"/>
      <c r="H40" s="18">
        <v>107253.9</v>
      </c>
      <c r="I40" s="16">
        <f>C40+F40</f>
        <v>16038</v>
      </c>
      <c r="J40" s="17">
        <f t="shared" si="0"/>
        <v>12.116330856046824</v>
      </c>
      <c r="K40" s="17">
        <f>E40+H40</f>
        <v>194321.71426927898</v>
      </c>
      <c r="L40" s="19">
        <v>2050</v>
      </c>
      <c r="M40" s="18"/>
      <c r="N40" s="18">
        <v>24846</v>
      </c>
      <c r="O40" s="18"/>
      <c r="P40" s="18"/>
      <c r="Q40" s="18"/>
      <c r="R40" s="18"/>
      <c r="S40" s="18">
        <f>I40-L40-O40-Q40</f>
        <v>13988</v>
      </c>
      <c r="T40" s="17"/>
      <c r="U40" s="17">
        <f>K40-N40-P40-R40</f>
        <v>169475.71426927898</v>
      </c>
    </row>
    <row r="41" spans="1:21">
      <c r="A41" s="14"/>
      <c r="B41" s="27">
        <v>8193</v>
      </c>
      <c r="C41" s="16">
        <v>4859</v>
      </c>
      <c r="D41" s="17"/>
      <c r="E41" s="16">
        <v>32182.988241336301</v>
      </c>
      <c r="F41" s="18"/>
      <c r="G41" s="18"/>
      <c r="H41" s="18"/>
      <c r="I41" s="16">
        <f>C41+F41</f>
        <v>4859</v>
      </c>
      <c r="J41" s="17">
        <f t="shared" si="0"/>
        <v>6.6233768761754064</v>
      </c>
      <c r="K41" s="17">
        <f>E41+H41</f>
        <v>32182.988241336301</v>
      </c>
      <c r="L41" s="19">
        <v>1968</v>
      </c>
      <c r="M41" s="18"/>
      <c r="N41" s="18">
        <v>13028.16</v>
      </c>
      <c r="O41" s="18"/>
      <c r="P41" s="18"/>
      <c r="Q41" s="18"/>
      <c r="R41" s="18"/>
      <c r="S41" s="18">
        <f>I41-L41-O41-Q41</f>
        <v>2891</v>
      </c>
      <c r="T41" s="17"/>
      <c r="U41" s="17">
        <f>K41-N41-P41-R41</f>
        <v>19154.828241336301</v>
      </c>
    </row>
    <row r="42" spans="1:21">
      <c r="A42" s="14"/>
      <c r="B42" s="28" t="s">
        <v>48</v>
      </c>
      <c r="C42" s="16">
        <v>633</v>
      </c>
      <c r="D42" s="17"/>
      <c r="E42" s="16">
        <v>6709.8</v>
      </c>
      <c r="F42" s="18"/>
      <c r="G42" s="18"/>
      <c r="H42" s="18"/>
      <c r="I42" s="16">
        <f>C42+F42</f>
        <v>633</v>
      </c>
      <c r="J42" s="17">
        <f t="shared" si="0"/>
        <v>10.6</v>
      </c>
      <c r="K42" s="17">
        <f>E42+H42</f>
        <v>6709.8</v>
      </c>
      <c r="L42" s="19"/>
      <c r="M42" s="18"/>
      <c r="N42" s="18"/>
      <c r="O42" s="18"/>
      <c r="P42" s="18"/>
      <c r="Q42" s="18"/>
      <c r="R42" s="18"/>
      <c r="S42" s="18">
        <f>I42-L42-O42-Q42</f>
        <v>633</v>
      </c>
      <c r="T42" s="17"/>
      <c r="U42" s="17">
        <f>K42-N42-P42-R42</f>
        <v>6709.8</v>
      </c>
    </row>
    <row r="43" spans="1:21" ht="40">
      <c r="A43" s="14"/>
      <c r="B43" s="29" t="s">
        <v>49</v>
      </c>
      <c r="C43" s="16">
        <v>3971</v>
      </c>
      <c r="D43" s="17"/>
      <c r="E43" s="16">
        <v>31952.404887874902</v>
      </c>
      <c r="F43" s="18">
        <f>1058+1058</f>
        <v>2116</v>
      </c>
      <c r="G43" s="18"/>
      <c r="H43" s="18"/>
      <c r="I43" s="16">
        <f>C43+F43</f>
        <v>6087</v>
      </c>
      <c r="J43" s="17">
        <f t="shared" si="0"/>
        <v>5.2492861652496963</v>
      </c>
      <c r="K43" s="17">
        <f>E43+H43</f>
        <v>31952.404887874902</v>
      </c>
      <c r="L43" s="19">
        <v>2608</v>
      </c>
      <c r="M43" s="18"/>
      <c r="N43" s="18">
        <v>13692</v>
      </c>
      <c r="O43" s="18"/>
      <c r="P43" s="18"/>
      <c r="Q43" s="18"/>
      <c r="R43" s="18"/>
      <c r="S43" s="18">
        <f>I43-L43-O43-Q43</f>
        <v>3479</v>
      </c>
      <c r="T43" s="17"/>
      <c r="U43" s="17">
        <f>K43-N43-P43-R43</f>
        <v>18260.404887874902</v>
      </c>
    </row>
    <row r="44" spans="1:21" ht="27">
      <c r="A44" s="14"/>
      <c r="B44" s="15" t="s">
        <v>50</v>
      </c>
      <c r="C44" s="16">
        <v>0</v>
      </c>
      <c r="D44" s="17"/>
      <c r="E44" s="16">
        <v>0</v>
      </c>
      <c r="F44" s="18"/>
      <c r="G44" s="18"/>
      <c r="H44" s="18"/>
      <c r="I44" s="16">
        <f>C44+F44</f>
        <v>0</v>
      </c>
      <c r="J44" s="17" t="e">
        <f t="shared" si="0"/>
        <v>#DIV/0!</v>
      </c>
      <c r="K44" s="17">
        <f>E44+H44</f>
        <v>0</v>
      </c>
      <c r="L44" s="19"/>
      <c r="M44" s="18"/>
      <c r="N44" s="18">
        <v>0</v>
      </c>
      <c r="O44" s="18"/>
      <c r="P44" s="18"/>
      <c r="Q44" s="18"/>
      <c r="R44" s="18"/>
      <c r="S44" s="18">
        <f>I44-L44-O44-Q44</f>
        <v>0</v>
      </c>
      <c r="T44" s="17"/>
      <c r="U44" s="17">
        <f>K44-N44-P44-R44</f>
        <v>0</v>
      </c>
    </row>
    <row r="45" spans="1:21">
      <c r="A45" s="14"/>
      <c r="B45" s="20" t="s">
        <v>51</v>
      </c>
      <c r="C45" s="16">
        <v>3491</v>
      </c>
      <c r="D45" s="17"/>
      <c r="E45" s="16">
        <v>48898.189062113299</v>
      </c>
      <c r="F45" s="18"/>
      <c r="G45" s="18"/>
      <c r="H45" s="18"/>
      <c r="I45" s="16">
        <f>C45+F45</f>
        <v>3491</v>
      </c>
      <c r="J45" s="17">
        <f t="shared" si="0"/>
        <v>14.006928977975738</v>
      </c>
      <c r="K45" s="17">
        <f>E45+H45</f>
        <v>48898.189062113299</v>
      </c>
      <c r="L45" s="19">
        <v>275</v>
      </c>
      <c r="M45" s="18"/>
      <c r="N45" s="18">
        <v>3852.75</v>
      </c>
      <c r="O45" s="18"/>
      <c r="P45" s="18"/>
      <c r="Q45" s="18"/>
      <c r="R45" s="18"/>
      <c r="S45" s="18">
        <f>I45-L45-O45-Q45</f>
        <v>3216</v>
      </c>
      <c r="T45" s="17"/>
      <c r="U45" s="17">
        <f>K45-N45-P45-R45</f>
        <v>45045.439062113299</v>
      </c>
    </row>
    <row r="46" spans="1:21">
      <c r="A46" s="14"/>
      <c r="B46" s="15" t="s">
        <v>52</v>
      </c>
      <c r="C46" s="16">
        <v>2072.8000000000002</v>
      </c>
      <c r="D46" s="17"/>
      <c r="E46" s="16">
        <v>24690.536</v>
      </c>
      <c r="F46" s="18"/>
      <c r="G46" s="18"/>
      <c r="H46" s="18"/>
      <c r="I46" s="16">
        <f>C46+F46</f>
        <v>2072.8000000000002</v>
      </c>
      <c r="J46" s="17">
        <f t="shared" si="0"/>
        <v>11.911682747973755</v>
      </c>
      <c r="K46" s="17">
        <f>E46+H46</f>
        <v>24690.536</v>
      </c>
      <c r="L46" s="19"/>
      <c r="M46" s="18"/>
      <c r="N46" s="18"/>
      <c r="O46" s="18"/>
      <c r="P46" s="18"/>
      <c r="Q46" s="18"/>
      <c r="R46" s="18"/>
      <c r="S46" s="18">
        <f>I46-L46-O46-Q46</f>
        <v>2072.8000000000002</v>
      </c>
      <c r="T46" s="17"/>
      <c r="U46" s="17">
        <f>K46-N46-P46-R46</f>
        <v>24690.536</v>
      </c>
    </row>
    <row r="47" spans="1:21" ht="27">
      <c r="A47" s="14"/>
      <c r="B47" s="15" t="s">
        <v>53</v>
      </c>
      <c r="C47" s="16">
        <v>578</v>
      </c>
      <c r="D47" s="17"/>
      <c r="E47" s="16">
        <v>9570.9511565299999</v>
      </c>
      <c r="F47" s="18"/>
      <c r="G47" s="18"/>
      <c r="H47" s="18"/>
      <c r="I47" s="16">
        <f>C47+F47</f>
        <v>578</v>
      </c>
      <c r="J47" s="17">
        <f t="shared" si="0"/>
        <v>16.558739025138408</v>
      </c>
      <c r="K47" s="17">
        <f>E47+H47</f>
        <v>9570.9511565299999</v>
      </c>
      <c r="L47" s="19">
        <v>572</v>
      </c>
      <c r="M47" s="18"/>
      <c r="N47" s="18">
        <v>9472.32</v>
      </c>
      <c r="O47" s="18"/>
      <c r="P47" s="18"/>
      <c r="Q47" s="18"/>
      <c r="R47" s="18"/>
      <c r="S47" s="18">
        <f>I47-L47-O47-Q47</f>
        <v>6</v>
      </c>
      <c r="T47" s="17"/>
      <c r="U47" s="17">
        <f>K47-N47-P47-R47</f>
        <v>98.631156530000226</v>
      </c>
    </row>
    <row r="48" spans="1:21">
      <c r="A48" s="14"/>
      <c r="B48" s="15" t="s">
        <v>54</v>
      </c>
      <c r="C48" s="16">
        <v>147</v>
      </c>
      <c r="D48" s="17"/>
      <c r="E48" s="16">
        <v>3675</v>
      </c>
      <c r="F48" s="18"/>
      <c r="G48" s="18"/>
      <c r="H48" s="18"/>
      <c r="I48" s="16">
        <f>C48+F48</f>
        <v>147</v>
      </c>
      <c r="J48" s="17">
        <f t="shared" si="0"/>
        <v>25</v>
      </c>
      <c r="K48" s="17">
        <f>E48+H48</f>
        <v>3675</v>
      </c>
      <c r="L48" s="19"/>
      <c r="M48" s="18"/>
      <c r="N48" s="18"/>
      <c r="O48" s="18"/>
      <c r="P48" s="18"/>
      <c r="Q48" s="18"/>
      <c r="R48" s="18"/>
      <c r="S48" s="18">
        <f>I48-L48-O48-Q48</f>
        <v>147</v>
      </c>
      <c r="T48" s="17"/>
      <c r="U48" s="17">
        <f>K48-N48-P48-R48</f>
        <v>3675</v>
      </c>
    </row>
    <row r="49" spans="1:21">
      <c r="A49" s="14"/>
      <c r="B49" s="15" t="s">
        <v>55</v>
      </c>
      <c r="C49" s="16">
        <v>50</v>
      </c>
      <c r="D49" s="17"/>
      <c r="E49" s="16">
        <v>0</v>
      </c>
      <c r="F49" s="18"/>
      <c r="G49" s="18"/>
      <c r="H49" s="18"/>
      <c r="I49" s="16">
        <f>C49+F49</f>
        <v>50</v>
      </c>
      <c r="J49" s="17">
        <f t="shared" si="0"/>
        <v>0</v>
      </c>
      <c r="K49" s="17">
        <f>E49+H49</f>
        <v>0</v>
      </c>
      <c r="L49" s="19"/>
      <c r="M49" s="18"/>
      <c r="N49" s="18"/>
      <c r="O49" s="18"/>
      <c r="P49" s="18"/>
      <c r="Q49" s="18"/>
      <c r="R49" s="18"/>
      <c r="S49" s="18">
        <f>I49-L49-O49-Q49</f>
        <v>50</v>
      </c>
      <c r="T49" s="17"/>
      <c r="U49" s="17">
        <f>K49-N49-P49-R49</f>
        <v>0</v>
      </c>
    </row>
    <row r="50" spans="1:21" ht="27">
      <c r="A50" s="14"/>
      <c r="B50" s="15" t="s">
        <v>56</v>
      </c>
      <c r="C50" s="16">
        <v>413</v>
      </c>
      <c r="D50" s="17"/>
      <c r="E50" s="16">
        <v>6185.4871410571104</v>
      </c>
      <c r="F50" s="18">
        <v>9000</v>
      </c>
      <c r="G50" s="18"/>
      <c r="H50" s="30">
        <v>130500</v>
      </c>
      <c r="I50" s="16">
        <f>C50+F50</f>
        <v>9413</v>
      </c>
      <c r="J50" s="17">
        <f t="shared" si="0"/>
        <v>14.520927137050581</v>
      </c>
      <c r="K50" s="17">
        <f>E50+H50</f>
        <v>136685.48714105712</v>
      </c>
      <c r="L50" s="19">
        <v>5149</v>
      </c>
      <c r="M50" s="18"/>
      <c r="N50" s="18">
        <v>74763.48</v>
      </c>
      <c r="O50" s="18"/>
      <c r="P50" s="18"/>
      <c r="Q50" s="18"/>
      <c r="R50" s="18"/>
      <c r="S50" s="18">
        <f>I50-L50-O50-Q50</f>
        <v>4264</v>
      </c>
      <c r="T50" s="17"/>
      <c r="U50" s="17">
        <f>K50-N50-P50-R50</f>
        <v>61922.007141057125</v>
      </c>
    </row>
    <row r="51" spans="1:21" ht="27">
      <c r="A51" s="14"/>
      <c r="B51" s="15" t="s">
        <v>57</v>
      </c>
      <c r="C51" s="16">
        <v>935</v>
      </c>
      <c r="D51" s="17"/>
      <c r="E51" s="16">
        <v>14145.822320117501</v>
      </c>
      <c r="F51" s="18"/>
      <c r="G51" s="18"/>
      <c r="H51" s="18"/>
      <c r="I51" s="16">
        <f>C51+F51</f>
        <v>935</v>
      </c>
      <c r="J51" s="17">
        <f t="shared" si="0"/>
        <v>15.129221732745989</v>
      </c>
      <c r="K51" s="17">
        <f>E51+H51</f>
        <v>14145.822320117501</v>
      </c>
      <c r="L51" s="19">
        <v>400</v>
      </c>
      <c r="M51" s="18"/>
      <c r="N51" s="18">
        <v>6052</v>
      </c>
      <c r="O51" s="18"/>
      <c r="P51" s="18"/>
      <c r="Q51" s="18"/>
      <c r="R51" s="18"/>
      <c r="S51" s="18">
        <f>I51-L51-O51-Q51</f>
        <v>535</v>
      </c>
      <c r="T51" s="17"/>
      <c r="U51" s="17">
        <f>K51-N51-P51-R51</f>
        <v>8093.8223201175006</v>
      </c>
    </row>
    <row r="52" spans="1:21" ht="27">
      <c r="A52" s="14"/>
      <c r="B52" s="15" t="s">
        <v>58</v>
      </c>
      <c r="C52" s="16">
        <v>560</v>
      </c>
      <c r="D52" s="17"/>
      <c r="E52" s="16">
        <v>9240</v>
      </c>
      <c r="F52" s="18"/>
      <c r="G52" s="18"/>
      <c r="H52" s="18"/>
      <c r="I52" s="16">
        <f>C52+F52</f>
        <v>560</v>
      </c>
      <c r="J52" s="17">
        <f t="shared" si="0"/>
        <v>16.5</v>
      </c>
      <c r="K52" s="17">
        <f>E52+H52</f>
        <v>9240</v>
      </c>
      <c r="L52" s="19"/>
      <c r="M52" s="18"/>
      <c r="N52" s="18"/>
      <c r="O52" s="18"/>
      <c r="P52" s="18"/>
      <c r="Q52" s="18"/>
      <c r="R52" s="18"/>
      <c r="S52" s="18">
        <f>I52-L52-O52-Q52</f>
        <v>560</v>
      </c>
      <c r="T52" s="17"/>
      <c r="U52" s="17">
        <f>K52-N52-P52-R52</f>
        <v>9240</v>
      </c>
    </row>
    <row r="53" spans="1:21" ht="27">
      <c r="A53" s="14"/>
      <c r="B53" s="15" t="s">
        <v>59</v>
      </c>
      <c r="C53" s="16">
        <v>0</v>
      </c>
      <c r="D53" s="17"/>
      <c r="E53" s="16">
        <v>0</v>
      </c>
      <c r="F53" s="18">
        <f>50</f>
        <v>50</v>
      </c>
      <c r="G53" s="18"/>
      <c r="H53" s="18">
        <v>0</v>
      </c>
      <c r="I53" s="16">
        <f>C53+F53</f>
        <v>50</v>
      </c>
      <c r="J53" s="17">
        <f t="shared" si="0"/>
        <v>0</v>
      </c>
      <c r="K53" s="17">
        <f>E53+H53</f>
        <v>0</v>
      </c>
      <c r="L53" s="19"/>
      <c r="M53" s="18"/>
      <c r="N53" s="18"/>
      <c r="O53" s="18"/>
      <c r="P53" s="18"/>
      <c r="Q53" s="18"/>
      <c r="R53" s="18"/>
      <c r="S53" s="18">
        <f>I53-L53-O53-Q53</f>
        <v>50</v>
      </c>
      <c r="T53" s="17"/>
      <c r="U53" s="17">
        <f>K53-N53-P53-R53</f>
        <v>0</v>
      </c>
    </row>
    <row r="54" spans="1:21" ht="27">
      <c r="A54" s="14"/>
      <c r="B54" s="15" t="s">
        <v>60</v>
      </c>
      <c r="C54" s="16">
        <v>54</v>
      </c>
      <c r="D54" s="17"/>
      <c r="E54" s="16">
        <v>0</v>
      </c>
      <c r="F54" s="18"/>
      <c r="G54" s="18"/>
      <c r="H54" s="18"/>
      <c r="I54" s="16">
        <f>C54+F54</f>
        <v>54</v>
      </c>
      <c r="J54" s="17">
        <f t="shared" si="0"/>
        <v>0</v>
      </c>
      <c r="K54" s="17">
        <f>E54+H54</f>
        <v>0</v>
      </c>
      <c r="L54" s="19">
        <v>18.399999999999999</v>
      </c>
      <c r="M54" s="18"/>
      <c r="N54" s="18">
        <v>0</v>
      </c>
      <c r="O54" s="18"/>
      <c r="P54" s="18"/>
      <c r="Q54" s="18"/>
      <c r="R54" s="18"/>
      <c r="S54" s="18">
        <f>I54-L54-O54-Q54</f>
        <v>35.6</v>
      </c>
      <c r="T54" s="17"/>
      <c r="U54" s="17">
        <f>K54-N54-P54-R54</f>
        <v>0</v>
      </c>
    </row>
    <row r="55" spans="1:21" ht="27">
      <c r="A55" s="14"/>
      <c r="B55" s="15" t="s">
        <v>61</v>
      </c>
      <c r="C55" s="16">
        <v>19.54</v>
      </c>
      <c r="D55" s="17"/>
      <c r="E55" s="16">
        <v>2442.5</v>
      </c>
      <c r="F55" s="18"/>
      <c r="G55" s="18"/>
      <c r="H55" s="18"/>
      <c r="I55" s="16">
        <f>C55+F55</f>
        <v>19.54</v>
      </c>
      <c r="J55" s="17">
        <f t="shared" si="0"/>
        <v>125</v>
      </c>
      <c r="K55" s="17">
        <f>E55+H55</f>
        <v>2442.5</v>
      </c>
      <c r="L55" s="19"/>
      <c r="M55" s="18"/>
      <c r="N55" s="18"/>
      <c r="O55" s="18"/>
      <c r="P55" s="18"/>
      <c r="Q55" s="18"/>
      <c r="R55" s="18"/>
      <c r="S55" s="18">
        <f>I55-L55-O55-Q55</f>
        <v>19.54</v>
      </c>
      <c r="T55" s="17"/>
      <c r="U55" s="17">
        <f>K55-N55-P55-R55</f>
        <v>2442.5</v>
      </c>
    </row>
    <row r="56" spans="1:21">
      <c r="A56" s="14"/>
      <c r="B56" s="15" t="s">
        <v>62</v>
      </c>
      <c r="C56" s="16">
        <v>49.2</v>
      </c>
      <c r="D56" s="17"/>
      <c r="E56" s="16">
        <v>2460</v>
      </c>
      <c r="F56" s="18">
        <v>50</v>
      </c>
      <c r="G56" s="18"/>
      <c r="H56" s="18">
        <v>2500</v>
      </c>
      <c r="I56" s="16">
        <f>C56+F56</f>
        <v>99.2</v>
      </c>
      <c r="J56" s="17">
        <f t="shared" si="0"/>
        <v>50</v>
      </c>
      <c r="K56" s="17">
        <f>E56+H56</f>
        <v>4960</v>
      </c>
      <c r="L56" s="19">
        <f>22.5-10</f>
        <v>12.5</v>
      </c>
      <c r="M56" s="18"/>
      <c r="N56" s="18">
        <f>1125-500</f>
        <v>625</v>
      </c>
      <c r="O56" s="18">
        <v>10</v>
      </c>
      <c r="P56" s="18">
        <v>500</v>
      </c>
      <c r="Q56" s="18"/>
      <c r="R56" s="18"/>
      <c r="S56" s="18">
        <f>I56-L56-O56-Q56</f>
        <v>76.7</v>
      </c>
      <c r="T56" s="17"/>
      <c r="U56" s="17">
        <f>K56-N56-P56-R56</f>
        <v>3835</v>
      </c>
    </row>
    <row r="57" spans="1:21">
      <c r="A57" s="14"/>
      <c r="B57" s="15" t="s">
        <v>63</v>
      </c>
      <c r="C57" s="16">
        <v>155.65</v>
      </c>
      <c r="D57" s="17"/>
      <c r="E57" s="16">
        <v>5006.8774251496998</v>
      </c>
      <c r="F57" s="18"/>
      <c r="G57" s="18"/>
      <c r="H57" s="18"/>
      <c r="I57" s="16">
        <f>C57+F57</f>
        <v>155.65</v>
      </c>
      <c r="J57" s="17">
        <f t="shared" si="0"/>
        <v>32.167538870219722</v>
      </c>
      <c r="K57" s="17">
        <f>E57+H57</f>
        <v>5006.8774251496998</v>
      </c>
      <c r="L57" s="19"/>
      <c r="M57" s="18"/>
      <c r="N57" s="18"/>
      <c r="O57" s="18"/>
      <c r="P57" s="18"/>
      <c r="Q57" s="18"/>
      <c r="R57" s="18"/>
      <c r="S57" s="18">
        <f>I57-L57-O57-Q57</f>
        <v>155.65</v>
      </c>
      <c r="T57" s="17"/>
      <c r="U57" s="17">
        <f>K57-N57-P57-R57</f>
        <v>5006.8774251496998</v>
      </c>
    </row>
    <row r="58" spans="1:21">
      <c r="A58" s="14"/>
      <c r="B58" s="15" t="s">
        <v>64</v>
      </c>
      <c r="C58" s="16">
        <v>165.35</v>
      </c>
      <c r="D58" s="17"/>
      <c r="E58" s="16">
        <v>8484.9184999999998</v>
      </c>
      <c r="F58" s="18"/>
      <c r="G58" s="18"/>
      <c r="H58" s="18"/>
      <c r="I58" s="16">
        <f>C58+F58</f>
        <v>165.35</v>
      </c>
      <c r="J58" s="17">
        <f t="shared" si="0"/>
        <v>51.314898699727848</v>
      </c>
      <c r="K58" s="17">
        <f>E58+H58</f>
        <v>8484.9184999999998</v>
      </c>
      <c r="L58" s="19"/>
      <c r="M58" s="18"/>
      <c r="N58" s="18"/>
      <c r="O58" s="18"/>
      <c r="P58" s="18"/>
      <c r="Q58" s="18"/>
      <c r="R58" s="18"/>
      <c r="S58" s="18">
        <f>I58-L58-O58-Q58</f>
        <v>165.35</v>
      </c>
      <c r="T58" s="17"/>
      <c r="U58" s="17">
        <f>K58-N58-P58-R58</f>
        <v>8484.9184999999998</v>
      </c>
    </row>
    <row r="59" spans="1:21" ht="27">
      <c r="A59" s="14"/>
      <c r="B59" s="15" t="s">
        <v>65</v>
      </c>
      <c r="C59" s="16">
        <v>1738.16</v>
      </c>
      <c r="D59" s="17"/>
      <c r="E59" s="16">
        <v>76573.682910249307</v>
      </c>
      <c r="F59" s="31"/>
      <c r="G59" s="18"/>
      <c r="H59" s="18"/>
      <c r="I59" s="16">
        <f>C59+F59</f>
        <v>1738.16</v>
      </c>
      <c r="J59" s="17">
        <f t="shared" si="0"/>
        <v>44.054450056524892</v>
      </c>
      <c r="K59" s="17">
        <f>E59+H59</f>
        <v>76573.682910249307</v>
      </c>
      <c r="L59" s="19">
        <v>1130.4000000000001</v>
      </c>
      <c r="M59" s="18"/>
      <c r="N59" s="18">
        <v>49794.12</v>
      </c>
      <c r="O59" s="18"/>
      <c r="P59" s="18"/>
      <c r="Q59" s="18"/>
      <c r="R59" s="18"/>
      <c r="S59" s="18">
        <f>I59-L59-O59-Q59</f>
        <v>607.76</v>
      </c>
      <c r="T59" s="17"/>
      <c r="U59" s="17">
        <f>K59-N59-P59-R59</f>
        <v>26779.562910249304</v>
      </c>
    </row>
    <row r="60" spans="1:21">
      <c r="A60" s="14"/>
      <c r="B60" s="20" t="s">
        <v>66</v>
      </c>
      <c r="C60" s="16">
        <v>307.50900000000001</v>
      </c>
      <c r="D60" s="17"/>
      <c r="E60" s="16">
        <v>16890.679107894401</v>
      </c>
      <c r="F60" s="31">
        <f>150+625</f>
        <v>775</v>
      </c>
      <c r="G60" s="18"/>
      <c r="H60" s="18">
        <f>8100+33750</f>
        <v>41850</v>
      </c>
      <c r="I60" s="16">
        <f>C60+F60</f>
        <v>1082.509</v>
      </c>
      <c r="J60" s="17">
        <f t="shared" si="0"/>
        <v>54.263455645998697</v>
      </c>
      <c r="K60" s="17">
        <f>E60+H60</f>
        <v>58740.679107894401</v>
      </c>
      <c r="L60" s="19">
        <v>393.56</v>
      </c>
      <c r="M60" s="18"/>
      <c r="N60" s="18">
        <v>21354.565600000002</v>
      </c>
      <c r="O60" s="18"/>
      <c r="P60" s="18"/>
      <c r="Q60" s="18"/>
      <c r="R60" s="18"/>
      <c r="S60" s="18">
        <f>I60-L60-O60-Q60</f>
        <v>688.94900000000007</v>
      </c>
      <c r="T60" s="17"/>
      <c r="U60" s="17">
        <f>K60-N60-P60-R60</f>
        <v>37386.113507894399</v>
      </c>
    </row>
    <row r="61" spans="1:21">
      <c r="A61" s="14"/>
      <c r="B61" s="15" t="s">
        <v>67</v>
      </c>
      <c r="C61" s="16">
        <v>20.2</v>
      </c>
      <c r="D61" s="17"/>
      <c r="E61" s="16">
        <v>1171.5999999999999</v>
      </c>
      <c r="F61" s="18">
        <f>275+125</f>
        <v>400</v>
      </c>
      <c r="G61" s="18"/>
      <c r="H61" s="18">
        <f>15400+7000</f>
        <v>22400</v>
      </c>
      <c r="I61" s="16">
        <f>C61+F61</f>
        <v>420.2</v>
      </c>
      <c r="J61" s="17">
        <f t="shared" si="0"/>
        <v>56.096144693003332</v>
      </c>
      <c r="K61" s="17">
        <f>E61+H61</f>
        <v>23571.599999999999</v>
      </c>
      <c r="L61" s="19"/>
      <c r="M61" s="18"/>
      <c r="N61" s="18"/>
      <c r="O61" s="18">
        <v>200</v>
      </c>
      <c r="P61" s="18">
        <v>11220</v>
      </c>
      <c r="Q61" s="18"/>
      <c r="R61" s="18"/>
      <c r="S61" s="18">
        <f>I61-L61-O61-Q61</f>
        <v>220.2</v>
      </c>
      <c r="T61" s="17"/>
      <c r="U61" s="17">
        <f>K61-N61-P61-R61</f>
        <v>12351.599999999999</v>
      </c>
    </row>
    <row r="62" spans="1:21" ht="27">
      <c r="A62" s="14"/>
      <c r="B62" s="20" t="s">
        <v>68</v>
      </c>
      <c r="C62" s="16">
        <v>12744</v>
      </c>
      <c r="D62" s="17"/>
      <c r="E62" s="16">
        <v>169297.66763604601</v>
      </c>
      <c r="F62" s="18">
        <v>21000</v>
      </c>
      <c r="G62" s="18"/>
      <c r="H62" s="18">
        <v>302400</v>
      </c>
      <c r="I62" s="16">
        <f>C62+F62</f>
        <v>33744</v>
      </c>
      <c r="J62" s="17">
        <f t="shared" si="0"/>
        <v>13.978712293623934</v>
      </c>
      <c r="K62" s="17">
        <f>E62+H62</f>
        <v>471697.66763604601</v>
      </c>
      <c r="L62" s="19">
        <v>3782</v>
      </c>
      <c r="M62" s="18"/>
      <c r="N62" s="18">
        <v>52872.36</v>
      </c>
      <c r="O62" s="18"/>
      <c r="P62" s="18"/>
      <c r="Q62" s="18"/>
      <c r="R62" s="18"/>
      <c r="S62" s="18">
        <f>I62-L62-O62-Q62</f>
        <v>29962</v>
      </c>
      <c r="T62" s="17"/>
      <c r="U62" s="17">
        <f>K62-N62-P62-R62</f>
        <v>418825.30763604603</v>
      </c>
    </row>
    <row r="63" spans="1:21" ht="27">
      <c r="A63" s="14"/>
      <c r="B63" s="15" t="s">
        <v>69</v>
      </c>
      <c r="C63" s="16">
        <v>26.094000000000001</v>
      </c>
      <c r="D63" s="17"/>
      <c r="E63" s="16">
        <v>9799.4119615226991</v>
      </c>
      <c r="F63" s="18">
        <v>50</v>
      </c>
      <c r="G63" s="18"/>
      <c r="H63" s="18">
        <v>16000</v>
      </c>
      <c r="I63" s="16">
        <f>C63+F63</f>
        <v>76.093999999999994</v>
      </c>
      <c r="J63" s="17">
        <f t="shared" si="0"/>
        <v>339.04659975192135</v>
      </c>
      <c r="K63" s="17">
        <f>E63+H63</f>
        <v>25799.411961522699</v>
      </c>
      <c r="L63" s="19">
        <f>28.255</f>
        <v>28.254999999999999</v>
      </c>
      <c r="M63" s="18"/>
      <c r="N63" s="18">
        <f>9695.134-115.28</f>
        <v>9579.8539999999994</v>
      </c>
      <c r="O63" s="18"/>
      <c r="P63" s="18"/>
      <c r="Q63" s="18">
        <v>2</v>
      </c>
      <c r="R63" s="18">
        <f>Q63*J63</f>
        <v>678.0931995038427</v>
      </c>
      <c r="S63" s="18">
        <f>I63-L63-O63-Q63</f>
        <v>45.838999999999999</v>
      </c>
      <c r="T63" s="17"/>
      <c r="U63" s="17">
        <f>K63-N63-P63-R63</f>
        <v>15541.464762018857</v>
      </c>
    </row>
    <row r="64" spans="1:21">
      <c r="A64" s="14"/>
      <c r="B64" s="15" t="s">
        <v>70</v>
      </c>
      <c r="C64" s="16">
        <v>22.5</v>
      </c>
      <c r="D64" s="17"/>
      <c r="E64" s="16">
        <v>2700</v>
      </c>
      <c r="F64" s="18"/>
      <c r="G64" s="18"/>
      <c r="H64" s="18"/>
      <c r="I64" s="16">
        <f>C64+F64</f>
        <v>22.5</v>
      </c>
      <c r="J64" s="17">
        <f t="shared" si="0"/>
        <v>120</v>
      </c>
      <c r="K64" s="17">
        <f>E64+H64</f>
        <v>2700</v>
      </c>
      <c r="L64" s="19"/>
      <c r="M64" s="18"/>
      <c r="N64" s="18"/>
      <c r="O64" s="18"/>
      <c r="P64" s="18"/>
      <c r="Q64" s="18"/>
      <c r="R64" s="18"/>
      <c r="S64" s="18">
        <f>I64-L64-O64-Q64</f>
        <v>22.5</v>
      </c>
      <c r="T64" s="17"/>
      <c r="U64" s="17">
        <f>K64-N64-P64-R64</f>
        <v>2700</v>
      </c>
    </row>
    <row r="65" spans="1:21">
      <c r="A65" s="14"/>
      <c r="B65" s="15" t="s">
        <v>71</v>
      </c>
      <c r="C65" s="16">
        <v>773.27</v>
      </c>
      <c r="D65" s="17"/>
      <c r="E65" s="16">
        <v>24525.773241137002</v>
      </c>
      <c r="F65" s="18"/>
      <c r="G65" s="18"/>
      <c r="H65" s="18"/>
      <c r="I65" s="16">
        <f>C65+F65</f>
        <v>773.27</v>
      </c>
      <c r="J65" s="17">
        <f t="shared" si="0"/>
        <v>31.716959459357017</v>
      </c>
      <c r="K65" s="17">
        <f>E65+H65</f>
        <v>24525.773241137002</v>
      </c>
      <c r="L65" s="19">
        <v>411.9</v>
      </c>
      <c r="M65" s="18"/>
      <c r="N65" s="18">
        <v>13065.468000000001</v>
      </c>
      <c r="O65" s="18"/>
      <c r="P65" s="18"/>
      <c r="Q65" s="18"/>
      <c r="R65" s="18"/>
      <c r="S65" s="18">
        <f>I65-L65-O65-Q65</f>
        <v>361.37</v>
      </c>
      <c r="T65" s="17"/>
      <c r="U65" s="17">
        <f>K65-N65-P65-R65</f>
        <v>11460.305241137001</v>
      </c>
    </row>
    <row r="66" spans="1:21" ht="27">
      <c r="A66" s="14"/>
      <c r="B66" s="20" t="s">
        <v>72</v>
      </c>
      <c r="C66" s="16">
        <v>354.2</v>
      </c>
      <c r="D66" s="17"/>
      <c r="E66" s="16">
        <v>32940.6</v>
      </c>
      <c r="F66" s="18"/>
      <c r="G66" s="18"/>
      <c r="H66" s="18"/>
      <c r="I66" s="16">
        <f>C66+F66</f>
        <v>354.2</v>
      </c>
      <c r="J66" s="17">
        <f t="shared" si="0"/>
        <v>93</v>
      </c>
      <c r="K66" s="17">
        <f>E66+H66</f>
        <v>32940.6</v>
      </c>
      <c r="L66" s="19"/>
      <c r="M66" s="18"/>
      <c r="N66" s="18"/>
      <c r="O66" s="18"/>
      <c r="P66" s="18"/>
      <c r="Q66" s="18"/>
      <c r="R66" s="18"/>
      <c r="S66" s="18">
        <f>I66-L66-O66-Q66</f>
        <v>354.2</v>
      </c>
      <c r="T66" s="17"/>
      <c r="U66" s="17">
        <f>K66-N66-P66-R66</f>
        <v>32940.6</v>
      </c>
    </row>
    <row r="67" spans="1:21">
      <c r="A67" s="14"/>
      <c r="B67" s="20" t="s">
        <v>73</v>
      </c>
      <c r="C67" s="16">
        <v>1455.74</v>
      </c>
      <c r="D67" s="17"/>
      <c r="E67" s="16">
        <v>147996.41113866601</v>
      </c>
      <c r="F67" s="18">
        <f>1200+1200</f>
        <v>2400</v>
      </c>
      <c r="G67" s="18"/>
      <c r="H67" s="18">
        <f>120360+120360</f>
        <v>240720</v>
      </c>
      <c r="I67" s="16">
        <f>C67+F67</f>
        <v>3855.74</v>
      </c>
      <c r="J67" s="17">
        <f t="shared" si="0"/>
        <v>100.81499560101719</v>
      </c>
      <c r="K67" s="17">
        <f>E67+H67</f>
        <v>388716.41113866598</v>
      </c>
      <c r="L67" s="19">
        <f>1671.47</f>
        <v>1671.47</v>
      </c>
      <c r="M67" s="18"/>
      <c r="N67" s="18">
        <f>173541.3907-5040.5</f>
        <v>168500.89069999999</v>
      </c>
      <c r="O67" s="18"/>
      <c r="P67" s="18"/>
      <c r="Q67" s="18"/>
      <c r="R67" s="18"/>
      <c r="S67" s="18">
        <f>I67-L67-O67-Q67</f>
        <v>2184.2699999999995</v>
      </c>
      <c r="T67" s="17"/>
      <c r="U67" s="17">
        <f>K67-N67-P67-R67</f>
        <v>220215.52043866599</v>
      </c>
    </row>
    <row r="68" spans="1:21">
      <c r="A68" s="14"/>
      <c r="B68" s="20" t="s">
        <v>74</v>
      </c>
      <c r="C68" s="16">
        <v>315</v>
      </c>
      <c r="D68" s="17"/>
      <c r="E68" s="16">
        <v>4410</v>
      </c>
      <c r="F68" s="18">
        <v>1000</v>
      </c>
      <c r="G68" s="18"/>
      <c r="H68" s="18">
        <v>14741.75</v>
      </c>
      <c r="I68" s="16">
        <f>C68+F68</f>
        <v>1315</v>
      </c>
      <c r="J68" s="17">
        <f t="shared" ref="J68:J131" si="1">K68/I68</f>
        <v>14.564068441064638</v>
      </c>
      <c r="K68" s="17">
        <f>E68+H68</f>
        <v>19151.75</v>
      </c>
      <c r="L68" s="19">
        <v>588</v>
      </c>
      <c r="M68" s="18"/>
      <c r="N68" s="18">
        <v>1969.8</v>
      </c>
      <c r="O68" s="18"/>
      <c r="P68" s="18"/>
      <c r="Q68" s="18"/>
      <c r="R68" s="18"/>
      <c r="S68" s="18">
        <f>I68-L68-O68-Q68</f>
        <v>727</v>
      </c>
      <c r="T68" s="17"/>
      <c r="U68" s="17">
        <f>K68-N68-P68-R68</f>
        <v>17181.95</v>
      </c>
    </row>
    <row r="69" spans="1:21" ht="27">
      <c r="A69" s="14"/>
      <c r="B69" s="28" t="s">
        <v>75</v>
      </c>
      <c r="C69" s="16">
        <v>0</v>
      </c>
      <c r="D69" s="17"/>
      <c r="E69" s="16">
        <v>0</v>
      </c>
      <c r="F69" s="18">
        <f>50+50</f>
        <v>100</v>
      </c>
      <c r="G69" s="18"/>
      <c r="H69" s="18"/>
      <c r="I69" s="16">
        <f>C69+F69</f>
        <v>100</v>
      </c>
      <c r="J69" s="17">
        <f t="shared" si="1"/>
        <v>0</v>
      </c>
      <c r="K69" s="17">
        <f>E69+H69</f>
        <v>0</v>
      </c>
      <c r="L69" s="19">
        <v>80</v>
      </c>
      <c r="M69" s="18"/>
      <c r="N69" s="18">
        <v>0</v>
      </c>
      <c r="O69" s="18"/>
      <c r="P69" s="18"/>
      <c r="Q69" s="18"/>
      <c r="R69" s="18"/>
      <c r="S69" s="18">
        <f>I69-L69-O69-Q69</f>
        <v>20</v>
      </c>
      <c r="T69" s="17"/>
      <c r="U69" s="17">
        <f>K69-N69-P69-R69</f>
        <v>0</v>
      </c>
    </row>
    <row r="70" spans="1:21">
      <c r="A70" s="14"/>
      <c r="B70" s="28" t="s">
        <v>76</v>
      </c>
      <c r="C70" s="16">
        <v>3244</v>
      </c>
      <c r="D70" s="17"/>
      <c r="E70" s="16">
        <v>37188.641702600202</v>
      </c>
      <c r="F70" s="18">
        <f>5000+50</f>
        <v>5050</v>
      </c>
      <c r="G70" s="18"/>
      <c r="H70" s="18">
        <v>56500</v>
      </c>
      <c r="I70" s="16">
        <f>C70+F70</f>
        <v>8294</v>
      </c>
      <c r="J70" s="17">
        <f t="shared" si="1"/>
        <v>11.295953906751894</v>
      </c>
      <c r="K70" s="17">
        <f>E70+H70</f>
        <v>93688.641702600202</v>
      </c>
      <c r="L70" s="19">
        <v>3200</v>
      </c>
      <c r="M70" s="18"/>
      <c r="N70" s="18">
        <v>36352</v>
      </c>
      <c r="O70" s="18"/>
      <c r="P70" s="18"/>
      <c r="Q70" s="18"/>
      <c r="R70" s="18"/>
      <c r="S70" s="18">
        <f>I70-L70-O70-Q70</f>
        <v>5094</v>
      </c>
      <c r="T70" s="17"/>
      <c r="U70" s="17">
        <f>K70-N70-P70-R70</f>
        <v>57336.641702600202</v>
      </c>
    </row>
    <row r="71" spans="1:21">
      <c r="A71" s="14"/>
      <c r="B71" s="28" t="s">
        <v>77</v>
      </c>
      <c r="C71" s="16">
        <v>2975</v>
      </c>
      <c r="D71" s="17"/>
      <c r="E71" s="16">
        <v>33774.864229559702</v>
      </c>
      <c r="F71" s="18">
        <v>3000</v>
      </c>
      <c r="G71" s="18"/>
      <c r="H71" s="18">
        <v>33900</v>
      </c>
      <c r="I71" s="16">
        <f>C71+F71</f>
        <v>5975</v>
      </c>
      <c r="J71" s="17">
        <f t="shared" si="1"/>
        <v>11.32633710954974</v>
      </c>
      <c r="K71" s="17">
        <f>E71+H71</f>
        <v>67674.864229559695</v>
      </c>
      <c r="L71" s="19">
        <v>2500</v>
      </c>
      <c r="M71" s="18"/>
      <c r="N71" s="18">
        <v>28325</v>
      </c>
      <c r="O71" s="18"/>
      <c r="P71" s="18"/>
      <c r="Q71" s="18"/>
      <c r="R71" s="18"/>
      <c r="S71" s="18">
        <f>I71-L71-O71-Q71</f>
        <v>3475</v>
      </c>
      <c r="T71" s="17"/>
      <c r="U71" s="17">
        <f>K71-N71-P71-R71</f>
        <v>39349.864229559695</v>
      </c>
    </row>
    <row r="72" spans="1:21">
      <c r="A72" s="14"/>
      <c r="B72" s="26" t="s">
        <v>78</v>
      </c>
      <c r="C72" s="16">
        <v>45</v>
      </c>
      <c r="D72" s="17"/>
      <c r="E72" s="16">
        <v>0</v>
      </c>
      <c r="F72" s="18"/>
      <c r="G72" s="18"/>
      <c r="H72" s="18"/>
      <c r="I72" s="16">
        <f>C72+F72</f>
        <v>45</v>
      </c>
      <c r="J72" s="17">
        <f t="shared" si="1"/>
        <v>0</v>
      </c>
      <c r="K72" s="17">
        <f>E72+H72</f>
        <v>0</v>
      </c>
      <c r="L72" s="19"/>
      <c r="M72" s="18"/>
      <c r="N72" s="18"/>
      <c r="O72" s="18"/>
      <c r="P72" s="18"/>
      <c r="Q72" s="18"/>
      <c r="R72" s="18"/>
      <c r="S72" s="18">
        <f>I72-L72-O72-Q72</f>
        <v>45</v>
      </c>
      <c r="T72" s="17"/>
      <c r="U72" s="17">
        <f>K72-N72-P72-R72</f>
        <v>0</v>
      </c>
    </row>
    <row r="73" spans="1:21">
      <c r="A73" s="14"/>
      <c r="B73" s="20" t="s">
        <v>79</v>
      </c>
      <c r="C73" s="16">
        <v>27.5</v>
      </c>
      <c r="D73" s="17"/>
      <c r="E73" s="16">
        <v>5254.2930310880902</v>
      </c>
      <c r="F73" s="18">
        <v>20</v>
      </c>
      <c r="G73" s="18"/>
      <c r="H73" s="18">
        <v>3800</v>
      </c>
      <c r="I73" s="16">
        <f>C73+F73</f>
        <v>47.5</v>
      </c>
      <c r="J73" s="17">
        <f t="shared" si="1"/>
        <v>190.61669539132822</v>
      </c>
      <c r="K73" s="17">
        <f>E73+H73</f>
        <v>9054.2930310880911</v>
      </c>
      <c r="L73" s="19">
        <v>22.5</v>
      </c>
      <c r="M73" s="18"/>
      <c r="N73" s="18">
        <v>4288.95</v>
      </c>
      <c r="O73" s="18"/>
      <c r="P73" s="18"/>
      <c r="Q73" s="18"/>
      <c r="R73" s="18"/>
      <c r="S73" s="18">
        <f>I73-L73-O73-Q73</f>
        <v>25</v>
      </c>
      <c r="T73" s="17"/>
      <c r="U73" s="17">
        <f>K73-N73-P73-R73</f>
        <v>4765.3430310880913</v>
      </c>
    </row>
    <row r="74" spans="1:21">
      <c r="A74" s="14"/>
      <c r="B74" s="15" t="s">
        <v>80</v>
      </c>
      <c r="C74" s="16">
        <v>21</v>
      </c>
      <c r="D74" s="17"/>
      <c r="E74" s="16">
        <v>4200</v>
      </c>
      <c r="F74" s="18"/>
      <c r="G74" s="18"/>
      <c r="H74" s="18"/>
      <c r="I74" s="16">
        <f>C74+F74</f>
        <v>21</v>
      </c>
      <c r="J74" s="17">
        <f t="shared" si="1"/>
        <v>200</v>
      </c>
      <c r="K74" s="17">
        <f>E74+H74</f>
        <v>4200</v>
      </c>
      <c r="L74" s="19"/>
      <c r="M74" s="18"/>
      <c r="N74" s="18"/>
      <c r="O74" s="18"/>
      <c r="P74" s="18"/>
      <c r="Q74" s="18"/>
      <c r="R74" s="18"/>
      <c r="S74" s="18">
        <f>I74-L74-O74-Q74</f>
        <v>21</v>
      </c>
      <c r="T74" s="17"/>
      <c r="U74" s="17">
        <f>K74-N74-P74-R74</f>
        <v>4200</v>
      </c>
    </row>
    <row r="75" spans="1:21">
      <c r="A75" s="14"/>
      <c r="B75" s="20" t="s">
        <v>81</v>
      </c>
      <c r="C75" s="16">
        <v>307.57</v>
      </c>
      <c r="D75" s="17"/>
      <c r="E75" s="16">
        <v>11053.8871454823</v>
      </c>
      <c r="F75" s="18"/>
      <c r="G75" s="18"/>
      <c r="H75" s="18"/>
      <c r="I75" s="16">
        <f>C75+F75</f>
        <v>307.57</v>
      </c>
      <c r="J75" s="17">
        <f t="shared" si="1"/>
        <v>35.939419141926393</v>
      </c>
      <c r="K75" s="17">
        <f>E75+H75</f>
        <v>11053.8871454823</v>
      </c>
      <c r="L75" s="19"/>
      <c r="M75" s="18"/>
      <c r="N75" s="18"/>
      <c r="O75" s="18">
        <f>10+18</f>
        <v>28</v>
      </c>
      <c r="P75" s="18">
        <f>359.4+646.92</f>
        <v>1006.3199999999999</v>
      </c>
      <c r="Q75" s="18"/>
      <c r="R75" s="18"/>
      <c r="S75" s="18">
        <f>I75-L75-O75-Q75</f>
        <v>279.57</v>
      </c>
      <c r="T75" s="17"/>
      <c r="U75" s="17">
        <f>K75-N75-P75-R75</f>
        <v>10047.5671454823</v>
      </c>
    </row>
    <row r="76" spans="1:21" ht="27">
      <c r="A76" s="14"/>
      <c r="B76" s="20" t="s">
        <v>82</v>
      </c>
      <c r="C76" s="16">
        <v>290</v>
      </c>
      <c r="D76" s="17"/>
      <c r="E76" s="16">
        <v>18952.924771718299</v>
      </c>
      <c r="F76" s="18"/>
      <c r="G76" s="18"/>
      <c r="H76" s="18"/>
      <c r="I76" s="16">
        <f>C76+F76</f>
        <v>290</v>
      </c>
      <c r="J76" s="17">
        <f t="shared" si="1"/>
        <v>65.35491300592517</v>
      </c>
      <c r="K76" s="17">
        <f>E76+H76</f>
        <v>18952.924771718299</v>
      </c>
      <c r="L76" s="19">
        <v>139</v>
      </c>
      <c r="M76" s="18"/>
      <c r="N76" s="18">
        <v>9083.65</v>
      </c>
      <c r="O76" s="18"/>
      <c r="P76" s="18"/>
      <c r="Q76" s="18"/>
      <c r="R76" s="18"/>
      <c r="S76" s="18">
        <f>I76-L76-O76-Q76</f>
        <v>151</v>
      </c>
      <c r="T76" s="17"/>
      <c r="U76" s="17">
        <f>K76-N76-P76-R76</f>
        <v>9869.2747717182992</v>
      </c>
    </row>
    <row r="77" spans="1:21" ht="27">
      <c r="A77" s="14"/>
      <c r="B77" s="20" t="s">
        <v>83</v>
      </c>
      <c r="C77" s="16">
        <v>196</v>
      </c>
      <c r="D77" s="17"/>
      <c r="E77" s="16">
        <v>4460.4556486296597</v>
      </c>
      <c r="F77" s="18"/>
      <c r="G77" s="18"/>
      <c r="H77" s="18"/>
      <c r="I77" s="16">
        <f>C77+F77</f>
        <v>196</v>
      </c>
      <c r="J77" s="17">
        <f t="shared" si="1"/>
        <v>22.757426778722753</v>
      </c>
      <c r="K77" s="17">
        <f>E77+H77</f>
        <v>4460.4556486296597</v>
      </c>
      <c r="L77" s="19">
        <v>58.5</v>
      </c>
      <c r="M77" s="18"/>
      <c r="N77" s="18">
        <v>1331.46</v>
      </c>
      <c r="O77" s="18"/>
      <c r="P77" s="18"/>
      <c r="Q77" s="18"/>
      <c r="R77" s="18"/>
      <c r="S77" s="18">
        <f>I77-L77-O77-Q77</f>
        <v>137.5</v>
      </c>
      <c r="T77" s="17"/>
      <c r="U77" s="17">
        <f>K77-N77-P77-R77</f>
        <v>3128.9956486296596</v>
      </c>
    </row>
    <row r="78" spans="1:21">
      <c r="A78" s="14"/>
      <c r="B78" s="20" t="s">
        <v>84</v>
      </c>
      <c r="C78" s="16">
        <v>236</v>
      </c>
      <c r="D78" s="17"/>
      <c r="E78" s="16">
        <v>12873.8</v>
      </c>
      <c r="F78" s="18"/>
      <c r="G78" s="18"/>
      <c r="H78" s="18"/>
      <c r="I78" s="16">
        <f>C78+F78</f>
        <v>236</v>
      </c>
      <c r="J78" s="17">
        <f t="shared" si="1"/>
        <v>54.55</v>
      </c>
      <c r="K78" s="17">
        <f>E78+H78</f>
        <v>12873.8</v>
      </c>
      <c r="L78" s="19"/>
      <c r="M78" s="18"/>
      <c r="N78" s="18"/>
      <c r="O78" s="18"/>
      <c r="P78" s="18"/>
      <c r="Q78" s="18"/>
      <c r="R78" s="18"/>
      <c r="S78" s="18">
        <f>I78-L78-O78-Q78</f>
        <v>236</v>
      </c>
      <c r="T78" s="17"/>
      <c r="U78" s="17">
        <f>K78-N78-P78-R78</f>
        <v>12873.8</v>
      </c>
    </row>
    <row r="79" spans="1:21">
      <c r="A79" s="14"/>
      <c r="B79" s="20" t="s">
        <v>85</v>
      </c>
      <c r="C79" s="16">
        <v>115.13</v>
      </c>
      <c r="D79" s="17"/>
      <c r="E79" s="16">
        <v>2224.3321280588798</v>
      </c>
      <c r="F79" s="18"/>
      <c r="G79" s="18"/>
      <c r="H79" s="18"/>
      <c r="I79" s="16">
        <f>C79+F79</f>
        <v>115.13</v>
      </c>
      <c r="J79" s="17">
        <f t="shared" si="1"/>
        <v>19.320178303299574</v>
      </c>
      <c r="K79" s="17">
        <f>E79+H79</f>
        <v>2224.3321280588798</v>
      </c>
      <c r="L79" s="19"/>
      <c r="M79" s="18"/>
      <c r="N79" s="18"/>
      <c r="O79" s="18">
        <f>10+13</f>
        <v>23</v>
      </c>
      <c r="P79" s="18">
        <f>193.2+251.16</f>
        <v>444.36</v>
      </c>
      <c r="Q79" s="18"/>
      <c r="R79" s="18"/>
      <c r="S79" s="18">
        <f>I79-L79-O79-Q79</f>
        <v>92.13</v>
      </c>
      <c r="T79" s="17"/>
      <c r="U79" s="17">
        <f>K79-N79-P79-R79</f>
        <v>1779.9721280588797</v>
      </c>
    </row>
    <row r="80" spans="1:21">
      <c r="A80" s="14"/>
      <c r="B80" s="20" t="s">
        <v>86</v>
      </c>
      <c r="C80" s="16">
        <v>2548.13</v>
      </c>
      <c r="D80" s="17"/>
      <c r="E80" s="16">
        <v>201377.45671967699</v>
      </c>
      <c r="F80" s="18"/>
      <c r="G80" s="18"/>
      <c r="H80" s="18"/>
      <c r="I80" s="16">
        <f>C80+F80</f>
        <v>2548.13</v>
      </c>
      <c r="J80" s="17">
        <f t="shared" si="1"/>
        <v>79.029506626301242</v>
      </c>
      <c r="K80" s="17">
        <f>E80+H80</f>
        <v>201377.45671967699</v>
      </c>
      <c r="L80" s="19">
        <f>91.96</f>
        <v>91.96</v>
      </c>
      <c r="M80" s="18"/>
      <c r="N80" s="18">
        <f>7267.5988</f>
        <v>7267.5987999999998</v>
      </c>
      <c r="O80" s="18"/>
      <c r="P80" s="18"/>
      <c r="Q80" s="18"/>
      <c r="R80" s="18"/>
      <c r="S80" s="18">
        <f>I80-L80-O80-Q80</f>
        <v>2456.17</v>
      </c>
      <c r="T80" s="17"/>
      <c r="U80" s="17">
        <f>K80-N80-P80-R80</f>
        <v>194109.85791967699</v>
      </c>
    </row>
    <row r="81" spans="1:21">
      <c r="A81" s="14"/>
      <c r="B81" s="20" t="s">
        <v>87</v>
      </c>
      <c r="C81" s="16">
        <v>11.9</v>
      </c>
      <c r="D81" s="17"/>
      <c r="E81" s="16">
        <v>1023.4</v>
      </c>
      <c r="F81" s="18"/>
      <c r="G81" s="18"/>
      <c r="H81" s="18"/>
      <c r="I81" s="16">
        <f>C81+F81</f>
        <v>11.9</v>
      </c>
      <c r="J81" s="17">
        <f t="shared" si="1"/>
        <v>86</v>
      </c>
      <c r="K81" s="17">
        <f>E81+H81</f>
        <v>1023.4</v>
      </c>
      <c r="L81" s="19"/>
      <c r="M81" s="18"/>
      <c r="N81" s="18"/>
      <c r="O81" s="18"/>
      <c r="P81" s="18"/>
      <c r="Q81" s="18"/>
      <c r="R81" s="18"/>
      <c r="S81" s="18">
        <f>I81-L81-O81-Q81</f>
        <v>11.9</v>
      </c>
      <c r="T81" s="17"/>
      <c r="U81" s="17">
        <f>K81-N81-P81-R81</f>
        <v>1023.4</v>
      </c>
    </row>
    <row r="82" spans="1:21">
      <c r="A82" s="14"/>
      <c r="B82" s="20" t="s">
        <v>88</v>
      </c>
      <c r="C82" s="16">
        <v>781.3</v>
      </c>
      <c r="D82" s="17"/>
      <c r="E82" s="16">
        <v>8281.7800000000007</v>
      </c>
      <c r="F82" s="18"/>
      <c r="G82" s="18"/>
      <c r="H82" s="18"/>
      <c r="I82" s="16">
        <f>C82+F82</f>
        <v>781.3</v>
      </c>
      <c r="J82" s="17">
        <f t="shared" si="1"/>
        <v>10.600000000000001</v>
      </c>
      <c r="K82" s="17">
        <f>E82+H82</f>
        <v>8281.7800000000007</v>
      </c>
      <c r="L82" s="19"/>
      <c r="M82" s="18"/>
      <c r="N82" s="18"/>
      <c r="O82" s="18"/>
      <c r="P82" s="18"/>
      <c r="Q82" s="18"/>
      <c r="R82" s="18"/>
      <c r="S82" s="18">
        <f>I82-L82-O82-Q82</f>
        <v>781.3</v>
      </c>
      <c r="T82" s="17"/>
      <c r="U82" s="17">
        <f>K82-N82-P82-R82</f>
        <v>8281.7800000000007</v>
      </c>
    </row>
    <row r="83" spans="1:21">
      <c r="A83" s="14"/>
      <c r="B83" s="20" t="s">
        <v>89</v>
      </c>
      <c r="C83" s="16">
        <v>789.8</v>
      </c>
      <c r="D83" s="17"/>
      <c r="E83" s="16">
        <v>0</v>
      </c>
      <c r="F83" s="18"/>
      <c r="G83" s="18"/>
      <c r="H83" s="18"/>
      <c r="I83" s="16">
        <f>C83+F83</f>
        <v>789.8</v>
      </c>
      <c r="J83" s="17">
        <f t="shared" si="1"/>
        <v>0</v>
      </c>
      <c r="K83" s="17">
        <f>E83+H83</f>
        <v>0</v>
      </c>
      <c r="L83" s="19"/>
      <c r="M83" s="18"/>
      <c r="N83" s="18"/>
      <c r="O83" s="18"/>
      <c r="P83" s="18"/>
      <c r="Q83" s="18"/>
      <c r="R83" s="18"/>
      <c r="S83" s="18">
        <f>I83-L83-O83-Q83</f>
        <v>789.8</v>
      </c>
      <c r="T83" s="17"/>
      <c r="U83" s="17">
        <f>K83-N83-P83-R83</f>
        <v>0</v>
      </c>
    </row>
    <row r="84" spans="1:21" ht="27">
      <c r="A84" s="14"/>
      <c r="B84" s="15" t="s">
        <v>90</v>
      </c>
      <c r="C84" s="16">
        <v>22920</v>
      </c>
      <c r="D84" s="17"/>
      <c r="E84" s="16">
        <v>174805.83129018199</v>
      </c>
      <c r="F84" s="18">
        <f>1000+5000+5000</f>
        <v>11000</v>
      </c>
      <c r="G84" s="18"/>
      <c r="H84" s="18">
        <f>7750+38750+38750</f>
        <v>85250</v>
      </c>
      <c r="I84" s="16">
        <f>C84+F84</f>
        <v>33920</v>
      </c>
      <c r="J84" s="17">
        <f t="shared" si="1"/>
        <v>7.6667403092624404</v>
      </c>
      <c r="K84" s="17">
        <f>E84+H84</f>
        <v>260055.83129018199</v>
      </c>
      <c r="L84" s="19">
        <f>21125+260</f>
        <v>21385</v>
      </c>
      <c r="M84" s="18"/>
      <c r="N84" s="18">
        <f>162028.75+1994.2</f>
        <v>164022.95000000001</v>
      </c>
      <c r="O84" s="18"/>
      <c r="P84" s="18"/>
      <c r="Q84" s="18"/>
      <c r="R84" s="18"/>
      <c r="S84" s="18">
        <f>I84-L84-O84-Q84</f>
        <v>12535</v>
      </c>
      <c r="T84" s="17"/>
      <c r="U84" s="17">
        <f>K84-N84-P84-R84</f>
        <v>96032.881290181977</v>
      </c>
    </row>
    <row r="85" spans="1:21" ht="40">
      <c r="A85" s="14"/>
      <c r="B85" s="15" t="s">
        <v>91</v>
      </c>
      <c r="C85" s="16">
        <v>33472</v>
      </c>
      <c r="D85" s="17"/>
      <c r="E85" s="16">
        <v>252214.60914912799</v>
      </c>
      <c r="F85" s="18">
        <f>20000+30000+18000+25000</f>
        <v>93000</v>
      </c>
      <c r="G85" s="18"/>
      <c r="H85" s="18">
        <f>155000+372000+193750</f>
        <v>720750</v>
      </c>
      <c r="I85" s="16">
        <f>C85+F85</f>
        <v>126472</v>
      </c>
      <c r="J85" s="17">
        <f t="shared" si="1"/>
        <v>7.6931226607401477</v>
      </c>
      <c r="K85" s="17">
        <f>E85+H85</f>
        <v>972964.60914912797</v>
      </c>
      <c r="L85" s="19">
        <f>580+76587</f>
        <v>77167</v>
      </c>
      <c r="M85" s="18"/>
      <c r="N85" s="18">
        <f>588954.03+4460.2</f>
        <v>593414.23</v>
      </c>
      <c r="O85" s="18"/>
      <c r="P85" s="18"/>
      <c r="Q85" s="18"/>
      <c r="R85" s="18"/>
      <c r="S85" s="18">
        <f>I85-L85-O85-Q85</f>
        <v>49305</v>
      </c>
      <c r="T85" s="17"/>
      <c r="U85" s="17">
        <f>K85-N85-P85-R85</f>
        <v>379550.37914912798</v>
      </c>
    </row>
    <row r="86" spans="1:21">
      <c r="A86" s="14"/>
      <c r="B86" s="15" t="s">
        <v>92</v>
      </c>
      <c r="C86" s="16">
        <v>10000</v>
      </c>
      <c r="D86" s="17"/>
      <c r="E86" s="16">
        <v>80984.100000000006</v>
      </c>
      <c r="F86" s="18">
        <f>9000+7000</f>
        <v>16000</v>
      </c>
      <c r="G86" s="18"/>
      <c r="H86" s="18">
        <f>72900+56700</f>
        <v>129600</v>
      </c>
      <c r="I86" s="16">
        <f>C86+F86</f>
        <v>26000</v>
      </c>
      <c r="J86" s="17">
        <f t="shared" si="1"/>
        <v>8.0993884615384619</v>
      </c>
      <c r="K86" s="17">
        <f>E86+H86</f>
        <v>210584.1</v>
      </c>
      <c r="L86" s="19">
        <v>7152</v>
      </c>
      <c r="M86" s="18"/>
      <c r="N86" s="18">
        <v>57931.199999999997</v>
      </c>
      <c r="O86" s="18"/>
      <c r="P86" s="18"/>
      <c r="Q86" s="18"/>
      <c r="R86" s="18"/>
      <c r="S86" s="18">
        <f>I86-L86-O86-Q86</f>
        <v>18848</v>
      </c>
      <c r="T86" s="17"/>
      <c r="U86" s="17">
        <f>K86-N86-P86-R86</f>
        <v>152652.90000000002</v>
      </c>
    </row>
    <row r="87" spans="1:21">
      <c r="A87" s="14"/>
      <c r="B87" s="15" t="s">
        <v>93</v>
      </c>
      <c r="C87" s="16">
        <v>1020</v>
      </c>
      <c r="D87" s="17"/>
      <c r="E87" s="16">
        <v>7600</v>
      </c>
      <c r="F87" s="18"/>
      <c r="G87" s="18"/>
      <c r="H87" s="18"/>
      <c r="I87" s="16">
        <f>C87+F87</f>
        <v>1020</v>
      </c>
      <c r="J87" s="17">
        <f t="shared" si="1"/>
        <v>7.4509803921568629</v>
      </c>
      <c r="K87" s="17">
        <f>E87+H87</f>
        <v>7600</v>
      </c>
      <c r="L87" s="19"/>
      <c r="M87" s="18"/>
      <c r="N87" s="18"/>
      <c r="O87" s="18"/>
      <c r="P87" s="18"/>
      <c r="Q87" s="18"/>
      <c r="R87" s="18"/>
      <c r="S87" s="18">
        <f>I87-L87-O87-Q87</f>
        <v>1020</v>
      </c>
      <c r="T87" s="17"/>
      <c r="U87" s="17">
        <f>K87-N87-P87-R87</f>
        <v>7600</v>
      </c>
    </row>
    <row r="88" spans="1:21" ht="27">
      <c r="A88" s="14"/>
      <c r="B88" s="15" t="s">
        <v>94</v>
      </c>
      <c r="C88" s="16">
        <v>84.5</v>
      </c>
      <c r="D88" s="17"/>
      <c r="E88" s="16">
        <v>7991.3264285714004</v>
      </c>
      <c r="F88" s="18">
        <v>100</v>
      </c>
      <c r="G88" s="18"/>
      <c r="H88" s="18">
        <v>9000</v>
      </c>
      <c r="I88" s="16">
        <f>C88+F88</f>
        <v>184.5</v>
      </c>
      <c r="J88" s="17">
        <f t="shared" si="1"/>
        <v>92.093910181958805</v>
      </c>
      <c r="K88" s="17">
        <f>E88+H88</f>
        <v>16991.326428571399</v>
      </c>
      <c r="L88" s="19">
        <v>37</v>
      </c>
      <c r="M88" s="18"/>
      <c r="N88" s="18">
        <v>3499.09</v>
      </c>
      <c r="O88" s="18"/>
      <c r="P88" s="18"/>
      <c r="Q88" s="18"/>
      <c r="R88" s="18"/>
      <c r="S88" s="18">
        <f>I88-L88-O88-Q88</f>
        <v>147.5</v>
      </c>
      <c r="T88" s="17"/>
      <c r="U88" s="17">
        <f>K88-N88-P88-R88</f>
        <v>13492.236428571399</v>
      </c>
    </row>
    <row r="89" spans="1:21">
      <c r="A89" s="14"/>
      <c r="B89" s="15" t="s">
        <v>95</v>
      </c>
      <c r="C89" s="16">
        <v>3125.34</v>
      </c>
      <c r="D89" s="17"/>
      <c r="E89" s="16">
        <v>124312.787542506</v>
      </c>
      <c r="F89" s="18">
        <v>3400</v>
      </c>
      <c r="G89" s="18"/>
      <c r="H89" s="18">
        <v>132600</v>
      </c>
      <c r="I89" s="16">
        <f>C89+F89</f>
        <v>6525.34</v>
      </c>
      <c r="J89" s="17">
        <f t="shared" si="1"/>
        <v>39.371555741540824</v>
      </c>
      <c r="K89" s="17">
        <f>E89+H89</f>
        <v>256912.787542506</v>
      </c>
      <c r="L89" s="19">
        <f>4309.83</f>
        <v>4309.83</v>
      </c>
      <c r="M89" s="18"/>
      <c r="N89" s="18">
        <f>172689.812-3011.81</f>
        <v>169678.00200000001</v>
      </c>
      <c r="O89" s="18"/>
      <c r="P89" s="18"/>
      <c r="Q89" s="18"/>
      <c r="R89" s="18"/>
      <c r="S89" s="18">
        <f>I89-L89-O89-Q89</f>
        <v>2215.5100000000002</v>
      </c>
      <c r="T89" s="17"/>
      <c r="U89" s="17">
        <f>K89-N89-P89-R89</f>
        <v>87234.785542505997</v>
      </c>
    </row>
    <row r="90" spans="1:21">
      <c r="A90" s="14"/>
      <c r="B90" s="20" t="s">
        <v>96</v>
      </c>
      <c r="C90" s="16">
        <v>360</v>
      </c>
      <c r="D90" s="17"/>
      <c r="E90" s="16">
        <v>8226.74</v>
      </c>
      <c r="F90" s="18"/>
      <c r="G90" s="18"/>
      <c r="H90" s="18"/>
      <c r="I90" s="16">
        <f>C90+F90</f>
        <v>360</v>
      </c>
      <c r="J90" s="17">
        <f t="shared" si="1"/>
        <v>22.852055555555555</v>
      </c>
      <c r="K90" s="17">
        <f>E90+H90</f>
        <v>8226.74</v>
      </c>
      <c r="L90" s="19"/>
      <c r="M90" s="18"/>
      <c r="N90" s="18"/>
      <c r="O90" s="18"/>
      <c r="P90" s="18"/>
      <c r="Q90" s="18"/>
      <c r="R90" s="18"/>
      <c r="S90" s="18">
        <f>I90-L90-O90-Q90</f>
        <v>360</v>
      </c>
      <c r="T90" s="17"/>
      <c r="U90" s="17">
        <f>K90-N90-P90-R90</f>
        <v>8226.74</v>
      </c>
    </row>
    <row r="91" spans="1:21">
      <c r="A91" s="14"/>
      <c r="B91" s="20" t="s">
        <v>97</v>
      </c>
      <c r="C91" s="16">
        <v>404.5</v>
      </c>
      <c r="D91" s="17"/>
      <c r="E91" s="16">
        <v>10517.734536026501</v>
      </c>
      <c r="F91" s="18">
        <v>400</v>
      </c>
      <c r="G91" s="18"/>
      <c r="H91" s="18">
        <v>10132</v>
      </c>
      <c r="I91" s="16">
        <f>C91+F91</f>
        <v>804.5</v>
      </c>
      <c r="J91" s="17">
        <f t="shared" si="1"/>
        <v>25.66778686889559</v>
      </c>
      <c r="K91" s="17">
        <f>E91+H91</f>
        <v>20649.734536026503</v>
      </c>
      <c r="L91" s="19">
        <v>352</v>
      </c>
      <c r="M91" s="18"/>
      <c r="N91" s="18">
        <v>9035.84</v>
      </c>
      <c r="O91" s="18"/>
      <c r="P91" s="18"/>
      <c r="Q91" s="18"/>
      <c r="R91" s="18"/>
      <c r="S91" s="18">
        <f>I91-L91-O91-Q91</f>
        <v>452.5</v>
      </c>
      <c r="T91" s="17"/>
      <c r="U91" s="17">
        <f>K91-N91-P91-R91</f>
        <v>11613.894536026502</v>
      </c>
    </row>
    <row r="92" spans="1:21" ht="40">
      <c r="A92" s="14"/>
      <c r="B92" s="32" t="s">
        <v>98</v>
      </c>
      <c r="C92" s="16">
        <v>105.72</v>
      </c>
      <c r="D92" s="17"/>
      <c r="E92" s="16">
        <v>3856.33996673004</v>
      </c>
      <c r="F92" s="18"/>
      <c r="G92" s="18"/>
      <c r="H92" s="18"/>
      <c r="I92" s="16">
        <f>C92+F92</f>
        <v>105.72</v>
      </c>
      <c r="J92" s="17">
        <f t="shared" si="1"/>
        <v>36.476919851778661</v>
      </c>
      <c r="K92" s="17">
        <f>E92+H92</f>
        <v>3856.33996673004</v>
      </c>
      <c r="L92" s="19"/>
      <c r="M92" s="18"/>
      <c r="N92" s="18"/>
      <c r="O92" s="18">
        <f>1+1</f>
        <v>2</v>
      </c>
      <c r="P92" s="18">
        <f>36.48+36.48</f>
        <v>72.959999999999994</v>
      </c>
      <c r="Q92" s="18"/>
      <c r="R92" s="18"/>
      <c r="S92" s="18">
        <f>I92-L92-O92-Q92</f>
        <v>103.72</v>
      </c>
      <c r="T92" s="17"/>
      <c r="U92" s="17">
        <f>K92-N92-P92-R92</f>
        <v>3783.37996673004</v>
      </c>
    </row>
    <row r="93" spans="1:21" ht="27">
      <c r="A93" s="14"/>
      <c r="B93" s="15" t="s">
        <v>99</v>
      </c>
      <c r="C93" s="16">
        <v>0</v>
      </c>
      <c r="D93" s="17"/>
      <c r="E93" s="16">
        <v>0</v>
      </c>
      <c r="F93" s="18">
        <v>100</v>
      </c>
      <c r="G93" s="18"/>
      <c r="H93" s="18">
        <v>3700</v>
      </c>
      <c r="I93" s="16">
        <f>C93+F93</f>
        <v>100</v>
      </c>
      <c r="J93" s="17">
        <f t="shared" si="1"/>
        <v>37</v>
      </c>
      <c r="K93" s="17">
        <f>E93+H93</f>
        <v>3700</v>
      </c>
      <c r="L93" s="19"/>
      <c r="M93" s="18"/>
      <c r="N93" s="18"/>
      <c r="O93" s="18"/>
      <c r="P93" s="18"/>
      <c r="Q93" s="18"/>
      <c r="R93" s="18"/>
      <c r="S93" s="18">
        <f>I93-L93-O93-Q93</f>
        <v>100</v>
      </c>
      <c r="T93" s="17"/>
      <c r="U93" s="17">
        <f>K93-N93-P93-R93</f>
        <v>3700</v>
      </c>
    </row>
    <row r="94" spans="1:21" ht="40">
      <c r="A94" s="14"/>
      <c r="B94" s="15" t="s">
        <v>100</v>
      </c>
      <c r="C94" s="16">
        <v>6194</v>
      </c>
      <c r="D94" s="17"/>
      <c r="E94" s="16">
        <v>126867.265051675</v>
      </c>
      <c r="F94" s="18"/>
      <c r="G94" s="18"/>
      <c r="H94" s="18"/>
      <c r="I94" s="16">
        <f>C94+F94</f>
        <v>6194</v>
      </c>
      <c r="J94" s="17">
        <f t="shared" si="1"/>
        <v>20.48228366995076</v>
      </c>
      <c r="K94" s="17">
        <f>E94+H94</f>
        <v>126867.265051675</v>
      </c>
      <c r="L94" s="19">
        <v>707</v>
      </c>
      <c r="M94" s="18"/>
      <c r="N94" s="18">
        <v>14479.36</v>
      </c>
      <c r="O94" s="18"/>
      <c r="P94" s="18"/>
      <c r="Q94" s="18"/>
      <c r="R94" s="18"/>
      <c r="S94" s="18">
        <f>I94-L94-O94-Q94</f>
        <v>5487</v>
      </c>
      <c r="T94" s="17"/>
      <c r="U94" s="17">
        <f>K94-N94-P94-R94</f>
        <v>112387.905051675</v>
      </c>
    </row>
    <row r="95" spans="1:21">
      <c r="A95" s="14"/>
      <c r="B95" s="20" t="s">
        <v>101</v>
      </c>
      <c r="C95" s="16">
        <v>25</v>
      </c>
      <c r="D95" s="17"/>
      <c r="E95" s="16">
        <v>950</v>
      </c>
      <c r="F95" s="18"/>
      <c r="G95" s="18"/>
      <c r="H95" s="18"/>
      <c r="I95" s="16">
        <f>C95+F95</f>
        <v>25</v>
      </c>
      <c r="J95" s="17">
        <f t="shared" si="1"/>
        <v>38</v>
      </c>
      <c r="K95" s="17">
        <f>E95+H95</f>
        <v>950</v>
      </c>
      <c r="L95" s="19"/>
      <c r="M95" s="18"/>
      <c r="N95" s="18"/>
      <c r="O95" s="18"/>
      <c r="P95" s="18"/>
      <c r="Q95" s="18"/>
      <c r="R95" s="18"/>
      <c r="S95" s="18">
        <f>I95-L95-O95-Q95</f>
        <v>25</v>
      </c>
      <c r="T95" s="17"/>
      <c r="U95" s="17">
        <f>K95-N95-P95-R95</f>
        <v>950</v>
      </c>
    </row>
    <row r="96" spans="1:21" ht="27">
      <c r="A96" s="14"/>
      <c r="B96" s="15" t="s">
        <v>102</v>
      </c>
      <c r="C96" s="16">
        <v>17.77</v>
      </c>
      <c r="D96" s="17"/>
      <c r="E96" s="16">
        <v>0</v>
      </c>
      <c r="F96" s="18"/>
      <c r="G96" s="18"/>
      <c r="H96" s="18"/>
      <c r="I96" s="16">
        <f>C96+F96</f>
        <v>17.77</v>
      </c>
      <c r="J96" s="17">
        <f t="shared" si="1"/>
        <v>0</v>
      </c>
      <c r="K96" s="17">
        <f>E96+H96</f>
        <v>0</v>
      </c>
      <c r="L96" s="19">
        <v>0.6</v>
      </c>
      <c r="M96" s="18"/>
      <c r="N96" s="18">
        <v>0</v>
      </c>
      <c r="O96" s="18"/>
      <c r="P96" s="18"/>
      <c r="Q96" s="18"/>
      <c r="R96" s="18"/>
      <c r="S96" s="18">
        <f>I96-L96-O96-Q96</f>
        <v>17.169999999999998</v>
      </c>
      <c r="T96" s="17"/>
      <c r="U96" s="17">
        <f>K96-N96-P96-R96</f>
        <v>0</v>
      </c>
    </row>
    <row r="97" spans="1:21" ht="27">
      <c r="A97" s="14"/>
      <c r="B97" s="15" t="s">
        <v>103</v>
      </c>
      <c r="C97" s="16">
        <v>69</v>
      </c>
      <c r="D97" s="17"/>
      <c r="E97" s="16">
        <v>0</v>
      </c>
      <c r="F97" s="18">
        <v>225</v>
      </c>
      <c r="G97" s="18"/>
      <c r="H97" s="18"/>
      <c r="I97" s="16">
        <f>C97+F97</f>
        <v>294</v>
      </c>
      <c r="J97" s="17">
        <f t="shared" si="1"/>
        <v>0</v>
      </c>
      <c r="K97" s="17">
        <f>E97+H97</f>
        <v>0</v>
      </c>
      <c r="L97" s="19">
        <v>220</v>
      </c>
      <c r="M97" s="18"/>
      <c r="N97" s="18">
        <v>0</v>
      </c>
      <c r="O97" s="18"/>
      <c r="P97" s="18"/>
      <c r="Q97" s="18"/>
      <c r="R97" s="18"/>
      <c r="S97" s="18">
        <f>I97-L97-O97-Q97</f>
        <v>74</v>
      </c>
      <c r="T97" s="17"/>
      <c r="U97" s="17">
        <f>K97-N97-P97-R97</f>
        <v>0</v>
      </c>
    </row>
    <row r="98" spans="1:21" ht="27">
      <c r="A98" s="14"/>
      <c r="B98" s="15" t="s">
        <v>104</v>
      </c>
      <c r="C98" s="16">
        <v>70</v>
      </c>
      <c r="D98" s="17"/>
      <c r="E98" s="16">
        <v>0</v>
      </c>
      <c r="F98" s="18">
        <v>100</v>
      </c>
      <c r="G98" s="18"/>
      <c r="H98" s="18"/>
      <c r="I98" s="16">
        <f>C98+F98</f>
        <v>170</v>
      </c>
      <c r="J98" s="17">
        <f t="shared" si="1"/>
        <v>0</v>
      </c>
      <c r="K98" s="17">
        <f>E98+H98</f>
        <v>0</v>
      </c>
      <c r="L98" s="19">
        <v>100</v>
      </c>
      <c r="M98" s="18"/>
      <c r="N98" s="18">
        <v>0</v>
      </c>
      <c r="O98" s="18"/>
      <c r="P98" s="18"/>
      <c r="Q98" s="18"/>
      <c r="R98" s="18"/>
      <c r="S98" s="18">
        <f>I98-L98-O98-Q98</f>
        <v>70</v>
      </c>
      <c r="T98" s="17"/>
      <c r="U98" s="17">
        <f>K98-N98-P98-R98</f>
        <v>0</v>
      </c>
    </row>
    <row r="99" spans="1:21" ht="27">
      <c r="A99" s="14"/>
      <c r="B99" s="15" t="s">
        <v>105</v>
      </c>
      <c r="C99" s="16">
        <v>3210.59</v>
      </c>
      <c r="D99" s="17"/>
      <c r="E99" s="16">
        <v>66799.419791302702</v>
      </c>
      <c r="F99" s="18"/>
      <c r="G99" s="18"/>
      <c r="H99" s="18"/>
      <c r="I99" s="16">
        <f>C99+F99</f>
        <v>3210.59</v>
      </c>
      <c r="J99" s="17">
        <f t="shared" si="1"/>
        <v>20.805963947842201</v>
      </c>
      <c r="K99" s="17">
        <f>E99+H99</f>
        <v>66799.419791302702</v>
      </c>
      <c r="L99" s="19">
        <f>1647.9</f>
        <v>1647.9</v>
      </c>
      <c r="M99" s="18"/>
      <c r="N99" s="33">
        <f>43032.999-8740.2</f>
        <v>34292.798999999999</v>
      </c>
      <c r="O99" s="18"/>
      <c r="P99" s="18"/>
      <c r="Q99" s="18"/>
      <c r="R99" s="18"/>
      <c r="S99" s="18">
        <f>I99-L99-O99-Q99</f>
        <v>1562.69</v>
      </c>
      <c r="T99" s="17"/>
      <c r="U99" s="17">
        <f>K99-N99-P99-R99</f>
        <v>32506.620791302703</v>
      </c>
    </row>
    <row r="100" spans="1:21" ht="27">
      <c r="A100" s="14"/>
      <c r="B100" s="15" t="s">
        <v>106</v>
      </c>
      <c r="C100" s="16">
        <v>6051.2</v>
      </c>
      <c r="D100" s="17"/>
      <c r="E100" s="16">
        <v>122704.111687051</v>
      </c>
      <c r="F100" s="18">
        <v>5000</v>
      </c>
      <c r="G100" s="18"/>
      <c r="H100" s="18">
        <f>100000+1750</f>
        <v>101750</v>
      </c>
      <c r="I100" s="16">
        <f>C100+F100</f>
        <v>11051.2</v>
      </c>
      <c r="J100" s="17">
        <f t="shared" si="1"/>
        <v>20.310383640423755</v>
      </c>
      <c r="K100" s="17">
        <f>E100+H100</f>
        <v>224454.11168705102</v>
      </c>
      <c r="L100" s="19">
        <v>8481.7000000000007</v>
      </c>
      <c r="M100" s="18"/>
      <c r="N100" s="18">
        <v>172263.32699999999</v>
      </c>
      <c r="O100" s="18"/>
      <c r="P100" s="18"/>
      <c r="Q100" s="18"/>
      <c r="R100" s="18"/>
      <c r="S100" s="18">
        <f>I100-L100-O100-Q100</f>
        <v>2569.5</v>
      </c>
      <c r="T100" s="17"/>
      <c r="U100" s="17">
        <f>K100-N100-P100-R100</f>
        <v>52190.784687051026</v>
      </c>
    </row>
    <row r="101" spans="1:21" ht="27">
      <c r="A101" s="14"/>
      <c r="B101" s="15" t="s">
        <v>107</v>
      </c>
      <c r="C101" s="16">
        <v>18.649999999999999</v>
      </c>
      <c r="D101" s="17"/>
      <c r="E101" s="16">
        <v>373</v>
      </c>
      <c r="F101" s="18"/>
      <c r="G101" s="18"/>
      <c r="H101" s="18"/>
      <c r="I101" s="16">
        <f>C101+F101</f>
        <v>18.649999999999999</v>
      </c>
      <c r="J101" s="17">
        <f t="shared" si="1"/>
        <v>20</v>
      </c>
      <c r="K101" s="17">
        <f>E101+H101</f>
        <v>373</v>
      </c>
      <c r="L101" s="19"/>
      <c r="M101" s="18"/>
      <c r="N101" s="18"/>
      <c r="O101" s="18"/>
      <c r="P101" s="18"/>
      <c r="Q101" s="18"/>
      <c r="R101" s="18"/>
      <c r="S101" s="18">
        <f>I101-L101-O101-Q101</f>
        <v>18.649999999999999</v>
      </c>
      <c r="T101" s="17"/>
      <c r="U101" s="17">
        <f>K101-N101-P101-R101</f>
        <v>373</v>
      </c>
    </row>
    <row r="102" spans="1:21" ht="27">
      <c r="A102" s="14"/>
      <c r="B102" s="20" t="s">
        <v>108</v>
      </c>
      <c r="C102" s="16">
        <v>331.8</v>
      </c>
      <c r="D102" s="17"/>
      <c r="E102" s="16">
        <v>6835.08</v>
      </c>
      <c r="F102" s="18"/>
      <c r="G102" s="18"/>
      <c r="H102" s="18"/>
      <c r="I102" s="16">
        <f>C102+F102</f>
        <v>331.8</v>
      </c>
      <c r="J102" s="17">
        <f t="shared" si="1"/>
        <v>20.599999999999998</v>
      </c>
      <c r="K102" s="17">
        <f>E102+H102</f>
        <v>6835.08</v>
      </c>
      <c r="L102" s="19"/>
      <c r="M102" s="18"/>
      <c r="N102" s="18"/>
      <c r="O102" s="18"/>
      <c r="P102" s="18"/>
      <c r="Q102" s="18"/>
      <c r="R102" s="18"/>
      <c r="S102" s="18">
        <f>I102-L102-O102-Q102</f>
        <v>331.8</v>
      </c>
      <c r="T102" s="17"/>
      <c r="U102" s="17">
        <f>K102-N102-P102-R102</f>
        <v>6835.08</v>
      </c>
    </row>
    <row r="103" spans="1:21">
      <c r="A103" s="14"/>
      <c r="B103" s="20" t="s">
        <v>109</v>
      </c>
      <c r="C103" s="16">
        <v>2849.19</v>
      </c>
      <c r="D103" s="17"/>
      <c r="E103" s="16">
        <v>57742.213837848903</v>
      </c>
      <c r="F103" s="18">
        <v>5000</v>
      </c>
      <c r="G103" s="18"/>
      <c r="H103" s="18">
        <f>100000+1750</f>
        <v>101750</v>
      </c>
      <c r="I103" s="16">
        <f>C103+F103</f>
        <v>7849.1900000000005</v>
      </c>
      <c r="J103" s="17">
        <f t="shared" si="1"/>
        <v>20.319576139429536</v>
      </c>
      <c r="K103" s="17">
        <f>E103+H103</f>
        <v>159492.21383784892</v>
      </c>
      <c r="L103" s="19">
        <v>1724.5</v>
      </c>
      <c r="M103" s="18"/>
      <c r="N103" s="18">
        <v>35041.839999999997</v>
      </c>
      <c r="O103" s="18"/>
      <c r="P103" s="18"/>
      <c r="Q103" s="18"/>
      <c r="R103" s="18"/>
      <c r="S103" s="18">
        <f>I103-L103-O103-Q103</f>
        <v>6124.6900000000005</v>
      </c>
      <c r="T103" s="17"/>
      <c r="U103" s="17">
        <f>K103-N103-P103-R103</f>
        <v>124450.37383784892</v>
      </c>
    </row>
    <row r="104" spans="1:21">
      <c r="A104" s="14"/>
      <c r="B104" s="20" t="s">
        <v>110</v>
      </c>
      <c r="C104" s="16">
        <v>15995</v>
      </c>
      <c r="D104" s="17"/>
      <c r="E104" s="16">
        <v>166957.387553812</v>
      </c>
      <c r="F104" s="18"/>
      <c r="G104" s="18"/>
      <c r="H104" s="18"/>
      <c r="I104" s="16">
        <f>C104+F104</f>
        <v>15995</v>
      </c>
      <c r="J104" s="17">
        <f t="shared" si="1"/>
        <v>10.43809862793448</v>
      </c>
      <c r="K104" s="17">
        <f>E104+H104</f>
        <v>166957.387553812</v>
      </c>
      <c r="L104" s="19"/>
      <c r="M104" s="18"/>
      <c r="N104" s="18"/>
      <c r="O104" s="18"/>
      <c r="P104" s="18"/>
      <c r="Q104" s="18"/>
      <c r="R104" s="18"/>
      <c r="S104" s="18">
        <f>I104-L104-O104-Q104</f>
        <v>15995</v>
      </c>
      <c r="T104" s="17"/>
      <c r="U104" s="17">
        <f>K104-N104-P104-R104</f>
        <v>166957.387553812</v>
      </c>
    </row>
    <row r="105" spans="1:21">
      <c r="A105" s="14"/>
      <c r="B105" s="20" t="s">
        <v>111</v>
      </c>
      <c r="C105" s="16">
        <v>200</v>
      </c>
      <c r="D105" s="17"/>
      <c r="E105" s="16">
        <v>2000</v>
      </c>
      <c r="F105" s="18"/>
      <c r="G105" s="18"/>
      <c r="H105" s="18"/>
      <c r="I105" s="16">
        <f>C105+F105</f>
        <v>200</v>
      </c>
      <c r="J105" s="17">
        <f t="shared" si="1"/>
        <v>10</v>
      </c>
      <c r="K105" s="17">
        <f>E105+H105</f>
        <v>2000</v>
      </c>
      <c r="L105" s="19"/>
      <c r="M105" s="18"/>
      <c r="N105" s="18"/>
      <c r="O105" s="18"/>
      <c r="P105" s="18"/>
      <c r="Q105" s="18"/>
      <c r="R105" s="18"/>
      <c r="S105" s="18">
        <f>I105-L105-O105-Q105</f>
        <v>200</v>
      </c>
      <c r="T105" s="17"/>
      <c r="U105" s="17">
        <f>K105-N105-P105-R105</f>
        <v>2000</v>
      </c>
    </row>
    <row r="106" spans="1:21" ht="27">
      <c r="A106" s="14"/>
      <c r="B106" s="34" t="s">
        <v>112</v>
      </c>
      <c r="C106" s="16">
        <v>705</v>
      </c>
      <c r="D106" s="17"/>
      <c r="E106" s="16">
        <v>11813.95</v>
      </c>
      <c r="F106" s="18"/>
      <c r="G106" s="18"/>
      <c r="H106" s="18"/>
      <c r="I106" s="16">
        <f>C106+F106</f>
        <v>705</v>
      </c>
      <c r="J106" s="17">
        <f t="shared" si="1"/>
        <v>16.757375886524823</v>
      </c>
      <c r="K106" s="17">
        <f>E106+H106</f>
        <v>11813.95</v>
      </c>
      <c r="L106" s="19"/>
      <c r="M106" s="18"/>
      <c r="N106" s="18"/>
      <c r="O106" s="18"/>
      <c r="P106" s="18"/>
      <c r="Q106" s="18"/>
      <c r="R106" s="18"/>
      <c r="S106" s="18">
        <f>I106-L106-O106-Q106</f>
        <v>705</v>
      </c>
      <c r="T106" s="17"/>
      <c r="U106" s="17">
        <f>K106-N106-P106-R106</f>
        <v>11813.95</v>
      </c>
    </row>
    <row r="107" spans="1:21">
      <c r="A107" s="14"/>
      <c r="B107" s="26" t="s">
        <v>113</v>
      </c>
      <c r="C107" s="16">
        <v>950</v>
      </c>
      <c r="D107" s="17"/>
      <c r="E107" s="16">
        <v>7790</v>
      </c>
      <c r="F107" s="18"/>
      <c r="G107" s="18"/>
      <c r="H107" s="18"/>
      <c r="I107" s="16">
        <f>C107+F107</f>
        <v>950</v>
      </c>
      <c r="J107" s="17">
        <f t="shared" si="1"/>
        <v>8.1999999999999993</v>
      </c>
      <c r="K107" s="17">
        <f>E107+H107</f>
        <v>7790</v>
      </c>
      <c r="L107" s="19">
        <v>950</v>
      </c>
      <c r="M107" s="18"/>
      <c r="N107" s="18">
        <v>7790</v>
      </c>
      <c r="O107" s="18"/>
      <c r="P107" s="18"/>
      <c r="Q107" s="18"/>
      <c r="R107" s="18"/>
      <c r="S107" s="18">
        <f>I107-L107-O107-Q107</f>
        <v>0</v>
      </c>
      <c r="T107" s="17"/>
      <c r="U107" s="17">
        <f>K107-N107-P107-R107</f>
        <v>0</v>
      </c>
    </row>
    <row r="108" spans="1:21">
      <c r="A108" s="14"/>
      <c r="B108" s="26" t="s">
        <v>114</v>
      </c>
      <c r="C108" s="16">
        <v>9298</v>
      </c>
      <c r="D108" s="17"/>
      <c r="E108" s="16">
        <v>111728.73801549</v>
      </c>
      <c r="F108" s="18">
        <f>4000+1000</f>
        <v>5000</v>
      </c>
      <c r="G108" s="18"/>
      <c r="H108" s="18">
        <f>47050.4+11968.6</f>
        <v>59019</v>
      </c>
      <c r="I108" s="16">
        <f>C108+F108</f>
        <v>14298</v>
      </c>
      <c r="J108" s="17">
        <f t="shared" si="1"/>
        <v>11.942071479611833</v>
      </c>
      <c r="K108" s="17">
        <f>E108+H108</f>
        <v>170747.73801549</v>
      </c>
      <c r="L108" s="19">
        <v>6060</v>
      </c>
      <c r="M108" s="18"/>
      <c r="N108" s="18">
        <v>72356.399999999994</v>
      </c>
      <c r="O108" s="18"/>
      <c r="P108" s="18"/>
      <c r="Q108" s="18"/>
      <c r="R108" s="18"/>
      <c r="S108" s="18">
        <f>I108-L108-O108-Q108</f>
        <v>8238</v>
      </c>
      <c r="T108" s="17"/>
      <c r="U108" s="17">
        <f>K108-N108-P108-R108</f>
        <v>98391.338015490008</v>
      </c>
    </row>
    <row r="109" spans="1:21">
      <c r="A109" s="14"/>
      <c r="B109" s="26" t="s">
        <v>115</v>
      </c>
      <c r="C109" s="16">
        <v>200</v>
      </c>
      <c r="D109" s="17"/>
      <c r="E109" s="16">
        <v>0</v>
      </c>
      <c r="F109" s="18"/>
      <c r="G109" s="18"/>
      <c r="H109" s="18"/>
      <c r="I109" s="16">
        <f>C109+F109</f>
        <v>200</v>
      </c>
      <c r="J109" s="17">
        <f t="shared" si="1"/>
        <v>0</v>
      </c>
      <c r="K109" s="17">
        <f>E109+H109</f>
        <v>0</v>
      </c>
      <c r="L109" s="19"/>
      <c r="M109" s="18"/>
      <c r="N109" s="18"/>
      <c r="O109" s="18"/>
      <c r="P109" s="18"/>
      <c r="Q109" s="18"/>
      <c r="R109" s="18"/>
      <c r="S109" s="18">
        <f>I109-L109-O109-Q109</f>
        <v>200</v>
      </c>
      <c r="T109" s="17"/>
      <c r="U109" s="17">
        <f>K109-N109-P109-R109</f>
        <v>0</v>
      </c>
    </row>
    <row r="110" spans="1:21">
      <c r="A110" s="14"/>
      <c r="B110" s="26" t="s">
        <v>116</v>
      </c>
      <c r="C110" s="16">
        <v>195</v>
      </c>
      <c r="D110" s="17"/>
      <c r="E110" s="16">
        <v>0</v>
      </c>
      <c r="F110" s="18"/>
      <c r="G110" s="18"/>
      <c r="H110" s="18"/>
      <c r="I110" s="16">
        <f>C110+F110</f>
        <v>195</v>
      </c>
      <c r="J110" s="17">
        <f t="shared" si="1"/>
        <v>0</v>
      </c>
      <c r="K110" s="17">
        <f>E110+H110</f>
        <v>0</v>
      </c>
      <c r="L110" s="19"/>
      <c r="M110" s="18"/>
      <c r="N110" s="18"/>
      <c r="O110" s="18"/>
      <c r="P110" s="18"/>
      <c r="Q110" s="18"/>
      <c r="R110" s="18"/>
      <c r="S110" s="18">
        <f>I110-L110-O110-Q110</f>
        <v>195</v>
      </c>
      <c r="T110" s="17"/>
      <c r="U110" s="17">
        <f>K110-N110-P110-R110</f>
        <v>0</v>
      </c>
    </row>
    <row r="111" spans="1:21">
      <c r="A111" s="14"/>
      <c r="B111" s="26" t="s">
        <v>117</v>
      </c>
      <c r="C111" s="16">
        <v>218.2</v>
      </c>
      <c r="D111" s="17"/>
      <c r="E111" s="16">
        <v>28711.1655991109</v>
      </c>
      <c r="F111" s="18"/>
      <c r="G111" s="18"/>
      <c r="H111" s="18"/>
      <c r="I111" s="16">
        <f>C111+F111</f>
        <v>218.2</v>
      </c>
      <c r="J111" s="17">
        <f t="shared" si="1"/>
        <v>131.58187717282723</v>
      </c>
      <c r="K111" s="17">
        <f>E111+H111</f>
        <v>28711.1655991109</v>
      </c>
      <c r="L111" s="19">
        <v>21.3</v>
      </c>
      <c r="M111" s="18"/>
      <c r="N111" s="18">
        <v>2802.654</v>
      </c>
      <c r="O111" s="18"/>
      <c r="P111" s="18"/>
      <c r="Q111" s="18"/>
      <c r="R111" s="18"/>
      <c r="S111" s="18">
        <f>I111-L111-O111-Q111</f>
        <v>196.89999999999998</v>
      </c>
      <c r="T111" s="17"/>
      <c r="U111" s="17">
        <f>K111-N111-P111-R111</f>
        <v>25908.511599110901</v>
      </c>
    </row>
    <row r="112" spans="1:21">
      <c r="A112" s="14"/>
      <c r="B112" s="20" t="s">
        <v>118</v>
      </c>
      <c r="C112" s="16">
        <v>838</v>
      </c>
      <c r="D112" s="17"/>
      <c r="E112" s="16">
        <v>17552.908902672101</v>
      </c>
      <c r="F112" s="18"/>
      <c r="G112" s="18"/>
      <c r="H112" s="18"/>
      <c r="I112" s="16">
        <f>C112+F112</f>
        <v>838</v>
      </c>
      <c r="J112" s="17">
        <f t="shared" si="1"/>
        <v>20.946192007961933</v>
      </c>
      <c r="K112" s="17">
        <f>E112+H112</f>
        <v>17552.908902672101</v>
      </c>
      <c r="L112" s="19">
        <v>282</v>
      </c>
      <c r="M112" s="18"/>
      <c r="N112" s="18">
        <v>5907.9</v>
      </c>
      <c r="O112" s="18"/>
      <c r="P112" s="18"/>
      <c r="Q112" s="18"/>
      <c r="R112" s="18"/>
      <c r="S112" s="18">
        <f>I112-L112-O112-Q112</f>
        <v>556</v>
      </c>
      <c r="T112" s="17"/>
      <c r="U112" s="17">
        <f>K112-N112-P112-R112</f>
        <v>11645.008902672102</v>
      </c>
    </row>
    <row r="113" spans="1:21" ht="27">
      <c r="A113" s="14"/>
      <c r="B113" s="15" t="s">
        <v>119</v>
      </c>
      <c r="C113" s="16">
        <v>0</v>
      </c>
      <c r="D113" s="17"/>
      <c r="E113" s="16">
        <v>0</v>
      </c>
      <c r="F113" s="18"/>
      <c r="G113" s="18"/>
      <c r="H113" s="18"/>
      <c r="I113" s="16">
        <f>C113+F113</f>
        <v>0</v>
      </c>
      <c r="J113" s="17" t="e">
        <f t="shared" si="1"/>
        <v>#DIV/0!</v>
      </c>
      <c r="K113" s="17">
        <f>E113+H113</f>
        <v>0</v>
      </c>
      <c r="L113" s="19"/>
      <c r="M113" s="18"/>
      <c r="N113" s="18"/>
      <c r="O113" s="18"/>
      <c r="P113" s="18"/>
      <c r="Q113" s="18"/>
      <c r="R113" s="18"/>
      <c r="S113" s="18">
        <f>I113-L113-O113-Q113</f>
        <v>0</v>
      </c>
      <c r="T113" s="17"/>
      <c r="U113" s="17">
        <f>K113-N113-P113-R113</f>
        <v>0</v>
      </c>
    </row>
    <row r="114" spans="1:21">
      <c r="A114" s="14"/>
      <c r="B114" s="20" t="s">
        <v>120</v>
      </c>
      <c r="C114" s="16">
        <v>339.96</v>
      </c>
      <c r="D114" s="17"/>
      <c r="E114" s="16">
        <v>8927.3696</v>
      </c>
      <c r="F114" s="18"/>
      <c r="G114" s="18"/>
      <c r="H114" s="18"/>
      <c r="I114" s="16">
        <f>C114+F114</f>
        <v>339.96</v>
      </c>
      <c r="J114" s="17">
        <f t="shared" si="1"/>
        <v>26.260058830450642</v>
      </c>
      <c r="K114" s="17">
        <f>E114+H114</f>
        <v>8927.3696</v>
      </c>
      <c r="L114" s="19"/>
      <c r="M114" s="18"/>
      <c r="N114" s="18"/>
      <c r="O114" s="18"/>
      <c r="P114" s="18"/>
      <c r="Q114" s="18"/>
      <c r="R114" s="18"/>
      <c r="S114" s="18">
        <f>I114-L114-O114-Q114</f>
        <v>339.96</v>
      </c>
      <c r="T114" s="17"/>
      <c r="U114" s="17">
        <f>K114-N114-P114-R114</f>
        <v>8927.3696</v>
      </c>
    </row>
    <row r="115" spans="1:21">
      <c r="A115" s="14"/>
      <c r="B115" s="20" t="s">
        <v>121</v>
      </c>
      <c r="C115" s="16">
        <v>200</v>
      </c>
      <c r="D115" s="17"/>
      <c r="E115" s="16">
        <v>3380</v>
      </c>
      <c r="F115" s="18"/>
      <c r="G115" s="18"/>
      <c r="H115" s="18"/>
      <c r="I115" s="16">
        <f>C115+F115</f>
        <v>200</v>
      </c>
      <c r="J115" s="17">
        <f t="shared" si="1"/>
        <v>16.899999999999999</v>
      </c>
      <c r="K115" s="17">
        <f>E115+H115</f>
        <v>3380</v>
      </c>
      <c r="L115" s="19"/>
      <c r="M115" s="18"/>
      <c r="N115" s="18"/>
      <c r="O115" s="18"/>
      <c r="P115" s="18"/>
      <c r="Q115" s="18"/>
      <c r="R115" s="18"/>
      <c r="S115" s="18">
        <f>I115-L115-O115-Q115</f>
        <v>200</v>
      </c>
      <c r="T115" s="17"/>
      <c r="U115" s="17">
        <f>K115-N115-P115-R115</f>
        <v>3380</v>
      </c>
    </row>
    <row r="116" spans="1:21">
      <c r="A116" s="14"/>
      <c r="B116" s="20" t="s">
        <v>122</v>
      </c>
      <c r="C116" s="16">
        <v>7798</v>
      </c>
      <c r="D116" s="17"/>
      <c r="E116" s="16">
        <v>94010.777970091003</v>
      </c>
      <c r="F116" s="18">
        <v>5000</v>
      </c>
      <c r="G116" s="18"/>
      <c r="H116" s="18">
        <v>57500</v>
      </c>
      <c r="I116" s="16">
        <f>C116+F116</f>
        <v>12798</v>
      </c>
      <c r="J116" s="17">
        <f t="shared" si="1"/>
        <v>11.838629314743788</v>
      </c>
      <c r="K116" s="17">
        <f>E116+H116</f>
        <v>151510.777970091</v>
      </c>
      <c r="L116" s="19">
        <v>5566</v>
      </c>
      <c r="M116" s="18"/>
      <c r="N116" s="18">
        <v>65901.440000000002</v>
      </c>
      <c r="O116" s="18"/>
      <c r="P116" s="18"/>
      <c r="Q116" s="18"/>
      <c r="R116" s="18"/>
      <c r="S116" s="18">
        <f>I116-L116-O116-Q116</f>
        <v>7232</v>
      </c>
      <c r="T116" s="17"/>
      <c r="U116" s="17">
        <f>K116-N116-P116-R116</f>
        <v>85609.337970091001</v>
      </c>
    </row>
    <row r="117" spans="1:21">
      <c r="A117" s="14"/>
      <c r="B117" s="20" t="s">
        <v>123</v>
      </c>
      <c r="C117" s="16">
        <v>5393</v>
      </c>
      <c r="D117" s="17"/>
      <c r="E117" s="16">
        <v>66342.959383028006</v>
      </c>
      <c r="F117" s="18">
        <v>5000</v>
      </c>
      <c r="G117" s="18"/>
      <c r="H117" s="18">
        <v>62500</v>
      </c>
      <c r="I117" s="16">
        <f>C117+F117</f>
        <v>10393</v>
      </c>
      <c r="J117" s="17">
        <f t="shared" si="1"/>
        <v>12.397090289909363</v>
      </c>
      <c r="K117" s="17">
        <f>E117+H117</f>
        <v>128842.95938302801</v>
      </c>
      <c r="L117" s="19">
        <v>3861</v>
      </c>
      <c r="M117" s="18"/>
      <c r="N117" s="18">
        <v>47876.4</v>
      </c>
      <c r="O117" s="18"/>
      <c r="P117" s="18"/>
      <c r="Q117" s="18"/>
      <c r="R117" s="18"/>
      <c r="S117" s="18">
        <f>I117-L117-O117-Q117</f>
        <v>6532</v>
      </c>
      <c r="T117" s="17"/>
      <c r="U117" s="17">
        <f>K117-N117-P117-R117</f>
        <v>80966.559383028012</v>
      </c>
    </row>
    <row r="118" spans="1:21" ht="27">
      <c r="A118" s="14"/>
      <c r="B118" s="35" t="s">
        <v>124</v>
      </c>
      <c r="C118" s="16">
        <v>352</v>
      </c>
      <c r="D118" s="17"/>
      <c r="E118" s="16">
        <v>2064.3971497877101</v>
      </c>
      <c r="F118" s="18">
        <v>400</v>
      </c>
      <c r="G118" s="18"/>
      <c r="H118" s="18">
        <f>1400+410</f>
        <v>1810</v>
      </c>
      <c r="I118" s="16">
        <f>C118+F118</f>
        <v>752</v>
      </c>
      <c r="J118" s="17">
        <f t="shared" si="1"/>
        <v>5.1521238693985509</v>
      </c>
      <c r="K118" s="17">
        <f>E118+H118</f>
        <v>3874.3971497877101</v>
      </c>
      <c r="L118" s="19">
        <f>67-45</f>
        <v>22</v>
      </c>
      <c r="M118" s="18"/>
      <c r="N118" s="18">
        <f>345.05-231.75</f>
        <v>113.30000000000001</v>
      </c>
      <c r="O118" s="18">
        <f>35.5+35+45</f>
        <v>115.5</v>
      </c>
      <c r="P118" s="18">
        <f>182.83+180.25+231.75</f>
        <v>594.83000000000004</v>
      </c>
      <c r="Q118" s="18"/>
      <c r="R118" s="18"/>
      <c r="S118" s="18">
        <f>I118-L118-O118-Q118</f>
        <v>614.5</v>
      </c>
      <c r="T118" s="17"/>
      <c r="U118" s="17">
        <f>K118-N118-P118-R118</f>
        <v>3166.26714978771</v>
      </c>
    </row>
    <row r="119" spans="1:21">
      <c r="A119" s="14"/>
      <c r="B119" s="32" t="s">
        <v>125</v>
      </c>
      <c r="C119" s="16">
        <v>14.09</v>
      </c>
      <c r="D119" s="17"/>
      <c r="E119" s="16">
        <v>144.70310000000001</v>
      </c>
      <c r="F119" s="18"/>
      <c r="G119" s="18"/>
      <c r="H119" s="18"/>
      <c r="I119" s="16">
        <f>C119+F119</f>
        <v>14.09</v>
      </c>
      <c r="J119" s="17">
        <f t="shared" si="1"/>
        <v>10.269914833215047</v>
      </c>
      <c r="K119" s="17">
        <f>E119+H119</f>
        <v>144.70310000000001</v>
      </c>
      <c r="L119" s="19"/>
      <c r="M119" s="18"/>
      <c r="N119" s="18"/>
      <c r="O119" s="18">
        <f>0.4+1.4</f>
        <v>1.7999999999999998</v>
      </c>
      <c r="P119" s="18">
        <f>4.108+14.38</f>
        <v>18.488</v>
      </c>
      <c r="Q119" s="18"/>
      <c r="R119" s="18"/>
      <c r="S119" s="18">
        <f>I119-L119-O119-Q119</f>
        <v>12.29</v>
      </c>
      <c r="T119" s="17"/>
      <c r="U119" s="17">
        <f>K119-N119-P119-R119</f>
        <v>126.21510000000001</v>
      </c>
    </row>
    <row r="120" spans="1:21">
      <c r="A120" s="14"/>
      <c r="B120" s="32" t="s">
        <v>126</v>
      </c>
      <c r="C120" s="16">
        <v>0</v>
      </c>
      <c r="D120" s="17"/>
      <c r="E120" s="16">
        <v>3.3999999996012801E-3</v>
      </c>
      <c r="F120" s="18">
        <v>1080</v>
      </c>
      <c r="G120" s="18"/>
      <c r="H120" s="18">
        <v>12960</v>
      </c>
      <c r="I120" s="16">
        <f>C120+F120</f>
        <v>1080</v>
      </c>
      <c r="J120" s="17">
        <f t="shared" si="1"/>
        <v>12.000003148148148</v>
      </c>
      <c r="K120" s="17">
        <f>E120+H120</f>
        <v>12960.0034</v>
      </c>
      <c r="L120" s="19"/>
      <c r="M120" s="18"/>
      <c r="N120" s="18"/>
      <c r="O120" s="18"/>
      <c r="P120" s="18"/>
      <c r="Q120" s="18"/>
      <c r="R120" s="18"/>
      <c r="S120" s="18">
        <f>I120-L120-O120-Q120</f>
        <v>1080</v>
      </c>
      <c r="T120" s="17"/>
      <c r="U120" s="17">
        <f>K120-N120-P120-R120</f>
        <v>12960.0034</v>
      </c>
    </row>
    <row r="121" spans="1:21" ht="40">
      <c r="A121" s="14"/>
      <c r="B121" s="35" t="s">
        <v>127</v>
      </c>
      <c r="C121" s="16">
        <v>600</v>
      </c>
      <c r="D121" s="17"/>
      <c r="E121" s="16">
        <v>14161.504815043299</v>
      </c>
      <c r="F121" s="18"/>
      <c r="G121" s="18"/>
      <c r="H121" s="18"/>
      <c r="I121" s="16">
        <f>C121+F121</f>
        <v>600</v>
      </c>
      <c r="J121" s="17">
        <f t="shared" si="1"/>
        <v>23.602508025072165</v>
      </c>
      <c r="K121" s="17">
        <f>E121+H121</f>
        <v>14161.504815043299</v>
      </c>
      <c r="L121" s="19">
        <v>289.5</v>
      </c>
      <c r="M121" s="18"/>
      <c r="N121" s="18">
        <v>6832.2</v>
      </c>
      <c r="O121" s="18"/>
      <c r="P121" s="18"/>
      <c r="Q121" s="18"/>
      <c r="R121" s="18"/>
      <c r="S121" s="18">
        <f>I121-L121-O121-Q121</f>
        <v>310.5</v>
      </c>
      <c r="T121" s="17"/>
      <c r="U121" s="17">
        <f>K121-N121-P121-R121</f>
        <v>7329.3048150432996</v>
      </c>
    </row>
    <row r="122" spans="1:21">
      <c r="A122" s="14"/>
      <c r="B122" s="36" t="s">
        <v>128</v>
      </c>
      <c r="C122" s="16">
        <v>25</v>
      </c>
      <c r="D122" s="17"/>
      <c r="E122" s="16">
        <v>125</v>
      </c>
      <c r="F122" s="18"/>
      <c r="G122" s="18"/>
      <c r="H122" s="18"/>
      <c r="I122" s="16">
        <f>C122+F122</f>
        <v>25</v>
      </c>
      <c r="J122" s="17">
        <f t="shared" si="1"/>
        <v>5</v>
      </c>
      <c r="K122" s="17">
        <f>E122+H122</f>
        <v>125</v>
      </c>
      <c r="L122" s="19"/>
      <c r="M122" s="18"/>
      <c r="N122" s="18"/>
      <c r="O122" s="18"/>
      <c r="P122" s="18"/>
      <c r="Q122" s="18"/>
      <c r="R122" s="18"/>
      <c r="S122" s="18">
        <f>I122-L122-O122-Q122</f>
        <v>25</v>
      </c>
      <c r="T122" s="17"/>
      <c r="U122" s="17">
        <f>K122-N122-P122-R122</f>
        <v>125</v>
      </c>
    </row>
    <row r="123" spans="1:21">
      <c r="A123" s="14"/>
      <c r="B123" s="35" t="s">
        <v>129</v>
      </c>
      <c r="C123" s="16">
        <v>27313.89</v>
      </c>
      <c r="D123" s="17"/>
      <c r="E123" s="16">
        <v>165574.612867296</v>
      </c>
      <c r="F123" s="18">
        <v>11040</v>
      </c>
      <c r="G123" s="18"/>
      <c r="H123" s="18">
        <v>62265.599999999999</v>
      </c>
      <c r="I123" s="16">
        <f>C123+F123</f>
        <v>38353.89</v>
      </c>
      <c r="J123" s="17">
        <f t="shared" si="1"/>
        <v>5.9404720842474132</v>
      </c>
      <c r="K123" s="17">
        <f>E123+H123</f>
        <v>227840.21286729601</v>
      </c>
      <c r="L123" s="19">
        <f>28150.7-1220</f>
        <v>26930.7</v>
      </c>
      <c r="M123" s="18"/>
      <c r="N123" s="18">
        <f>167215.158-7246.8</f>
        <v>159968.35800000001</v>
      </c>
      <c r="O123" s="18"/>
      <c r="P123" s="18"/>
      <c r="Q123" s="18"/>
      <c r="R123" s="18"/>
      <c r="S123" s="18">
        <f>I123-L123-O123-Q123</f>
        <v>11423.189999999999</v>
      </c>
      <c r="T123" s="17"/>
      <c r="U123" s="17">
        <f>K123-N123-P123-R123</f>
        <v>67871.854867296002</v>
      </c>
    </row>
    <row r="124" spans="1:21" ht="27">
      <c r="A124" s="14"/>
      <c r="B124" s="35" t="s">
        <v>130</v>
      </c>
      <c r="C124" s="16">
        <v>3555.22</v>
      </c>
      <c r="D124" s="17"/>
      <c r="E124" s="16">
        <v>29457.869821516699</v>
      </c>
      <c r="F124" s="18">
        <v>14350</v>
      </c>
      <c r="G124" s="18"/>
      <c r="H124" s="18">
        <v>100450</v>
      </c>
      <c r="I124" s="16">
        <f>C124+F124</f>
        <v>17905.22</v>
      </c>
      <c r="J124" s="17">
        <f t="shared" si="1"/>
        <v>7.2553071015891835</v>
      </c>
      <c r="K124" s="17">
        <f>E124+H124</f>
        <v>129907.8698215167</v>
      </c>
      <c r="L124" s="19">
        <f>5789.05</f>
        <v>5789.05</v>
      </c>
      <c r="M124" s="18"/>
      <c r="N124" s="18">
        <f>42028.503</f>
        <v>42028.502999999997</v>
      </c>
      <c r="O124" s="18"/>
      <c r="P124" s="18"/>
      <c r="Q124" s="18"/>
      <c r="R124" s="18"/>
      <c r="S124" s="18">
        <v>11820.72</v>
      </c>
      <c r="T124" s="17"/>
      <c r="U124" s="17">
        <f>K124-N124-P124-R124</f>
        <v>87879.366821516698</v>
      </c>
    </row>
    <row r="125" spans="1:21">
      <c r="A125" s="14"/>
      <c r="B125" s="32" t="s">
        <v>131</v>
      </c>
      <c r="C125" s="16">
        <v>77.209999999999994</v>
      </c>
      <c r="D125" s="17"/>
      <c r="E125" s="16">
        <v>949.29350568948996</v>
      </c>
      <c r="F125" s="18">
        <v>900</v>
      </c>
      <c r="G125" s="18"/>
      <c r="H125" s="18">
        <v>10980</v>
      </c>
      <c r="I125" s="16">
        <f>C125+F125</f>
        <v>977.21</v>
      </c>
      <c r="J125" s="17">
        <f t="shared" si="1"/>
        <v>12.207502487376807</v>
      </c>
      <c r="K125" s="17">
        <f>E125+H125</f>
        <v>11929.293505689489</v>
      </c>
      <c r="L125" s="19"/>
      <c r="M125" s="18"/>
      <c r="N125" s="18"/>
      <c r="O125" s="18">
        <v>115.94</v>
      </c>
      <c r="P125" s="18">
        <v>1415.627</v>
      </c>
      <c r="Q125" s="18"/>
      <c r="R125" s="18"/>
      <c r="S125" s="18">
        <f>I125-L125-O125-Q125</f>
        <v>861.27</v>
      </c>
      <c r="T125" s="17"/>
      <c r="U125" s="17">
        <f>K125-N125-P125-R125</f>
        <v>10513.666505689489</v>
      </c>
    </row>
    <row r="126" spans="1:21" ht="27">
      <c r="A126" s="14"/>
      <c r="B126" s="25" t="s">
        <v>132</v>
      </c>
      <c r="C126" s="16">
        <v>38</v>
      </c>
      <c r="D126" s="17"/>
      <c r="E126" s="16">
        <v>11548.774012518499</v>
      </c>
      <c r="F126" s="18"/>
      <c r="G126" s="18"/>
      <c r="H126" s="18"/>
      <c r="I126" s="16">
        <f>C126+F126</f>
        <v>38</v>
      </c>
      <c r="J126" s="17">
        <f t="shared" si="1"/>
        <v>303.91510559259206</v>
      </c>
      <c r="K126" s="17">
        <f>E126+H126</f>
        <v>11548.774012518499</v>
      </c>
      <c r="L126" s="19"/>
      <c r="M126" s="18"/>
      <c r="N126" s="18"/>
      <c r="O126" s="18"/>
      <c r="P126" s="18"/>
      <c r="Q126" s="18"/>
      <c r="R126" s="18"/>
      <c r="S126" s="18">
        <f>I126-L126-O126-Q126</f>
        <v>38</v>
      </c>
      <c r="T126" s="17"/>
      <c r="U126" s="17">
        <f>K126-N126-P126-R126</f>
        <v>11548.774012518499</v>
      </c>
    </row>
    <row r="127" spans="1:21">
      <c r="A127" s="14"/>
      <c r="B127" s="32" t="s">
        <v>133</v>
      </c>
      <c r="C127" s="16">
        <v>15.82</v>
      </c>
      <c r="D127" s="17"/>
      <c r="E127" s="16">
        <v>137.563798994975</v>
      </c>
      <c r="F127" s="18">
        <v>200</v>
      </c>
      <c r="G127" s="18"/>
      <c r="H127" s="18">
        <v>1600</v>
      </c>
      <c r="I127" s="16">
        <f>C127+F127</f>
        <v>215.82</v>
      </c>
      <c r="J127" s="17">
        <f t="shared" si="1"/>
        <v>8.0509860022007924</v>
      </c>
      <c r="K127" s="17">
        <f>E127+H127</f>
        <v>1737.5637989949751</v>
      </c>
      <c r="L127" s="19"/>
      <c r="M127" s="18"/>
      <c r="N127" s="18"/>
      <c r="O127" s="18">
        <f>3.9+3.9</f>
        <v>7.8</v>
      </c>
      <c r="P127" s="18">
        <v>62.79</v>
      </c>
      <c r="Q127" s="18"/>
      <c r="R127" s="18"/>
      <c r="S127" s="18">
        <f>I127-L127-O127-Q127</f>
        <v>208.01999999999998</v>
      </c>
      <c r="T127" s="17"/>
      <c r="U127" s="17">
        <f>K127-N127-P127-R127</f>
        <v>1674.7737989949751</v>
      </c>
    </row>
    <row r="128" spans="1:21" ht="27">
      <c r="A128" s="14"/>
      <c r="B128" s="32" t="s">
        <v>134</v>
      </c>
      <c r="C128" s="16">
        <v>63.2</v>
      </c>
      <c r="D128" s="17"/>
      <c r="E128" s="16">
        <v>1530.8045</v>
      </c>
      <c r="F128" s="18"/>
      <c r="G128" s="18"/>
      <c r="H128" s="18"/>
      <c r="I128" s="16">
        <f>C128+F128</f>
        <v>63.2</v>
      </c>
      <c r="J128" s="17">
        <f t="shared" si="1"/>
        <v>24.221590189873417</v>
      </c>
      <c r="K128" s="17">
        <f>E128+H128</f>
        <v>1530.8045</v>
      </c>
      <c r="L128" s="19"/>
      <c r="M128" s="18"/>
      <c r="N128" s="18"/>
      <c r="O128" s="18"/>
      <c r="P128" s="18"/>
      <c r="Q128" s="18"/>
      <c r="R128" s="18"/>
      <c r="S128" s="18">
        <f>I128-L128-O128-Q128</f>
        <v>63.2</v>
      </c>
      <c r="T128" s="17"/>
      <c r="U128" s="17">
        <f>K128-N128-P128-R128</f>
        <v>1530.8045</v>
      </c>
    </row>
    <row r="129" spans="1:21" ht="27">
      <c r="A129" s="14"/>
      <c r="B129" s="35" t="s">
        <v>135</v>
      </c>
      <c r="C129" s="16">
        <v>4088.92</v>
      </c>
      <c r="D129" s="17"/>
      <c r="E129" s="16">
        <v>45620.7052881255</v>
      </c>
      <c r="F129" s="18">
        <v>5700</v>
      </c>
      <c r="G129" s="18"/>
      <c r="H129" s="18">
        <f>57570+3400</f>
        <v>60970</v>
      </c>
      <c r="I129" s="16">
        <f>C129+F129</f>
        <v>9788.92</v>
      </c>
      <c r="J129" s="17">
        <f t="shared" si="1"/>
        <v>10.888913719605993</v>
      </c>
      <c r="K129" s="17">
        <f>E129+H129</f>
        <v>106590.70528812549</v>
      </c>
      <c r="L129" s="19">
        <f>4310.25</f>
        <v>4310.25</v>
      </c>
      <c r="M129" s="18"/>
      <c r="N129" s="18">
        <f>46938.6225</f>
        <v>46938.622499999998</v>
      </c>
      <c r="O129" s="18"/>
      <c r="P129" s="18"/>
      <c r="Q129" s="18"/>
      <c r="R129" s="18"/>
      <c r="S129" s="18">
        <v>5228.22</v>
      </c>
      <c r="T129" s="17"/>
      <c r="U129" s="17">
        <f>K129-N129-P129-R129</f>
        <v>59652.082788125495</v>
      </c>
    </row>
    <row r="130" spans="1:21">
      <c r="A130" s="14"/>
      <c r="B130" s="35" t="s">
        <v>136</v>
      </c>
      <c r="C130" s="16">
        <v>2166.5</v>
      </c>
      <c r="D130" s="17"/>
      <c r="E130" s="16">
        <v>17150.390710310599</v>
      </c>
      <c r="F130" s="18">
        <v>2980</v>
      </c>
      <c r="G130" s="18"/>
      <c r="H130" s="18">
        <f>20562+600</f>
        <v>21162</v>
      </c>
      <c r="I130" s="16">
        <f>C130+F130</f>
        <v>5146.5</v>
      </c>
      <c r="J130" s="17">
        <f t="shared" si="1"/>
        <v>7.4443584397766642</v>
      </c>
      <c r="K130" s="17">
        <f>E130+H130</f>
        <v>38312.390710310603</v>
      </c>
      <c r="L130" s="19">
        <f>1951.7-375</f>
        <v>1576.7</v>
      </c>
      <c r="M130" s="18"/>
      <c r="N130" s="18">
        <f>14520.648-2790</f>
        <v>11730.647999999999</v>
      </c>
      <c r="O130" s="18">
        <v>375</v>
      </c>
      <c r="P130" s="18">
        <v>2790</v>
      </c>
      <c r="Q130" s="18"/>
      <c r="R130" s="18"/>
      <c r="S130" s="18">
        <f>I130-L130-O130-Q130</f>
        <v>3194.8</v>
      </c>
      <c r="T130" s="17"/>
      <c r="U130" s="17">
        <f>K130-N130-P130-R130</f>
        <v>23791.742710310602</v>
      </c>
    </row>
    <row r="131" spans="1:21" ht="27">
      <c r="A131" s="14"/>
      <c r="B131" s="35" t="s">
        <v>137</v>
      </c>
      <c r="C131" s="16">
        <v>18.872</v>
      </c>
      <c r="D131" s="17"/>
      <c r="E131" s="16">
        <v>311.38799999999998</v>
      </c>
      <c r="F131" s="18"/>
      <c r="G131" s="18"/>
      <c r="H131" s="18"/>
      <c r="I131" s="16">
        <f>C131+F131</f>
        <v>18.872</v>
      </c>
      <c r="J131" s="17">
        <f t="shared" si="1"/>
        <v>16.5</v>
      </c>
      <c r="K131" s="17">
        <f>E131+H131</f>
        <v>311.38799999999998</v>
      </c>
      <c r="L131" s="19"/>
      <c r="M131" s="18"/>
      <c r="N131" s="18"/>
      <c r="O131" s="18">
        <f>0.5+0.5</f>
        <v>1</v>
      </c>
      <c r="P131" s="18">
        <f>8.25+8.25</f>
        <v>16.5</v>
      </c>
      <c r="Q131" s="18"/>
      <c r="R131" s="18"/>
      <c r="S131" s="18">
        <f>I131-L131-O131-Q131</f>
        <v>17.872</v>
      </c>
      <c r="T131" s="17"/>
      <c r="U131" s="17">
        <f>K131-N131-P131-R131</f>
        <v>294.88799999999998</v>
      </c>
    </row>
    <row r="132" spans="1:21">
      <c r="A132" s="14"/>
      <c r="B132" s="25" t="s">
        <v>138</v>
      </c>
      <c r="C132" s="16">
        <v>2750</v>
      </c>
      <c r="D132" s="17"/>
      <c r="E132" s="16">
        <v>3162.5</v>
      </c>
      <c r="F132" s="18">
        <v>15150</v>
      </c>
      <c r="G132" s="18"/>
      <c r="H132" s="18">
        <v>17422.5</v>
      </c>
      <c r="I132" s="16">
        <f>C132+F132</f>
        <v>17900</v>
      </c>
      <c r="J132" s="17">
        <f t="shared" ref="J132:J159" si="2">K132/I132</f>
        <v>1.1499999999999999</v>
      </c>
      <c r="K132" s="17">
        <f>E132+H132</f>
        <v>20585</v>
      </c>
      <c r="L132" s="19"/>
      <c r="M132" s="18"/>
      <c r="N132" s="18"/>
      <c r="O132" s="18"/>
      <c r="P132" s="18"/>
      <c r="Q132" s="18"/>
      <c r="R132" s="18"/>
      <c r="S132" s="18">
        <f>I132-L132-O132-Q132</f>
        <v>17900</v>
      </c>
      <c r="T132" s="17"/>
      <c r="U132" s="17">
        <f>K132-N132-P132-R132</f>
        <v>20585</v>
      </c>
    </row>
    <row r="133" spans="1:21">
      <c r="A133" s="14"/>
      <c r="B133" s="35" t="s">
        <v>139</v>
      </c>
      <c r="C133" s="16">
        <v>413.61</v>
      </c>
      <c r="D133" s="17"/>
      <c r="E133" s="16">
        <v>7637.3404580557899</v>
      </c>
      <c r="F133" s="18"/>
      <c r="G133" s="18"/>
      <c r="H133" s="18"/>
      <c r="I133" s="16">
        <f>C133+F133</f>
        <v>413.61</v>
      </c>
      <c r="J133" s="17">
        <f t="shared" si="2"/>
        <v>18.465076903497955</v>
      </c>
      <c r="K133" s="17">
        <f>E133+H133</f>
        <v>7637.3404580557899</v>
      </c>
      <c r="L133" s="19"/>
      <c r="M133" s="18"/>
      <c r="N133" s="18"/>
      <c r="O133" s="18"/>
      <c r="P133" s="18"/>
      <c r="Q133" s="18"/>
      <c r="R133" s="18"/>
      <c r="S133" s="18">
        <f>I133-L133-O133-Q133</f>
        <v>413.61</v>
      </c>
      <c r="T133" s="17"/>
      <c r="U133" s="17">
        <f>K133-N133-P133-R133</f>
        <v>7637.3404580557899</v>
      </c>
    </row>
    <row r="134" spans="1:21">
      <c r="A134" s="14"/>
      <c r="B134" s="35" t="s">
        <v>140</v>
      </c>
      <c r="C134" s="16">
        <v>979</v>
      </c>
      <c r="D134" s="17"/>
      <c r="E134" s="16">
        <v>18690.549610078699</v>
      </c>
      <c r="F134" s="18"/>
      <c r="G134" s="18"/>
      <c r="H134" s="18"/>
      <c r="I134" s="16">
        <f>C134+F134</f>
        <v>979</v>
      </c>
      <c r="J134" s="17">
        <f t="shared" si="2"/>
        <v>19.091470490376608</v>
      </c>
      <c r="K134" s="17">
        <f>E134+H134</f>
        <v>18690.549610078699</v>
      </c>
      <c r="L134" s="19">
        <v>33.5</v>
      </c>
      <c r="M134" s="18"/>
      <c r="N134" s="18">
        <v>639.51499999999999</v>
      </c>
      <c r="O134" s="18"/>
      <c r="P134" s="18"/>
      <c r="Q134" s="18"/>
      <c r="R134" s="18"/>
      <c r="S134" s="18">
        <f>I134-L134-O134-Q134</f>
        <v>945.5</v>
      </c>
      <c r="T134" s="17"/>
      <c r="U134" s="17">
        <f>K134-N134-P134-R134</f>
        <v>18051.034610078699</v>
      </c>
    </row>
    <row r="135" spans="1:21">
      <c r="A135" s="14"/>
      <c r="B135" s="32" t="s">
        <v>141</v>
      </c>
      <c r="C135" s="16">
        <v>555.84</v>
      </c>
      <c r="D135" s="17"/>
      <c r="E135" s="16">
        <v>8288.0808074060005</v>
      </c>
      <c r="F135" s="18">
        <v>540</v>
      </c>
      <c r="G135" s="18"/>
      <c r="H135" s="18">
        <v>6858</v>
      </c>
      <c r="I135" s="16">
        <f>C135+F135</f>
        <v>1095.8400000000001</v>
      </c>
      <c r="J135" s="17">
        <f t="shared" si="2"/>
        <v>13.821434522746021</v>
      </c>
      <c r="K135" s="17">
        <f>E135+H135</f>
        <v>15146.080807406001</v>
      </c>
      <c r="L135" s="19"/>
      <c r="M135" s="18"/>
      <c r="N135" s="18"/>
      <c r="O135" s="18">
        <f>115.4+115.4</f>
        <v>230.8</v>
      </c>
      <c r="P135" s="18">
        <v>3189.6559999999999</v>
      </c>
      <c r="Q135" s="18"/>
      <c r="R135" s="18"/>
      <c r="S135" s="18">
        <f>I135-L135-O135-Q135</f>
        <v>865.04000000000019</v>
      </c>
      <c r="T135" s="17"/>
      <c r="U135" s="17">
        <f>K135-N135-P135-R135</f>
        <v>11956.424807406001</v>
      </c>
    </row>
    <row r="136" spans="1:21">
      <c r="A136" s="14"/>
      <c r="B136" s="35" t="s">
        <v>142</v>
      </c>
      <c r="C136" s="16">
        <v>12593.54</v>
      </c>
      <c r="D136" s="17"/>
      <c r="E136" s="16">
        <v>90655.773351319993</v>
      </c>
      <c r="F136" s="18"/>
      <c r="G136" s="18"/>
      <c r="H136" s="18"/>
      <c r="I136" s="16">
        <f>C136+F136</f>
        <v>12593.54</v>
      </c>
      <c r="J136" s="17">
        <f t="shared" si="2"/>
        <v>7.1985933543165768</v>
      </c>
      <c r="K136" s="17">
        <f>E136+H136</f>
        <v>90655.773351319993</v>
      </c>
      <c r="L136" s="19">
        <f>6512.15</f>
        <v>6512.15</v>
      </c>
      <c r="M136" s="18"/>
      <c r="N136" s="18">
        <f>46887.48</f>
        <v>46887.48</v>
      </c>
      <c r="O136" s="18"/>
      <c r="P136" s="18"/>
      <c r="Q136" s="18"/>
      <c r="R136" s="18"/>
      <c r="S136" s="18">
        <v>5830.94</v>
      </c>
      <c r="T136" s="17"/>
      <c r="U136" s="17">
        <f>K136-N136-P136-R136</f>
        <v>43768.29335131999</v>
      </c>
    </row>
    <row r="137" spans="1:21">
      <c r="A137" s="14"/>
      <c r="B137" s="32" t="s">
        <v>143</v>
      </c>
      <c r="C137" s="16">
        <v>180</v>
      </c>
      <c r="D137" s="17"/>
      <c r="E137" s="16">
        <v>1623.08</v>
      </c>
      <c r="F137" s="18"/>
      <c r="G137" s="18"/>
      <c r="H137" s="18"/>
      <c r="I137" s="16">
        <f>C137+F137</f>
        <v>180</v>
      </c>
      <c r="J137" s="17">
        <f t="shared" si="2"/>
        <v>9.0171111111111113</v>
      </c>
      <c r="K137" s="17">
        <f>E137+H137</f>
        <v>1623.08</v>
      </c>
      <c r="L137" s="19"/>
      <c r="M137" s="18"/>
      <c r="N137" s="18"/>
      <c r="O137" s="18"/>
      <c r="P137" s="18"/>
      <c r="Q137" s="18"/>
      <c r="R137" s="18"/>
      <c r="S137" s="18">
        <f>I137-L137-O137-Q137</f>
        <v>180</v>
      </c>
      <c r="T137" s="17"/>
      <c r="U137" s="17">
        <f>K137-N137-P137-R137</f>
        <v>1623.08</v>
      </c>
    </row>
    <row r="138" spans="1:21">
      <c r="A138" s="14"/>
      <c r="B138" s="32" t="s">
        <v>144</v>
      </c>
      <c r="C138" s="16">
        <v>24.15</v>
      </c>
      <c r="D138" s="17"/>
      <c r="E138" s="16">
        <v>3064.6708027548202</v>
      </c>
      <c r="F138" s="18"/>
      <c r="G138" s="18"/>
      <c r="H138" s="18"/>
      <c r="I138" s="16">
        <f>C138+F138</f>
        <v>24.15</v>
      </c>
      <c r="J138" s="17">
        <f t="shared" si="2"/>
        <v>126.90148251572755</v>
      </c>
      <c r="K138" s="17">
        <f>E138+H138</f>
        <v>3064.6708027548202</v>
      </c>
      <c r="L138" s="19"/>
      <c r="M138" s="18"/>
      <c r="N138" s="18"/>
      <c r="O138" s="18"/>
      <c r="P138" s="18"/>
      <c r="Q138" s="18"/>
      <c r="R138" s="18"/>
      <c r="S138" s="18">
        <f>I138-L138-O138-Q138</f>
        <v>24.15</v>
      </c>
      <c r="T138" s="17"/>
      <c r="U138" s="17">
        <f>K138-N138-P138-R138</f>
        <v>3064.6708027548202</v>
      </c>
    </row>
    <row r="139" spans="1:21">
      <c r="A139" s="14"/>
      <c r="B139" s="32" t="s">
        <v>145</v>
      </c>
      <c r="C139" s="16">
        <v>4</v>
      </c>
      <c r="D139" s="17"/>
      <c r="E139" s="16">
        <v>0</v>
      </c>
      <c r="F139" s="18"/>
      <c r="G139" s="18"/>
      <c r="H139" s="18"/>
      <c r="I139" s="16">
        <f>C139+F139</f>
        <v>4</v>
      </c>
      <c r="J139" s="17">
        <f t="shared" si="2"/>
        <v>0</v>
      </c>
      <c r="K139" s="17">
        <f>E139+H139</f>
        <v>0</v>
      </c>
      <c r="L139" s="19"/>
      <c r="M139" s="18"/>
      <c r="N139" s="18"/>
      <c r="O139" s="18"/>
      <c r="P139" s="18"/>
      <c r="Q139" s="18"/>
      <c r="R139" s="18"/>
      <c r="S139" s="18">
        <f>I139-L139-O139-Q139</f>
        <v>4</v>
      </c>
      <c r="T139" s="17"/>
      <c r="U139" s="17">
        <f>K139-N139-P139-R139</f>
        <v>0</v>
      </c>
    </row>
    <row r="140" spans="1:21">
      <c r="A140" s="14"/>
      <c r="B140" s="32" t="s">
        <v>146</v>
      </c>
      <c r="C140" s="16">
        <v>964</v>
      </c>
      <c r="D140" s="17"/>
      <c r="E140" s="16">
        <v>600</v>
      </c>
      <c r="F140" s="18"/>
      <c r="G140" s="18"/>
      <c r="H140" s="18"/>
      <c r="I140" s="16">
        <f>C140+F140</f>
        <v>964</v>
      </c>
      <c r="J140" s="17">
        <f t="shared" si="2"/>
        <v>0.62240663900414939</v>
      </c>
      <c r="K140" s="17">
        <f>E140+H140</f>
        <v>600</v>
      </c>
      <c r="L140" s="19"/>
      <c r="M140" s="18"/>
      <c r="N140" s="18"/>
      <c r="O140" s="18"/>
      <c r="P140" s="18"/>
      <c r="Q140" s="18"/>
      <c r="R140" s="18"/>
      <c r="S140" s="18">
        <f>I140-L140-O140-Q140</f>
        <v>964</v>
      </c>
      <c r="T140" s="17"/>
      <c r="U140" s="17">
        <f>K140-N140-P140-R140</f>
        <v>600</v>
      </c>
    </row>
    <row r="141" spans="1:21">
      <c r="A141" s="14"/>
      <c r="B141" s="32" t="s">
        <v>147</v>
      </c>
      <c r="C141" s="16">
        <v>49</v>
      </c>
      <c r="D141" s="17"/>
      <c r="E141" s="16">
        <v>490</v>
      </c>
      <c r="F141" s="18"/>
      <c r="G141" s="18"/>
      <c r="H141" s="18"/>
      <c r="I141" s="16">
        <f>C141+F141</f>
        <v>49</v>
      </c>
      <c r="J141" s="17">
        <f t="shared" si="2"/>
        <v>10</v>
      </c>
      <c r="K141" s="17">
        <f>E141+H141</f>
        <v>490</v>
      </c>
      <c r="L141" s="19"/>
      <c r="M141" s="18"/>
      <c r="N141" s="18"/>
      <c r="O141" s="18"/>
      <c r="P141" s="18"/>
      <c r="Q141" s="18"/>
      <c r="R141" s="18"/>
      <c r="S141" s="18">
        <f>I141-L141-O141-Q141</f>
        <v>49</v>
      </c>
      <c r="T141" s="17"/>
      <c r="U141" s="17">
        <f>K141-N141-P141-R141</f>
        <v>490</v>
      </c>
    </row>
    <row r="142" spans="1:21">
      <c r="A142" s="14"/>
      <c r="B142" s="32" t="s">
        <v>148</v>
      </c>
      <c r="C142" s="16">
        <v>100</v>
      </c>
      <c r="D142" s="17"/>
      <c r="E142" s="16">
        <v>900</v>
      </c>
      <c r="F142" s="18"/>
      <c r="G142" s="18"/>
      <c r="H142" s="18"/>
      <c r="I142" s="16">
        <f>C142+F142</f>
        <v>100</v>
      </c>
      <c r="J142" s="17">
        <f t="shared" si="2"/>
        <v>9</v>
      </c>
      <c r="K142" s="17">
        <f>E142+H142</f>
        <v>900</v>
      </c>
      <c r="L142" s="19"/>
      <c r="M142" s="18"/>
      <c r="N142" s="18"/>
      <c r="O142" s="18"/>
      <c r="P142" s="18"/>
      <c r="Q142" s="18"/>
      <c r="R142" s="18"/>
      <c r="S142" s="18">
        <f>I142-L142-O142-Q142</f>
        <v>100</v>
      </c>
      <c r="T142" s="17"/>
      <c r="U142" s="17">
        <f>K142-N142-P142-R142</f>
        <v>900</v>
      </c>
    </row>
    <row r="143" spans="1:21" ht="27">
      <c r="A143" s="14"/>
      <c r="B143" s="32" t="s">
        <v>149</v>
      </c>
      <c r="C143" s="16">
        <v>20</v>
      </c>
      <c r="D143" s="17"/>
      <c r="E143" s="16">
        <v>280</v>
      </c>
      <c r="F143" s="18"/>
      <c r="G143" s="18"/>
      <c r="H143" s="18"/>
      <c r="I143" s="16">
        <f>C143+F143</f>
        <v>20</v>
      </c>
      <c r="J143" s="17">
        <f t="shared" si="2"/>
        <v>14</v>
      </c>
      <c r="K143" s="17">
        <f>E143+H143</f>
        <v>280</v>
      </c>
      <c r="L143" s="19"/>
      <c r="M143" s="18"/>
      <c r="N143" s="18"/>
      <c r="O143" s="18"/>
      <c r="P143" s="18"/>
      <c r="Q143" s="18"/>
      <c r="R143" s="18"/>
      <c r="S143" s="18">
        <f>I143-L143-O143-Q143</f>
        <v>20</v>
      </c>
      <c r="T143" s="17"/>
      <c r="U143" s="17">
        <f>K143-N143-P143-R143</f>
        <v>280</v>
      </c>
    </row>
    <row r="144" spans="1:21">
      <c r="A144" s="14"/>
      <c r="B144" s="32" t="s">
        <v>150</v>
      </c>
      <c r="C144" s="16">
        <v>22.1</v>
      </c>
      <c r="D144" s="17"/>
      <c r="E144" s="16">
        <v>442</v>
      </c>
      <c r="F144" s="18"/>
      <c r="G144" s="18"/>
      <c r="H144" s="18"/>
      <c r="I144" s="16">
        <f>C144+F144</f>
        <v>22.1</v>
      </c>
      <c r="J144" s="17">
        <f t="shared" si="2"/>
        <v>20</v>
      </c>
      <c r="K144" s="17">
        <f>E144+H144</f>
        <v>442</v>
      </c>
      <c r="L144" s="19"/>
      <c r="M144" s="18"/>
      <c r="N144" s="18"/>
      <c r="O144" s="18"/>
      <c r="P144" s="18"/>
      <c r="Q144" s="18"/>
      <c r="R144" s="18"/>
      <c r="S144" s="18">
        <f>I144-L144-O144-Q144</f>
        <v>22.1</v>
      </c>
      <c r="T144" s="17"/>
      <c r="U144" s="17">
        <f>K144-N144-P144-R144</f>
        <v>442</v>
      </c>
    </row>
    <row r="145" spans="1:21" ht="27">
      <c r="A145" s="14"/>
      <c r="B145" s="32" t="s">
        <v>151</v>
      </c>
      <c r="C145" s="16">
        <v>156</v>
      </c>
      <c r="D145" s="17"/>
      <c r="E145" s="16">
        <v>3120</v>
      </c>
      <c r="F145" s="18"/>
      <c r="G145" s="18"/>
      <c r="H145" s="18"/>
      <c r="I145" s="16">
        <f>C145+F145</f>
        <v>156</v>
      </c>
      <c r="J145" s="17">
        <f t="shared" si="2"/>
        <v>20</v>
      </c>
      <c r="K145" s="17">
        <f>E145+H145</f>
        <v>3120</v>
      </c>
      <c r="L145" s="19"/>
      <c r="M145" s="18"/>
      <c r="N145" s="18"/>
      <c r="O145" s="18"/>
      <c r="P145" s="18"/>
      <c r="Q145" s="18"/>
      <c r="R145" s="18"/>
      <c r="S145" s="18">
        <f>I145-L145-O145-Q145</f>
        <v>156</v>
      </c>
      <c r="T145" s="17"/>
      <c r="U145" s="17">
        <f>K145-N145-P145-R145</f>
        <v>3120</v>
      </c>
    </row>
    <row r="146" spans="1:21">
      <c r="A146" s="14"/>
      <c r="B146" s="32" t="s">
        <v>152</v>
      </c>
      <c r="C146" s="16">
        <v>125.37</v>
      </c>
      <c r="D146" s="17"/>
      <c r="E146" s="16">
        <v>8399.7900000000009</v>
      </c>
      <c r="F146" s="18"/>
      <c r="G146" s="18"/>
      <c r="H146" s="18"/>
      <c r="I146" s="16">
        <f>C146+F146</f>
        <v>125.37</v>
      </c>
      <c r="J146" s="17">
        <f t="shared" si="2"/>
        <v>67</v>
      </c>
      <c r="K146" s="17">
        <f>E146+H146</f>
        <v>8399.7900000000009</v>
      </c>
      <c r="L146" s="19"/>
      <c r="M146" s="18"/>
      <c r="N146" s="18"/>
      <c r="O146" s="18"/>
      <c r="P146" s="18"/>
      <c r="Q146" s="18"/>
      <c r="R146" s="18"/>
      <c r="S146" s="18">
        <f>I146-L146-O146-Q146</f>
        <v>125.37</v>
      </c>
      <c r="T146" s="17"/>
      <c r="U146" s="17">
        <f>K146-N146-P146-R146</f>
        <v>8399.7900000000009</v>
      </c>
    </row>
    <row r="147" spans="1:21" ht="27">
      <c r="A147" s="14"/>
      <c r="B147" s="32" t="s">
        <v>153</v>
      </c>
      <c r="C147" s="16">
        <v>17.100000000000001</v>
      </c>
      <c r="D147" s="17"/>
      <c r="E147" s="16">
        <v>752.4</v>
      </c>
      <c r="F147" s="18"/>
      <c r="G147" s="18"/>
      <c r="H147" s="31"/>
      <c r="I147" s="16">
        <f>C147+F147</f>
        <v>17.100000000000001</v>
      </c>
      <c r="J147" s="17">
        <f t="shared" si="2"/>
        <v>43.999999999999993</v>
      </c>
      <c r="K147" s="17">
        <f>E147+H147</f>
        <v>752.4</v>
      </c>
      <c r="L147" s="19"/>
      <c r="M147" s="18"/>
      <c r="N147" s="18"/>
      <c r="O147" s="18"/>
      <c r="P147" s="18"/>
      <c r="Q147" s="18"/>
      <c r="R147" s="18"/>
      <c r="S147" s="18">
        <f>I147-L147-O147-Q147</f>
        <v>17.100000000000001</v>
      </c>
      <c r="T147" s="17"/>
      <c r="U147" s="17">
        <f>K147-N147-P147-R147</f>
        <v>752.4</v>
      </c>
    </row>
    <row r="148" spans="1:21" ht="27">
      <c r="A148" s="14"/>
      <c r="B148" s="32" t="s">
        <v>154</v>
      </c>
      <c r="C148" s="16">
        <v>24.94</v>
      </c>
      <c r="D148" s="17"/>
      <c r="E148" s="16">
        <v>2119.9</v>
      </c>
      <c r="F148" s="18"/>
      <c r="G148" s="18"/>
      <c r="H148" s="31"/>
      <c r="I148" s="16">
        <f>C148+F148</f>
        <v>24.94</v>
      </c>
      <c r="J148" s="17">
        <f t="shared" si="2"/>
        <v>85</v>
      </c>
      <c r="K148" s="17">
        <f>E148+H148</f>
        <v>2119.9</v>
      </c>
      <c r="L148" s="19"/>
      <c r="M148" s="18"/>
      <c r="N148" s="18"/>
      <c r="O148" s="18"/>
      <c r="P148" s="18"/>
      <c r="Q148" s="18"/>
      <c r="R148" s="18"/>
      <c r="S148" s="18">
        <f>I148-L148-O148-Q148</f>
        <v>24.94</v>
      </c>
      <c r="T148" s="17"/>
      <c r="U148" s="17">
        <f>K148-N148-P148-R148</f>
        <v>2119.9</v>
      </c>
    </row>
    <row r="149" spans="1:21" ht="27">
      <c r="A149" s="14"/>
      <c r="B149" s="32" t="s">
        <v>155</v>
      </c>
      <c r="C149" s="16">
        <v>23.42</v>
      </c>
      <c r="D149" s="17"/>
      <c r="E149" s="16">
        <v>627.65599999999995</v>
      </c>
      <c r="F149" s="18"/>
      <c r="G149" s="18"/>
      <c r="H149" s="31"/>
      <c r="I149" s="16">
        <f>C149+F149</f>
        <v>23.42</v>
      </c>
      <c r="J149" s="17">
        <f t="shared" si="2"/>
        <v>26.799999999999997</v>
      </c>
      <c r="K149" s="17">
        <f>E149+H149</f>
        <v>627.65599999999995</v>
      </c>
      <c r="L149" s="19"/>
      <c r="M149" s="18"/>
      <c r="N149" s="18"/>
      <c r="O149" s="18"/>
      <c r="P149" s="18"/>
      <c r="Q149" s="18"/>
      <c r="R149" s="18"/>
      <c r="S149" s="18">
        <f>I149-L149-O149-Q149</f>
        <v>23.42</v>
      </c>
      <c r="T149" s="17"/>
      <c r="U149" s="17">
        <f>K149-N149-P149-R149</f>
        <v>627.65599999999995</v>
      </c>
    </row>
    <row r="150" spans="1:21" ht="27">
      <c r="A150" s="14"/>
      <c r="B150" s="32" t="s">
        <v>156</v>
      </c>
      <c r="C150" s="16">
        <v>187.6</v>
      </c>
      <c r="D150" s="17"/>
      <c r="E150" s="16">
        <v>2720.2</v>
      </c>
      <c r="F150" s="18"/>
      <c r="G150" s="18"/>
      <c r="H150" s="31"/>
      <c r="I150" s="16">
        <f>C150+F150</f>
        <v>187.6</v>
      </c>
      <c r="J150" s="17">
        <f t="shared" si="2"/>
        <v>14.5</v>
      </c>
      <c r="K150" s="17">
        <f>E150+H150</f>
        <v>2720.2</v>
      </c>
      <c r="L150" s="19"/>
      <c r="M150" s="18"/>
      <c r="N150" s="18"/>
      <c r="O150" s="18"/>
      <c r="P150" s="18"/>
      <c r="Q150" s="18"/>
      <c r="R150" s="18"/>
      <c r="S150" s="18">
        <f>I150-L150-O150-Q150</f>
        <v>187.6</v>
      </c>
      <c r="T150" s="17"/>
      <c r="U150" s="17">
        <f>K150-N150-P150-R150</f>
        <v>2720.2</v>
      </c>
    </row>
    <row r="151" spans="1:21" ht="27">
      <c r="A151" s="14"/>
      <c r="B151" s="32" t="s">
        <v>157</v>
      </c>
      <c r="C151" s="16">
        <v>199.1</v>
      </c>
      <c r="D151" s="17"/>
      <c r="E151" s="16">
        <v>3075.0373105053</v>
      </c>
      <c r="F151" s="18">
        <v>1140</v>
      </c>
      <c r="G151" s="18"/>
      <c r="H151" s="31">
        <v>15048</v>
      </c>
      <c r="I151" s="16">
        <f>C151+F151</f>
        <v>1339.1</v>
      </c>
      <c r="J151" s="17">
        <f t="shared" si="2"/>
        <v>13.533744537753194</v>
      </c>
      <c r="K151" s="17">
        <f>E151+H151</f>
        <v>18123.0373105053</v>
      </c>
      <c r="L151" s="19"/>
      <c r="M151" s="18"/>
      <c r="N151" s="18"/>
      <c r="O151" s="18">
        <f>167.35+167.35</f>
        <v>334.7</v>
      </c>
      <c r="P151" s="18">
        <f>2584.67+2583.88</f>
        <v>5168.55</v>
      </c>
      <c r="Q151" s="18"/>
      <c r="R151" s="18"/>
      <c r="S151" s="18">
        <f>I151-L151-O151-Q151</f>
        <v>1004.3999999999999</v>
      </c>
      <c r="T151" s="17"/>
      <c r="U151" s="17">
        <f>K151-N151-P151-R151</f>
        <v>12954.487310505301</v>
      </c>
    </row>
    <row r="152" spans="1:21" ht="27">
      <c r="A152" s="14"/>
      <c r="B152" s="32" t="s">
        <v>158</v>
      </c>
      <c r="C152" s="16">
        <v>175.76</v>
      </c>
      <c r="D152" s="17"/>
      <c r="E152" s="16">
        <v>4218.24</v>
      </c>
      <c r="F152" s="18"/>
      <c r="G152" s="18"/>
      <c r="H152" s="31"/>
      <c r="I152" s="16">
        <f>C152+F152</f>
        <v>175.76</v>
      </c>
      <c r="J152" s="17">
        <f t="shared" si="2"/>
        <v>24</v>
      </c>
      <c r="K152" s="17">
        <f>E152+H152</f>
        <v>4218.24</v>
      </c>
      <c r="L152" s="19"/>
      <c r="M152" s="18"/>
      <c r="N152" s="18"/>
      <c r="O152" s="18"/>
      <c r="P152" s="18"/>
      <c r="Q152" s="18"/>
      <c r="R152" s="18"/>
      <c r="S152" s="18">
        <f>I152-L152-O152-Q152</f>
        <v>175.76</v>
      </c>
      <c r="T152" s="17"/>
      <c r="U152" s="17">
        <f>K152-N152-P152-R152</f>
        <v>4218.24</v>
      </c>
    </row>
    <row r="153" spans="1:21" ht="27">
      <c r="A153" s="14"/>
      <c r="B153" s="32" t="s">
        <v>159</v>
      </c>
      <c r="C153" s="16">
        <v>24.556000000000001</v>
      </c>
      <c r="D153" s="17"/>
      <c r="E153" s="16">
        <v>119.1001</v>
      </c>
      <c r="F153" s="18"/>
      <c r="G153" s="18"/>
      <c r="H153" s="31"/>
      <c r="I153" s="16">
        <f>C153+F153</f>
        <v>24.556000000000001</v>
      </c>
      <c r="J153" s="17">
        <f t="shared" si="2"/>
        <v>4.850142531356898</v>
      </c>
      <c r="K153" s="17">
        <f>E153+H153</f>
        <v>119.1001</v>
      </c>
      <c r="L153" s="19"/>
      <c r="M153" s="18"/>
      <c r="N153" s="18"/>
      <c r="O153" s="18"/>
      <c r="P153" s="18"/>
      <c r="Q153" s="18"/>
      <c r="R153" s="18"/>
      <c r="S153" s="18">
        <f>I153-L153-O153-Q153</f>
        <v>24.556000000000001</v>
      </c>
      <c r="T153" s="17"/>
      <c r="U153" s="17">
        <f>K153-N153-P153-R153</f>
        <v>119.1001</v>
      </c>
    </row>
    <row r="154" spans="1:21">
      <c r="A154" s="14"/>
      <c r="B154" s="32" t="s">
        <v>160</v>
      </c>
      <c r="C154" s="16">
        <v>198.78700000000001</v>
      </c>
      <c r="D154" s="17"/>
      <c r="E154" s="16">
        <v>6659.3649999999998</v>
      </c>
      <c r="F154" s="18"/>
      <c r="G154" s="18"/>
      <c r="H154" s="31"/>
      <c r="I154" s="16">
        <f>C154+F154</f>
        <v>198.78700000000001</v>
      </c>
      <c r="J154" s="17">
        <f t="shared" si="2"/>
        <v>33.500002515255019</v>
      </c>
      <c r="K154" s="17">
        <f>E154+H154</f>
        <v>6659.3649999999998</v>
      </c>
      <c r="L154" s="19"/>
      <c r="M154" s="18"/>
      <c r="N154" s="18"/>
      <c r="O154" s="18"/>
      <c r="P154" s="18"/>
      <c r="Q154" s="18"/>
      <c r="R154" s="18"/>
      <c r="S154" s="18">
        <f>I154-L154-O154-Q154</f>
        <v>198.78700000000001</v>
      </c>
      <c r="T154" s="17"/>
      <c r="U154" s="17">
        <f>K154-N154-P154-R154</f>
        <v>6659.3649999999998</v>
      </c>
    </row>
    <row r="155" spans="1:21" ht="27">
      <c r="A155" s="14"/>
      <c r="B155" s="32" t="s">
        <v>161</v>
      </c>
      <c r="C155" s="16">
        <v>72.5</v>
      </c>
      <c r="D155" s="17"/>
      <c r="E155" s="16">
        <v>478.5</v>
      </c>
      <c r="F155" s="18"/>
      <c r="G155" s="18"/>
      <c r="H155" s="31"/>
      <c r="I155" s="16">
        <f>C155+F155</f>
        <v>72.5</v>
      </c>
      <c r="J155" s="17">
        <f t="shared" si="2"/>
        <v>6.6</v>
      </c>
      <c r="K155" s="17">
        <f>E155+H155</f>
        <v>478.5</v>
      </c>
      <c r="L155" s="19"/>
      <c r="M155" s="18"/>
      <c r="N155" s="18"/>
      <c r="O155" s="18"/>
      <c r="P155" s="18"/>
      <c r="Q155" s="18"/>
      <c r="R155" s="18"/>
      <c r="S155" s="18">
        <f>I155-L155-O155-Q155</f>
        <v>72.5</v>
      </c>
      <c r="T155" s="17"/>
      <c r="U155" s="17">
        <f>K155-N155-P155-R155</f>
        <v>478.5</v>
      </c>
    </row>
    <row r="156" spans="1:21">
      <c r="A156" s="14"/>
      <c r="B156" s="32" t="s">
        <v>162</v>
      </c>
      <c r="C156" s="16">
        <v>18.440000000000001</v>
      </c>
      <c r="D156" s="17"/>
      <c r="E156" s="16">
        <v>424.12</v>
      </c>
      <c r="F156" s="18"/>
      <c r="G156" s="18"/>
      <c r="H156" s="18"/>
      <c r="I156" s="16">
        <f>C156+F156</f>
        <v>18.440000000000001</v>
      </c>
      <c r="J156" s="17">
        <f t="shared" si="2"/>
        <v>23</v>
      </c>
      <c r="K156" s="17">
        <f>E156+H156</f>
        <v>424.12</v>
      </c>
      <c r="L156" s="19"/>
      <c r="M156" s="18"/>
      <c r="N156" s="18"/>
      <c r="O156" s="18"/>
      <c r="P156" s="18"/>
      <c r="Q156" s="18"/>
      <c r="R156" s="18"/>
      <c r="S156" s="18">
        <f>I156-L156-O156-Q156</f>
        <v>18.440000000000001</v>
      </c>
      <c r="T156" s="17"/>
      <c r="U156" s="17">
        <f>K156-N156-P156-R156</f>
        <v>424.12</v>
      </c>
    </row>
    <row r="157" spans="1:21">
      <c r="A157" s="14"/>
      <c r="B157" s="37" t="s">
        <v>163</v>
      </c>
      <c r="C157" s="16">
        <v>0</v>
      </c>
      <c r="D157" s="17"/>
      <c r="E157" s="16">
        <v>0</v>
      </c>
      <c r="F157" s="18">
        <f>100+20</f>
        <v>120</v>
      </c>
      <c r="G157" s="18"/>
      <c r="H157" s="30">
        <f>32500+6300</f>
        <v>38800</v>
      </c>
      <c r="I157" s="16">
        <f>C157+F157</f>
        <v>120</v>
      </c>
      <c r="J157" s="17">
        <f t="shared" si="2"/>
        <v>323.33333333333331</v>
      </c>
      <c r="K157" s="17">
        <f>E157+H157</f>
        <v>38800</v>
      </c>
      <c r="L157" s="19"/>
      <c r="M157" s="18"/>
      <c r="N157" s="18"/>
      <c r="O157" s="18"/>
      <c r="P157" s="18"/>
      <c r="Q157" s="18"/>
      <c r="R157" s="18"/>
      <c r="S157" s="18">
        <f>I157-L157-O157-Q157</f>
        <v>120</v>
      </c>
      <c r="T157" s="17"/>
      <c r="U157" s="17">
        <f>K157-N157-P157-R157</f>
        <v>38800</v>
      </c>
    </row>
    <row r="158" spans="1:21" ht="27">
      <c r="A158" s="14"/>
      <c r="B158" s="37" t="s">
        <v>164</v>
      </c>
      <c r="C158" s="16">
        <v>0</v>
      </c>
      <c r="D158" s="17"/>
      <c r="E158" s="16">
        <v>0</v>
      </c>
      <c r="F158" s="18">
        <v>20</v>
      </c>
      <c r="G158" s="18"/>
      <c r="H158" s="18">
        <v>6100</v>
      </c>
      <c r="I158" s="16">
        <f>C158+F158</f>
        <v>20</v>
      </c>
      <c r="J158" s="17">
        <f t="shared" si="2"/>
        <v>305</v>
      </c>
      <c r="K158" s="17">
        <f>E158+H158</f>
        <v>6100</v>
      </c>
      <c r="L158" s="19"/>
      <c r="M158" s="18"/>
      <c r="N158" s="18"/>
      <c r="O158" s="18"/>
      <c r="P158" s="18"/>
      <c r="Q158" s="18"/>
      <c r="R158" s="18"/>
      <c r="S158" s="18">
        <f>I158-L158-O158-Q158</f>
        <v>20</v>
      </c>
      <c r="T158" s="17"/>
      <c r="U158" s="17">
        <f>K158-N158-P158-R158</f>
        <v>6100</v>
      </c>
    </row>
    <row r="159" spans="1:21">
      <c r="A159" s="14"/>
      <c r="B159" s="37" t="s">
        <v>165</v>
      </c>
      <c r="C159" s="16">
        <v>0</v>
      </c>
      <c r="D159" s="17"/>
      <c r="E159" s="16">
        <v>0</v>
      </c>
      <c r="F159" s="18">
        <f>20+50</f>
        <v>70</v>
      </c>
      <c r="G159" s="18"/>
      <c r="H159" s="18">
        <f>1600+3850</f>
        <v>5450</v>
      </c>
      <c r="I159" s="16">
        <f>C159+F159</f>
        <v>70</v>
      </c>
      <c r="J159" s="17">
        <f t="shared" si="2"/>
        <v>77.857142857142861</v>
      </c>
      <c r="K159" s="17">
        <f>E159+H159</f>
        <v>5450</v>
      </c>
      <c r="L159" s="19"/>
      <c r="M159" s="18"/>
      <c r="N159" s="18"/>
      <c r="O159" s="18"/>
      <c r="P159" s="18"/>
      <c r="Q159" s="18"/>
      <c r="R159" s="18"/>
      <c r="S159" s="18">
        <f>I159-L159-O159-Q159</f>
        <v>70</v>
      </c>
      <c r="T159" s="17"/>
      <c r="U159" s="17">
        <f>K159-N159-P159-R159</f>
        <v>5450</v>
      </c>
    </row>
    <row r="160" spans="1:21">
      <c r="A160" s="14"/>
      <c r="B160" s="32"/>
      <c r="C160" s="17"/>
      <c r="D160" s="17"/>
      <c r="E160" s="16"/>
      <c r="F160" s="18"/>
      <c r="G160" s="18"/>
      <c r="H160" s="18"/>
      <c r="I160" s="16"/>
      <c r="J160" s="17"/>
      <c r="K160" s="17"/>
      <c r="L160" s="19"/>
      <c r="M160" s="18"/>
      <c r="N160" s="18"/>
      <c r="O160" s="18"/>
      <c r="P160" s="18"/>
      <c r="Q160" s="18"/>
      <c r="R160" s="18"/>
      <c r="S160" s="18"/>
      <c r="T160" s="17"/>
      <c r="U160" s="17"/>
    </row>
    <row r="161" spans="1:21">
      <c r="A161" s="14"/>
      <c r="B161" s="32" t="s">
        <v>166</v>
      </c>
      <c r="C161" s="17">
        <f>SUM(C4:C160)</f>
        <v>282345.11299999995</v>
      </c>
      <c r="D161" s="17"/>
      <c r="E161" s="17">
        <f>SUM(E4:E160)</f>
        <v>3912912.8131605722</v>
      </c>
      <c r="F161" s="18">
        <f>SUM(F4:F160)</f>
        <v>299735</v>
      </c>
      <c r="G161" s="18"/>
      <c r="H161" s="18">
        <f>SUM(H4:H160)</f>
        <v>3223128.75</v>
      </c>
      <c r="I161" s="17">
        <f>SUM(I4:I160)</f>
        <v>582080.1129999999</v>
      </c>
      <c r="J161" s="17"/>
      <c r="K161" s="17">
        <f>SUM(K4:K160)</f>
        <v>7136041.5631605713</v>
      </c>
      <c r="L161" s="18">
        <f>SUM(L4:L160)</f>
        <v>241343.42969999998</v>
      </c>
      <c r="M161" s="18"/>
      <c r="N161" s="18">
        <f t="shared" ref="N161:S161" si="3">SUM(N4:N160)</f>
        <v>2613165.8404703047</v>
      </c>
      <c r="O161" s="18">
        <f t="shared" si="3"/>
        <v>1693.54</v>
      </c>
      <c r="P161" s="18">
        <f t="shared" si="3"/>
        <v>32325.601000000002</v>
      </c>
      <c r="Q161" s="18">
        <f t="shared" si="3"/>
        <v>2</v>
      </c>
      <c r="R161" s="18">
        <f t="shared" si="3"/>
        <v>678.0931995038427</v>
      </c>
      <c r="S161" s="18">
        <f t="shared" si="3"/>
        <v>338244.79329999984</v>
      </c>
      <c r="T161" s="17"/>
      <c r="U161" s="17">
        <f>SUM(U4:U160)</f>
        <v>4489872.028490765</v>
      </c>
    </row>
  </sheetData>
  <mergeCells count="10">
    <mergeCell ref="A1:U1"/>
    <mergeCell ref="A2:A3"/>
    <mergeCell ref="B2:B3"/>
    <mergeCell ref="C2:E2"/>
    <mergeCell ref="F2:H2"/>
    <mergeCell ref="I2:K2"/>
    <mergeCell ref="L2:N2"/>
    <mergeCell ref="O2:P2"/>
    <mergeCell ref="Q2:R2"/>
    <mergeCell ref="S2:U2"/>
  </mergeCells>
  <phoneticPr fontId="3" type="noConversion"/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7月份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Chunlong Wu</dc:creator>
  <cp:lastModifiedBy>Chunlong Wu</cp:lastModifiedBy>
  <dcterms:created xsi:type="dcterms:W3CDTF">2019-10-27T10:10:33Z</dcterms:created>
  <dcterms:modified xsi:type="dcterms:W3CDTF">2019-10-27T13:32:40Z</dcterms:modified>
</cp:coreProperties>
</file>