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omments6.xml" ContentType="application/vnd.openxmlformats-officedocument.spreadsheetml.comments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comments7.xml" ContentType="application/vnd.openxmlformats-officedocument.spreadsheetml.comments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omments8.xml" ContentType="application/vnd.openxmlformats-officedocument.spreadsheetml.comments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charts/chart2.xml" ContentType="application/vnd.openxmlformats-officedocument.drawingml.chart+xml"/>
  <Override PartName="/xl/comments9.xml" ContentType="application/vnd.openxmlformats-officedocument.spreadsheetml.comments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charts/chart3.xml" ContentType="application/vnd.openxmlformats-officedocument.drawingml.chart+xml"/>
  <Override PartName="/xl/comments10.xml" ContentType="application/vnd.openxmlformats-officedocument.spreadsheetml.comments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4.xml" ContentType="application/vnd.openxmlformats-officedocument.drawingml.chart+xml"/>
  <Override PartName="/xl/comments11.xml" ContentType="application/vnd.openxmlformats-officedocument.spreadsheetml.comments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charts/chart5.xml" ContentType="application/vnd.openxmlformats-officedocument.drawingml.chart+xml"/>
  <Override PartName="/xl/comments12.xml" ContentType="application/vnd.openxmlformats-officedocument.spreadsheetml.comments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charts/chart6.xml" ContentType="application/vnd.openxmlformats-officedocument.drawingml.chart+xml"/>
  <Override PartName="/xl/comments13.xml" ContentType="application/vnd.openxmlformats-officedocument.spreadsheetml.comments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charts/chart7.xml" ContentType="application/vnd.openxmlformats-officedocument.drawingml.chart+xml"/>
  <Override PartName="/xl/comments14.xml" ContentType="application/vnd.openxmlformats-officedocument.spreadsheetml.comments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charts/chart8.xml" ContentType="application/vnd.openxmlformats-officedocument.drawingml.chart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860" activeTab="2"/>
  </bookViews>
  <sheets>
    <sheet name="Sheet2" sheetId="1" r:id="rId1"/>
    <sheet name="Chart1" sheetId="2" r:id="rId2"/>
    <sheet name="目录" sheetId="3" r:id="rId3"/>
    <sheet name="剪切力計算" sheetId="4" r:id="rId4"/>
    <sheet name="板材壓印成型之加工壓力" sheetId="5" r:id="rId5"/>
    <sheet name="V型 彎曲力之計算 " sheetId="6" r:id="rId6"/>
    <sheet name="U型 彎曲力之計算" sheetId="7" r:id="rId7"/>
    <sheet name="模具重量估算" sheetId="8" r:id="rId8"/>
    <sheet name="取料及材料使用率" sheetId="9" r:id="rId9"/>
    <sheet name="捲料沖壓效率" sheetId="10" r:id="rId10"/>
    <sheet name="引伸胴體毛胚直徑計算 - 1" sheetId="11" r:id="rId11"/>
    <sheet name="引伸胴體毛胚直徑計算 - 2" sheetId="12" r:id="rId12"/>
    <sheet name="引伸胴體毛胚直徑計算 - 3" sheetId="13" r:id="rId13"/>
    <sheet name="引伸胴體毛胚直徑計算 - 4" sheetId="14" r:id="rId14"/>
    <sheet name="引伸胴體毛胚直徑計算 - 5" sheetId="15" r:id="rId15"/>
    <sheet name="引伸胴體毛胚直徑計算 - 6" sheetId="16" r:id="rId16"/>
    <sheet name="引伸胴體毛胚直徑計算 - 7" sheetId="17" r:id="rId17"/>
    <sheet name="引伸胴體毛胚直徑計算 - 8" sheetId="18" r:id="rId18"/>
    <sheet name="角筒體之下料展開計算 - 1" sheetId="19" r:id="rId19"/>
    <sheet name="角筒體之下料展開計算 - 2 " sheetId="20" r:id="rId20"/>
    <sheet name="彎曲加工展開尺寸計算" sheetId="21" r:id="rId21"/>
    <sheet name="引伸貫穿體之引伸率" sheetId="22" r:id="rId22"/>
    <sheet name="STD 偏心負荷計算" sheetId="23" r:id="rId23"/>
    <sheet name="G2   偏心負荷計算" sheetId="24" r:id="rId24"/>
    <sheet name="G1  負荷中心計算" sheetId="25" r:id="rId25"/>
    <sheet name="OCP-N  負荷中心計算" sheetId="26" r:id="rId26"/>
    <sheet name="新 OCP  負荷中心計算" sheetId="27" r:id="rId27"/>
    <sheet name="沖壓工程規劃 - 模具" sheetId="28" r:id="rId28"/>
    <sheet name="機械手連線工程規劃" sheetId="29" r:id="rId29"/>
  </sheets>
  <definedNames>
    <definedName name="_xlnm.Print_Area" localSheetId="24">'G1  負荷中心計算'!$A$1:$M$31</definedName>
    <definedName name="_xlnm.Print_Area" localSheetId="23">'G2   偏心負荷計算'!$A$1:$M$31</definedName>
    <definedName name="_xlnm.Print_Area" localSheetId="25">'OCP-N  負荷中心計算'!$A$1:$R$31</definedName>
    <definedName name="_xlnm.Print_Area" localSheetId="22">'STD 偏心負荷計算'!$A$1:$Q$31</definedName>
    <definedName name="_xlnm.Print_Area" localSheetId="6">'U型 彎曲力之計算'!$A$1:$AC$26</definedName>
    <definedName name="_xlnm.Print_Area" localSheetId="5">'V型 彎曲力之計算 '!$A$1:$T$25</definedName>
    <definedName name="_xlnm.Print_Area" localSheetId="4">板材壓印成型之加工壓力!$A$1:$U$30</definedName>
    <definedName name="_xlnm.Print_Area" localSheetId="27">'沖壓工程規劃 - 模具'!$A$1:$W$61</definedName>
    <definedName name="_xlnm.Print_Area" localSheetId="28">機械手連線工程規劃!$A$1:$AO$49</definedName>
    <definedName name="_xlnm.Print_Area" localSheetId="3">剪切力計算!$A$1:$AB$29</definedName>
    <definedName name="_xlnm.Print_Area" localSheetId="9">捲料沖壓效率!$A$1:$Y$30</definedName>
    <definedName name="_xlnm.Print_Area" localSheetId="8">取料及材料使用率!$A$1:$V$30</definedName>
    <definedName name="_xlnm.Print_Area" localSheetId="20">彎曲加工展開尺寸計算!$A$1:$X$32</definedName>
    <definedName name="_xlnm.Print_Area" localSheetId="26">'新 OCP  負荷中心計算'!$A$1:$R$31</definedName>
    <definedName name="_xlnm.Print_Area" localSheetId="10">'引伸胴體毛胚直徑計算 - 1'!$A$1:$AA$30</definedName>
    <definedName name="_xlnm.Print_Area" localSheetId="11">'引伸胴體毛胚直徑計算 - 2'!$A$1:$Z$30</definedName>
    <definedName name="_xlnm.Print_Area" localSheetId="12">'引伸胴體毛胚直徑計算 - 3'!$A$1:$AB$30</definedName>
    <definedName name="_xlnm.Print_Area" localSheetId="13">'引伸胴體毛胚直徑計算 - 4'!$A$1:$X$30</definedName>
    <definedName name="_xlnm.Print_Area" localSheetId="14">'引伸胴體毛胚直徑計算 - 5'!$A$1:$X$30</definedName>
    <definedName name="_xlnm.Print_Area" localSheetId="15">'引伸胴體毛胚直徑計算 - 6'!$A$1:$X$30</definedName>
    <definedName name="_xlnm.Print_Area" localSheetId="16">'引伸胴體毛胚直徑計算 - 7'!$A$1:$V$30</definedName>
    <definedName name="_xlnm.Print_Area" localSheetId="17">'引伸胴體毛胚直徑計算 - 8'!$A$1:$W$30</definedName>
    <definedName name="_xlnm.Print_Area" localSheetId="21">引伸貫穿體之引伸率!$A$1:$P$31</definedName>
  </definedNames>
  <calcPr calcId="152511"/>
</workbook>
</file>

<file path=xl/comments1.xml><?xml version="1.0" encoding="utf-8"?>
<comments xmlns="http://schemas.openxmlformats.org/spreadsheetml/2006/main">
  <authors>
    <author>T1295</author>
  </authors>
  <commentList>
    <comment ref="I4" authorId="0">
      <text>
        <r>
          <rPr>
            <sz val="9"/>
            <color indexed="0"/>
            <rFont val="宋体"/>
          </rPr>
          <t xml:space="preserve">請利用下列工具幫助您計算剪斷長度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每一種形狀提供3種尺寸計算欄位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如欄位不夠多請分次計算再加總</t>
        </r>
      </text>
    </comment>
    <comment ref="B5" authorId="0">
      <text>
        <r>
          <rPr>
            <sz val="9"/>
            <color indexed="0"/>
            <rFont val="宋体"/>
          </rPr>
          <t xml:space="preserve">請選擇正確的材料特性種類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不正確的輸入計算值將為 " 0 "
</t>
        </r>
        <r>
          <rPr>
            <sz val="9"/>
            <color indexed="0"/>
            <rFont val="宋体"/>
          </rPr>
          <t xml:space="preserve">
</t>
        </r>
      </text>
    </comment>
    <comment ref="E5" authorId="0">
      <text>
        <r>
          <rPr>
            <sz val="9"/>
            <color indexed="0"/>
            <rFont val="宋体"/>
          </rPr>
          <t xml:space="preserve">請選擇正確的材料種類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不正確的選擇計算值將為 "0"</t>
        </r>
      </text>
    </comment>
    <comment ref="B10" authorId="0">
      <text>
        <r>
          <rPr>
            <sz val="9"/>
            <color indexed="0"/>
            <rFont val="宋体"/>
          </rPr>
          <t xml:space="preserve">請輸入正確的材料厚度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輸入單位為mm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無輸入時計算值將為 "0"</t>
        </r>
      </text>
    </comment>
    <comment ref="Y12" authorId="0">
      <text>
        <r>
          <rPr>
            <sz val="9"/>
            <color indexed="0"/>
            <rFont val="宋体"/>
          </rPr>
          <t>三角形之短邊為 "0"</t>
        </r>
      </text>
    </comment>
    <comment ref="B13" authorId="0">
      <text>
        <r>
          <rPr>
            <sz val="9"/>
            <color indexed="0"/>
            <rFont val="宋体"/>
          </rPr>
          <t xml:space="preserve">請計算並輸入正確周長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輸入單位為mm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無輸入時計算值將為 "0"</t>
        </r>
      </text>
    </comment>
    <comment ref="B16" authorId="0">
      <text>
        <r>
          <rPr>
            <sz val="9"/>
            <color indexed="0"/>
            <rFont val="宋体"/>
          </rPr>
          <t xml:space="preserve">一般選擇  15%
</t>
        </r>
        <r>
          <rPr>
            <sz val="9"/>
            <color indexed="0"/>
            <rFont val="宋体"/>
          </rPr>
          <t xml:space="preserve">不需要時輸入 " 0 "
</t>
        </r>
        <r>
          <rPr>
            <sz val="9"/>
            <color indexed="0"/>
            <rFont val="宋体"/>
          </rPr>
          <t xml:space="preserve">輸入錯誤時以 " 0 %  "計算
</t>
        </r>
      </text>
    </comment>
    <comment ref="B22" authorId="0">
      <text>
        <r>
          <rPr>
            <sz val="9"/>
            <color indexed="0"/>
            <rFont val="宋体"/>
          </rPr>
          <t xml:space="preserve">沖剪過程中模具刃口變鈍會使抗剪力增加30%
</t>
        </r>
        <r>
          <rPr>
            <sz val="9"/>
            <color indexed="0"/>
            <rFont val="宋体"/>
          </rPr>
          <t xml:space="preserve">一般選擇   35%
</t>
        </r>
        <r>
          <rPr>
            <sz val="9"/>
            <color indexed="0"/>
            <rFont val="宋体"/>
          </rPr>
          <t xml:space="preserve">不需要時輸入 " 0 "
</t>
        </r>
        <r>
          <rPr>
            <sz val="9"/>
            <color indexed="0"/>
            <rFont val="宋体"/>
          </rPr>
          <t xml:space="preserve">輸入錯誤時以 0% 計算
</t>
        </r>
      </text>
    </comment>
    <comment ref="B28" authorId="0">
      <text>
        <r>
          <rPr>
            <sz val="9"/>
            <color indexed="0"/>
            <rFont val="宋体"/>
          </rPr>
          <t xml:space="preserve">請選擇安全係數   
</t>
        </r>
        <r>
          <rPr>
            <sz val="9"/>
            <color indexed="0"/>
            <rFont val="宋体"/>
          </rPr>
          <t xml:space="preserve">  1.  10%
</t>
        </r>
        <r>
          <rPr>
            <sz val="9"/>
            <color indexed="0"/>
            <rFont val="宋体"/>
          </rPr>
          <t xml:space="preserve">  2.  20%
</t>
        </r>
        <r>
          <rPr>
            <sz val="9"/>
            <color indexed="0"/>
            <rFont val="宋体"/>
          </rPr>
          <t xml:space="preserve">不留安全係數時 , 輸入 " 0 "
</t>
        </r>
        <r>
          <rPr>
            <sz val="9"/>
            <color indexed="0"/>
            <rFont val="宋体"/>
          </rPr>
          <t>無輸入時以 " 0% " 計算</t>
        </r>
      </text>
    </comment>
  </commentList>
</comments>
</file>

<file path=xl/comments10.xml><?xml version="1.0" encoding="utf-8"?>
<comments xmlns="http://schemas.openxmlformats.org/spreadsheetml/2006/main">
  <authors>
    <author>T1295</author>
  </authors>
  <commentList>
    <comment ref="C14" authorId="0">
      <text>
        <r>
          <rPr>
            <sz val="9"/>
            <color indexed="0"/>
            <rFont val="宋体"/>
          </rPr>
          <t xml:space="preserve">輸入沖床公稱壓力 :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110  ,  160  , 200  ,  250  ,</t>
        </r>
      </text>
    </comment>
  </commentList>
</comments>
</file>

<file path=xl/comments11.xml><?xml version="1.0" encoding="utf-8"?>
<comments xmlns="http://schemas.openxmlformats.org/spreadsheetml/2006/main">
  <authors>
    <author>T1295</author>
  </authors>
  <commentList>
    <comment ref="C14" authorId="0">
      <text>
        <r>
          <rPr>
            <sz val="9"/>
            <color indexed="0"/>
            <rFont val="宋体"/>
          </rPr>
          <t xml:space="preserve">輸入沖床公稱壓力:
</t>
        </r>
        <r>
          <rPr>
            <sz val="9"/>
            <color indexed="0"/>
            <rFont val="宋体"/>
          </rPr>
          <t xml:space="preserve">80 , 110 , 160 , 200 ,
</t>
        </r>
      </text>
    </comment>
  </commentList>
</comments>
</file>

<file path=xl/comments12.xml><?xml version="1.0" encoding="utf-8"?>
<comments xmlns="http://schemas.openxmlformats.org/spreadsheetml/2006/main">
  <authors>
    <author>T1295</author>
  </authors>
  <commentList>
    <comment ref="C14" authorId="0">
      <text>
        <r>
          <rPr>
            <sz val="9"/>
            <color indexed="0"/>
            <rFont val="宋体"/>
          </rPr>
          <t xml:space="preserve">輸入沖床公稱壓力 :
</t>
        </r>
        <r>
          <rPr>
            <sz val="9"/>
            <color indexed="0"/>
            <rFont val="宋体"/>
          </rPr>
          <t xml:space="preserve"> 25  ,  35  ,  60  ,  80  ,
</t>
        </r>
        <r>
          <rPr>
            <sz val="9"/>
            <color indexed="0"/>
            <rFont val="宋体"/>
          </rPr>
          <t xml:space="preserve">110 , 160 , 200 , 260 , 260 ,
</t>
        </r>
      </text>
    </comment>
  </commentList>
</comments>
</file>

<file path=xl/comments13.xml><?xml version="1.0" encoding="utf-8"?>
<comments xmlns="http://schemas.openxmlformats.org/spreadsheetml/2006/main">
  <authors>
    <author>T1295</author>
  </authors>
  <commentList>
    <comment ref="C14" authorId="0">
      <text>
        <r>
          <rPr>
            <sz val="9"/>
            <color indexed="0"/>
            <rFont val="宋体"/>
          </rPr>
          <t xml:space="preserve">輸入沖床機型 :
</t>
        </r>
        <r>
          <rPr>
            <sz val="9"/>
            <color indexed="0"/>
            <rFont val="宋体"/>
          </rPr>
          <t xml:space="preserve">45S   ,  45H   ,  45L   ,
</t>
        </r>
        <r>
          <rPr>
            <sz val="9"/>
            <color indexed="0"/>
            <rFont val="宋体"/>
          </rPr>
          <t xml:space="preserve">60S   ,  60H   ,  60L   ,
</t>
        </r>
        <r>
          <rPr>
            <sz val="9"/>
            <color indexed="0"/>
            <rFont val="宋体"/>
          </rPr>
          <t xml:space="preserve">80S   ,  80H   ,  80L   ,
</t>
        </r>
        <r>
          <rPr>
            <sz val="9"/>
            <color indexed="0"/>
            <rFont val="宋体"/>
          </rPr>
          <t xml:space="preserve">110S ,  110H ,  110L ,
</t>
        </r>
        <r>
          <rPr>
            <sz val="9"/>
            <color indexed="0"/>
            <rFont val="宋体"/>
          </rPr>
          <t xml:space="preserve">160S ,  160H ,  160L , 160XL  ,
</t>
        </r>
        <r>
          <rPr>
            <sz val="9"/>
            <color indexed="0"/>
            <rFont val="宋体"/>
          </rPr>
          <t>200S ,  200H ,  200L , 200XL  ,</t>
        </r>
      </text>
    </comment>
  </commentList>
</comments>
</file>

<file path=xl/comments14.xml><?xml version="1.0" encoding="utf-8"?>
<comments xmlns="http://schemas.openxmlformats.org/spreadsheetml/2006/main">
  <authors>
    <author>T1295</author>
  </authors>
  <commentList>
    <comment ref="B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D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F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H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J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L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N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P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R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T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V28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B29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  <comment ref="B30" authorId="0">
      <text>
        <r>
          <rPr>
            <sz val="9"/>
            <color indexed="0"/>
            <rFont val="宋体"/>
          </rPr>
          <t xml:space="preserve"> B - Blanjing      彎曲加工
</t>
        </r>
        <r>
          <rPr>
            <sz val="9"/>
            <color indexed="0"/>
            <rFont val="宋体"/>
          </rPr>
          <t xml:space="preserve"> C - Cutting        切斷加工 / 落料加工
</t>
        </r>
        <r>
          <rPr>
            <sz val="9"/>
            <color indexed="0"/>
            <rFont val="宋体"/>
          </rPr>
          <t xml:space="preserve"> D - Drawing       引伸加工
</t>
        </r>
        <r>
          <rPr>
            <sz val="9"/>
            <color indexed="0"/>
            <rFont val="宋体"/>
          </rPr>
          <t xml:space="preserve"> E - Embossing 凸緣加工
</t>
        </r>
        <r>
          <rPr>
            <sz val="9"/>
            <color indexed="0"/>
            <rFont val="宋体"/>
          </rPr>
          <t xml:space="preserve"> F -  Forming      成形加工
</t>
        </r>
        <r>
          <rPr>
            <sz val="9"/>
            <color indexed="0"/>
            <rFont val="宋体"/>
          </rPr>
          <t xml:space="preserve">M - Marking       壓印加工
</t>
        </r>
        <r>
          <rPr>
            <sz val="9"/>
            <color indexed="0"/>
            <rFont val="宋体"/>
          </rPr>
          <t xml:space="preserve"> P - Piercing       沖孔加工
</t>
        </r>
        <r>
          <rPr>
            <sz val="9"/>
            <color indexed="0"/>
            <rFont val="宋体"/>
          </rPr>
          <t xml:space="preserve"> T - Trimming     整型加工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T1295</author>
  </authors>
  <commentList>
    <comment ref="I4" authorId="0">
      <text>
        <r>
          <rPr>
            <sz val="9"/>
            <color indexed="0"/>
            <rFont val="宋体"/>
          </rPr>
          <t xml:space="preserve">輸入沖床數
</t>
        </r>
        <r>
          <rPr>
            <sz val="9"/>
            <color indexed="0"/>
            <rFont val="宋体"/>
          </rPr>
          <t xml:space="preserve">  最少   2
</t>
        </r>
        <r>
          <rPr>
            <sz val="9"/>
            <color indexed="0"/>
            <rFont val="宋体"/>
          </rPr>
          <t xml:space="preserve">  最多   8
</t>
        </r>
      </text>
    </comment>
    <comment ref="I5" authorId="0">
      <text>
        <r>
          <rPr>
            <sz val="9"/>
            <color indexed="0"/>
            <rFont val="宋体"/>
          </rPr>
          <t xml:space="preserve">請輸入沖床公稱壓力
</t>
        </r>
        <r>
          <rPr>
            <sz val="9"/>
            <color indexed="0"/>
            <rFont val="宋体"/>
          </rPr>
          <t xml:space="preserve">    60 ,    80 ,  110 ,
</t>
        </r>
        <r>
          <rPr>
            <sz val="9"/>
            <color indexed="0"/>
            <rFont val="宋体"/>
          </rPr>
          <t xml:space="preserve">  160 ,  200 ,  260 , </t>
        </r>
      </text>
    </comment>
    <comment ref="N6" authorId="0">
      <text>
        <r>
          <rPr>
            <sz val="9"/>
            <color indexed="0"/>
            <rFont val="宋体"/>
          </rPr>
          <t xml:space="preserve">請輸入機械手作動方向
</t>
        </r>
        <r>
          <rPr>
            <sz val="9"/>
            <color indexed="0"/>
            <rFont val="宋体"/>
          </rPr>
          <t xml:space="preserve">  R  由左 ←  右
</t>
        </r>
        <r>
          <rPr>
            <sz val="9"/>
            <color indexed="0"/>
            <rFont val="宋体"/>
          </rPr>
          <t xml:space="preserve">  L  由左  →  右
</t>
        </r>
        <r>
          <rPr>
            <sz val="9"/>
            <color indexed="0"/>
            <rFont val="宋体"/>
          </rPr>
          <t xml:space="preserve">  </t>
        </r>
      </text>
    </comment>
    <comment ref="N7" authorId="0">
      <text>
        <r>
          <rPr>
            <sz val="9"/>
            <color indexed="0"/>
            <rFont val="宋体"/>
          </rPr>
          <t xml:space="preserve">請輸入機械手夾持方式
</t>
        </r>
        <r>
          <rPr>
            <sz val="9"/>
            <color indexed="0"/>
            <rFont val="宋体"/>
          </rPr>
          <t xml:space="preserve"> M   磁鐵
</t>
        </r>
        <r>
          <rPr>
            <sz val="9"/>
            <color indexed="0"/>
            <rFont val="宋体"/>
          </rPr>
          <t xml:space="preserve"> V   真空
</t>
        </r>
        <r>
          <rPr>
            <sz val="9"/>
            <color indexed="0"/>
            <rFont val="宋体"/>
          </rPr>
          <t xml:space="preserve"> U   真空&amp;磁鐵</t>
        </r>
      </text>
    </comment>
  </commentList>
</comments>
</file>

<file path=xl/comments2.xml><?xml version="1.0" encoding="utf-8"?>
<comments xmlns="http://schemas.openxmlformats.org/spreadsheetml/2006/main">
  <authors>
    <author>T1295</author>
  </authors>
  <commentList>
    <comment ref="L12" authorId="0">
      <text>
        <r>
          <rPr>
            <sz val="9"/>
            <color indexed="0"/>
            <rFont val="宋体"/>
          </rPr>
          <t>輸入單位為 "mm"</t>
        </r>
      </text>
    </comment>
    <comment ref="L14" authorId="0">
      <text>
        <r>
          <rPr>
            <sz val="9"/>
            <color indexed="0"/>
            <rFont val="宋体"/>
          </rPr>
          <t>輸入單位為 "mm"</t>
        </r>
      </text>
    </comment>
    <comment ref="L16" authorId="0">
      <text>
        <r>
          <rPr>
            <sz val="9"/>
            <color indexed="0"/>
            <rFont val="宋体"/>
          </rPr>
          <t>輸入單位為 "mm"</t>
        </r>
      </text>
    </comment>
    <comment ref="F17" authorId="0">
      <text>
        <r>
          <rPr>
            <sz val="9"/>
            <color indexed="0"/>
            <rFont val="宋体"/>
          </rPr>
          <t>輸入單位為 "mm"</t>
        </r>
      </text>
    </comment>
    <comment ref="L19" authorId="0">
      <text>
        <r>
          <rPr>
            <sz val="9"/>
            <color indexed="0"/>
            <rFont val="宋体"/>
          </rPr>
          <t xml:space="preserve">請選擇正確材料種類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輸入錯誤無法計算重量
</t>
        </r>
        <r>
          <rPr>
            <sz val="9"/>
            <color indexed="0"/>
            <rFont val="宋体"/>
          </rPr>
          <t xml:space="preserve">
</t>
        </r>
      </text>
    </comment>
    <comment ref="F26" authorId="0">
      <text>
        <r>
          <rPr>
            <sz val="9"/>
            <color indexed="0"/>
            <rFont val="宋体"/>
          </rPr>
          <t xml:space="preserve">輸入單位為 "mm"
</t>
        </r>
      </text>
    </comment>
  </commentList>
</comments>
</file>

<file path=xl/comments3.xml><?xml version="1.0" encoding="utf-8"?>
<comments xmlns="http://schemas.openxmlformats.org/spreadsheetml/2006/main">
  <authors>
    <author>T1295</author>
  </authors>
  <commentList>
    <comment ref="E9" authorId="0">
      <text>
        <r>
          <rPr>
            <sz val="9"/>
            <color indexed="0"/>
            <rFont val="宋体"/>
          </rPr>
          <t>請輸入胴體外徑</t>
        </r>
      </text>
    </comment>
    <comment ref="J11" authorId="0">
      <text>
        <r>
          <rPr>
            <sz val="9"/>
            <color indexed="0"/>
            <rFont val="宋体"/>
          </rPr>
          <t xml:space="preserve">請輸入胴體引伸預留量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一般單邊為  0-5.0  之間</t>
        </r>
      </text>
    </comment>
    <comment ref="E16" authorId="0">
      <text>
        <r>
          <rPr>
            <sz val="9"/>
            <color indexed="0"/>
            <rFont val="宋体"/>
          </rPr>
          <t xml:space="preserve">請輸入胴體壁厚(材料厚度)尺寸
</t>
        </r>
      </text>
    </comment>
    <comment ref="J17" authorId="0">
      <text>
        <r>
          <rPr>
            <sz val="9"/>
            <color indexed="0"/>
            <rFont val="宋体"/>
          </rPr>
          <t xml:space="preserve">請輸入胴體高度
</t>
        </r>
      </text>
    </comment>
    <comment ref="E20" authorId="0">
      <text>
        <r>
          <rPr>
            <sz val="9"/>
            <color indexed="0"/>
            <rFont val="宋体"/>
          </rPr>
          <t xml:space="preserve">請輸入胴體內圓角
</t>
        </r>
        <r>
          <rPr>
            <sz val="9"/>
            <color indexed="0"/>
            <rFont val="宋体"/>
          </rPr>
          <t>(不含材料厚)</t>
        </r>
      </text>
    </comment>
  </commentList>
</comments>
</file>

<file path=xl/comments4.xml><?xml version="1.0" encoding="utf-8"?>
<comments xmlns="http://schemas.openxmlformats.org/spreadsheetml/2006/main">
  <authors>
    <author>T1295</author>
  </authors>
  <commentList>
    <comment ref="G8" authorId="0">
      <text>
        <r>
          <rPr>
            <sz val="9"/>
            <color indexed="0"/>
            <rFont val="宋体"/>
          </rPr>
          <t>請輸入胴體凸緣處之外徑尺寸</t>
        </r>
      </text>
    </comment>
    <comment ref="L9" authorId="0">
      <text>
        <r>
          <rPr>
            <sz val="9"/>
            <color indexed="0"/>
            <rFont val="宋体"/>
          </rPr>
          <t xml:space="preserve">請輸入胴體引伸預留量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一般單邊為   2.0 - 8.0  之間</t>
        </r>
      </text>
    </comment>
    <comment ref="B13" authorId="0">
      <text>
        <r>
          <rPr>
            <sz val="9"/>
            <color indexed="0"/>
            <rFont val="宋体"/>
          </rPr>
          <t xml:space="preserve">請輸入胴體外圓角
</t>
        </r>
        <r>
          <rPr>
            <sz val="9"/>
            <color indexed="0"/>
            <rFont val="宋体"/>
          </rPr>
          <t>不含材料厚</t>
        </r>
      </text>
    </comment>
    <comment ref="F15" authorId="0">
      <text>
        <r>
          <rPr>
            <sz val="9"/>
            <color indexed="0"/>
            <rFont val="宋体"/>
          </rPr>
          <t xml:space="preserve">請輸入胴體內徑尺寸
</t>
        </r>
      </text>
    </comment>
    <comment ref="K18" authorId="0">
      <text>
        <r>
          <rPr>
            <sz val="9"/>
            <color indexed="0"/>
            <rFont val="宋体"/>
          </rPr>
          <t xml:space="preserve">請輸入胴體高度
</t>
        </r>
      </text>
    </comment>
    <comment ref="F19" authorId="0">
      <text>
        <r>
          <rPr>
            <sz val="9"/>
            <color indexed="0"/>
            <rFont val="宋体"/>
          </rPr>
          <t xml:space="preserve">請輸入胴體壁厚(材料厚度)尺寸
</t>
        </r>
      </text>
    </comment>
    <comment ref="F22" authorId="0">
      <text>
        <r>
          <rPr>
            <sz val="9"/>
            <color indexed="0"/>
            <rFont val="宋体"/>
          </rPr>
          <t xml:space="preserve">請輸入胴體內圓角
</t>
        </r>
        <r>
          <rPr>
            <sz val="9"/>
            <color indexed="0"/>
            <rFont val="宋体"/>
          </rPr>
          <t>(不含材料厚)</t>
        </r>
      </text>
    </comment>
  </commentList>
</comments>
</file>

<file path=xl/comments5.xml><?xml version="1.0" encoding="utf-8"?>
<comments xmlns="http://schemas.openxmlformats.org/spreadsheetml/2006/main">
  <authors>
    <author>T1295</author>
  </authors>
  <commentList>
    <comment ref="G10" authorId="0">
      <text>
        <r>
          <rPr>
            <sz val="9"/>
            <color indexed="0"/>
            <rFont val="宋体"/>
          </rPr>
          <t xml:space="preserve">請輸入預留量,單位為  "mm"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一般在  2.0 - 8.0 之間  </t>
        </r>
      </text>
    </comment>
    <comment ref="G12" authorId="0">
      <text>
        <r>
          <rPr>
            <sz val="9"/>
            <color indexed="0"/>
            <rFont val="宋体"/>
          </rPr>
          <t>請輸入大徑之內緣尺寸</t>
        </r>
      </text>
    </comment>
    <comment ref="G21" authorId="0">
      <text>
        <r>
          <rPr>
            <sz val="9"/>
            <color indexed="0"/>
            <rFont val="宋体"/>
          </rPr>
          <t>請輸入小徑之外緣尺寸</t>
        </r>
      </text>
    </comment>
    <comment ref="G23" authorId="0">
      <text>
        <r>
          <rPr>
            <sz val="9"/>
            <color indexed="0"/>
            <rFont val="宋体"/>
          </rPr>
          <t xml:space="preserve">請依圖示輸入胴體之長度
</t>
        </r>
      </text>
    </comment>
  </commentList>
</comments>
</file>

<file path=xl/comments6.xml><?xml version="1.0" encoding="utf-8"?>
<comments xmlns="http://schemas.openxmlformats.org/spreadsheetml/2006/main">
  <authors>
    <author>T1295</author>
  </authors>
  <commentList>
    <comment ref="I13" authorId="0">
      <text>
        <r>
          <rPr>
            <sz val="9"/>
            <color indexed="0"/>
            <rFont val="宋体"/>
          </rPr>
          <t xml:space="preserve">依需要加入預留量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一般為 0-6.0之間</t>
        </r>
      </text>
    </comment>
    <comment ref="I17" authorId="0">
      <text>
        <r>
          <rPr>
            <sz val="9"/>
            <color indexed="0"/>
            <rFont val="宋体"/>
          </rPr>
          <t xml:space="preserve">胴體無高度時請輸入 "0"
</t>
        </r>
      </text>
    </comment>
    <comment ref="F21" authorId="0">
      <text>
        <r>
          <rPr>
            <sz val="9"/>
            <color indexed="0"/>
            <rFont val="宋体"/>
          </rPr>
          <t>r必需為半個球面</t>
        </r>
      </text>
    </comment>
  </commentList>
</comments>
</file>

<file path=xl/comments7.xml><?xml version="1.0" encoding="utf-8"?>
<comments xmlns="http://schemas.openxmlformats.org/spreadsheetml/2006/main">
  <authors>
    <author>T1295</author>
  </authors>
  <commentList>
    <comment ref="C15" authorId="0">
      <text>
        <r>
          <rPr>
            <sz val="9"/>
            <color indexed="0"/>
            <rFont val="宋体"/>
          </rPr>
          <t>請輸入胴體之圓球內徑</t>
        </r>
      </text>
    </comment>
    <comment ref="I15" authorId="0">
      <text>
        <r>
          <rPr>
            <sz val="9"/>
            <color indexed="0"/>
            <rFont val="宋体"/>
          </rPr>
          <t xml:space="preserve">依需要輸入預留量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>一般自  0.0 - 7.0 之間</t>
        </r>
      </text>
    </comment>
    <comment ref="I18" authorId="0">
      <text>
        <r>
          <rPr>
            <sz val="9"/>
            <color indexed="0"/>
            <rFont val="宋体"/>
          </rPr>
          <t>請輸入胴體高度</t>
        </r>
      </text>
    </comment>
    <comment ref="C19" authorId="0">
      <text>
        <r>
          <rPr>
            <sz val="9"/>
            <color indexed="0"/>
            <rFont val="宋体"/>
          </rPr>
          <t>請輸入胴體料厚</t>
        </r>
      </text>
    </comment>
  </commentList>
</comments>
</file>

<file path=xl/comments8.xml><?xml version="1.0" encoding="utf-8"?>
<comments xmlns="http://schemas.openxmlformats.org/spreadsheetml/2006/main">
  <authors>
    <author>T1295</author>
  </authors>
  <commentList>
    <comment ref="C16" authorId="0">
      <text>
        <r>
          <rPr>
            <sz val="9"/>
            <color indexed="0"/>
            <rFont val="宋体"/>
          </rPr>
          <t xml:space="preserve">1.  純    鋁
</t>
        </r>
        <r>
          <rPr>
            <sz val="9"/>
            <color indexed="0"/>
            <rFont val="宋体"/>
          </rPr>
          <t xml:space="preserve">2.  鋁合金
</t>
        </r>
        <r>
          <rPr>
            <sz val="9"/>
            <color indexed="0"/>
            <rFont val="宋体"/>
          </rPr>
          <t xml:space="preserve">3.  黃    銅
</t>
        </r>
        <r>
          <rPr>
            <sz val="9"/>
            <color indexed="0"/>
            <rFont val="宋体"/>
          </rPr>
          <t xml:space="preserve">4.  軟鋼板
</t>
        </r>
        <r>
          <rPr>
            <sz val="9"/>
            <color indexed="0"/>
            <rFont val="宋体"/>
          </rPr>
          <t xml:space="preserve">5.  不銹鋼 
</t>
        </r>
        <r>
          <rPr>
            <sz val="9"/>
            <color indexed="0"/>
            <rFont val="宋体"/>
          </rPr>
          <t>6.  馬口鐵</t>
        </r>
      </text>
    </comment>
  </commentList>
</comments>
</file>

<file path=xl/comments9.xml><?xml version="1.0" encoding="utf-8"?>
<comments xmlns="http://schemas.openxmlformats.org/spreadsheetml/2006/main">
  <authors>
    <author>T1295</author>
  </authors>
  <commentList>
    <comment ref="D5" authorId="0">
      <text>
        <r>
          <rPr>
            <sz val="9"/>
            <color indexed="0"/>
            <rFont val="宋体"/>
          </rPr>
          <t xml:space="preserve">請輸入作用點間距
</t>
        </r>
      </text>
    </comment>
    <comment ref="C14" authorId="0">
      <text>
        <r>
          <rPr>
            <sz val="9"/>
            <color indexed="0"/>
            <rFont val="宋体"/>
          </rPr>
          <t xml:space="preserve">請輸入機種別
</t>
        </r>
        <r>
          <rPr>
            <sz val="9"/>
            <color indexed="0"/>
            <rFont val="宋体"/>
          </rPr>
          <t xml:space="preserve">STD , S2 ,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
</t>
        </r>
        <r>
          <rPr>
            <sz val="9"/>
            <color indexed="0"/>
            <rFont val="宋体"/>
          </rPr>
          <t xml:space="preserve">
</t>
        </r>
      </text>
    </comment>
    <comment ref="D14" authorId="0">
      <text>
        <r>
          <rPr>
            <sz val="9"/>
            <color indexed="0"/>
            <rFont val="宋体"/>
          </rPr>
          <t xml:space="preserve">請輸入沖床公稱壓力
</t>
        </r>
      </text>
    </comment>
  </commentList>
</comments>
</file>

<file path=xl/sharedStrings.xml><?xml version="1.0" encoding="utf-8"?>
<sst xmlns="http://schemas.openxmlformats.org/spreadsheetml/2006/main" count="512" uniqueCount="512">
  <si>
    <r>
      <rPr>
        <b/>
        <sz val="36"/>
        <color rgb="FF000000"/>
        <rFont val="新細明體"/>
      </rPr>
      <t>落料剪切力之理論</t>
    </r>
    <r>
      <rPr>
        <b/>
        <sz val="36"/>
        <color rgb="FF000000"/>
        <rFont val="Times New Roman"/>
      </rPr>
      <t>(</t>
    </r>
    <r>
      <rPr>
        <b/>
        <sz val="36"/>
        <color rgb="FF000000"/>
        <rFont val="新細明體"/>
      </rPr>
      <t>參考</t>
    </r>
    <r>
      <rPr>
        <b/>
        <sz val="36"/>
        <color rgb="FF000000"/>
        <rFont val="Times New Roman"/>
      </rPr>
      <t>)</t>
    </r>
    <r>
      <rPr>
        <b/>
        <sz val="36"/>
        <color rgb="FF000000"/>
        <rFont val="新細明體"/>
      </rPr>
      <t>值計算</t>
    </r>
  </si>
  <si>
    <r>
      <rPr>
        <b/>
        <sz val="14"/>
        <color rgb="FF000000"/>
        <rFont val="新細明體"/>
      </rPr>
      <t>最大抗剪應力</t>
    </r>
    <r>
      <rPr>
        <b/>
        <sz val="14"/>
        <color rgb="FF000000"/>
        <rFont val="Times New Roman"/>
      </rPr>
      <t xml:space="preserve"> :</t>
    </r>
  </si>
  <si>
    <t>噸</t>
  </si>
  <si>
    <t>沖剪所需能量</t>
  </si>
  <si>
    <t>Kg-m</t>
  </si>
  <si>
    <r>
      <rPr>
        <sz val="10"/>
        <color rgb="FF000000"/>
        <rFont val="新細明體"/>
      </rPr>
      <t>列印日期</t>
    </r>
    <r>
      <rPr>
        <b/>
        <sz val="10"/>
        <color rgb="FF000000"/>
        <rFont val="Times New Roman"/>
      </rPr>
      <t xml:space="preserve"> : </t>
    </r>
  </si>
  <si>
    <r>
      <rPr>
        <b/>
        <sz val="12"/>
        <color rgb="FF000000"/>
        <rFont val="Times New Roman"/>
      </rPr>
      <t>B.</t>
    </r>
    <r>
      <rPr>
        <b/>
        <sz val="12"/>
        <color rgb="FF000000"/>
        <rFont val="新細明體"/>
      </rPr>
      <t>選擇材料特性</t>
    </r>
  </si>
  <si>
    <r>
      <rPr>
        <b/>
        <sz val="12"/>
        <color rgb="FF000000"/>
        <rFont val="Times New Roman"/>
      </rPr>
      <t>A.</t>
    </r>
    <r>
      <rPr>
        <b/>
        <sz val="12"/>
        <color rgb="FF000000"/>
        <rFont val="新細明體"/>
      </rPr>
      <t>選擇材料種類</t>
    </r>
  </si>
  <si>
    <t>剪斷長度計算工具</t>
  </si>
  <si>
    <t>我選擇</t>
  </si>
  <si>
    <t>軟質</t>
  </si>
  <si>
    <t>硬質</t>
  </si>
  <si>
    <r>
      <rPr>
        <b/>
        <sz val="12"/>
        <color rgb="FF000000"/>
        <rFont val="新細明體"/>
      </rPr>
      <t>Ⅰ</t>
    </r>
    <r>
      <rPr>
        <b/>
        <sz val="12"/>
        <color rgb="FF000000"/>
        <rFont val="Times New Roman"/>
      </rPr>
      <t>.</t>
    </r>
  </si>
  <si>
    <r>
      <rPr>
        <b/>
        <sz val="12"/>
        <color rgb="FF000000"/>
        <rFont val="新細明體"/>
      </rPr>
      <t>Ⅱ</t>
    </r>
    <r>
      <rPr>
        <b/>
        <sz val="12"/>
        <color rgb="FF000000"/>
        <rFont val="Times New Roman"/>
      </rPr>
      <t>.</t>
    </r>
  </si>
  <si>
    <r>
      <rPr>
        <b/>
        <sz val="12"/>
        <color rgb="FF000000"/>
        <rFont val="新細明體"/>
      </rPr>
      <t>Ⅲ</t>
    </r>
    <r>
      <rPr>
        <b/>
        <sz val="12"/>
        <color rgb="FF000000"/>
        <rFont val="Times New Roman"/>
      </rPr>
      <t>.</t>
    </r>
  </si>
  <si>
    <r>
      <rPr>
        <b/>
        <sz val="12"/>
        <color rgb="FF000000"/>
        <rFont val="新細明體"/>
      </rPr>
      <t>Ⅳ</t>
    </r>
    <r>
      <rPr>
        <b/>
        <sz val="12"/>
        <color rgb="FF000000"/>
        <rFont val="Times New Roman"/>
      </rPr>
      <t>.</t>
    </r>
  </si>
  <si>
    <r>
      <rPr>
        <b/>
        <sz val="12"/>
        <color rgb="FF000000"/>
        <rFont val="新細明體"/>
      </rPr>
      <t>Ⅴ</t>
    </r>
    <r>
      <rPr>
        <b/>
        <sz val="12"/>
        <color rgb="FF000000"/>
        <rFont val="Times New Roman"/>
      </rPr>
      <t>.</t>
    </r>
  </si>
  <si>
    <r>
      <rPr>
        <sz val="12"/>
        <color rgb="FF000000"/>
        <rFont val="Times New Roman"/>
      </rPr>
      <t xml:space="preserve">1. </t>
    </r>
    <r>
      <rPr>
        <sz val="12"/>
        <color rgb="FF000000"/>
        <rFont val="新細明體"/>
      </rPr>
      <t>軟質</t>
    </r>
  </si>
  <si>
    <r>
      <rPr>
        <sz val="12"/>
        <color rgb="FF000000"/>
        <rFont val="Times New Roman"/>
      </rPr>
      <t xml:space="preserve"> 1.  </t>
    </r>
    <r>
      <rPr>
        <sz val="12"/>
        <color rgb="FF000000"/>
        <rFont val="新細明體"/>
      </rPr>
      <t>鉛</t>
    </r>
  </si>
  <si>
    <t>---</t>
  </si>
  <si>
    <r>
      <rPr>
        <sz val="12"/>
        <color rgb="FF000000"/>
        <rFont val="Times New Roman"/>
      </rPr>
      <t xml:space="preserve">2. </t>
    </r>
    <r>
      <rPr>
        <sz val="12"/>
        <color rgb="FF000000"/>
        <rFont val="新細明體"/>
      </rPr>
      <t>硬質</t>
    </r>
  </si>
  <si>
    <r>
      <rPr>
        <sz val="12"/>
        <color rgb="FF000000"/>
        <rFont val="Times New Roman"/>
      </rPr>
      <t xml:space="preserve"> 2.  </t>
    </r>
    <r>
      <rPr>
        <sz val="12"/>
        <color rgb="FF000000"/>
        <rFont val="新細明體"/>
      </rPr>
      <t>錫</t>
    </r>
  </si>
  <si>
    <r>
      <rPr>
        <sz val="12"/>
        <color rgb="FF000000"/>
        <rFont val="Times New Roman"/>
      </rPr>
      <t xml:space="preserve"> 3.  </t>
    </r>
    <r>
      <rPr>
        <sz val="12"/>
        <color rgb="FF000000"/>
        <rFont val="新細明體"/>
      </rPr>
      <t>純鋁</t>
    </r>
  </si>
  <si>
    <r>
      <rPr>
        <sz val="12"/>
        <color rgb="FF000000"/>
        <rFont val="Times New Roman"/>
      </rPr>
      <t>C.</t>
    </r>
    <r>
      <rPr>
        <sz val="12"/>
        <color rgb="FF000000"/>
        <rFont val="新細明體"/>
      </rPr>
      <t>輸入材料厚度</t>
    </r>
  </si>
  <si>
    <r>
      <rPr>
        <sz val="12"/>
        <color rgb="FF000000"/>
        <rFont val="Times New Roman"/>
      </rPr>
      <t xml:space="preserve"> 4.  </t>
    </r>
    <r>
      <rPr>
        <sz val="12"/>
        <color rgb="FF000000"/>
        <rFont val="新細明體"/>
      </rPr>
      <t>杜拉鋁</t>
    </r>
  </si>
  <si>
    <t>材料厚</t>
  </si>
  <si>
    <r>
      <rPr>
        <sz val="12"/>
        <color rgb="FF000000"/>
        <rFont val="Times New Roman"/>
      </rPr>
      <t xml:space="preserve"> 5.  </t>
    </r>
    <r>
      <rPr>
        <sz val="12"/>
        <color rgb="FF000000"/>
        <rFont val="新細明體"/>
      </rPr>
      <t>耐蝕鋁</t>
    </r>
  </si>
  <si>
    <t>a</t>
  </si>
  <si>
    <t>b</t>
  </si>
  <si>
    <t>c</t>
  </si>
  <si>
    <r>
      <rPr>
        <sz val="12"/>
        <color rgb="FF000000"/>
        <rFont val="Times New Roman"/>
      </rPr>
      <t xml:space="preserve"> 6.  </t>
    </r>
    <r>
      <rPr>
        <sz val="12"/>
        <color rgb="FF000000"/>
        <rFont val="新細明體"/>
      </rPr>
      <t>鋅</t>
    </r>
  </si>
  <si>
    <t>長度</t>
  </si>
  <si>
    <t>長邊</t>
  </si>
  <si>
    <r>
      <rPr>
        <sz val="12"/>
        <color rgb="FF000000"/>
        <rFont val="Times New Roman"/>
      </rPr>
      <t>D.</t>
    </r>
    <r>
      <rPr>
        <sz val="12"/>
        <color rgb="FF000000"/>
        <rFont val="新細明體"/>
      </rPr>
      <t>輸入剪斷長度</t>
    </r>
  </si>
  <si>
    <r>
      <rPr>
        <sz val="12"/>
        <color rgb="FF000000"/>
        <rFont val="Times New Roman"/>
      </rPr>
      <t xml:space="preserve"> 7.  </t>
    </r>
    <r>
      <rPr>
        <sz val="12"/>
        <color rgb="FF000000"/>
        <rFont val="新細明體"/>
      </rPr>
      <t>銅</t>
    </r>
  </si>
  <si>
    <t>寬度</t>
  </si>
  <si>
    <t>長軸</t>
  </si>
  <si>
    <t>短邊</t>
  </si>
  <si>
    <t>剪斷長</t>
  </si>
  <si>
    <r>
      <rPr>
        <sz val="12"/>
        <color rgb="FF000000"/>
        <rFont val="Times New Roman"/>
      </rPr>
      <t xml:space="preserve"> 8.  </t>
    </r>
    <r>
      <rPr>
        <sz val="12"/>
        <color rgb="FF000000"/>
        <rFont val="新細明體"/>
      </rPr>
      <t>黃銅</t>
    </r>
  </si>
  <si>
    <t>直徑</t>
  </si>
  <si>
    <t>圓角</t>
  </si>
  <si>
    <t>短軸</t>
  </si>
  <si>
    <t>高度</t>
  </si>
  <si>
    <r>
      <rPr>
        <sz val="12"/>
        <color rgb="FF000000"/>
        <rFont val="Times New Roman"/>
      </rPr>
      <t xml:space="preserve"> 9.  </t>
    </r>
    <r>
      <rPr>
        <sz val="12"/>
        <color rgb="FF000000"/>
        <rFont val="新細明體"/>
      </rPr>
      <t>磷青銅</t>
    </r>
  </si>
  <si>
    <t>數量</t>
  </si>
  <si>
    <r>
      <rPr>
        <sz val="12"/>
        <color rgb="FF000000"/>
        <rFont val="Times New Roman"/>
      </rPr>
      <t>E.</t>
    </r>
    <r>
      <rPr>
        <sz val="12"/>
        <color rgb="FF000000"/>
        <rFont val="新細明體"/>
      </rPr>
      <t>選擇彈簧壓力</t>
    </r>
  </si>
  <si>
    <r>
      <rPr>
        <sz val="12"/>
        <color rgb="FF000000"/>
        <rFont val="Times New Roman"/>
      </rPr>
      <t xml:space="preserve">10. </t>
    </r>
    <r>
      <rPr>
        <sz val="12"/>
        <color rgb="FF000000"/>
        <rFont val="新細明體"/>
      </rPr>
      <t>鈹銅</t>
    </r>
  </si>
  <si>
    <t>周長</t>
  </si>
  <si>
    <r>
      <rPr>
        <sz val="12"/>
        <color rgb="FF000000"/>
        <rFont val="Times New Roman"/>
      </rPr>
      <t xml:space="preserve">11. </t>
    </r>
    <r>
      <rPr>
        <sz val="12"/>
        <color rgb="FF000000"/>
        <rFont val="新細明體"/>
      </rPr>
      <t>冷軋鋼</t>
    </r>
    <r>
      <rPr>
        <sz val="12"/>
        <color rgb="FF000000"/>
        <rFont val="Times New Roman"/>
      </rPr>
      <t>(SPCC)</t>
    </r>
  </si>
  <si>
    <r>
      <rPr>
        <sz val="12"/>
        <color rgb="FF000000"/>
        <rFont val="新細明體"/>
      </rPr>
      <t>剪斷長度合計</t>
    </r>
    <r>
      <rPr>
        <sz val="12"/>
        <color rgb="FF000000"/>
        <rFont val="Times New Roman"/>
      </rPr>
      <t xml:space="preserve"> :</t>
    </r>
  </si>
  <si>
    <t>mm</t>
  </si>
  <si>
    <t>1. 10%</t>
  </si>
  <si>
    <r>
      <rPr>
        <sz val="12"/>
        <color rgb="FF000000"/>
        <rFont val="Times New Roman"/>
      </rPr>
      <t xml:space="preserve">12. </t>
    </r>
    <r>
      <rPr>
        <sz val="12"/>
        <color rgb="FF000000"/>
        <rFont val="新細明體"/>
      </rPr>
      <t>冷軋鋼</t>
    </r>
    <r>
      <rPr>
        <sz val="12"/>
        <color rgb="FF000000"/>
        <rFont val="Times New Roman"/>
      </rPr>
      <t>(SPCD)</t>
    </r>
  </si>
  <si>
    <t>2. 15%</t>
  </si>
  <si>
    <r>
      <rPr>
        <sz val="12"/>
        <color rgb="FF000000"/>
        <rFont val="Times New Roman"/>
      </rPr>
      <t xml:space="preserve">13. </t>
    </r>
    <r>
      <rPr>
        <sz val="12"/>
        <color rgb="FF000000"/>
        <rFont val="新細明體"/>
      </rPr>
      <t>冷軋鋼</t>
    </r>
    <r>
      <rPr>
        <sz val="12"/>
        <color rgb="FF000000"/>
        <rFont val="Times New Roman"/>
      </rPr>
      <t>(SPCE)</t>
    </r>
  </si>
  <si>
    <t>3. 20%</t>
  </si>
  <si>
    <r>
      <rPr>
        <sz val="12"/>
        <color rgb="FF000000"/>
        <rFont val="Times New Roman"/>
      </rPr>
      <t xml:space="preserve">14.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>0.2%C</t>
    </r>
  </si>
  <si>
    <t>A</t>
  </si>
  <si>
    <t>x</t>
  </si>
  <si>
    <t>C</t>
  </si>
  <si>
    <t>D</t>
  </si>
  <si>
    <t>E</t>
  </si>
  <si>
    <t>F</t>
  </si>
  <si>
    <t>G</t>
  </si>
  <si>
    <t>=</t>
  </si>
  <si>
    <r>
      <rPr>
        <sz val="12"/>
        <color rgb="FF000000"/>
        <rFont val="Times New Roman"/>
      </rPr>
      <t xml:space="preserve">15.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>0.3%C</t>
    </r>
  </si>
  <si>
    <r>
      <rPr>
        <sz val="12"/>
        <color rgb="FF000000"/>
        <rFont val="Times New Roman"/>
      </rPr>
      <t>F.</t>
    </r>
    <r>
      <rPr>
        <sz val="12"/>
        <color rgb="FF000000"/>
        <rFont val="新細明體"/>
      </rPr>
      <t>預留刀刃磨耗</t>
    </r>
  </si>
  <si>
    <r>
      <rPr>
        <sz val="12"/>
        <color rgb="FF000000"/>
        <rFont val="Times New Roman"/>
      </rPr>
      <t xml:space="preserve">16.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>0.4%C</t>
    </r>
  </si>
  <si>
    <r>
      <rPr>
        <sz val="12"/>
        <color rgb="FF000000"/>
        <rFont val="新細明體"/>
      </rPr>
      <t>備註</t>
    </r>
    <r>
      <rPr>
        <sz val="12"/>
        <color rgb="FF000000"/>
        <rFont val="Times New Roman"/>
      </rPr>
      <t>:</t>
    </r>
  </si>
  <si>
    <r>
      <rPr>
        <sz val="12"/>
        <color rgb="FF000000"/>
        <rFont val="Times New Roman"/>
      </rPr>
      <t xml:space="preserve">17.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>0.6%C</t>
    </r>
  </si>
  <si>
    <t>1. 30%</t>
  </si>
  <si>
    <r>
      <rPr>
        <sz val="12"/>
        <color rgb="FF000000"/>
        <rFont val="Times New Roman"/>
      </rPr>
      <t xml:space="preserve">18.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>0.8%C</t>
    </r>
  </si>
  <si>
    <t>2. 35%</t>
  </si>
  <si>
    <r>
      <rPr>
        <sz val="12"/>
        <color rgb="FF000000"/>
        <rFont val="Times New Roman"/>
      </rPr>
      <t xml:space="preserve">19.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>1.0%C</t>
    </r>
  </si>
  <si>
    <t>3. 40%</t>
  </si>
  <si>
    <r>
      <rPr>
        <sz val="12"/>
        <color rgb="FF000000"/>
        <rFont val="Times New Roman"/>
      </rPr>
      <t xml:space="preserve">20. </t>
    </r>
    <r>
      <rPr>
        <sz val="12"/>
        <color rgb="FF000000"/>
        <rFont val="新細明體"/>
      </rPr>
      <t>不銹鋼</t>
    </r>
  </si>
  <si>
    <r>
      <rPr>
        <sz val="12"/>
        <color rgb="FF000000"/>
        <rFont val="Times New Roman"/>
      </rPr>
      <t xml:space="preserve">21. </t>
    </r>
    <r>
      <rPr>
        <sz val="12"/>
        <color rgb="FF000000"/>
        <rFont val="新細明體"/>
      </rPr>
      <t>矽鋼片</t>
    </r>
  </si>
  <si>
    <r>
      <rPr>
        <sz val="12"/>
        <color rgb="FF000000"/>
        <rFont val="Times New Roman"/>
      </rPr>
      <t>G.</t>
    </r>
    <r>
      <rPr>
        <sz val="12"/>
        <color rgb="FF000000"/>
        <rFont val="新細明體"/>
      </rPr>
      <t>預留安全係數</t>
    </r>
  </si>
  <si>
    <r>
      <rPr>
        <sz val="12"/>
        <color rgb="FF000000"/>
        <rFont val="Times New Roman"/>
      </rPr>
      <t xml:space="preserve">22. </t>
    </r>
    <r>
      <rPr>
        <sz val="12"/>
        <color rgb="FF000000"/>
        <rFont val="新細明體"/>
      </rPr>
      <t>鎳鋼</t>
    </r>
  </si>
  <si>
    <r>
      <rPr>
        <sz val="12"/>
        <color rgb="FF000000"/>
        <rFont val="Times New Roman"/>
      </rPr>
      <t xml:space="preserve">23. </t>
    </r>
    <r>
      <rPr>
        <sz val="12"/>
        <color rgb="FF000000"/>
        <rFont val="新細明體"/>
      </rPr>
      <t>熱硬化樹脂</t>
    </r>
  </si>
  <si>
    <t>----</t>
  </si>
  <si>
    <r>
      <rPr>
        <b/>
        <sz val="12"/>
        <color rgb="FF000000"/>
        <rFont val="Times New Roman"/>
      </rPr>
      <t>1.</t>
    </r>
    <r>
      <rPr>
        <sz val="12"/>
        <color rgb="FF000000"/>
        <rFont val="Times New Roman"/>
      </rPr>
      <t xml:space="preserve"> 10%  ,</t>
    </r>
  </si>
  <si>
    <r>
      <rPr>
        <b/>
        <sz val="12"/>
        <color rgb="FF000000"/>
        <rFont val="Times New Roman"/>
      </rPr>
      <t>2.</t>
    </r>
    <r>
      <rPr>
        <sz val="12"/>
        <color rgb="FF000000"/>
        <rFont val="Times New Roman"/>
      </rPr>
      <t xml:space="preserve"> 20%</t>
    </r>
  </si>
  <si>
    <r>
      <rPr>
        <sz val="12"/>
        <color rgb="FF000000"/>
        <rFont val="Times New Roman"/>
      </rPr>
      <t xml:space="preserve">24. </t>
    </r>
    <r>
      <rPr>
        <sz val="12"/>
        <color rgb="FF000000"/>
        <rFont val="新細明體"/>
      </rPr>
      <t>雲母</t>
    </r>
  </si>
  <si>
    <t>板材壓印、壓縮成型加工之壓力計算</t>
  </si>
  <si>
    <r>
      <rPr>
        <sz val="16"/>
        <color rgb="FF000000"/>
        <rFont val="新細明體"/>
      </rPr>
      <t>壓印所需之壓力為</t>
    </r>
    <r>
      <rPr>
        <sz val="16"/>
        <color rgb="FF000000"/>
        <rFont val="Times New Roman"/>
      </rPr>
      <t xml:space="preserve"> :</t>
    </r>
  </si>
  <si>
    <r>
      <rPr>
        <sz val="16"/>
        <color rgb="FF000000"/>
        <rFont val="新細明體"/>
      </rPr>
      <t>壓印所需之能量為</t>
    </r>
    <r>
      <rPr>
        <sz val="16"/>
        <color rgb="FF000000"/>
        <rFont val="Times New Roman"/>
      </rPr>
      <t xml:space="preserve"> :</t>
    </r>
  </si>
  <si>
    <r>
      <rPr>
        <sz val="10"/>
        <color rgb="FF000000"/>
        <rFont val="新細明體"/>
      </rPr>
      <t>列印日期</t>
    </r>
    <r>
      <rPr>
        <sz val="10"/>
        <color rgb="FF000000"/>
        <rFont val="Times New Roman"/>
      </rPr>
      <t>:</t>
    </r>
  </si>
  <si>
    <r>
      <rPr>
        <sz val="12"/>
        <color rgb="FF000000"/>
        <rFont val="Times New Roman"/>
      </rPr>
      <t xml:space="preserve">     </t>
    </r>
    <r>
      <rPr>
        <sz val="12"/>
        <color rgb="FF000000"/>
        <rFont val="新細明體"/>
      </rPr>
      <t>沖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頭</t>
    </r>
    <r>
      <rPr>
        <sz val="12"/>
        <color rgb="FF000000"/>
        <rFont val="Times New Roman"/>
      </rPr>
      <t xml:space="preserve">           </t>
    </r>
  </si>
  <si>
    <r>
      <rPr>
        <sz val="12"/>
        <color rgb="FF000000"/>
        <rFont val="新細明體"/>
      </rPr>
      <t>沖</t>
    </r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頭</t>
    </r>
  </si>
  <si>
    <r>
      <rPr>
        <sz val="12"/>
        <color rgb="FF000000"/>
        <rFont val="新細明體"/>
      </rPr>
      <t>沖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頭</t>
    </r>
  </si>
  <si>
    <r>
      <rPr>
        <sz val="12"/>
        <color rgb="FF000000"/>
        <rFont val="Times New Roman"/>
      </rPr>
      <t xml:space="preserve">    </t>
    </r>
    <r>
      <rPr>
        <sz val="12"/>
        <color rgb="FF000000"/>
        <rFont val="新細明體"/>
      </rPr>
      <t>下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模</t>
    </r>
  </si>
  <si>
    <r>
      <rPr>
        <sz val="12"/>
        <color rgb="FF000000"/>
        <rFont val="新細明體"/>
      </rPr>
      <t>下</t>
    </r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模</t>
    </r>
  </si>
  <si>
    <r>
      <rPr>
        <sz val="12"/>
        <color rgb="FF000000"/>
        <rFont val="新細明體"/>
      </rPr>
      <t>下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模</t>
    </r>
  </si>
  <si>
    <r>
      <rPr>
        <b/>
        <sz val="12"/>
        <color rgb="FF000000"/>
        <rFont val="Times New Roman"/>
      </rPr>
      <t xml:space="preserve">    1. </t>
    </r>
    <r>
      <rPr>
        <b/>
        <sz val="12"/>
        <color rgb="FF000000"/>
        <rFont val="新細明體"/>
      </rPr>
      <t>文字或花紋之刻入</t>
    </r>
  </si>
  <si>
    <r>
      <rPr>
        <b/>
        <sz val="12"/>
        <color rgb="FF000000"/>
        <rFont val="Times New Roman"/>
      </rPr>
      <t xml:space="preserve">       2. </t>
    </r>
    <r>
      <rPr>
        <b/>
        <sz val="12"/>
        <color rgb="FF000000"/>
        <rFont val="新細明體"/>
      </rPr>
      <t>突起沖壓加工</t>
    </r>
  </si>
  <si>
    <r>
      <rPr>
        <b/>
        <sz val="12"/>
        <color rgb="FF000000"/>
        <rFont val="Times New Roman"/>
      </rPr>
      <t xml:space="preserve">    3. </t>
    </r>
    <r>
      <rPr>
        <b/>
        <sz val="12"/>
        <color rgb="FF000000"/>
        <rFont val="新細明體"/>
      </rPr>
      <t>壓印沖壓加工</t>
    </r>
  </si>
  <si>
    <r>
      <rPr>
        <b/>
        <sz val="12"/>
        <color rgb="FF000000"/>
        <rFont val="Times New Roman"/>
      </rPr>
      <t xml:space="preserve">4. </t>
    </r>
    <r>
      <rPr>
        <b/>
        <sz val="12"/>
        <color rgb="FF000000"/>
        <rFont val="新細明體"/>
      </rPr>
      <t>壓縮成型</t>
    </r>
  </si>
  <si>
    <t>突起部位之面積不可過大</t>
  </si>
  <si>
    <r>
      <rPr>
        <sz val="12"/>
        <color rgb="FF000000"/>
        <rFont val="新細明體"/>
      </rPr>
      <t>壓印深度不可大於材料之</t>
    </r>
    <r>
      <rPr>
        <sz val="12"/>
        <color rgb="FF000000"/>
        <rFont val="Times New Roman"/>
      </rPr>
      <t>30%</t>
    </r>
  </si>
  <si>
    <r>
      <rPr>
        <sz val="12"/>
        <color rgb="FF000000"/>
        <rFont val="Times New Roman"/>
      </rPr>
      <t xml:space="preserve">          </t>
    </r>
    <r>
      <rPr>
        <sz val="12"/>
        <color rgb="FF000000"/>
        <rFont val="新細明體"/>
      </rPr>
      <t>硬幣及紀念章等</t>
    </r>
  </si>
  <si>
    <t>面積過大應以引伸或成型計算</t>
  </si>
  <si>
    <t>材料側方必須為開放</t>
  </si>
  <si>
    <r>
      <rPr>
        <b/>
        <sz val="12"/>
        <color rgb="FF000000"/>
        <rFont val="Times New Roman"/>
      </rPr>
      <t xml:space="preserve">A. </t>
    </r>
    <r>
      <rPr>
        <sz val="12"/>
        <color rgb="FF000000"/>
        <rFont val="新細明體"/>
      </rPr>
      <t>選擇壓印加工型式</t>
    </r>
  </si>
  <si>
    <r>
      <rPr>
        <b/>
        <sz val="12"/>
        <color rgb="FF000000"/>
        <rFont val="Times New Roman"/>
      </rPr>
      <t xml:space="preserve">B.  </t>
    </r>
    <r>
      <rPr>
        <sz val="12"/>
        <color rgb="FF000000"/>
        <rFont val="新細明體"/>
      </rPr>
      <t>選擇壓印材料為</t>
    </r>
  </si>
  <si>
    <t>Kgs</t>
  </si>
  <si>
    <r>
      <rPr>
        <sz val="12"/>
        <color rgb="FF000000"/>
        <rFont val="新細明體"/>
      </rPr>
      <t>備註</t>
    </r>
    <r>
      <rPr>
        <sz val="12"/>
        <color rgb="FF000000"/>
        <rFont val="Times New Roman"/>
      </rPr>
      <t xml:space="preserve"> :</t>
    </r>
  </si>
  <si>
    <r>
      <rPr>
        <sz val="10"/>
        <color rgb="FF000000"/>
        <rFont val="Times New Roman"/>
      </rPr>
      <t>kg/mm</t>
    </r>
    <r>
      <rPr>
        <vertAlign val="superscript"/>
        <sz val="10"/>
        <color rgb="FF000000"/>
        <rFont val="Times New Roman"/>
      </rPr>
      <t>2</t>
    </r>
  </si>
  <si>
    <t>文字刻印</t>
  </si>
  <si>
    <t>突起加工</t>
  </si>
  <si>
    <t>壓印加工</t>
  </si>
  <si>
    <t>壓縮成型</t>
  </si>
  <si>
    <t>1.</t>
  </si>
  <si>
    <r>
      <rPr>
        <sz val="12"/>
        <color rgb="FF000000"/>
        <rFont val="新細明體"/>
      </rPr>
      <t>純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鋁</t>
    </r>
  </si>
  <si>
    <t>2.</t>
  </si>
  <si>
    <t>鋁合金</t>
  </si>
  <si>
    <r>
      <rPr>
        <b/>
        <sz val="12"/>
        <color rgb="FF000000"/>
        <rFont val="Times New Roman"/>
      </rPr>
      <t xml:space="preserve">C. </t>
    </r>
    <r>
      <rPr>
        <sz val="12"/>
        <color rgb="FF000000"/>
        <rFont val="新細明體"/>
      </rPr>
      <t>板材壓印之投影面積為</t>
    </r>
  </si>
  <si>
    <r>
      <rPr>
        <sz val="12"/>
        <color rgb="FF000000"/>
        <rFont val="Times New Roman"/>
      </rPr>
      <t>mm</t>
    </r>
    <r>
      <rPr>
        <vertAlign val="superscript"/>
        <sz val="12"/>
        <color rgb="FF000000"/>
        <rFont val="Times New Roman"/>
      </rPr>
      <t>2</t>
    </r>
  </si>
  <si>
    <t>3.</t>
  </si>
  <si>
    <r>
      <rPr>
        <sz val="12"/>
        <color rgb="FF000000"/>
        <rFont val="新細明體"/>
      </rPr>
      <t>電解銅</t>
    </r>
    <r>
      <rPr>
        <sz val="12"/>
        <color rgb="FF000000"/>
        <rFont val="Times New Roman"/>
      </rPr>
      <t xml:space="preserve"> </t>
    </r>
  </si>
  <si>
    <t>4.</t>
  </si>
  <si>
    <r>
      <rPr>
        <sz val="12"/>
        <color rgb="FF000000"/>
        <rFont val="新細明體"/>
      </rPr>
      <t>黃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銅</t>
    </r>
  </si>
  <si>
    <r>
      <rPr>
        <b/>
        <sz val="12"/>
        <color rgb="FF000000"/>
        <rFont val="Times New Roman"/>
      </rPr>
      <t>D.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壓印板材厚度為</t>
    </r>
  </si>
  <si>
    <t>5.</t>
  </si>
  <si>
    <t>軟鋼板</t>
  </si>
  <si>
    <t>6.</t>
  </si>
  <si>
    <t>不銹鋼</t>
  </si>
  <si>
    <r>
      <rPr>
        <b/>
        <sz val="12"/>
        <color rgb="FF000000"/>
        <rFont val="Times New Roman"/>
      </rPr>
      <t xml:space="preserve">E. </t>
    </r>
    <r>
      <rPr>
        <sz val="12"/>
        <color rgb="FF000000"/>
        <rFont val="新細明體"/>
      </rPr>
      <t>板材壓印深度為</t>
    </r>
  </si>
  <si>
    <t>7.</t>
  </si>
  <si>
    <t>鎳</t>
  </si>
  <si>
    <t>8</t>
  </si>
  <si>
    <t>銀合金</t>
  </si>
  <si>
    <r>
      <rPr>
        <b/>
        <sz val="12"/>
        <color rgb="FF000000"/>
        <rFont val="Times New Roman"/>
      </rPr>
      <t xml:space="preserve">F. </t>
    </r>
    <r>
      <rPr>
        <sz val="12"/>
        <color rgb="FF000000"/>
        <rFont val="新細明體"/>
      </rPr>
      <t>沖床型式選用</t>
    </r>
  </si>
  <si>
    <t>9</t>
  </si>
  <si>
    <r>
      <rPr>
        <sz val="12"/>
        <color rgb="FF000000"/>
        <rFont val="新細明體"/>
      </rPr>
      <t>黃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金</t>
    </r>
    <r>
      <rPr>
        <sz val="12"/>
        <color rgb="FF000000"/>
        <rFont val="Times New Roman"/>
      </rPr>
      <t xml:space="preserve">  </t>
    </r>
  </si>
  <si>
    <r>
      <rPr>
        <sz val="12"/>
        <color rgb="FF000000"/>
        <rFont val="Times New Roman"/>
      </rPr>
      <t xml:space="preserve">1. </t>
    </r>
    <r>
      <rPr>
        <sz val="12"/>
        <color rgb="FF000000"/>
        <rFont val="新細明體"/>
      </rPr>
      <t>曲柄式沖床</t>
    </r>
  </si>
  <si>
    <t>10</t>
  </si>
  <si>
    <r>
      <rPr>
        <sz val="12"/>
        <color rgb="FF000000"/>
        <rFont val="新細明體"/>
      </rPr>
      <t>白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銀</t>
    </r>
    <r>
      <rPr>
        <sz val="12"/>
        <color rgb="FF000000"/>
        <rFont val="Times New Roman"/>
      </rPr>
      <t xml:space="preserve">  </t>
    </r>
  </si>
  <si>
    <r>
      <rPr>
        <sz val="12"/>
        <color rgb="FF000000"/>
        <rFont val="Times New Roman"/>
      </rPr>
      <t xml:space="preserve">2. </t>
    </r>
    <r>
      <rPr>
        <sz val="12"/>
        <color rgb="FF000000"/>
        <rFont val="新細明體"/>
      </rPr>
      <t>肘節式沖床</t>
    </r>
  </si>
  <si>
    <r>
      <rPr>
        <b/>
        <sz val="36"/>
        <color rgb="FF000000"/>
        <rFont val="Times New Roman"/>
      </rPr>
      <t>V</t>
    </r>
    <r>
      <rPr>
        <b/>
        <sz val="36"/>
        <color rgb="FF000000"/>
        <rFont val="新細明體"/>
      </rPr>
      <t>型彎曲之彎曲荷重計算</t>
    </r>
  </si>
  <si>
    <r>
      <rPr>
        <b/>
        <sz val="16"/>
        <color rgb="FF000000"/>
        <rFont val="Times New Roman"/>
      </rPr>
      <t xml:space="preserve">A. </t>
    </r>
    <r>
      <rPr>
        <b/>
        <sz val="16"/>
        <color rgb="FF000000"/>
        <rFont val="新細明體"/>
      </rPr>
      <t>自由彎曲荷重</t>
    </r>
    <r>
      <rPr>
        <b/>
        <sz val="16"/>
        <color rgb="FF000000"/>
        <rFont val="Times New Roman"/>
      </rPr>
      <t xml:space="preserve">  :</t>
    </r>
  </si>
  <si>
    <r>
      <rPr>
        <b/>
        <sz val="16"/>
        <color rgb="FF000000"/>
        <rFont val="Times New Roman"/>
      </rPr>
      <t xml:space="preserve">B. </t>
    </r>
    <r>
      <rPr>
        <b/>
        <sz val="16"/>
        <color rgb="FF000000"/>
        <rFont val="新細明體"/>
      </rPr>
      <t>限制彎曲荷重</t>
    </r>
    <r>
      <rPr>
        <b/>
        <sz val="16"/>
        <color rgb="FF000000"/>
        <rFont val="Times New Roman"/>
      </rPr>
      <t xml:space="preserve">  :</t>
    </r>
  </si>
  <si>
    <r>
      <rPr>
        <b/>
        <sz val="16"/>
        <color rgb="FF000000"/>
        <rFont val="新細明體"/>
      </rPr>
      <t>自由彎曲能量</t>
    </r>
    <r>
      <rPr>
        <b/>
        <sz val="16"/>
        <color rgb="FF000000"/>
        <rFont val="Times New Roman"/>
      </rPr>
      <t xml:space="preserve">  :</t>
    </r>
  </si>
  <si>
    <t>Kgf - m</t>
  </si>
  <si>
    <r>
      <rPr>
        <b/>
        <sz val="16"/>
        <color rgb="FF000000"/>
        <rFont val="新細明體"/>
      </rPr>
      <t>限制彎曲能量</t>
    </r>
    <r>
      <rPr>
        <b/>
        <sz val="16"/>
        <color rgb="FF000000"/>
        <rFont val="Times New Roman"/>
      </rPr>
      <t xml:space="preserve">  :</t>
    </r>
  </si>
  <si>
    <r>
      <rPr>
        <sz val="10"/>
        <color rgb="FF000000"/>
        <rFont val="新細明體"/>
      </rPr>
      <t>列印日期</t>
    </r>
    <r>
      <rPr>
        <sz val="10"/>
        <color rgb="FF000000"/>
        <rFont val="Times New Roman"/>
      </rPr>
      <t xml:space="preserve"> :</t>
    </r>
  </si>
  <si>
    <r>
      <rPr>
        <b/>
        <sz val="14"/>
        <color rgb="FF000000"/>
        <rFont val="Times New Roman"/>
      </rPr>
      <t xml:space="preserve">A .  </t>
    </r>
    <r>
      <rPr>
        <b/>
        <sz val="14"/>
        <color rgb="FF000000"/>
        <rFont val="新細明體"/>
      </rPr>
      <t>自由彎曲</t>
    </r>
  </si>
  <si>
    <r>
      <rPr>
        <sz val="12"/>
        <color rgb="FF000000"/>
        <rFont val="新細明體"/>
      </rPr>
      <t>材料選擇</t>
    </r>
    <r>
      <rPr>
        <sz val="12"/>
        <color rgb="FF000000"/>
        <rFont val="Times New Roman"/>
      </rPr>
      <t xml:space="preserve"> : </t>
    </r>
  </si>
  <si>
    <t>純鋁</t>
  </si>
  <si>
    <t>8.</t>
  </si>
  <si>
    <r>
      <rPr>
        <sz val="12"/>
        <color rgb="FF000000"/>
        <rFont val="新細明體"/>
      </rPr>
      <t>冷軋鋼</t>
    </r>
    <r>
      <rPr>
        <sz val="12"/>
        <color rgb="FF000000"/>
        <rFont val="Times New Roman"/>
      </rPr>
      <t xml:space="preserve"> (SPCC)</t>
    </r>
  </si>
  <si>
    <r>
      <rPr>
        <sz val="11"/>
        <color rgb="FF000000"/>
        <rFont val="新細明體"/>
      </rPr>
      <t>板厚</t>
    </r>
    <r>
      <rPr>
        <sz val="11"/>
        <color rgb="FF000000"/>
        <rFont val="Times New Roman"/>
      </rPr>
      <t>=</t>
    </r>
  </si>
  <si>
    <t>9.</t>
  </si>
  <si>
    <r>
      <rPr>
        <sz val="12"/>
        <color rgb="FF000000"/>
        <rFont val="新細明體"/>
      </rPr>
      <t>冷軋鋼</t>
    </r>
    <r>
      <rPr>
        <sz val="12"/>
        <color rgb="FF000000"/>
        <rFont val="Times New Roman"/>
      </rPr>
      <t xml:space="preserve"> (SPCD)</t>
    </r>
  </si>
  <si>
    <t>5t</t>
  </si>
  <si>
    <t>6t</t>
  </si>
  <si>
    <t>8t</t>
  </si>
  <si>
    <t>10t</t>
  </si>
  <si>
    <t>12t</t>
  </si>
  <si>
    <t>15t</t>
  </si>
  <si>
    <t>20t</t>
  </si>
  <si>
    <t>25t</t>
  </si>
  <si>
    <t>鎳鋼</t>
  </si>
  <si>
    <t>10.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</si>
  <si>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 xml:space="preserve">  0.1-0.2%C</t>
    </r>
  </si>
  <si>
    <t>r=t</t>
  </si>
  <si>
    <t>r</t>
  </si>
  <si>
    <t>電解銅</t>
  </si>
  <si>
    <t>11.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</si>
  <si>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 xml:space="preserve">  0.3-0.4%C</t>
    </r>
  </si>
  <si>
    <t>r=1.5t</t>
  </si>
  <si>
    <r>
      <rPr>
        <sz val="12"/>
        <color rgb="FF000000"/>
        <rFont val="新細明體"/>
      </rPr>
      <t>青銅</t>
    </r>
    <r>
      <rPr>
        <sz val="12"/>
        <color rgb="FF000000"/>
        <rFont val="Times New Roman"/>
      </rPr>
      <t xml:space="preserve"> (PB)</t>
    </r>
  </si>
  <si>
    <t>12.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</si>
  <si>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 xml:space="preserve">  0.6-0.8%C</t>
    </r>
  </si>
  <si>
    <t>r=2t</t>
  </si>
  <si>
    <t>料寬</t>
  </si>
  <si>
    <r>
      <rPr>
        <sz val="12"/>
        <color rgb="FF000000"/>
        <rFont val="新細明體"/>
      </rPr>
      <t>黃銅</t>
    </r>
    <r>
      <rPr>
        <sz val="12"/>
        <color rgb="FF000000"/>
        <rFont val="Times New Roman"/>
      </rPr>
      <t xml:space="preserve"> (BS)</t>
    </r>
  </si>
  <si>
    <t>13.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</si>
  <si>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 xml:space="preserve"> 1.0%C</t>
    </r>
  </si>
  <si>
    <r>
      <rPr>
        <sz val="12"/>
        <color rgb="FF000000"/>
        <rFont val="新細明體"/>
      </rPr>
      <t>磷青銅</t>
    </r>
    <r>
      <rPr>
        <sz val="12"/>
        <color rgb="FF000000"/>
        <rFont val="Times New Roman"/>
      </rPr>
      <t xml:space="preserve"> </t>
    </r>
  </si>
  <si>
    <t>14.</t>
  </si>
  <si>
    <r>
      <rPr>
        <sz val="12"/>
        <color rgb="FF000000"/>
        <rFont val="新細明體"/>
      </rPr>
      <t>不銹鋼</t>
    </r>
    <r>
      <rPr>
        <sz val="12"/>
        <color rgb="FF000000"/>
        <rFont val="Times New Roman"/>
      </rPr>
      <t xml:space="preserve"> (SUS)</t>
    </r>
  </si>
  <si>
    <t>深度</t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</si>
  <si>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</rPr>
      <t>:</t>
    </r>
  </si>
  <si>
    <t>係數</t>
  </si>
  <si>
    <r>
      <rPr>
        <b/>
        <sz val="14"/>
        <color rgb="FF000000"/>
        <rFont val="Times New Roman"/>
      </rPr>
      <t xml:space="preserve">B .  </t>
    </r>
    <r>
      <rPr>
        <b/>
        <sz val="14"/>
        <color rgb="FF000000"/>
        <rFont val="新細明體"/>
      </rPr>
      <t>限制彎曲</t>
    </r>
  </si>
  <si>
    <t>最小模寬</t>
  </si>
  <si>
    <r>
      <rPr>
        <b/>
        <sz val="36"/>
        <color rgb="FF000000"/>
        <rFont val="Times New Roman"/>
      </rPr>
      <t>U</t>
    </r>
    <r>
      <rPr>
        <b/>
        <sz val="36"/>
        <color rgb="FF000000"/>
        <rFont val="新細明體"/>
      </rPr>
      <t>型彎曲之彎曲荷重計算</t>
    </r>
  </si>
  <si>
    <r>
      <rPr>
        <b/>
        <sz val="16"/>
        <color rgb="FF000000"/>
        <rFont val="Times New Roman"/>
      </rPr>
      <t>A.</t>
    </r>
    <r>
      <rPr>
        <b/>
        <sz val="16"/>
        <color rgb="FF000000"/>
        <rFont val="新細明體"/>
      </rPr>
      <t>自由彎曲荷重</t>
    </r>
    <r>
      <rPr>
        <b/>
        <sz val="16"/>
        <color rgb="FF000000"/>
        <rFont val="Times New Roman"/>
      </rPr>
      <t>:</t>
    </r>
  </si>
  <si>
    <r>
      <rPr>
        <b/>
        <sz val="16"/>
        <color rgb="FF000000"/>
        <rFont val="Times New Roman"/>
      </rPr>
      <t>B.</t>
    </r>
    <r>
      <rPr>
        <b/>
        <sz val="16"/>
        <color rgb="FF000000"/>
        <rFont val="新細明體"/>
      </rPr>
      <t>限制彎曲荷重</t>
    </r>
    <r>
      <rPr>
        <b/>
        <sz val="16"/>
        <color rgb="FF000000"/>
        <rFont val="Times New Roman"/>
      </rPr>
      <t>:</t>
    </r>
  </si>
  <si>
    <r>
      <rPr>
        <b/>
        <sz val="16"/>
        <color rgb="FF000000"/>
        <rFont val="Times New Roman"/>
      </rPr>
      <t xml:space="preserve">    </t>
    </r>
    <r>
      <rPr>
        <b/>
        <sz val="16"/>
        <color rgb="FF000000"/>
        <rFont val="新細明體"/>
      </rPr>
      <t>自由彎曲能量</t>
    </r>
    <r>
      <rPr>
        <b/>
        <sz val="16"/>
        <color rgb="FF000000"/>
        <rFont val="Times New Roman"/>
      </rPr>
      <t>:</t>
    </r>
  </si>
  <si>
    <r>
      <rPr>
        <b/>
        <sz val="16"/>
        <color rgb="FF000000"/>
        <rFont val="Times New Roman"/>
      </rPr>
      <t xml:space="preserve">    </t>
    </r>
    <r>
      <rPr>
        <b/>
        <sz val="16"/>
        <color rgb="FF000000"/>
        <rFont val="新細明體"/>
      </rPr>
      <t>限制彎曲能量</t>
    </r>
    <r>
      <rPr>
        <b/>
        <sz val="16"/>
        <color rgb="FF000000"/>
        <rFont val="Times New Roman"/>
      </rPr>
      <t>:</t>
    </r>
  </si>
  <si>
    <t>R=2t</t>
  </si>
  <si>
    <t>R=3t</t>
  </si>
  <si>
    <t>R=4t</t>
  </si>
  <si>
    <t>R=5t</t>
  </si>
  <si>
    <t>R=6t</t>
  </si>
  <si>
    <t>R=7t</t>
  </si>
  <si>
    <t>R=8t</t>
  </si>
  <si>
    <t>R=10t</t>
  </si>
  <si>
    <t>r=0.5t</t>
  </si>
  <si>
    <t>r=1t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</si>
  <si>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</rPr>
      <t xml:space="preserve">  1.0% C</t>
    </r>
  </si>
  <si>
    <t>r=3t</t>
  </si>
  <si>
    <t>L=</t>
  </si>
  <si>
    <t>W=</t>
  </si>
  <si>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備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</rPr>
      <t xml:space="preserve"> :</t>
    </r>
  </si>
  <si>
    <t>料厚</t>
  </si>
  <si>
    <r>
      <rPr>
        <sz val="12"/>
        <color rgb="FF000000"/>
        <rFont val="新細明體"/>
      </rPr>
      <t>外圓角</t>
    </r>
    <r>
      <rPr>
        <sz val="12"/>
        <color rgb="FF000000"/>
        <rFont val="Times New Roman"/>
      </rPr>
      <t>=</t>
    </r>
  </si>
  <si>
    <r>
      <rPr>
        <sz val="12"/>
        <color rgb="FF000000"/>
        <rFont val="新細明體"/>
      </rPr>
      <t>如折彎處僅為二邊時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請將此邊尺寸值輸入</t>
    </r>
    <r>
      <rPr>
        <sz val="12"/>
        <color rgb="FF000000"/>
        <rFont val="Times New Roman"/>
      </rPr>
      <t xml:space="preserve"> " 0 "</t>
    </r>
  </si>
  <si>
    <t>模具重量估算</t>
  </si>
  <si>
    <t>這付模具重量約</t>
  </si>
  <si>
    <r>
      <rPr>
        <sz val="11"/>
        <color rgb="FF000000"/>
        <rFont val="新細明體"/>
      </rPr>
      <t>上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模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座</t>
    </r>
  </si>
  <si>
    <t>上墊板</t>
  </si>
  <si>
    <r>
      <rPr>
        <sz val="12"/>
        <color rgb="FF000000"/>
        <rFont val="Times New Roman"/>
      </rPr>
      <t xml:space="preserve">  </t>
    </r>
    <r>
      <rPr>
        <sz val="10"/>
        <color rgb="FF000000"/>
        <rFont val="Times New Roman"/>
      </rPr>
      <t xml:space="preserve">  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主</t>
    </r>
    <r>
      <rPr>
        <sz val="12"/>
        <color rgb="FF000000"/>
        <rFont val="Times New Roman"/>
      </rPr>
      <t xml:space="preserve">  </t>
    </r>
  </si>
  <si>
    <r>
      <rPr>
        <sz val="11"/>
        <color rgb="FF000000"/>
        <rFont val="新細明體"/>
      </rPr>
      <t>沖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頭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固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定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板</t>
    </r>
  </si>
  <si>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主</t>
    </r>
  </si>
  <si>
    <r>
      <rPr>
        <sz val="12"/>
        <color rgb="FF000000"/>
        <rFont val="Times New Roman"/>
      </rPr>
      <t xml:space="preserve">  </t>
    </r>
    <r>
      <rPr>
        <sz val="10"/>
        <color rgb="FF000000"/>
        <rFont val="Times New Roman"/>
      </rPr>
      <t xml:space="preserve">  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導</t>
    </r>
    <r>
      <rPr>
        <sz val="12"/>
        <color rgb="FF000000"/>
        <rFont val="Times New Roman"/>
      </rPr>
      <t xml:space="preserve">  </t>
    </r>
  </si>
  <si>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導</t>
    </r>
  </si>
  <si>
    <r>
      <rPr>
        <sz val="12"/>
        <color rgb="FF000000"/>
        <rFont val="Times New Roman"/>
      </rPr>
      <t xml:space="preserve">  </t>
    </r>
    <r>
      <rPr>
        <sz val="10"/>
        <color rgb="FF000000"/>
        <rFont val="Times New Roman"/>
      </rPr>
      <t xml:space="preserve">  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柱</t>
    </r>
  </si>
  <si>
    <r>
      <rPr>
        <sz val="11"/>
        <color rgb="FF000000"/>
        <rFont val="新細明體"/>
      </rPr>
      <t>脫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料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板</t>
    </r>
  </si>
  <si>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柱</t>
    </r>
  </si>
  <si>
    <t>模板</t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</si>
  <si>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模</t>
    </r>
  </si>
  <si>
    <t>閉模高約</t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</si>
  <si>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墊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板</t>
    </r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</si>
  <si>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模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座</t>
    </r>
  </si>
  <si>
    <t>模座</t>
  </si>
  <si>
    <r>
      <rPr>
        <sz val="11"/>
        <color rgb="FF000000"/>
        <rFont val="新細明體"/>
      </rPr>
      <t>墊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塊</t>
    </r>
  </si>
  <si>
    <t>墊塊</t>
  </si>
  <si>
    <t>圓形下料之取料與材料使用率</t>
  </si>
  <si>
    <r>
      <rPr>
        <sz val="14"/>
        <color rgb="FF000000"/>
        <rFont val="Times New Roman"/>
      </rPr>
      <t>A.</t>
    </r>
    <r>
      <rPr>
        <sz val="14"/>
        <color rgb="FF000000"/>
        <rFont val="新細明體"/>
      </rPr>
      <t>多列取料</t>
    </r>
  </si>
  <si>
    <r>
      <rPr>
        <sz val="14"/>
        <color rgb="FF000000"/>
        <rFont val="Times New Roman"/>
      </rPr>
      <t>B.</t>
    </r>
    <r>
      <rPr>
        <sz val="14"/>
        <color rgb="FF000000"/>
        <rFont val="新細明體"/>
      </rPr>
      <t>單列取料</t>
    </r>
  </si>
  <si>
    <r>
      <rPr>
        <sz val="12"/>
        <color rgb="FF000000"/>
        <rFont val="新細明體"/>
      </rPr>
      <t>料厚</t>
    </r>
    <r>
      <rPr>
        <sz val="12"/>
        <color rgb="FF000000"/>
        <rFont val="Times New Roman"/>
      </rPr>
      <t>=</t>
    </r>
  </si>
  <si>
    <r>
      <rPr>
        <sz val="12"/>
        <color rgb="FF000000"/>
        <rFont val="新細明體"/>
      </rPr>
      <t>材料使用率</t>
    </r>
    <r>
      <rPr>
        <sz val="12"/>
        <color rgb="FF000000"/>
        <rFont val="Times New Roman"/>
      </rPr>
      <t xml:space="preserve"> :</t>
    </r>
  </si>
  <si>
    <r>
      <rPr>
        <sz val="12"/>
        <color rgb="FF000000"/>
        <rFont val="新細明體"/>
      </rPr>
      <t>列數</t>
    </r>
    <r>
      <rPr>
        <sz val="12"/>
        <color rgb="FF000000"/>
        <rFont val="Times New Roman"/>
      </rPr>
      <t>=</t>
    </r>
  </si>
  <si>
    <t>捲料沖壓利用率計算</t>
  </si>
  <si>
    <t>這料捲重量約</t>
  </si>
  <si>
    <t>這料捲可沖製</t>
  </si>
  <si>
    <t>Pcs</t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</si>
  <si>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</rPr>
      <t xml:space="preserve"> :</t>
    </r>
  </si>
  <si>
    <t>沖製品送距</t>
  </si>
  <si>
    <t>捲料厚度</t>
  </si>
  <si>
    <t>捲料寬度</t>
  </si>
  <si>
    <t>捲料內徑</t>
  </si>
  <si>
    <t>捲料材質</t>
  </si>
  <si>
    <r>
      <rPr>
        <sz val="12"/>
        <color rgb="FF000000"/>
        <rFont val="Times New Roman"/>
      </rPr>
      <t xml:space="preserve">1. </t>
    </r>
    <r>
      <rPr>
        <sz val="12"/>
        <color rgb="FF000000"/>
        <rFont val="新細明體"/>
      </rPr>
      <t>鋁</t>
    </r>
  </si>
  <si>
    <r>
      <rPr>
        <sz val="12"/>
        <color rgb="FF000000"/>
        <rFont val="Times New Roman"/>
      </rPr>
      <t xml:space="preserve">2. </t>
    </r>
    <r>
      <rPr>
        <sz val="12"/>
        <color rgb="FF000000"/>
        <rFont val="新細明體"/>
      </rPr>
      <t>黃銅</t>
    </r>
    <r>
      <rPr>
        <sz val="12"/>
        <color rgb="FF000000"/>
        <rFont val="Times New Roman"/>
      </rPr>
      <t xml:space="preserve"> . </t>
    </r>
    <r>
      <rPr>
        <sz val="12"/>
        <color rgb="FF000000"/>
        <rFont val="新細明體"/>
      </rPr>
      <t>青銅</t>
    </r>
  </si>
  <si>
    <r>
      <rPr>
        <sz val="12"/>
        <color rgb="FF000000"/>
        <rFont val="Times New Roman"/>
      </rPr>
      <t xml:space="preserve">3. </t>
    </r>
    <r>
      <rPr>
        <sz val="12"/>
        <color rgb="FF000000"/>
        <rFont val="新細明體"/>
      </rPr>
      <t>磷青銅</t>
    </r>
  </si>
  <si>
    <r>
      <rPr>
        <sz val="12"/>
        <color rgb="FF000000"/>
        <rFont val="Times New Roman"/>
      </rPr>
      <t xml:space="preserve">4. </t>
    </r>
    <r>
      <rPr>
        <sz val="12"/>
        <color rgb="FF000000"/>
        <rFont val="新細明體"/>
      </rPr>
      <t>冷軋鋼板</t>
    </r>
  </si>
  <si>
    <r>
      <rPr>
        <sz val="12"/>
        <color rgb="FF000000"/>
        <rFont val="Times New Roman"/>
      </rPr>
      <t xml:space="preserve">5. </t>
    </r>
    <r>
      <rPr>
        <sz val="12"/>
        <color rgb="FF000000"/>
        <rFont val="新細明體"/>
      </rPr>
      <t>矽鋼板</t>
    </r>
  </si>
  <si>
    <r>
      <rPr>
        <sz val="12"/>
        <color rgb="FF000000"/>
        <rFont val="Times New Roman"/>
      </rPr>
      <t xml:space="preserve">6. </t>
    </r>
    <r>
      <rPr>
        <sz val="12"/>
        <color rgb="FF000000"/>
        <rFont val="新細明體"/>
      </rPr>
      <t>高碳鋼</t>
    </r>
    <r>
      <rPr>
        <sz val="12"/>
        <color rgb="FF000000"/>
        <rFont val="Times New Roman"/>
      </rPr>
      <t xml:space="preserve"> . </t>
    </r>
    <r>
      <rPr>
        <sz val="12"/>
        <color rgb="FF000000"/>
        <rFont val="新細明體"/>
      </rPr>
      <t>工具鋼</t>
    </r>
  </si>
  <si>
    <t>捲料外徑</t>
  </si>
  <si>
    <r>
      <rPr>
        <sz val="12"/>
        <color rgb="FF000000"/>
        <rFont val="Times New Roman"/>
      </rPr>
      <t xml:space="preserve">7. </t>
    </r>
    <r>
      <rPr>
        <sz val="12"/>
        <color rgb="FF000000"/>
        <rFont val="新細明體"/>
      </rPr>
      <t>不</t>
    </r>
    <r>
      <rPr>
        <sz val="12"/>
        <color rgb="FF000000"/>
        <rFont val="新細明體"/>
      </rPr>
      <t>銹鋼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</si>
  <si>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</t>
    </r>
    <r>
      <rPr>
        <b/>
        <sz val="36"/>
        <color rgb="FF000000"/>
        <rFont val="新細明體"/>
      </rPr>
      <t>直桶平底</t>
    </r>
  </si>
  <si>
    <r>
      <rPr>
        <b/>
        <sz val="16"/>
        <color rgb="FF000000"/>
        <rFont val="新細明體"/>
      </rPr>
      <t>展開之毛胚直徑為</t>
    </r>
    <r>
      <rPr>
        <b/>
        <sz val="16"/>
        <color rgb="FF000000"/>
        <rFont val="Times New Roman"/>
      </rPr>
      <t>:</t>
    </r>
  </si>
  <si>
    <t>胴體外徑</t>
  </si>
  <si>
    <t>預留量</t>
  </si>
  <si>
    <t>胴體璧厚</t>
  </si>
  <si>
    <t>胴體高度</t>
  </si>
  <si>
    <t>內圓角</t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</si>
  <si>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</rPr>
      <t>缘平底</t>
    </r>
  </si>
  <si>
    <t>外圓角</t>
  </si>
  <si>
    <t>胴體內徑</t>
  </si>
  <si>
    <t>胴體壁厚</t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</si>
  <si>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</rPr>
      <t>缘锥底</t>
    </r>
  </si>
  <si>
    <t>形狀選擇</t>
  </si>
  <si>
    <r>
      <rPr>
        <sz val="12"/>
        <color rgb="FF000000"/>
        <rFont val="Times New Roman"/>
      </rPr>
      <t xml:space="preserve">1.  </t>
    </r>
    <r>
      <rPr>
        <sz val="12"/>
        <color rgb="FF000000"/>
        <rFont val="新細明體"/>
      </rPr>
      <t>無凸緣胴體</t>
    </r>
  </si>
  <si>
    <r>
      <rPr>
        <sz val="12"/>
        <color rgb="FF000000"/>
        <rFont val="Times New Roman"/>
      </rPr>
      <t xml:space="preserve">2.  </t>
    </r>
    <r>
      <rPr>
        <sz val="12"/>
        <color rgb="FF000000"/>
        <rFont val="新細明體"/>
      </rPr>
      <t>帶凸緣胴體</t>
    </r>
  </si>
  <si>
    <t>大徑</t>
  </si>
  <si>
    <t>緣寬</t>
  </si>
  <si>
    <t>胴體厚</t>
  </si>
  <si>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假設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內圓角接近</t>
    </r>
    <r>
      <rPr>
        <sz val="12"/>
        <color rgb="FF000000"/>
        <rFont val="Times New Roman"/>
      </rPr>
      <t>"0"</t>
    </r>
  </si>
  <si>
    <t>小徑</t>
  </si>
  <si>
    <t>斜面長度</t>
  </si>
  <si>
    <r>
      <rPr>
        <sz val="12"/>
        <color rgb="FF000000"/>
        <rFont val="Times New Roman"/>
      </rPr>
      <t xml:space="preserve">  *  </t>
    </r>
    <r>
      <rPr>
        <sz val="12"/>
        <color rgb="FF000000"/>
        <rFont val="新細明體"/>
      </rPr>
      <t>本計算式以內圓角為</t>
    </r>
    <r>
      <rPr>
        <sz val="12"/>
        <color rgb="FF000000"/>
        <rFont val="Times New Roman"/>
      </rPr>
      <t>"0"</t>
    </r>
    <r>
      <rPr>
        <sz val="12"/>
        <color rgb="FF000000"/>
        <rFont val="新細明體"/>
      </rPr>
      <t>之計算法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成品之圓角愈大則展開直徑愈小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</si>
  <si>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直桶球底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</si>
  <si>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</rPr>
      <t>缘球底</t>
    </r>
  </si>
  <si>
    <t>凸緣外徑</t>
  </si>
  <si>
    <t>球內直徑</t>
  </si>
  <si>
    <r>
      <rPr>
        <sz val="12"/>
        <color rgb="FF000000"/>
        <rFont val="新細明體"/>
      </rPr>
      <t>假設</t>
    </r>
    <r>
      <rPr>
        <sz val="12"/>
        <color rgb="FF000000"/>
        <rFont val="Times New Roman"/>
      </rPr>
      <t xml:space="preserve"> r&lt; t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</si>
  <si>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</rPr>
      <t>缘圆底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</si>
  <si>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直桶</t>
    </r>
    <r>
      <rPr>
        <b/>
        <sz val="36"/>
        <color rgb="FF000000"/>
        <rFont val="宋体"/>
      </rPr>
      <t>圆底</t>
    </r>
  </si>
  <si>
    <t>胴體高</t>
  </si>
  <si>
    <t>R</t>
  </si>
  <si>
    <t>底高度</t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</si>
  <si>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</rPr>
      <t xml:space="preserve"> -</t>
    </r>
    <r>
      <rPr>
        <b/>
        <sz val="36"/>
        <color rgb="FF000000"/>
        <rFont val="宋体"/>
      </rPr>
      <t>窝形</t>
    </r>
  </si>
  <si>
    <t>球徑</t>
  </si>
  <si>
    <r>
      <rPr>
        <b/>
        <sz val="36"/>
        <color rgb="FF000000"/>
        <rFont val="新細明體"/>
      </rPr>
      <t>角筒體之下料展開計算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小隅半徑</t>
    </r>
    <r>
      <rPr>
        <b/>
        <sz val="36"/>
        <color rgb="FF000000"/>
        <rFont val="Times New Roman"/>
      </rPr>
      <t>,</t>
    </r>
    <r>
      <rPr>
        <b/>
        <sz val="36"/>
        <color rgb="FF000000"/>
        <rFont val="新細明體"/>
      </rPr>
      <t>高度低</t>
    </r>
  </si>
  <si>
    <r>
      <rPr>
        <sz val="9"/>
        <color rgb="FF000000"/>
        <rFont val="新細明體"/>
      </rPr>
      <t>列印日期</t>
    </r>
    <r>
      <rPr>
        <sz val="9"/>
        <color rgb="FF000000"/>
        <rFont val="Times New Roman"/>
      </rPr>
      <t>:</t>
    </r>
  </si>
  <si>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備註</t>
    </r>
    <r>
      <rPr>
        <sz val="12"/>
        <color rgb="FF000000"/>
        <rFont val="Times New Roman"/>
      </rPr>
      <t xml:space="preserve">: </t>
    </r>
  </si>
  <si>
    <r>
      <rPr>
        <b/>
        <sz val="36"/>
        <color rgb="FF000000"/>
        <rFont val="新細明體"/>
      </rPr>
      <t>角筒體之下料展開計算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較大隅半徑</t>
    </r>
  </si>
  <si>
    <t>X</t>
  </si>
  <si>
    <t>Y</t>
  </si>
  <si>
    <t>l=</t>
  </si>
  <si>
    <t>Rc=</t>
  </si>
  <si>
    <t>Re=</t>
  </si>
  <si>
    <t>ha=</t>
  </si>
  <si>
    <t>hb=</t>
  </si>
  <si>
    <t>彎曲加工展開尺寸計算</t>
  </si>
  <si>
    <r>
      <rPr>
        <sz val="16"/>
        <color rgb="FF000000"/>
        <rFont val="新細明體"/>
      </rPr>
      <t>展開長度為</t>
    </r>
    <r>
      <rPr>
        <sz val="16"/>
        <color rgb="FF000000"/>
        <rFont val="Times New Roman"/>
      </rPr>
      <t xml:space="preserve"> :</t>
    </r>
  </si>
  <si>
    <r>
      <rPr>
        <sz val="10"/>
        <color rgb="FF000000"/>
        <rFont val="新細明體"/>
      </rPr>
      <t>列印日期</t>
    </r>
    <r>
      <rPr>
        <sz val="10"/>
        <color rgb="FF000000"/>
        <rFont val="Times New Roman"/>
      </rPr>
      <t xml:space="preserve"> : </t>
    </r>
  </si>
  <si>
    <r>
      <rPr>
        <sz val="12"/>
        <color rgb="FF000000"/>
        <rFont val="Times New Roman"/>
      </rPr>
      <t xml:space="preserve">     </t>
    </r>
    <r>
      <rPr>
        <sz val="12"/>
        <color rgb="FF000000"/>
        <rFont val="新細明體"/>
      </rPr>
      <t>θ</t>
    </r>
  </si>
  <si>
    <t>B</t>
  </si>
  <si>
    <t xml:space="preserve">   r</t>
  </si>
  <si>
    <t xml:space="preserve">         r</t>
  </si>
  <si>
    <t xml:space="preserve">    r</t>
  </si>
  <si>
    <t xml:space="preserve">  A</t>
  </si>
  <si>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θ</t>
    </r>
  </si>
  <si>
    <t>Ⅰ</t>
  </si>
  <si>
    <t>Ⅱ</t>
  </si>
  <si>
    <t>Ⅲ</t>
  </si>
  <si>
    <t xml:space="preserve"> </t>
  </si>
  <si>
    <t>θ</t>
  </si>
  <si>
    <t xml:space="preserve">     B</t>
  </si>
  <si>
    <t>2t</t>
  </si>
  <si>
    <t xml:space="preserve">     A     </t>
  </si>
  <si>
    <r>
      <rPr>
        <sz val="12"/>
        <color rgb="FF000000"/>
        <rFont val="新細明體"/>
      </rPr>
      <t>材料厚</t>
    </r>
    <r>
      <rPr>
        <sz val="12"/>
        <color rgb="FF000000"/>
        <rFont val="Times New Roman"/>
      </rPr>
      <t xml:space="preserve"> t</t>
    </r>
  </si>
  <si>
    <t>引伸貫穿體之引伸率</t>
  </si>
  <si>
    <r>
      <rPr>
        <sz val="12"/>
        <color rgb="FF000000"/>
        <rFont val="新細明體"/>
      </rPr>
      <t>初引伸</t>
    </r>
    <r>
      <rPr>
        <sz val="12"/>
        <color rgb="FF000000"/>
        <rFont val="Times New Roman"/>
      </rPr>
      <t xml:space="preserve">  </t>
    </r>
    <r>
      <rPr>
        <sz val="12"/>
        <color rgb="FF0000FF"/>
        <rFont val="Times New Roman"/>
      </rPr>
      <t>m1</t>
    </r>
  </si>
  <si>
    <r>
      <rPr>
        <sz val="12"/>
        <color rgb="FF000000"/>
        <rFont val="新細明體"/>
      </rPr>
      <t>第一再引伸</t>
    </r>
    <r>
      <rPr>
        <sz val="12"/>
        <color rgb="FF000000"/>
        <rFont val="Times New Roman"/>
      </rPr>
      <t xml:space="preserve"> </t>
    </r>
    <r>
      <rPr>
        <sz val="12"/>
        <color rgb="FF0000FF"/>
        <rFont val="Times New Roman"/>
      </rPr>
      <t>m2</t>
    </r>
  </si>
  <si>
    <r>
      <rPr>
        <sz val="12"/>
        <color rgb="FF000000"/>
        <rFont val="新細明體"/>
      </rPr>
      <t>第二再引伸</t>
    </r>
    <r>
      <rPr>
        <sz val="12"/>
        <color rgb="FF000000"/>
        <rFont val="Times New Roman"/>
      </rPr>
      <t xml:space="preserve"> </t>
    </r>
    <r>
      <rPr>
        <sz val="12"/>
        <color rgb="FF0000FF"/>
        <rFont val="Times New Roman"/>
      </rPr>
      <t>m3</t>
    </r>
  </si>
  <si>
    <r>
      <rPr>
        <sz val="12"/>
        <color rgb="FF000000"/>
        <rFont val="新細明體"/>
      </rPr>
      <t>第三再引伸</t>
    </r>
    <r>
      <rPr>
        <sz val="12"/>
        <color rgb="FF000000"/>
        <rFont val="Times New Roman"/>
      </rPr>
      <t xml:space="preserve"> </t>
    </r>
    <r>
      <rPr>
        <sz val="12"/>
        <color rgb="FF0000FF"/>
        <rFont val="Times New Roman"/>
      </rPr>
      <t>m4</t>
    </r>
  </si>
  <si>
    <r>
      <rPr>
        <sz val="12"/>
        <color rgb="FF000000"/>
        <rFont val="新細明體"/>
      </rPr>
      <t>第四再引伸</t>
    </r>
    <r>
      <rPr>
        <sz val="12"/>
        <color rgb="FF000000"/>
        <rFont val="Times New Roman"/>
      </rPr>
      <t xml:space="preserve"> </t>
    </r>
    <r>
      <rPr>
        <sz val="12"/>
        <color rgb="FF0000FF"/>
        <rFont val="Times New Roman"/>
      </rPr>
      <t>m5</t>
    </r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</si>
  <si>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</rPr>
      <t>:</t>
    </r>
  </si>
  <si>
    <t>m1</t>
  </si>
  <si>
    <t>m2</t>
  </si>
  <si>
    <t>m3</t>
  </si>
  <si>
    <t>m4</t>
  </si>
  <si>
    <t>m5</t>
  </si>
  <si>
    <t>建議引伸率</t>
  </si>
  <si>
    <r>
      <rPr>
        <sz val="12"/>
        <color rgb="FF000000"/>
        <rFont val="Times New Roman"/>
      </rPr>
      <t>1.</t>
    </r>
    <r>
      <rPr>
        <sz val="12"/>
        <color rgb="FF000000"/>
        <rFont val="新細明體"/>
      </rPr>
      <t>所有計算值皆為理論值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部份條件假設是完</t>
    </r>
  </si>
  <si>
    <t>t/D</t>
  </si>
  <si>
    <r>
      <rPr>
        <sz val="12"/>
        <color rgb="FF000000"/>
        <rFont val="新細明體"/>
      </rPr>
      <t>引伸率</t>
    </r>
    <r>
      <rPr>
        <sz val="12"/>
        <color rgb="FF000000"/>
        <rFont val="Times New Roman"/>
      </rPr>
      <t xml:space="preserve"> d/D</t>
    </r>
  </si>
  <si>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美的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實際操作時會因材料的微量不同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模具</t>
    </r>
  </si>
  <si>
    <t>d/D</t>
  </si>
  <si>
    <r>
      <rPr>
        <sz val="12"/>
        <color rgb="FF000000"/>
        <rFont val="新細明體"/>
      </rPr>
      <t>胴體直徑</t>
    </r>
    <r>
      <rPr>
        <sz val="12"/>
        <color rgb="FF000000"/>
        <rFont val="Times New Roman"/>
      </rPr>
      <t xml:space="preserve">  d</t>
    </r>
  </si>
  <si>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結構的不同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模具與材料表面粗糙度不同</t>
    </r>
    <r>
      <rPr>
        <sz val="12"/>
        <color rgb="FF000000"/>
        <rFont val="Times New Roman"/>
      </rPr>
      <t>,</t>
    </r>
    <r>
      <rPr>
        <sz val="12"/>
        <color rgb="FF000000"/>
        <rFont val="新細明體"/>
      </rPr>
      <t>潤</t>
    </r>
  </si>
  <si>
    <t>引伸係數</t>
  </si>
  <si>
    <r>
      <rPr>
        <sz val="12"/>
        <color rgb="FF000000"/>
        <rFont val="新細明體"/>
      </rPr>
      <t>胴體高度</t>
    </r>
    <r>
      <rPr>
        <sz val="12"/>
        <color rgb="FF000000"/>
        <rFont val="Times New Roman"/>
      </rPr>
      <t xml:space="preserve">  h</t>
    </r>
  </si>
  <si>
    <r>
      <rPr>
        <sz val="12"/>
        <color rgb="FF000000"/>
        <rFont val="Times New Roman"/>
      </rPr>
      <t xml:space="preserve">   </t>
    </r>
    <r>
      <rPr>
        <sz val="12"/>
        <color rgb="FF000000"/>
        <rFont val="新細明體"/>
      </rPr>
      <t>滑不同,而產生不可預期的負荷</t>
    </r>
  </si>
  <si>
    <r>
      <rPr>
        <sz val="12"/>
        <color rgb="FF000000"/>
        <rFont val="新細明體"/>
      </rPr>
      <t>最小圓角</t>
    </r>
    <r>
      <rPr>
        <sz val="12"/>
        <color rgb="FF000000"/>
        <rFont val="Times New Roman"/>
      </rPr>
      <t xml:space="preserve">  r</t>
    </r>
  </si>
  <si>
    <t>能量係數</t>
  </si>
  <si>
    <r>
      <rPr>
        <sz val="12"/>
        <color rgb="FF000000"/>
        <rFont val="新細明體"/>
      </rPr>
      <t>引伸力</t>
    </r>
    <r>
      <rPr>
        <sz val="12"/>
        <color rgb="FF000000"/>
        <rFont val="Times New Roman"/>
      </rPr>
      <t xml:space="preserve">    </t>
    </r>
    <r>
      <rPr>
        <sz val="12"/>
        <color rgb="FF000000"/>
        <rFont val="新細明體"/>
      </rPr>
      <t>噸</t>
    </r>
  </si>
  <si>
    <r>
      <rPr>
        <sz val="10"/>
        <color rgb="FF000000"/>
        <rFont val="新細明體"/>
      </rPr>
      <t>模墊</t>
    </r>
    <r>
      <rPr>
        <sz val="10"/>
        <color rgb="FF000000"/>
        <rFont val="Times New Roman"/>
      </rPr>
      <t xml:space="preserve"> /</t>
    </r>
    <r>
      <rPr>
        <sz val="10"/>
        <color rgb="FF000000"/>
        <rFont val="新細明體"/>
      </rPr>
      <t>壓板</t>
    </r>
    <r>
      <rPr>
        <sz val="10"/>
        <color rgb="FF000000"/>
        <rFont val="Times New Roman"/>
      </rPr>
      <t xml:space="preserve">   </t>
    </r>
    <r>
      <rPr>
        <sz val="10"/>
        <color rgb="FF000000"/>
        <rFont val="新細明體"/>
      </rPr>
      <t>噸</t>
    </r>
  </si>
  <si>
    <t>模墊係數</t>
  </si>
  <si>
    <r>
      <rPr>
        <sz val="12"/>
        <color rgb="FF000000"/>
        <rFont val="新細明體"/>
      </rPr>
      <t>能量</t>
    </r>
    <r>
      <rPr>
        <sz val="12"/>
        <color rgb="FF000000"/>
        <rFont val="Times New Roman"/>
      </rPr>
      <t xml:space="preserve">     </t>
    </r>
    <r>
      <rPr>
        <sz val="9"/>
        <color rgb="FF000000"/>
        <rFont val="Times New Roman"/>
      </rPr>
      <t>Kg-m</t>
    </r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</si>
  <si>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</rPr>
      <t xml:space="preserve">    </t>
    </r>
    <r>
      <rPr>
        <sz val="12"/>
        <color rgb="FF000000"/>
        <rFont val="新細明體"/>
      </rPr>
      <t>註</t>
    </r>
  </si>
  <si>
    <r>
      <rPr>
        <sz val="12"/>
        <color rgb="FF000000"/>
        <rFont val="新細明體"/>
      </rPr>
      <t>引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伸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材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料</t>
    </r>
  </si>
  <si>
    <r>
      <rPr>
        <sz val="12"/>
        <color rgb="FF000000"/>
        <rFont val="新細明體"/>
      </rPr>
      <t>胴體直徑</t>
    </r>
    <r>
      <rPr>
        <sz val="12"/>
        <color rgb="FF000000"/>
        <rFont val="Times New Roman"/>
      </rPr>
      <t xml:space="preserve"> d1</t>
    </r>
  </si>
  <si>
    <r>
      <rPr>
        <sz val="12"/>
        <color rgb="FF000000"/>
        <rFont val="新細明體"/>
      </rPr>
      <t>胴體直徑</t>
    </r>
    <r>
      <rPr>
        <sz val="12"/>
        <color rgb="FF000000"/>
        <rFont val="Times New Roman"/>
      </rPr>
      <t xml:space="preserve"> dn-1</t>
    </r>
  </si>
  <si>
    <r>
      <rPr>
        <sz val="11"/>
        <color rgb="FF000000"/>
        <rFont val="Times New Roman"/>
      </rPr>
      <t>Kg/mm</t>
    </r>
    <r>
      <rPr>
        <vertAlign val="superscript"/>
        <sz val="11"/>
        <color rgb="FF000000"/>
        <rFont val="Times New Roman"/>
      </rPr>
      <t>2</t>
    </r>
  </si>
  <si>
    <r>
      <rPr>
        <sz val="12"/>
        <color rgb="FF000000"/>
        <rFont val="Times New Roman"/>
      </rPr>
      <t xml:space="preserve">         </t>
    </r>
    <r>
      <rPr>
        <sz val="12"/>
        <color rgb="FF000000"/>
        <rFont val="新細明體"/>
      </rPr>
      <t>成品直徑</t>
    </r>
    <r>
      <rPr>
        <sz val="12"/>
        <color rgb="FF000000"/>
        <rFont val="Times New Roman"/>
      </rPr>
      <t xml:space="preserve"> dn</t>
    </r>
  </si>
  <si>
    <r>
      <rPr>
        <sz val="12"/>
        <color rgb="FF000000"/>
        <rFont val="新細明體"/>
      </rPr>
      <t>最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大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引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伸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速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度</t>
    </r>
  </si>
  <si>
    <t>m/min</t>
  </si>
  <si>
    <r>
      <rPr>
        <sz val="12"/>
        <color rgb="FF000000"/>
        <rFont val="Times New Roman"/>
      </rPr>
      <t xml:space="preserve">          </t>
    </r>
    <r>
      <rPr>
        <sz val="12"/>
        <color rgb="FF000000"/>
        <rFont val="新細明體"/>
      </rPr>
      <t>成品高度</t>
    </r>
    <r>
      <rPr>
        <sz val="12"/>
        <color rgb="FF000000"/>
        <rFont val="Times New Roman"/>
      </rPr>
      <t xml:space="preserve">  hn       </t>
    </r>
  </si>
  <si>
    <t xml:space="preserve">  hn-1</t>
  </si>
  <si>
    <r>
      <rPr>
        <sz val="12"/>
        <color rgb="FF000000"/>
        <rFont val="Times New Roman"/>
      </rPr>
      <t xml:space="preserve">r1     rn-1     r n </t>
    </r>
    <r>
      <rPr>
        <sz val="12"/>
        <color rgb="FF000000"/>
        <rFont val="新細明體"/>
      </rPr>
      <t>成品圓角</t>
    </r>
    <r>
      <rPr>
        <sz val="12"/>
        <color rgb="FF000000"/>
        <rFont val="Times New Roman"/>
      </rPr>
      <t xml:space="preserve">   </t>
    </r>
  </si>
  <si>
    <t>h1</t>
  </si>
  <si>
    <r>
      <rPr>
        <sz val="12"/>
        <color rgb="FF000000"/>
        <rFont val="新細明體"/>
      </rPr>
      <t>毛胚直徑</t>
    </r>
    <r>
      <rPr>
        <sz val="12"/>
        <color rgb="FF000000"/>
        <rFont val="Times New Roman"/>
      </rPr>
      <t xml:space="preserve">  D</t>
    </r>
  </si>
  <si>
    <r>
      <rPr>
        <b/>
        <sz val="22"/>
        <color rgb="FF000000"/>
        <rFont val="Times New Roman"/>
      </rPr>
      <t xml:space="preserve">STD </t>
    </r>
    <r>
      <rPr>
        <b/>
        <sz val="22"/>
        <color rgb="FF000000"/>
        <rFont val="新細明體"/>
      </rPr>
      <t>系列沖床容許偏心負荷計算</t>
    </r>
    <r>
      <rPr>
        <b/>
        <sz val="22"/>
        <color rgb="FF000000"/>
        <rFont val="Times New Roman"/>
      </rPr>
      <t xml:space="preserve"> - (</t>
    </r>
    <r>
      <rPr>
        <b/>
        <sz val="22"/>
        <color rgb="FF000000"/>
        <rFont val="新細明體"/>
      </rPr>
      <t>台盤</t>
    </r>
    <r>
      <rPr>
        <b/>
        <sz val="22"/>
        <color rgb="FF000000"/>
        <rFont val="Times New Roman"/>
      </rPr>
      <t xml:space="preserve"> 4000 x 1600 </t>
    </r>
    <r>
      <rPr>
        <b/>
        <sz val="22"/>
        <color rgb="FF000000"/>
        <rFont val="新細明體"/>
      </rPr>
      <t>以內</t>
    </r>
    <r>
      <rPr>
        <b/>
        <sz val="22"/>
        <color rgb="FF000000"/>
        <rFont val="Times New Roman"/>
      </rPr>
      <t xml:space="preserve"> , </t>
    </r>
    <r>
      <rPr>
        <b/>
        <sz val="22"/>
        <color rgb="FF000000"/>
        <rFont val="新細明體"/>
      </rPr>
      <t>模具</t>
    </r>
    <r>
      <rPr>
        <b/>
        <sz val="22"/>
        <color rgb="FF000000"/>
        <rFont val="Times New Roman"/>
      </rPr>
      <t xml:space="preserve"> 3600 x 1400 </t>
    </r>
    <r>
      <rPr>
        <b/>
        <sz val="22"/>
        <color rgb="FF000000"/>
        <rFont val="新細明體"/>
      </rPr>
      <t>以內</t>
    </r>
    <r>
      <rPr>
        <b/>
        <sz val="22"/>
        <color rgb="FF000000"/>
        <rFont val="Times New Roman"/>
      </rPr>
      <t>)</t>
    </r>
  </si>
  <si>
    <r>
      <rPr>
        <b/>
        <sz val="14"/>
        <color rgb="FF000000"/>
        <rFont val="新細明體"/>
      </rPr>
      <t>偏心量</t>
    </r>
    <r>
      <rPr>
        <b/>
        <sz val="14"/>
        <color rgb="FF000000"/>
        <rFont val="Times New Roman"/>
      </rPr>
      <t xml:space="preserve"> :</t>
    </r>
  </si>
  <si>
    <t>X=</t>
  </si>
  <si>
    <t>mm,        Y=</t>
  </si>
  <si>
    <r>
      <rPr>
        <b/>
        <sz val="14"/>
        <color rgb="FF000000"/>
        <rFont val="新細明體"/>
      </rPr>
      <t>實際荷重</t>
    </r>
    <r>
      <rPr>
        <b/>
        <sz val="14"/>
        <color rgb="FF000000"/>
        <rFont val="Times New Roman"/>
      </rPr>
      <t>:</t>
    </r>
  </si>
  <si>
    <r>
      <rPr>
        <b/>
        <sz val="13"/>
        <color rgb="FF000000"/>
        <rFont val="新細明體"/>
      </rPr>
      <t>可偏心負荷</t>
    </r>
    <r>
      <rPr>
        <b/>
        <sz val="13"/>
        <color rgb="FF000000"/>
        <rFont val="Times New Roman"/>
      </rPr>
      <t>:</t>
    </r>
  </si>
  <si>
    <t>滑快板</t>
  </si>
  <si>
    <t xml:space="preserve">       F1                  F3                                       F n</t>
  </si>
  <si>
    <r>
      <rPr>
        <sz val="12"/>
        <color rgb="FF000000"/>
        <rFont val="Times New Roman"/>
      </rPr>
      <t xml:space="preserve">                   F2                        F n-1    F n-</t>
    </r>
    <r>
      <rPr>
        <sz val="9"/>
        <color rgb="FF000000"/>
        <rFont val="Times New Roman"/>
      </rPr>
      <t>2</t>
    </r>
  </si>
  <si>
    <t>公稱壓力為</t>
  </si>
  <si>
    <t>STD</t>
  </si>
  <si>
    <t>台盤</t>
  </si>
  <si>
    <t>滑塊板左右</t>
  </si>
  <si>
    <t>滑塊板前後</t>
  </si>
  <si>
    <t>台盤左右</t>
  </si>
  <si>
    <t>台盤前後</t>
  </si>
  <si>
    <t>模具左右</t>
  </si>
  <si>
    <t>模具前候</t>
  </si>
  <si>
    <r>
      <rPr>
        <sz val="12"/>
        <color rgb="FF000000"/>
        <rFont val="新細明體"/>
      </rPr>
      <t>作</t>
    </r>
    <r>
      <rPr>
        <sz val="12"/>
        <color rgb="FF000000"/>
        <rFont val="新細明體"/>
      </rPr>
      <t>用</t>
    </r>
    <r>
      <rPr>
        <sz val="12"/>
        <color rgb="FF000000"/>
        <rFont val="新細明體"/>
      </rPr>
      <t>點</t>
    </r>
  </si>
  <si>
    <r>
      <rPr>
        <sz val="12"/>
        <color rgb="FF000000"/>
        <rFont val="Times New Roman"/>
      </rPr>
      <t>X</t>
    </r>
    <r>
      <rPr>
        <sz val="12"/>
        <color rgb="FF000000"/>
        <rFont val="新細明體"/>
      </rPr>
      <t>軸</t>
    </r>
    <r>
      <rPr>
        <sz val="12"/>
        <color rgb="FF000000"/>
        <rFont val="Times New Roman"/>
      </rPr>
      <t xml:space="preserve"> (mm)</t>
    </r>
  </si>
  <si>
    <r>
      <rPr>
        <sz val="12"/>
        <color rgb="FF000000"/>
        <rFont val="Times New Roman"/>
      </rPr>
      <t>Y</t>
    </r>
    <r>
      <rPr>
        <sz val="12"/>
        <color rgb="FF000000"/>
        <rFont val="新細明體"/>
      </rPr>
      <t>軸</t>
    </r>
    <r>
      <rPr>
        <sz val="12"/>
        <color rgb="FF000000"/>
        <rFont val="Times New Roman"/>
      </rPr>
      <t xml:space="preserve"> (mm)</t>
    </r>
  </si>
  <si>
    <r>
      <rPr>
        <sz val="12"/>
        <color rgb="FF000000"/>
        <rFont val="新細明體"/>
      </rPr>
      <t>負荷</t>
    </r>
    <r>
      <rPr>
        <sz val="12"/>
        <color rgb="FF000000"/>
        <rFont val="Times New Roman"/>
      </rPr>
      <t xml:space="preserve"> (Kgs)</t>
    </r>
  </si>
  <si>
    <t>F1</t>
  </si>
  <si>
    <t>F2</t>
  </si>
  <si>
    <t>F3</t>
  </si>
  <si>
    <t>模具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</si>
  <si>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</si>
  <si>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</si>
  <si>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</si>
  <si>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</si>
  <si>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</si>
  <si>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</si>
  <si>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</si>
  <si>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</si>
  <si>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</si>
  <si>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r>
      <rPr>
        <b/>
        <sz val="36"/>
        <color rgb="FF000000"/>
        <rFont val="Times New Roman"/>
      </rPr>
      <t>G2</t>
    </r>
    <r>
      <rPr>
        <b/>
        <sz val="36"/>
        <color rgb="FF000000"/>
        <rFont val="新細明體"/>
      </rPr>
      <t>系列沖床容許偏心負荷計算</t>
    </r>
  </si>
  <si>
    <t>偏心量</t>
  </si>
  <si>
    <t>實際荷重</t>
  </si>
  <si>
    <t>可偏心荷重</t>
  </si>
  <si>
    <r>
      <rPr>
        <b/>
        <sz val="14"/>
        <color rgb="FF000000"/>
        <rFont val="Times New Roman"/>
      </rPr>
      <t xml:space="preserve"> </t>
    </r>
    <r>
      <rPr>
        <b/>
        <sz val="14"/>
        <color rgb="FF000000"/>
        <rFont val="新細明體"/>
      </rPr>
      <t>噸</t>
    </r>
  </si>
  <si>
    <t xml:space="preserve">         F1                 F3                                         F n</t>
  </si>
  <si>
    <r>
      <rPr>
        <sz val="12"/>
        <color rgb="FF000000"/>
        <rFont val="Times New Roman"/>
      </rPr>
      <t xml:space="preserve">                     F2                  F n-</t>
    </r>
    <r>
      <rPr>
        <sz val="9"/>
        <color rgb="FF000000"/>
        <rFont val="Times New Roman"/>
      </rPr>
      <t>2</t>
    </r>
    <r>
      <rPr>
        <sz val="12"/>
        <color rgb="FF000000"/>
        <rFont val="Times New Roman"/>
      </rPr>
      <t xml:space="preserve">            F n-</t>
    </r>
    <r>
      <rPr>
        <sz val="9"/>
        <color rgb="FF000000"/>
        <rFont val="Times New Roman"/>
      </rPr>
      <t>1</t>
    </r>
  </si>
  <si>
    <r>
      <rPr>
        <sz val="12"/>
        <color rgb="FF000000"/>
        <rFont val="新細明體"/>
      </rPr>
      <t>機型為</t>
    </r>
    <r>
      <rPr>
        <sz val="12"/>
        <color rgb="FF000000"/>
        <rFont val="Times New Roman"/>
      </rPr>
      <t>G2-</t>
    </r>
  </si>
  <si>
    <r>
      <rPr>
        <sz val="12"/>
        <color rgb="FF000000"/>
        <rFont val="Times New Roman"/>
      </rPr>
      <t>C</t>
    </r>
    <r>
      <rPr>
        <sz val="12"/>
        <color rgb="FF000000"/>
        <rFont val="新細明體"/>
      </rPr>
      <t>型雙曲軸沖床</t>
    </r>
  </si>
  <si>
    <t>L</t>
  </si>
  <si>
    <t>模具前後</t>
  </si>
  <si>
    <r>
      <rPr>
        <b/>
        <sz val="36"/>
        <color rgb="FF000000"/>
        <rFont val="Times New Roman"/>
      </rPr>
      <t xml:space="preserve">G1 </t>
    </r>
    <r>
      <rPr>
        <b/>
        <sz val="36"/>
        <color rgb="FF000000"/>
        <rFont val="新細明體"/>
      </rPr>
      <t>系列沖床負荷中心計算</t>
    </r>
  </si>
  <si>
    <r>
      <rPr>
        <sz val="11"/>
        <color rgb="FF000000"/>
        <rFont val="新細明體"/>
      </rPr>
      <t>列印日期</t>
    </r>
    <r>
      <rPr>
        <sz val="11"/>
        <color rgb="FF000000"/>
        <rFont val="Times New Roman"/>
      </rPr>
      <t xml:space="preserve"> :</t>
    </r>
  </si>
  <si>
    <t xml:space="preserve">                  F1           F3                          F n</t>
  </si>
  <si>
    <r>
      <rPr>
        <sz val="12"/>
        <color rgb="FF000000"/>
        <rFont val="Times New Roman"/>
      </rPr>
      <t xml:space="preserve">                          F2              F n-</t>
    </r>
    <r>
      <rPr>
        <sz val="9"/>
        <color rgb="FF000000"/>
        <rFont val="Times New Roman"/>
      </rPr>
      <t>2</t>
    </r>
    <r>
      <rPr>
        <sz val="12"/>
        <color rgb="FF000000"/>
        <rFont val="Times New Roman"/>
      </rPr>
      <t xml:space="preserve">  F n-</t>
    </r>
    <r>
      <rPr>
        <sz val="9"/>
        <color rgb="FF000000"/>
        <rFont val="Times New Roman"/>
      </rPr>
      <t>1</t>
    </r>
  </si>
  <si>
    <r>
      <rPr>
        <sz val="12"/>
        <color rgb="FF000000"/>
        <rFont val="新細明體"/>
      </rPr>
      <t>機型為</t>
    </r>
    <r>
      <rPr>
        <sz val="12"/>
        <color rgb="FF000000"/>
        <rFont val="Times New Roman"/>
      </rPr>
      <t>G1-</t>
    </r>
  </si>
  <si>
    <r>
      <rPr>
        <sz val="12"/>
        <color rgb="FF000000"/>
        <rFont val="Times New Roman"/>
      </rPr>
      <t>C</t>
    </r>
    <r>
      <rPr>
        <sz val="12"/>
        <color rgb="FF000000"/>
        <rFont val="新細明體"/>
      </rPr>
      <t>型單曲軸沖床</t>
    </r>
  </si>
  <si>
    <r>
      <rPr>
        <b/>
        <sz val="36"/>
        <color rgb="FF000000"/>
        <rFont val="Times New Roman"/>
      </rPr>
      <t xml:space="preserve">OCP-N </t>
    </r>
    <r>
      <rPr>
        <b/>
        <sz val="36"/>
        <color rgb="FF000000"/>
        <rFont val="新細明體"/>
      </rPr>
      <t>系列沖床負荷中心計算</t>
    </r>
  </si>
  <si>
    <r>
      <rPr>
        <sz val="11"/>
        <color rgb="FF000000"/>
        <rFont val="新細明體"/>
      </rPr>
      <t>列印日期</t>
    </r>
    <r>
      <rPr>
        <sz val="11"/>
        <color rgb="FF000000"/>
        <rFont val="Times New Roman"/>
      </rPr>
      <t>:</t>
    </r>
  </si>
  <si>
    <t xml:space="preserve">                   F1        F3                        F n</t>
  </si>
  <si>
    <r>
      <rPr>
        <sz val="12"/>
        <color rgb="FF000000"/>
        <rFont val="Times New Roman"/>
      </rPr>
      <t xml:space="preserve">                        F2             F n-</t>
    </r>
    <r>
      <rPr>
        <sz val="9"/>
        <color rgb="FF000000"/>
        <rFont val="Times New Roman"/>
      </rPr>
      <t>2</t>
    </r>
    <r>
      <rPr>
        <sz val="12"/>
        <color rgb="FF000000"/>
        <rFont val="Times New Roman"/>
      </rPr>
      <t xml:space="preserve">  F n-</t>
    </r>
    <r>
      <rPr>
        <sz val="9"/>
        <color rgb="FF000000"/>
        <rFont val="Times New Roman"/>
      </rPr>
      <t>1</t>
    </r>
  </si>
  <si>
    <r>
      <rPr>
        <sz val="12"/>
        <color rgb="FF000000"/>
        <rFont val="新細明體"/>
      </rPr>
      <t>機型為</t>
    </r>
    <r>
      <rPr>
        <sz val="12"/>
        <color rgb="FF000000"/>
        <rFont val="Times New Roman"/>
      </rPr>
      <t>OCP-</t>
    </r>
  </si>
  <si>
    <r>
      <rPr>
        <sz val="12"/>
        <color rgb="FF000000"/>
        <rFont val="Times New Roman"/>
      </rPr>
      <t>N , C</t>
    </r>
    <r>
      <rPr>
        <sz val="12"/>
        <color rgb="FF000000"/>
        <rFont val="新細明體"/>
      </rPr>
      <t>型單曲軸沖床</t>
    </r>
  </si>
  <si>
    <r>
      <rPr>
        <b/>
        <sz val="36"/>
        <color rgb="FF000000"/>
        <rFont val="新細明體"/>
      </rPr>
      <t>新</t>
    </r>
    <r>
      <rPr>
        <b/>
        <sz val="36"/>
        <color rgb="FF000000"/>
        <rFont val="Times New Roman"/>
      </rPr>
      <t xml:space="preserve">OCP </t>
    </r>
    <r>
      <rPr>
        <b/>
        <sz val="36"/>
        <color rgb="FF000000"/>
        <rFont val="新細明體"/>
      </rPr>
      <t>系列沖床負荷中心計算</t>
    </r>
  </si>
  <si>
    <t xml:space="preserve">                 F1              F3                       F n</t>
  </si>
  <si>
    <r>
      <rPr>
        <sz val="12"/>
        <color rgb="FF000000"/>
        <rFont val="Times New Roman"/>
      </rPr>
      <t xml:space="preserve">                          F2                 F n-</t>
    </r>
    <r>
      <rPr>
        <sz val="9"/>
        <color rgb="FF000000"/>
        <rFont val="Times New Roman"/>
      </rPr>
      <t>1</t>
    </r>
  </si>
  <si>
    <t>200XL</t>
  </si>
  <si>
    <r>
      <rPr>
        <sz val="12"/>
        <color rgb="FF000000"/>
        <rFont val="Times New Roman"/>
      </rPr>
      <t>, C</t>
    </r>
    <r>
      <rPr>
        <sz val="12"/>
        <color rgb="FF000000"/>
        <rFont val="新細明體"/>
      </rPr>
      <t>型單曲軸沖床</t>
    </r>
  </si>
  <si>
    <t>45L</t>
  </si>
  <si>
    <t>60H</t>
  </si>
  <si>
    <t>60L</t>
  </si>
  <si>
    <t>80H</t>
  </si>
  <si>
    <t>80L</t>
  </si>
  <si>
    <t>110H</t>
  </si>
  <si>
    <t>110L</t>
  </si>
  <si>
    <t>160H</t>
  </si>
  <si>
    <t>160L</t>
  </si>
  <si>
    <t>160XL</t>
  </si>
  <si>
    <t>200H</t>
  </si>
  <si>
    <t>200L</t>
  </si>
  <si>
    <r>
      <rPr>
        <b/>
        <sz val="36"/>
        <color rgb="FF000000"/>
        <rFont val="新細明體"/>
      </rPr>
      <t>沖壓工程規劃</t>
    </r>
    <r>
      <rPr>
        <b/>
        <sz val="36"/>
        <color rgb="FF000000"/>
        <rFont val="Times New Roman"/>
      </rPr>
      <t xml:space="preserve"> - </t>
    </r>
    <r>
      <rPr>
        <b/>
        <sz val="36"/>
        <color rgb="FF000000"/>
        <rFont val="新細明體"/>
      </rPr>
      <t>模具</t>
    </r>
    <r>
      <rPr>
        <b/>
        <sz val="36"/>
        <color rgb="FF000000"/>
        <rFont val="Times New Roman"/>
      </rPr>
      <t xml:space="preserve"> (3000mm x 800mm </t>
    </r>
    <r>
      <rPr>
        <b/>
        <sz val="36"/>
        <color rgb="FF000000"/>
        <rFont val="新細明體"/>
      </rPr>
      <t>以內</t>
    </r>
    <r>
      <rPr>
        <b/>
        <sz val="36"/>
        <color rgb="FF000000"/>
        <rFont val="Times New Roman"/>
      </rPr>
      <t>)</t>
    </r>
  </si>
  <si>
    <r>
      <rPr>
        <sz val="16"/>
        <color rgb="FF000000"/>
        <rFont val="Times New Roman"/>
      </rPr>
      <t xml:space="preserve"> </t>
    </r>
    <r>
      <rPr>
        <sz val="16"/>
        <color rgb="FF000000"/>
        <rFont val="新細明體"/>
      </rPr>
      <t>沖壓工程排列示意圖</t>
    </r>
  </si>
  <si>
    <r>
      <rPr>
        <sz val="12"/>
        <color rgb="FF000000"/>
        <rFont val="新細明體"/>
      </rPr>
      <t>列印日期</t>
    </r>
    <r>
      <rPr>
        <sz val="12"/>
        <color rgb="FF000000"/>
        <rFont val="Times New Roman"/>
      </rPr>
      <t xml:space="preserve"> : </t>
    </r>
  </si>
  <si>
    <r>
      <rPr>
        <sz val="12"/>
        <color rgb="FF000000"/>
        <rFont val="新細明體"/>
      </rPr>
      <t>名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新細明體"/>
      </rPr>
      <t>稱</t>
    </r>
  </si>
  <si>
    <r>
      <rPr>
        <sz val="12"/>
        <color rgb="FF000000"/>
        <rFont val="新細明體"/>
      </rPr>
      <t>數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據</t>
    </r>
  </si>
  <si>
    <r>
      <rPr>
        <sz val="12"/>
        <color rgb="FF000000"/>
        <rFont val="新細明體"/>
      </rPr>
      <t>素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材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寬</t>
    </r>
    <r>
      <rPr>
        <sz val="12"/>
        <color rgb="FF000000"/>
        <rFont val="Times New Roman"/>
      </rPr>
      <t xml:space="preserve">   (X)</t>
    </r>
  </si>
  <si>
    <r>
      <rPr>
        <sz val="12"/>
        <color rgb="FF000000"/>
        <rFont val="新細明體"/>
      </rPr>
      <t>素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材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長</t>
    </r>
    <r>
      <rPr>
        <sz val="12"/>
        <color rgb="FF000000"/>
        <rFont val="Times New Roman"/>
      </rPr>
      <t xml:space="preserve">   (Y)</t>
    </r>
  </si>
  <si>
    <r>
      <rPr>
        <sz val="12"/>
        <color rgb="FF000000"/>
        <rFont val="新細明體"/>
      </rPr>
      <t>工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程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數</t>
    </r>
    <r>
      <rPr>
        <sz val="12"/>
        <color rgb="FF000000"/>
        <rFont val="Times New Roman"/>
      </rPr>
      <t xml:space="preserve">   (S)</t>
    </r>
  </si>
  <si>
    <r>
      <rPr>
        <sz val="12"/>
        <color rgb="FF000000"/>
        <rFont val="新細明體"/>
      </rPr>
      <t>工程間距</t>
    </r>
    <r>
      <rPr>
        <sz val="12"/>
        <color rgb="FF000000"/>
        <rFont val="Times New Roman"/>
      </rPr>
      <t xml:space="preserve"> (G)</t>
    </r>
  </si>
  <si>
    <t>材料邊距</t>
  </si>
  <si>
    <t>材料寬度</t>
  </si>
  <si>
    <r>
      <rPr>
        <sz val="12"/>
        <color rgb="FF000000"/>
        <rFont val="新細明體"/>
      </rPr>
      <t>模塊預留</t>
    </r>
    <r>
      <rPr>
        <sz val="12"/>
        <color rgb="FF000000"/>
        <rFont val="Times New Roman"/>
      </rPr>
      <t xml:space="preserve"> (X)</t>
    </r>
  </si>
  <si>
    <r>
      <rPr>
        <sz val="12"/>
        <color rgb="FF000000"/>
        <rFont val="新細明體"/>
      </rPr>
      <t>模塊預留</t>
    </r>
    <r>
      <rPr>
        <sz val="12"/>
        <color rgb="FF000000"/>
        <rFont val="Times New Roman"/>
      </rPr>
      <t xml:space="preserve"> (Y)</t>
    </r>
  </si>
  <si>
    <r>
      <rPr>
        <sz val="12"/>
        <color rgb="FF000000"/>
        <rFont val="新細明體"/>
      </rPr>
      <t>模塊寬度</t>
    </r>
    <r>
      <rPr>
        <sz val="12"/>
        <color rgb="FF000000"/>
        <rFont val="Times New Roman"/>
      </rPr>
      <t xml:space="preserve"> (X)</t>
    </r>
  </si>
  <si>
    <r>
      <rPr>
        <sz val="12"/>
        <color rgb="FF000000"/>
        <rFont val="新細明體"/>
      </rPr>
      <t>模塊長度</t>
    </r>
    <r>
      <rPr>
        <sz val="12"/>
        <color rgb="FF000000"/>
        <rFont val="Times New Roman"/>
      </rPr>
      <t xml:space="preserve"> (Y)</t>
    </r>
  </si>
  <si>
    <r>
      <rPr>
        <sz val="12"/>
        <color rgb="FF000000"/>
        <rFont val="新細明體"/>
      </rPr>
      <t>模座預留</t>
    </r>
    <r>
      <rPr>
        <sz val="12"/>
        <color rgb="FF000000"/>
        <rFont val="Times New Roman"/>
      </rPr>
      <t xml:space="preserve"> (X)</t>
    </r>
  </si>
  <si>
    <r>
      <rPr>
        <sz val="12"/>
        <color rgb="FF000000"/>
        <rFont val="新細明體"/>
      </rPr>
      <t>模座預留</t>
    </r>
    <r>
      <rPr>
        <sz val="12"/>
        <color rgb="FF000000"/>
        <rFont val="Times New Roman"/>
      </rPr>
      <t xml:space="preserve"> (Y)</t>
    </r>
  </si>
  <si>
    <r>
      <rPr>
        <sz val="12"/>
        <color rgb="FF000000"/>
        <rFont val="新細明體"/>
      </rPr>
      <t>模座寬度</t>
    </r>
    <r>
      <rPr>
        <sz val="12"/>
        <color rgb="FF000000"/>
        <rFont val="Times New Roman"/>
      </rPr>
      <t xml:space="preserve"> (X)</t>
    </r>
  </si>
  <si>
    <r>
      <rPr>
        <sz val="12"/>
        <color rgb="FF000000"/>
        <rFont val="新細明體"/>
      </rPr>
      <t>模座長度</t>
    </r>
    <r>
      <rPr>
        <sz val="12"/>
        <color rgb="FF000000"/>
        <rFont val="Times New Roman"/>
      </rPr>
      <t xml:space="preserve"> (Y)</t>
    </r>
  </si>
  <si>
    <r>
      <rPr>
        <sz val="12"/>
        <color rgb="FF000000"/>
        <rFont val="新細明體"/>
      </rPr>
      <t>荷重中心</t>
    </r>
    <r>
      <rPr>
        <sz val="12"/>
        <color rgb="FF000000"/>
        <rFont val="Times New Roman"/>
      </rPr>
      <t xml:space="preserve"> (X)</t>
    </r>
  </si>
  <si>
    <r>
      <rPr>
        <sz val="12"/>
        <color rgb="FF000000"/>
        <rFont val="新細明體"/>
      </rPr>
      <t>荷重中心</t>
    </r>
    <r>
      <rPr>
        <sz val="12"/>
        <color rgb="FF000000"/>
        <rFont val="Times New Roman"/>
      </rPr>
      <t xml:space="preserve"> (Y)</t>
    </r>
  </si>
  <si>
    <r>
      <rPr>
        <sz val="12"/>
        <color rgb="FF000000"/>
        <rFont val="新細明體"/>
      </rPr>
      <t>累計荷重</t>
    </r>
    <r>
      <rPr>
        <sz val="12"/>
        <color rgb="FF000000"/>
        <rFont val="Times New Roman"/>
      </rPr>
      <t xml:space="preserve"> (P)</t>
    </r>
  </si>
  <si>
    <t>閉模高度</t>
  </si>
  <si>
    <t>工程名稱</t>
  </si>
  <si>
    <t>負荷點</t>
  </si>
  <si>
    <t>工程內容</t>
  </si>
  <si>
    <t>p</t>
  </si>
  <si>
    <t>m</t>
  </si>
  <si>
    <r>
      <rPr>
        <b/>
        <sz val="28"/>
        <color rgb="FF000000"/>
        <rFont val="新細明體"/>
      </rPr>
      <t>沖壓工程規劃</t>
    </r>
    <r>
      <rPr>
        <b/>
        <sz val="28"/>
        <color rgb="FF000000"/>
        <rFont val="Times New Roman"/>
      </rPr>
      <t xml:space="preserve">  - </t>
    </r>
    <r>
      <rPr>
        <b/>
        <sz val="28"/>
        <color rgb="FF000000"/>
        <rFont val="新細明體"/>
      </rPr>
      <t>模具</t>
    </r>
    <r>
      <rPr>
        <b/>
        <sz val="28"/>
        <color rgb="FF000000"/>
        <rFont val="Times New Roman"/>
      </rPr>
      <t xml:space="preserve"> (3000mm x 800mm </t>
    </r>
    <r>
      <rPr>
        <b/>
        <sz val="28"/>
        <color rgb="FF000000"/>
        <rFont val="新細明體"/>
      </rPr>
      <t>以內</t>
    </r>
    <r>
      <rPr>
        <b/>
        <sz val="28"/>
        <color rgb="FF000000"/>
        <rFont val="Times New Roman"/>
      </rPr>
      <t>)</t>
    </r>
  </si>
  <si>
    <r>
      <rPr>
        <sz val="16"/>
        <color rgb="FF000000"/>
        <rFont val="Times New Roman"/>
      </rPr>
      <t xml:space="preserve">  </t>
    </r>
    <r>
      <rPr>
        <sz val="16"/>
        <color rgb="FF000000"/>
        <rFont val="新細明體"/>
      </rPr>
      <t>模具結構及重量估算</t>
    </r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</si>
  <si>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</rPr>
      <t xml:space="preserve"> </t>
    </r>
    <r>
      <rPr>
        <sz val="11"/>
        <color rgb="FF000000"/>
        <rFont val="新細明體"/>
      </rPr>
      <t>模板</t>
    </r>
  </si>
  <si>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模板</t>
    </r>
  </si>
  <si>
    <t>模具重量約</t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</si>
  <si>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</rPr>
      <t xml:space="preserve"> : </t>
    </r>
  </si>
  <si>
    <t>外徑</t>
  </si>
  <si>
    <r>
      <rPr>
        <b/>
        <sz val="36"/>
        <color rgb="FF000000"/>
        <rFont val="新細明體"/>
      </rPr>
      <t>機械手連線工程規劃</t>
    </r>
    <r>
      <rPr>
        <b/>
        <sz val="36"/>
        <color rgb="FF000000"/>
        <rFont val="Times New Roman"/>
      </rPr>
      <t xml:space="preserve"> —</t>
    </r>
  </si>
  <si>
    <r>
      <rPr>
        <sz val="20"/>
        <color rgb="FF000000"/>
        <rFont val="Times New Roman"/>
      </rPr>
      <t xml:space="preserve">  </t>
    </r>
    <r>
      <rPr>
        <b/>
        <sz val="20"/>
        <color rgb="FF000000"/>
        <rFont val="Times New Roman"/>
      </rPr>
      <t>—</t>
    </r>
  </si>
  <si>
    <t>OCP</t>
  </si>
  <si>
    <t>台機連線</t>
  </si>
  <si>
    <r>
      <rPr>
        <sz val="12"/>
        <color rgb="FF000000"/>
        <rFont val="新細明體"/>
      </rPr>
      <t>列印日期</t>
    </r>
    <r>
      <rPr>
        <sz val="12"/>
        <color rgb="FF000000"/>
        <rFont val="Times New Roman"/>
      </rPr>
      <t xml:space="preserve"> :</t>
    </r>
  </si>
  <si>
    <r>
      <rPr>
        <sz val="12"/>
        <color rgb="FF000000"/>
        <rFont val="細明體"/>
      </rPr>
      <t>成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細明體"/>
      </rPr>
      <t>品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細明體"/>
      </rPr>
      <t>尺</t>
    </r>
    <r>
      <rPr>
        <sz val="12"/>
        <color rgb="FF000000"/>
        <rFont val="Times New Roman"/>
      </rPr>
      <t xml:space="preserve"> </t>
    </r>
    <r>
      <rPr>
        <sz val="12"/>
        <color rgb="FF000000"/>
        <rFont val="細明體"/>
      </rPr>
      <t>寸</t>
    </r>
  </si>
  <si>
    <r>
      <rPr>
        <sz val="12"/>
        <color rgb="FF000000"/>
        <rFont val="細明體"/>
      </rPr>
      <t>沖</t>
    </r>
    <r>
      <rPr>
        <sz val="12"/>
        <color rgb="FF000000"/>
        <rFont val="Times New Roman"/>
      </rPr>
      <t xml:space="preserve">   </t>
    </r>
    <r>
      <rPr>
        <sz val="12"/>
        <color rgb="FF000000"/>
        <rFont val="細明體"/>
      </rPr>
      <t>床</t>
    </r>
  </si>
  <si>
    <r>
      <rPr>
        <sz val="12"/>
        <color rgb="FF000000"/>
        <rFont val="細明體"/>
      </rPr>
      <t>機</t>
    </r>
    <r>
      <rPr>
        <sz val="12"/>
        <color rgb="FF000000"/>
        <rFont val="Times New Roman"/>
      </rPr>
      <t xml:space="preserve">   </t>
    </r>
    <r>
      <rPr>
        <sz val="12"/>
        <color rgb="FF000000"/>
        <rFont val="細明體"/>
      </rPr>
      <t>械</t>
    </r>
    <r>
      <rPr>
        <sz val="12"/>
        <color rgb="FF000000"/>
        <rFont val="Times New Roman"/>
      </rPr>
      <t xml:space="preserve">   </t>
    </r>
    <r>
      <rPr>
        <sz val="12"/>
        <color rgb="FF000000"/>
        <rFont val="細明體"/>
      </rPr>
      <t>手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細明體"/>
      </rPr>
      <t>單</t>
    </r>
    <r>
      <rPr>
        <sz val="12"/>
        <color rgb="FF000000"/>
        <rFont val="Times New Roman"/>
      </rPr>
      <t xml:space="preserve">  </t>
    </r>
    <r>
      <rPr>
        <sz val="12"/>
        <color rgb="FF000000"/>
        <rFont val="細明體"/>
      </rPr>
      <t>元</t>
    </r>
  </si>
  <si>
    <r>
      <rPr>
        <sz val="12"/>
        <color rgb="FF000000"/>
        <rFont val="細明體"/>
      </rPr>
      <t>料</t>
    </r>
    <r>
      <rPr>
        <sz val="12"/>
        <color rgb="FF000000"/>
        <rFont val="Times New Roman"/>
      </rPr>
      <t xml:space="preserve">    </t>
    </r>
    <r>
      <rPr>
        <sz val="12"/>
        <color rgb="FF000000"/>
        <rFont val="細明體"/>
      </rPr>
      <t>架</t>
    </r>
  </si>
  <si>
    <t>備註</t>
  </si>
  <si>
    <t>以成品面積為考量之規劃</t>
  </si>
  <si>
    <t>最大</t>
  </si>
  <si>
    <r>
      <rPr>
        <sz val="12"/>
        <color rgb="FF000000"/>
        <rFont val="Times New Roman"/>
      </rPr>
      <t>W</t>
    </r>
    <r>
      <rPr>
        <b/>
        <sz val="12"/>
        <color rgb="FF000000"/>
        <rFont val="Times New Roman"/>
      </rPr>
      <t>:</t>
    </r>
  </si>
  <si>
    <r>
      <rPr>
        <sz val="12"/>
        <color rgb="FF000000"/>
        <rFont val="細明體"/>
      </rPr>
      <t>機台數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</si>
  <si>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台</t>
  </si>
  <si>
    <r>
      <rPr>
        <sz val="12"/>
        <color rgb="FF000000"/>
        <rFont val="細明體"/>
      </rPr>
      <t>送距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</si>
  <si>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驅動單元置於第</t>
  </si>
  <si>
    <t>工程之後</t>
  </si>
  <si>
    <r>
      <rPr>
        <sz val="12"/>
        <color rgb="FF000000"/>
        <rFont val="細明體"/>
      </rPr>
      <t>型式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</si>
  <si>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N</t>
  </si>
  <si>
    <r>
      <rPr>
        <sz val="12"/>
        <color rgb="FF000000"/>
        <rFont val="Times New Roman"/>
      </rPr>
      <t>L</t>
    </r>
    <r>
      <rPr>
        <b/>
        <sz val="12"/>
        <color rgb="FF000000"/>
        <rFont val="Times New Roman"/>
      </rPr>
      <t>:</t>
    </r>
  </si>
  <si>
    <r>
      <rPr>
        <sz val="12"/>
        <color rgb="FF000000"/>
        <rFont val="新細明體"/>
      </rPr>
      <t>沖壓力</t>
    </r>
    <r>
      <rPr>
        <b/>
        <sz val="12"/>
        <color rgb="FF000000"/>
        <rFont val="Times New Roman"/>
      </rPr>
      <t xml:space="preserve"> :</t>
    </r>
  </si>
  <si>
    <r>
      <rPr>
        <sz val="12"/>
        <color rgb="FF000000"/>
        <rFont val="細明體"/>
      </rPr>
      <t>上揚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</si>
  <si>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攻牙機置於第</t>
  </si>
  <si>
    <r>
      <rPr>
        <sz val="12"/>
        <color rgb="FF000000"/>
        <rFont val="細明體"/>
      </rPr>
      <t>方向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</si>
  <si>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O</t>
  </si>
  <si>
    <t>最小</t>
  </si>
  <si>
    <t>外型</t>
  </si>
  <si>
    <r>
      <rPr>
        <sz val="12"/>
        <color rgb="FF000000"/>
        <rFont val="Times New Roman"/>
      </rPr>
      <t xml:space="preserve">W  </t>
    </r>
    <r>
      <rPr>
        <b/>
        <sz val="12"/>
        <color rgb="FF000000"/>
        <rFont val="Times New Roman"/>
      </rPr>
      <t>:</t>
    </r>
  </si>
  <si>
    <t>資訊</t>
  </si>
  <si>
    <r>
      <rPr>
        <sz val="12"/>
        <color rgb="FF000000"/>
        <rFont val="Times New Roman"/>
      </rPr>
      <t xml:space="preserve">L  </t>
    </r>
    <r>
      <rPr>
        <b/>
        <sz val="12"/>
        <color rgb="FF000000"/>
        <rFont val="Times New Roman"/>
      </rPr>
      <t>:</t>
    </r>
  </si>
  <si>
    <r>
      <rPr>
        <sz val="12"/>
        <color rgb="FF000000"/>
        <rFont val="細明體"/>
      </rPr>
      <t>夾持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</si>
  <si>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M</t>
  </si>
  <si>
    <t>翻轉機構置於第</t>
  </si>
  <si>
    <t>高</t>
  </si>
  <si>
    <r>
      <rPr>
        <sz val="12"/>
        <color rgb="FF000000"/>
        <rFont val="Times New Roman"/>
      </rPr>
      <t>H</t>
    </r>
    <r>
      <rPr>
        <b/>
        <sz val="12"/>
        <color rgb="FF000000"/>
        <rFont val="Times New Roman"/>
      </rPr>
      <t>:</t>
    </r>
  </si>
  <si>
    <r>
      <rPr>
        <sz val="12"/>
        <color rgb="FF000000"/>
        <rFont val="細明體"/>
      </rPr>
      <t>行程長</t>
    </r>
    <r>
      <rPr>
        <b/>
        <sz val="12"/>
        <color rgb="FF000000"/>
        <rFont val="Times New Roman"/>
      </rPr>
      <t xml:space="preserve"> :</t>
    </r>
  </si>
  <si>
    <r>
      <rPr>
        <sz val="12"/>
        <color rgb="FF000000"/>
        <rFont val="細明體"/>
      </rPr>
      <t>荷重</t>
    </r>
    <r>
      <rPr>
        <sz val="12"/>
        <color rgb="FF000000"/>
        <rFont val="Times New Roman"/>
      </rPr>
      <t xml:space="preserve"> </t>
    </r>
    <r>
      <rPr>
        <b/>
        <sz val="12"/>
        <color rgb="FF000000"/>
        <rFont val="Times New Roman"/>
      </rPr>
      <t>:</t>
    </r>
  </si>
  <si>
    <t>Kg</t>
  </si>
  <si>
    <t>X+</t>
  </si>
  <si>
    <t>0</t>
  </si>
</sst>
</file>

<file path=xl/styles.xml><?xml version="1.0" encoding="utf-8"?>
<styleSheet xmlns="http://schemas.openxmlformats.org/spreadsheetml/2006/main">
  <numFmts count="16">
    <numFmt numFmtId="176" formatCode="0_ ;[Red]\-0\ "/>
    <numFmt numFmtId="177" formatCode="0_);[Red]\(0\)"/>
    <numFmt numFmtId="178" formatCode="0.000_ "/>
    <numFmt numFmtId="179" formatCode="0.0_ "/>
    <numFmt numFmtId="180" formatCode="0_ "/>
    <numFmt numFmtId="181" formatCode="0.0_);[Red]\(0.0\)"/>
    <numFmt numFmtId="182" formatCode="0.00_);[Red]\(0.00\)"/>
    <numFmt numFmtId="183" formatCode="0.0000000_ "/>
    <numFmt numFmtId="184" formatCode="0.0%"/>
    <numFmt numFmtId="185" formatCode="0.00_ "/>
    <numFmt numFmtId="186" formatCode="0.00;[Red]0.00"/>
    <numFmt numFmtId="187" formatCode="_-* #,##0.00_-;\-* #,##0.00_-;_-* &quot;-&quot;??_-;_-@_-"/>
    <numFmt numFmtId="188" formatCode="&quot;¥&quot;#,##0.00;\-&quot;¥&quot;#,##0.00"/>
    <numFmt numFmtId="189" formatCode="0%"/>
    <numFmt numFmtId="190" formatCode="_-* #,##0_-;\-* #,##0_-;_-* &quot;-&quot;_-;_-@_-"/>
    <numFmt numFmtId="191" formatCode="&quot;¥&quot;#,##0;\\\-&quot;¥&quot;#,##0"/>
  </numFmts>
  <fonts count="126">
    <font>
      <sz val="12.0"/>
      <name val="新細明體"/>
      <color rgb="FF000000"/>
    </font>
    <font>
      <sz val="20.0"/>
      <name val="新細明體"/>
      <color rgb="FF000000"/>
    </font>
    <font>
      <sz val="16.0"/>
      <name val="新細明體"/>
      <color rgb="FF000000"/>
    </font>
    <font>
      <b/>
      <sz val="36.0"/>
      <name val="新細明體"/>
      <color rgb="FF000000"/>
    </font>
    <font>
      <sz val="12.0"/>
      <name val="細明體"/>
      <color rgb="FF000000"/>
    </font>
    <font>
      <sz val="12.0"/>
      <name val="Times New Roman"/>
      <color rgb="FF000000"/>
    </font>
    <font>
      <sz val="12.0"/>
      <name val="新細明體"/>
      <color rgb="FF339966"/>
    </font>
    <font>
      <sz val="12.0"/>
      <name val="Times New Roman"/>
      <color rgb="FF0000FF"/>
    </font>
    <font>
      <sz val="9.0"/>
      <name val="新細明體"/>
      <color rgb="FF0000FF"/>
    </font>
    <font>
      <sz val="12.0"/>
      <name val="Times New Roman"/>
      <color rgb="FFFF0000"/>
    </font>
    <font>
      <sz val="9.0"/>
      <name val="新細明體"/>
      <color rgb="FFFF0000"/>
    </font>
    <font>
      <sz val="11.0"/>
      <name val="新細明體"/>
      <color rgb="FF000000"/>
    </font>
    <font>
      <sz val="12.0"/>
      <name val="Times New Roman"/>
      <color rgb="FFFF00FF"/>
    </font>
    <font>
      <sz val="9.0"/>
      <name val="新細明體"/>
      <color rgb="FFFF00FF"/>
    </font>
    <font>
      <sz val="11.0"/>
      <name val="新細明體"/>
      <color rgb="FFFF0000"/>
    </font>
    <font>
      <sz val="12.0"/>
      <name val="新細明體"/>
      <color rgb="FFFF0000"/>
    </font>
    <font>
      <sz val="20.0"/>
      <name val="Times New Roman"/>
      <color rgb="FF000000"/>
    </font>
    <font>
      <sz val="14.0"/>
      <name val="Times New Roman"/>
      <color rgb="FF000000"/>
    </font>
    <font>
      <sz val="14.0"/>
      <name val="新細明體"/>
      <color rgb="FF000000"/>
    </font>
    <font>
      <sz val="11.0"/>
      <name val="Times New Roman"/>
      <color rgb="FF000000"/>
    </font>
    <font>
      <sz val="16.0"/>
      <name val="Times New Roman"/>
      <color rgb="FF339966"/>
    </font>
    <font>
      <sz val="9.0"/>
      <name val="新細明體"/>
      <color rgb="FF339966"/>
    </font>
    <font>
      <sz val="16.0"/>
      <name val="Times New Roman"/>
      <color rgb="FFFF00FF"/>
    </font>
    <font>
      <sz val="9.0"/>
      <name val="新細明體"/>
      <color rgb="FF000000"/>
    </font>
    <font>
      <sz val="12.0"/>
      <name val="細明體"/>
      <color rgb="FFFF0000"/>
    </font>
    <font>
      <sz val="16.0"/>
      <name val="Times New Roman"/>
      <color rgb="FF000000"/>
    </font>
    <font>
      <sz val="12.0"/>
      <name val="新細明體"/>
      <color rgb="FF0000FF"/>
    </font>
    <font>
      <b/>
      <sz val="28.0"/>
      <name val="新細明體"/>
      <color rgb="FF000000"/>
    </font>
    <font>
      <b/>
      <sz val="14.0"/>
      <name val="新細明體"/>
      <color rgb="FF000000"/>
    </font>
    <font>
      <b/>
      <sz val="12.0"/>
      <name val="新細明體"/>
      <color rgb="FF000000"/>
    </font>
    <font>
      <b/>
      <sz val="16.0"/>
      <name val="新細明體"/>
      <color rgb="FF000000"/>
    </font>
    <font>
      <b/>
      <sz val="16.0"/>
      <name val="Times New Roman"/>
      <color rgb="FF000000"/>
    </font>
    <font>
      <b/>
      <sz val="13.0"/>
      <name val="新細明體"/>
      <color rgb="FF000000"/>
    </font>
    <font>
      <b/>
      <sz val="14.0"/>
      <name val="新細明體"/>
      <color rgb="FFFF0000"/>
    </font>
    <font>
      <sz val="10.0"/>
      <name val="新細明體"/>
      <color rgb="FF000000"/>
    </font>
    <font>
      <b/>
      <sz val="14.0"/>
      <name val="Times New Roman"/>
      <color rgb="FF000000"/>
    </font>
    <font>
      <sz val="10.0"/>
      <name val="Times New Roman"/>
      <color rgb="FF000000"/>
    </font>
    <font>
      <b/>
      <sz val="36.0"/>
      <name val="Times New Roman"/>
      <color rgb="FF000000"/>
    </font>
    <font>
      <b/>
      <sz val="22.0"/>
      <name val="Times New Roman"/>
      <color rgb="FF000000"/>
    </font>
    <font>
      <b/>
      <sz val="12.0"/>
      <name val="新細明體"/>
      <color rgb="FFFF0000"/>
    </font>
    <font>
      <b/>
      <sz val="12.0"/>
      <name val="新細明體"/>
      <color rgb="FF0000FF"/>
    </font>
    <font>
      <sz val="12.0"/>
      <name val="Times New Roman"/>
      <color rgb="FF339966"/>
    </font>
    <font>
      <sz val="12.0"/>
      <name val="Times New Roman"/>
      <color rgb="FF800080"/>
    </font>
    <font>
      <sz val="12.0"/>
      <name val="新細明體"/>
      <color rgb="FF800080"/>
    </font>
    <font>
      <sz val="15.0"/>
      <name val="新細明體"/>
      <color rgb="FF000000"/>
    </font>
    <font>
      <sz val="12.0"/>
      <name val="新細明體"/>
      <color rgb="FFFF00FF"/>
    </font>
    <font>
      <sz val="12.0"/>
      <name val="新細明體"/>
      <color rgb="FF008000"/>
    </font>
    <font>
      <sz val="18.0"/>
      <name val="Times New Roman"/>
      <color rgb="FF000000"/>
    </font>
    <font>
      <b/>
      <sz val="12.0"/>
      <name val="Times New Roman"/>
      <color rgb="FF000000"/>
    </font>
    <font>
      <sz val="14.0"/>
      <name val="新細明體"/>
      <color rgb="FFFF0000"/>
    </font>
    <font>
      <sz val="10.0"/>
      <name val="新細明體"/>
      <color rgb="FF0000FF"/>
    </font>
    <font>
      <b/>
      <sz val="20.0"/>
      <name val="Times New Roman"/>
      <color rgb="FF000000"/>
    </font>
    <font>
      <b/>
      <sz val="28.0"/>
      <name val="Times New Roman"/>
      <color rgb="FF000000"/>
    </font>
    <font>
      <sz val="9.0"/>
      <name val="Times New Roman"/>
      <color rgb="FF000000"/>
    </font>
    <font>
      <b/>
      <sz val="22.0"/>
      <name val="新細明體"/>
      <color rgb="FF000000"/>
    </font>
    <font>
      <b/>
      <sz val="13.0"/>
      <name val="Times New Roman"/>
      <color rgb="FF000000"/>
    </font>
    <font>
      <vertAlign val="superscript"/>
      <sz val="11.0"/>
      <name val="Times New Roman"/>
      <color rgb="FF000000"/>
    </font>
    <font>
      <b/>
      <sz val="36.0"/>
      <name val="宋体"/>
      <color rgb="FF000000"/>
    </font>
    <font>
      <vertAlign val="superscript"/>
      <sz val="10.0"/>
      <name val="Times New Roman"/>
      <color rgb="FF000000"/>
    </font>
    <font>
      <vertAlign val="superscript"/>
      <sz val="12.0"/>
      <name val="Times New Roman"/>
      <color rgb="FF000000"/>
    </font>
    <font>
      <b/>
      <sz val="10.0"/>
      <name val="Times New Roman"/>
      <color rgb="FF000000"/>
    </font>
    <font>
      <sz val="9.0"/>
      <name val="宋体"/>
      <color rgb="FF000000"/>
    </font>
    <font>
      <u/>
      <sz val="11.0"/>
      <name val="新細明體"/>
      <color theme="10"/>
    </font>
    <font>
      <u/>
      <sz val="11.0"/>
      <name val="新細明體"/>
      <color theme="11"/>
    </font>
    <font>
      <sz val="18.0"/>
      <name val="新細明體"/>
      <color theme="3"/>
    </font>
    <font>
      <b/>
      <sz val="15.0"/>
      <name val="新細明體"/>
      <color theme="3"/>
    </font>
    <font>
      <b/>
      <sz val="13.0"/>
      <name val="新細明體"/>
      <color theme="3"/>
    </font>
    <font>
      <b/>
      <sz val="11.0"/>
      <name val="新細明體"/>
      <color theme="3"/>
    </font>
    <font>
      <sz val="11.0"/>
      <name val="新細明體"/>
      <color rgb="FF3F3F76"/>
    </font>
    <font>
      <b/>
      <sz val="11.0"/>
      <name val="新細明體"/>
      <color rgb="FF3F3F3F"/>
    </font>
    <font>
      <b/>
      <sz val="11.0"/>
      <name val="新細明體"/>
      <color rgb="FFFA7D00"/>
    </font>
    <font>
      <b/>
      <sz val="11.0"/>
      <name val="新細明體"/>
      <color rgb="FFFFFFFF"/>
    </font>
    <font>
      <sz val="11.0"/>
      <name val="新細明體"/>
      <color rgb="FFFA7D00"/>
    </font>
    <font>
      <b/>
      <sz val="11.0"/>
      <name val="新細明體"/>
      <color theme="1"/>
    </font>
    <font>
      <sz val="11.0"/>
      <name val="新細明體"/>
      <color rgb="FF006100"/>
    </font>
    <font>
      <sz val="11.0"/>
      <name val="新細明體"/>
      <color rgb="FF9C0006"/>
    </font>
    <font>
      <sz val="11.0"/>
      <name val="新細明體"/>
      <color rgb="FF9C6500"/>
    </font>
    <font>
      <sz val="11.0"/>
      <name val="新細明體"/>
      <color theme="0"/>
    </font>
    <font>
      <sz val="11.0"/>
      <name val="新細明體"/>
      <color theme="1"/>
    </font>
    <font>
      <i/>
      <sz val="11.0"/>
      <name val="新細明體"/>
      <color rgb="FF7F7F7F"/>
    </font>
    <font>
      <sz val="9.0"/>
      <name val="宋体_x0000_"/>
      <color rgb="FF000000"/>
    </font>
    <font>
      <sz val="18.0"/>
      <name val="华文新魏"/>
      <color rgb="FF000000"/>
    </font>
    <font>
      <sz val="12.0"/>
      <name val="PMingLiU"/>
      <color rgb="FF000000"/>
    </font>
    <font>
      <b/>
      <sz val="12.0"/>
      <name val="PMingLiU"/>
      <color rgb="FF000000"/>
    </font>
    <font>
      <b/>
      <sz val="10.0"/>
      <name val="PMingLiU"/>
      <color rgb="FF000000"/>
    </font>
    <font>
      <sz val="8.0"/>
      <name val="PMingLiU"/>
      <color rgb="FF000000"/>
    </font>
    <font>
      <sz val="16.0"/>
      <name val="方正姚体"/>
      <color rgb="FF000000"/>
    </font>
    <font>
      <sz val="14.0"/>
      <name val="方正姚体"/>
      <color rgb="FF000000"/>
    </font>
    <font>
      <b/>
      <sz val="36.0"/>
      <name val="华文仿宋"/>
      <color rgb="FF000000"/>
    </font>
    <font>
      <sz val="12.0"/>
      <name val="宋体"/>
      <color rgb="FF000000"/>
    </font>
    <font>
      <sz val="11.0"/>
      <name val="宋体"/>
      <color rgb="FF000000"/>
    </font>
    <font>
      <b/>
      <sz val="16.3"/>
      <name val="PMingLiU"/>
      <color rgb="FF000000"/>
    </font>
    <font>
      <b/>
      <sz val="16.3"/>
      <name val="Times New Roman"/>
      <color rgb="FF000000"/>
    </font>
    <font>
      <sz val="14.3"/>
      <name val="Times New Roman"/>
      <color rgb="FF000000"/>
    </font>
    <font>
      <sz val="14.3"/>
      <name val="PMingLiU"/>
      <color rgb="FF000000"/>
    </font>
    <font>
      <sz val="9.2"/>
      <name val="PMingLiU"/>
      <color rgb="FF000000"/>
    </font>
    <font>
      <sz val="21.8"/>
      <name val="PMingLiU"/>
      <color rgb="FF000000"/>
    </font>
    <font>
      <b/>
      <sz val="16.0"/>
      <name val="PMingLiU"/>
      <color rgb="FF000000"/>
    </font>
    <font>
      <sz val="9.0"/>
      <name val="PMingLiU"/>
      <color rgb="FF000000"/>
    </font>
    <font>
      <sz val="13.5"/>
      <name val="Times New Roman"/>
      <color rgb="FF000000"/>
    </font>
    <font>
      <sz val="13.5"/>
      <name val="PMingLiU"/>
      <color rgb="FF000000"/>
    </font>
    <font>
      <sz val="8.8"/>
      <name val="PMingLiU"/>
      <color rgb="FF000000"/>
    </font>
    <font>
      <sz val="13.0"/>
      <name val="Times New Roman"/>
      <color rgb="FF000000"/>
    </font>
    <font>
      <sz val="13.0"/>
      <name val="PMingLiU"/>
      <color rgb="FF000000"/>
    </font>
    <font>
      <sz val="8.5"/>
      <name val="PMingLiU"/>
      <color rgb="FF000000"/>
    </font>
    <font>
      <sz val="9.3"/>
      <name val="PMingLiU"/>
      <color rgb="FF000000"/>
    </font>
    <font>
      <b/>
      <sz val="14.0"/>
      <name val="PMingLiU"/>
      <color rgb="FF000000"/>
    </font>
    <font>
      <sz val="7.0"/>
      <name val="PMingLiU"/>
      <color rgb="FF000000"/>
    </font>
    <font>
      <sz val="10.1"/>
      <name val="宋体"/>
      <color rgb="FF000000"/>
    </font>
    <font>
      <sz val="10.1"/>
      <name val="PMingLiU"/>
      <color rgb="FF000000"/>
    </font>
    <font>
      <sz val="27.0"/>
      <name val="PMingLiU"/>
      <color rgb="FF000000"/>
    </font>
    <font>
      <sz val="16.0"/>
      <name val="PMingLiU"/>
      <color rgb="FF000000"/>
    </font>
    <font>
      <sz val="28.3"/>
      <name val="PMingLiU"/>
      <color rgb="FF000000"/>
    </font>
    <font>
      <sz val="18.0"/>
      <name val="宋体"/>
      <color rgb="FF000000"/>
    </font>
    <font>
      <sz val="9.0"/>
      <name val="宋体_x0000_"/>
      <color rgb="FF000000"/>
    </font>
    <font>
      <b/>
      <sz val="16.3"/>
      <name val="PMingLiU"/>
      <color rgb="FF000000"/>
    </font>
    <font>
      <b/>
      <sz val="16.3"/>
      <name val="Times New Roman"/>
      <color rgb="FF000000"/>
    </font>
    <font>
      <sz val="14.3"/>
      <name val="Times New Roman"/>
      <color rgb="FF000000"/>
    </font>
    <font>
      <sz val="14.3"/>
      <name val="PMingLiU"/>
      <color rgb="FF000000"/>
    </font>
    <font>
      <sz val="21.8"/>
      <name val="PMingLiU"/>
      <color rgb="FF000000"/>
    </font>
    <font>
      <sz val="8.8"/>
      <name val="PMingLiU"/>
      <color rgb="FF000000"/>
    </font>
    <font>
      <sz val="9.3"/>
      <name val="PMingLiU"/>
      <color rgb="FF000000"/>
    </font>
    <font>
      <sz val="10.1"/>
      <name val="PMingLiU"/>
      <color rgb="FF000000"/>
    </font>
    <font>
      <sz val="28.3"/>
      <name val="PMingLiU"/>
      <color rgb="FF000000"/>
    </font>
    <font>
      <sz val="16.0"/>
      <name val="宋体"/>
      <color rgb="FF000000"/>
    </font>
    <font>
      <sz val="14.0"/>
      <name val="宋体"/>
      <color rgb="FF000000"/>
    </font>
  </fonts>
  <fills count="38">
    <fill>
      <patternFill patternType="none"/>
    </fill>
    <fill>
      <patternFill patternType="gray125"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70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ashDot">
        <color rgb="FF000000"/>
      </right>
      <top/>
      <bottom/>
      <diagonal/>
    </border>
    <border>
      <left style="dashDot">
        <color rgb="FF000000"/>
      </left>
      <right/>
      <top/>
      <bottom/>
      <diagonal/>
    </border>
    <border>
      <left/>
      <right style="dashDot">
        <color rgb="FF000000"/>
      </right>
      <top/>
      <bottom style="thin">
        <color rgb="FF000000"/>
      </bottom>
      <diagonal/>
    </border>
    <border>
      <left style="dashDot">
        <color rgb="FF000000"/>
      </left>
      <right/>
      <top/>
      <bottom style="thin">
        <color rgb="FF000000"/>
      </bottom>
      <diagonal/>
    </border>
    <border>
      <left/>
      <right style="dashDot">
        <color rgb="FF000000"/>
      </right>
      <top style="thin">
        <color rgb="FF000000"/>
      </top>
      <bottom style="thin">
        <color rgb="FF000000"/>
      </bottom>
      <diagonal/>
    </border>
    <border>
      <left/>
      <right style="dashDot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dashDot">
        <color rgb="FF000000"/>
      </right>
      <top style="medium">
        <color rgb="FF000000"/>
      </top>
      <bottom/>
      <diagonal/>
    </border>
    <border>
      <left style="dashDot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62" fillId="0" borderId="0" applyAlignment="0" applyBorder="0" applyFill="0" applyNumberFormat="0" applyProtection="0">
      <alignment vertical="center"/>
    </xf>
    <xf numFmtId="0" fontId="63" fillId="0" borderId="0" applyAlignment="0" applyBorder="0" applyFill="0" applyNumberFormat="0" applyProtection="0">
      <alignment vertical="center"/>
    </xf>
    <xf numFmtId="0" fontId="0" fillId="7" borderId="161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64" fillId="0" borderId="0" applyAlignment="0" applyBorder="0" applyFill="0" applyNumberFormat="0" applyProtection="0">
      <alignment vertical="center"/>
    </xf>
    <xf numFmtId="0" fontId="65" fillId="0" borderId="162" applyAlignment="0" applyFill="0" applyNumberFormat="0" applyProtection="0">
      <alignment vertical="center"/>
    </xf>
    <xf numFmtId="0" fontId="66" fillId="0" borderId="163" applyAlignment="0" applyFill="0" applyNumberFormat="0" applyProtection="0">
      <alignment vertical="center"/>
    </xf>
    <xf numFmtId="0" fontId="67" fillId="0" borderId="164" applyAlignment="0" applyFill="0" applyNumberFormat="0" applyProtection="0">
      <alignment vertical="center"/>
    </xf>
    <xf numFmtId="0" fontId="67" fillId="0" borderId="0" applyAlignment="0" applyBorder="0" applyFill="0" applyNumberFormat="0" applyProtection="0">
      <alignment vertical="center"/>
    </xf>
    <xf numFmtId="0" fontId="68" fillId="8" borderId="165" applyAlignment="0" applyNumberFormat="0" applyProtection="0">
      <alignment vertical="center"/>
    </xf>
    <xf numFmtId="0" fontId="69" fillId="9" borderId="166" applyAlignment="0" applyNumberFormat="0" applyProtection="0">
      <alignment vertical="center"/>
    </xf>
    <xf numFmtId="0" fontId="70" fillId="9" borderId="165" applyAlignment="0" applyNumberFormat="0" applyProtection="0">
      <alignment vertical="center"/>
    </xf>
    <xf numFmtId="0" fontId="71" fillId="10" borderId="167" applyAlignment="0" applyNumberFormat="0" applyProtection="0">
      <alignment vertical="center"/>
    </xf>
    <xf numFmtId="0" fontId="72" fillId="0" borderId="168" applyAlignment="0" applyFill="0" applyNumberFormat="0" applyProtection="0">
      <alignment vertical="center"/>
    </xf>
    <xf numFmtId="0" fontId="73" fillId="0" borderId="169" applyAlignment="0" applyFill="0" applyNumberFormat="0" applyProtection="0">
      <alignment vertical="center"/>
    </xf>
    <xf numFmtId="0" fontId="74" fillId="11" borderId="0" applyAlignment="0" applyBorder="0" applyNumberFormat="0" applyProtection="0">
      <alignment vertical="center"/>
    </xf>
    <xf numFmtId="0" fontId="75" fillId="12" borderId="0" applyAlignment="0" applyBorder="0" applyNumberFormat="0" applyProtection="0">
      <alignment vertical="center"/>
    </xf>
    <xf numFmtId="0" fontId="76" fillId="13" borderId="0" applyAlignment="0" applyBorder="0" applyNumberFormat="0" applyProtection="0">
      <alignment vertical="center"/>
    </xf>
    <xf numFmtId="0" fontId="77" fillId="14" borderId="0" applyAlignment="0" applyBorder="0" applyNumberFormat="0" applyProtection="0">
      <alignment vertical="center"/>
    </xf>
    <xf numFmtId="0" fontId="78" fillId="15" borderId="0" applyAlignment="0" applyBorder="0" applyNumberFormat="0" applyProtection="0">
      <alignment vertical="center"/>
    </xf>
    <xf numFmtId="0" fontId="78" fillId="16" borderId="0" applyAlignment="0" applyBorder="0" applyNumberFormat="0" applyProtection="0">
      <alignment vertical="center"/>
    </xf>
    <xf numFmtId="0" fontId="77" fillId="17" borderId="0" applyAlignment="0" applyBorder="0" applyNumberFormat="0" applyProtection="0">
      <alignment vertical="center"/>
    </xf>
    <xf numFmtId="0" fontId="77" fillId="18" borderId="0" applyAlignment="0" applyBorder="0" applyNumberFormat="0" applyProtection="0">
      <alignment vertical="center"/>
    </xf>
    <xf numFmtId="0" fontId="78" fillId="19" borderId="0" applyAlignment="0" applyBorder="0" applyNumberFormat="0" applyProtection="0">
      <alignment vertical="center"/>
    </xf>
    <xf numFmtId="0" fontId="78" fillId="20" borderId="0" applyAlignment="0" applyBorder="0" applyNumberFormat="0" applyProtection="0">
      <alignment vertical="center"/>
    </xf>
    <xf numFmtId="0" fontId="77" fillId="21" borderId="0" applyAlignment="0" applyBorder="0" applyNumberFormat="0" applyProtection="0">
      <alignment vertical="center"/>
    </xf>
    <xf numFmtId="0" fontId="77" fillId="22" borderId="0" applyAlignment="0" applyBorder="0" applyNumberFormat="0" applyProtection="0">
      <alignment vertical="center"/>
    </xf>
    <xf numFmtId="0" fontId="78" fillId="23" borderId="0" applyAlignment="0" applyBorder="0" applyNumberFormat="0" applyProtection="0">
      <alignment vertical="center"/>
    </xf>
    <xf numFmtId="0" fontId="78" fillId="24" borderId="0" applyAlignment="0" applyBorder="0" applyNumberFormat="0" applyProtection="0">
      <alignment vertical="center"/>
    </xf>
    <xf numFmtId="0" fontId="77" fillId="25" borderId="0" applyAlignment="0" applyBorder="0" applyNumberFormat="0" applyProtection="0">
      <alignment vertical="center"/>
    </xf>
    <xf numFmtId="0" fontId="77" fillId="26" borderId="0" applyAlignment="0" applyBorder="0" applyNumberFormat="0" applyProtection="0">
      <alignment vertical="center"/>
    </xf>
    <xf numFmtId="0" fontId="78" fillId="27" borderId="0" applyAlignment="0" applyBorder="0" applyNumberFormat="0" applyProtection="0">
      <alignment vertical="center"/>
    </xf>
    <xf numFmtId="0" fontId="78" fillId="28" borderId="0" applyAlignment="0" applyBorder="0" applyNumberFormat="0" applyProtection="0">
      <alignment vertical="center"/>
    </xf>
    <xf numFmtId="0" fontId="77" fillId="29" borderId="0" applyAlignment="0" applyBorder="0" applyNumberFormat="0" applyProtection="0">
      <alignment vertical="center"/>
    </xf>
    <xf numFmtId="0" fontId="77" fillId="30" borderId="0" applyAlignment="0" applyBorder="0" applyNumberFormat="0" applyProtection="0">
      <alignment vertical="center"/>
    </xf>
    <xf numFmtId="0" fontId="78" fillId="31" borderId="0" applyAlignment="0" applyBorder="0" applyNumberFormat="0" applyProtection="0">
      <alignment vertical="center"/>
    </xf>
    <xf numFmtId="0" fontId="78" fillId="32" borderId="0" applyAlignment="0" applyBorder="0" applyNumberFormat="0" applyProtection="0">
      <alignment vertical="center"/>
    </xf>
    <xf numFmtId="0" fontId="77" fillId="33" borderId="0" applyAlignment="0" applyBorder="0" applyNumberFormat="0" applyProtection="0">
      <alignment vertical="center"/>
    </xf>
    <xf numFmtId="0" fontId="77" fillId="34" borderId="0" applyAlignment="0" applyBorder="0" applyNumberFormat="0" applyProtection="0">
      <alignment vertical="center"/>
    </xf>
    <xf numFmtId="0" fontId="78" fillId="35" borderId="0" applyAlignment="0" applyBorder="0" applyNumberFormat="0" applyProtection="0">
      <alignment vertical="center"/>
    </xf>
    <xf numFmtId="0" fontId="78" fillId="36" borderId="0" applyAlignment="0" applyBorder="0" applyNumberFormat="0" applyProtection="0">
      <alignment vertical="center"/>
    </xf>
    <xf numFmtId="0" fontId="77" fillId="37" borderId="0" applyAlignment="0" applyBorder="0" applyNumberFormat="0" applyProtection="0">
      <alignment vertical="center"/>
    </xf>
    <xf numFmtId="0" fontId="79" fillId="0" borderId="0" applyAlignment="0" applyBorder="0" applyFill="0" applyNumberFormat="0" applyProtection="0">
      <alignment vertical="center"/>
    </xf>
  </cellStyleXfs>
  <cellXfs count="979">
    <xf numFmtId="0" fontId="0" fillId="0" borderId="0" xfId="0"/>
    <xf numFmtId="0" fontId="1" fillId="0" borderId="0" xfId="0" applyProtection="1">
      <protection hidden="1"/>
    </xf>
    <xf numFmtId="0" fontId="2" fillId="0" borderId="0" xfId="0" applyProtection="1">
      <protection hidden="1"/>
    </xf>
    <xf numFmtId="0" fontId="0" fillId="0" borderId="0" xfId="0" applyProtection="1">
      <protection hidden="1"/>
    </xf>
    <xf numFmtId="0" fontId="5" fillId="0" borderId="1" xfId="0" applyBorder="1" applyAlignment="1" applyProtection="1">
      <alignment horizontal="right" vertical="center"/>
      <protection hidden="1"/>
    </xf>
    <xf numFmtId="0" fontId="5" fillId="0" borderId="2" xfId="0" applyBorder="1" applyAlignment="1" applyProtection="1">
      <alignment horizontal="center" vertical="center"/>
      <protection hidden="1"/>
    </xf>
    <xf numFmtId="0" fontId="5" fillId="0" borderId="3" xfId="0" applyBorder="1" applyAlignment="1" applyProtection="1">
      <alignment horizontal="right" vertical="center"/>
      <protection hidden="1"/>
    </xf>
    <xf numFmtId="0" fontId="5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6" xfId="0" applyBorder="1" applyAlignment="1" applyProtection="1">
      <alignment horizontal="right" vertical="center"/>
      <protection hidden="1"/>
    </xf>
    <xf numFmtId="0" fontId="5" fillId="0" borderId="7" xfId="0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1" fillId="0" borderId="9" xfId="0" applyBorder="1" applyProtection="1">
      <protection hidden="1"/>
    </xf>
    <xf numFmtId="0" fontId="6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Border="1" applyProtection="1">
      <protection hidden="1"/>
    </xf>
    <xf numFmtId="0" fontId="2" fillId="0" borderId="0" xfId="0" applyBorder="1" applyAlignment="1" applyProtection="1">
      <alignment horizontal="center"/>
      <protection hidden="1"/>
    </xf>
    <xf numFmtId="0" fontId="7" fillId="0" borderId="0" xfId="0" applyBorder="1" applyAlignment="1" applyProtection="1">
      <alignment horizontal="center"/>
      <protection hidden="1"/>
    </xf>
    <xf numFmtId="179" fontId="8" fillId="0" borderId="0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9" fillId="0" borderId="0" xfId="0" applyBorder="1" applyAlignment="1" applyProtection="1">
      <alignment horizontal="center"/>
      <protection hidden="1"/>
    </xf>
    <xf numFmtId="0" fontId="10" fillId="0" borderId="0" xfId="0" applyBorder="1" applyAlignment="1" applyProtection="1">
      <alignment horizontal="center"/>
      <protection hidden="1"/>
    </xf>
    <xf numFmtId="0" fontId="11" fillId="0" borderId="0" xfId="0" applyBorder="1" applyProtection="1">
      <protection hidden="1"/>
    </xf>
    <xf numFmtId="0" fontId="11" fillId="0" borderId="0" xfId="0" applyBorder="1" applyAlignment="1" applyProtection="1">
      <alignment horizontal="center"/>
      <protection hidden="1"/>
    </xf>
    <xf numFmtId="0" fontId="12" fillId="0" borderId="0" xfId="0" applyBorder="1" applyAlignment="1" applyProtection="1">
      <alignment horizontal="center"/>
      <protection hidden="1"/>
    </xf>
    <xf numFmtId="0" fontId="13" fillId="0" borderId="0" xfId="0" applyBorder="1" applyAlignment="1" applyProtection="1">
      <alignment horizontal="center"/>
      <protection hidden="1"/>
    </xf>
    <xf numFmtId="0" fontId="0" fillId="0" borderId="0" xfId="0" applyNumberFormat="1" applyBorder="1" applyAlignment="1" applyProtection="1">
      <protection hidden="1"/>
    </xf>
    <xf numFmtId="0" fontId="14" fillId="0" borderId="0" xfId="0" applyBorder="1" applyAlignment="1" applyProtection="1">
      <alignment horizontal="center"/>
      <protection hidden="1"/>
    </xf>
    <xf numFmtId="0" fontId="5" fillId="0" borderId="0" xfId="0" applyBorder="1" applyAlignment="1" applyProtection="1">
      <alignment horizontal="center"/>
      <protection hidden="1"/>
    </xf>
    <xf numFmtId="0" fontId="5" fillId="0" borderId="0" xfId="0" applyBorder="1" applyProtection="1">
      <protection hidden="1"/>
    </xf>
    <xf numFmtId="0" fontId="15" fillId="0" borderId="0" xfId="0" applyBorder="1" applyAlignment="1" applyProtection="1">
      <alignment horizontal="center"/>
      <protection hidden="1"/>
    </xf>
    <xf numFmtId="179" fontId="5" fillId="0" borderId="0" xfId="0" applyNumberFormat="1" applyBorder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5" fillId="0" borderId="12" xfId="0" applyBorder="1" applyProtection="1">
      <protection hidden="1"/>
    </xf>
    <xf numFmtId="0" fontId="2" fillId="0" borderId="0" xfId="0" applyAlignment="1" applyProtection="1">
      <protection hidden="1"/>
    </xf>
    <xf numFmtId="0" fontId="16" fillId="0" borderId="0" xfId="0" applyAlignment="1" applyProtection="1">
      <alignment horizontal="right"/>
      <protection hidden="1"/>
    </xf>
    <xf numFmtId="177" fontId="2" fillId="0" borderId="12" xfId="0" applyNumberFormat="1" applyBorder="1" applyAlignment="1" applyProtection="1">
      <alignment horizontal="left"/>
      <protection hidden="1"/>
    </xf>
    <xf numFmtId="177" fontId="2" fillId="0" borderId="12" xfId="0" applyNumberFormat="1" applyBorder="1" applyAlignment="1" applyProtection="1"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13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14" xfId="0" applyBorder="1" applyAlignment="1" applyProtection="1">
      <alignment horizontal="center" vertical="center"/>
      <protection hidden="1"/>
    </xf>
    <xf numFmtId="0" fontId="19" fillId="2" borderId="14" xfId="0" applyFill="1" applyBorder="1" applyAlignment="1" applyProtection="1">
      <alignment horizontal="center" vertical="center"/>
      <protection locked="0"/>
    </xf>
    <xf numFmtId="0" fontId="5" fillId="0" borderId="15" xfId="0" applyFill="1" applyBorder="1" applyAlignment="1" applyProtection="1">
      <alignment horizontal="center" vertical="center"/>
      <protection hidden="1"/>
    </xf>
    <xf numFmtId="0" fontId="20" fillId="0" borderId="9" xfId="0" applyBorder="1" applyAlignment="1" applyProtection="1">
      <alignment horizontal="center"/>
      <protection hidden="1"/>
    </xf>
    <xf numFmtId="179" fontId="21" fillId="0" borderId="0" xfId="0" applyNumberFormat="1" applyBorder="1" applyAlignment="1" applyProtection="1">
      <alignment horizontal="center"/>
      <protection hidden="1"/>
    </xf>
    <xf numFmtId="0" fontId="4" fillId="2" borderId="13" xfId="0" applyNumberFormat="1" applyFill="1" applyBorder="1" applyAlignment="1" applyProtection="1">
      <alignment horizontal="center"/>
      <protection locked="0"/>
    </xf>
    <xf numFmtId="0" fontId="4" fillId="2" borderId="16" xfId="0" applyNumberFormat="1" applyFill="1" applyBorder="1" applyAlignment="1" applyProtection="1">
      <alignment horizontal="center"/>
      <protection locked="0"/>
    </xf>
    <xf numFmtId="0" fontId="4" fillId="2" borderId="17" xfId="0" applyNumberFormat="1" applyFill="1" applyBorder="1" applyAlignment="1" applyProtection="1">
      <alignment horizontal="center"/>
      <protection locked="0"/>
    </xf>
    <xf numFmtId="0" fontId="4" fillId="2" borderId="18" xfId="0" applyNumberFormat="1" applyFill="1" applyBorder="1" applyAlignment="1" applyProtection="1">
      <alignment horizontal="center"/>
      <protection locked="0"/>
    </xf>
    <xf numFmtId="0" fontId="22" fillId="0" borderId="9" xfId="0" applyBorder="1" applyAlignment="1" applyProtection="1">
      <alignment horizontal="center"/>
      <protection hidden="1"/>
    </xf>
    <xf numFmtId="179" fontId="8" fillId="0" borderId="9" xfId="0" applyNumberFormat="1" applyBorder="1" applyAlignment="1" applyProtection="1">
      <alignment horizontal="center"/>
      <protection hidden="1"/>
    </xf>
    <xf numFmtId="0" fontId="2" fillId="0" borderId="0" xfId="0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23" fillId="0" borderId="0" xfId="0" applyBorder="1" applyAlignment="1" applyProtection="1">
      <protection hidden="1"/>
    </xf>
    <xf numFmtId="0" fontId="5" fillId="2" borderId="19" xfId="0" applyFill="1" applyBorder="1" applyAlignment="1" applyProtection="1">
      <alignment horizontal="center" vertical="center"/>
      <protection locked="0"/>
    </xf>
    <xf numFmtId="0" fontId="5" fillId="2" borderId="20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protection hidden="1"/>
    </xf>
    <xf numFmtId="0" fontId="11" fillId="0" borderId="10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0" xfId="0" applyAlignment="1" applyProtection="1">
      <protection hidden="1"/>
    </xf>
    <xf numFmtId="0" fontId="23" fillId="0" borderId="0" xfId="0" applyAlignment="1" applyProtection="1">
      <protection hidden="1"/>
    </xf>
    <xf numFmtId="0" fontId="11" fillId="0" borderId="0" xfId="0" applyAlignment="1" applyProtection="1">
      <protection hidden="1"/>
    </xf>
    <xf numFmtId="0" fontId="2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24" xfId="0" applyBorder="1" applyAlignment="1" applyProtection="1">
      <alignment horizontal="center"/>
      <protection hidden="1"/>
    </xf>
    <xf numFmtId="177" fontId="0" fillId="2" borderId="25" xfId="0" applyNumberFormat="1" applyFill="1" applyBorder="1" applyAlignment="1" applyProtection="1">
      <alignment horizontal="center"/>
      <protection locked="0"/>
    </xf>
    <xf numFmtId="0" fontId="5" fillId="0" borderId="0" xfId="0" applyProtection="1">
      <protection hidden="1"/>
    </xf>
    <xf numFmtId="177" fontId="0" fillId="3" borderId="26" xfId="0" applyNumberFormat="1" applyFill="1" applyBorder="1" applyAlignment="1" applyProtection="1">
      <alignment horizontal="center"/>
      <protection hidden="1"/>
    </xf>
    <xf numFmtId="177" fontId="0" fillId="0" borderId="0" xfId="0" applyNumberFormat="1" applyProtection="1">
      <protection hidden="1"/>
    </xf>
    <xf numFmtId="0" fontId="0" fillId="2" borderId="27" xfId="0" applyFill="1" applyBorder="1" applyAlignment="1" applyProtection="1">
      <alignment horizontal="center"/>
      <protection locked="0"/>
    </xf>
    <xf numFmtId="0" fontId="26" fillId="0" borderId="0" xfId="0" applyAlignment="1" applyProtection="1">
      <protection hidden="1"/>
    </xf>
    <xf numFmtId="0" fontId="7" fillId="0" borderId="0" xfId="0" applyAlignment="1" applyProtection="1">
      <protection hidden="1"/>
    </xf>
    <xf numFmtId="0" fontId="0" fillId="2" borderId="25" xfId="0" applyFill="1" applyBorder="1" applyAlignment="1" applyProtection="1">
      <alignment horizontal="center"/>
      <protection locked="0"/>
    </xf>
    <xf numFmtId="0" fontId="0" fillId="3" borderId="25" xfId="0" applyFill="1" applyBorder="1" applyAlignment="1" applyProtection="1">
      <alignment horizontal="center"/>
      <protection hidden="1"/>
    </xf>
    <xf numFmtId="0" fontId="0" fillId="3" borderId="26" xfId="0" applyFill="1" applyBorder="1" applyAlignment="1" applyProtection="1">
      <alignment horizontal="center"/>
      <protection hidden="1"/>
    </xf>
    <xf numFmtId="177" fontId="0" fillId="2" borderId="27" xfId="0" applyNumberFormat="1" applyFill="1" applyBorder="1" applyAlignment="1" applyProtection="1">
      <alignment horizontal="center"/>
      <protection locked="0"/>
    </xf>
    <xf numFmtId="179" fontId="0" fillId="3" borderId="27" xfId="0" applyNumberForma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79" fontId="0" fillId="3" borderId="25" xfId="0" applyNumberFormat="1" applyFill="1" applyBorder="1" applyAlignment="1" applyProtection="1">
      <alignment horizontal="center" vertical="center"/>
      <protection hidden="1"/>
    </xf>
    <xf numFmtId="179" fontId="0" fillId="3" borderId="26" xfId="0" applyNumberFormat="1" applyFill="1" applyBorder="1" applyAlignment="1" applyProtection="1">
      <alignment horizontal="center"/>
      <protection hidden="1"/>
    </xf>
    <xf numFmtId="0" fontId="0" fillId="3" borderId="28" xfId="0" applyFill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12" xfId="0" applyBorder="1" applyAlignment="1" applyProtection="1"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3" xfId="0" applyFill="1" applyBorder="1" applyAlignment="1" applyProtection="1">
      <alignment horizontal="center" vertical="top"/>
      <protection locked="0"/>
    </xf>
    <xf numFmtId="0" fontId="19" fillId="3" borderId="34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19" fillId="2" borderId="36" xfId="0" applyFill="1" applyBorder="1" applyAlignment="1" applyProtection="1">
      <alignment horizontal="center"/>
      <protection hidden="1"/>
    </xf>
    <xf numFmtId="0" fontId="0" fillId="2" borderId="37" xfId="0" applyFill="1" applyBorder="1" applyAlignment="1" applyProtection="1">
      <alignment horizontal="center"/>
      <protection locked="0"/>
    </xf>
    <xf numFmtId="0" fontId="5" fillId="2" borderId="32" xfId="0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hidden="1"/>
    </xf>
    <xf numFmtId="0" fontId="5" fillId="2" borderId="34" xfId="0" applyFill="1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hidden="1"/>
    </xf>
    <xf numFmtId="0" fontId="5" fillId="2" borderId="39" xfId="0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hidden="1"/>
    </xf>
    <xf numFmtId="0" fontId="11" fillId="0" borderId="0" xfId="0" applyFill="1" applyBorder="1" applyAlignment="1" applyProtection="1">
      <alignment horizontal="center" vertical="center"/>
      <protection hidden="1"/>
    </xf>
    <xf numFmtId="0" fontId="13" fillId="2" borderId="0" xfId="0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left"/>
      <protection hidden="1"/>
    </xf>
    <xf numFmtId="0" fontId="11" fillId="0" borderId="0" xfId="0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3" fillId="0" borderId="0" xfId="0" applyFill="1" applyBorder="1" applyAlignment="1" applyProtection="1">
      <alignment horizontal="right" vertical="center"/>
      <protection locked="0"/>
    </xf>
    <xf numFmtId="0" fontId="13" fillId="0" borderId="0" xfId="0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77" fontId="0" fillId="3" borderId="41" xfId="0" applyNumberFormat="1" applyFill="1" applyBorder="1" applyAlignment="1" applyProtection="1">
      <alignment horizontal="center" vertical="center"/>
      <protection hidden="1"/>
    </xf>
    <xf numFmtId="0" fontId="0" fillId="3" borderId="41" xfId="0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" fillId="0" borderId="0" xfId="0" applyBorder="1" applyAlignment="1" applyProtection="1">
      <protection hidden="1"/>
    </xf>
    <xf numFmtId="0" fontId="25" fillId="0" borderId="0" xfId="0" applyFill="1" applyBorder="1" applyAlignment="1" applyProtection="1">
      <alignment vertical="center"/>
      <protection hidden="1"/>
    </xf>
    <xf numFmtId="0" fontId="2" fillId="0" borderId="0" xfId="0" applyFill="1" applyBorder="1" applyAlignment="1" applyProtection="1">
      <alignment vertical="center"/>
      <protection hidden="1"/>
    </xf>
    <xf numFmtId="0" fontId="18" fillId="0" borderId="0" xfId="0" applyFill="1" applyBorder="1" applyAlignment="1" applyProtection="1">
      <protection hidden="1"/>
    </xf>
    <xf numFmtId="0" fontId="28" fillId="0" borderId="0" xfId="0" applyFill="1" applyBorder="1" applyAlignment="1" applyProtection="1">
      <alignment horizontal="distributed" vertical="center"/>
      <protection hidden="1"/>
    </xf>
    <xf numFmtId="177" fontId="28" fillId="0" borderId="0" xfId="0" applyNumberFormat="1" applyFill="1" applyBorder="1" applyAlignment="1" applyProtection="1">
      <alignment horizontal="center" vertical="center"/>
      <protection hidden="1"/>
    </xf>
    <xf numFmtId="177" fontId="0" fillId="0" borderId="0" xfId="0" applyNumberFormat="1" applyFill="1" applyBorder="1" applyAlignment="1"/>
    <xf numFmtId="0" fontId="17" fillId="0" borderId="0" xfId="0" applyFill="1" applyBorder="1" applyAlignment="1" applyProtection="1">
      <alignment vertical="center"/>
      <protection hidden="1"/>
    </xf>
    <xf numFmtId="0" fontId="0" fillId="0" borderId="0" xfId="0" applyFill="1" applyBorder="1" applyAlignment="1">
      <alignment vertical="center"/>
    </xf>
    <xf numFmtId="182" fontId="28" fillId="0" borderId="0" xfId="0" applyNumberFormat="1" applyFill="1" applyBorder="1" applyAlignment="1" applyProtection="1">
      <alignment horizontal="center" vertical="center"/>
      <protection hidden="1"/>
    </xf>
    <xf numFmtId="182" fontId="0" fillId="0" borderId="0" xfId="0" applyNumberForma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/>
      <protection hidden="1"/>
    </xf>
    <xf numFmtId="0" fontId="0" fillId="0" borderId="14" xfId="0" applyFill="1" applyBorder="1" applyAlignment="1" applyProtection="1">
      <protection hidden="1"/>
    </xf>
    <xf numFmtId="0" fontId="0" fillId="2" borderId="4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80" fontId="26" fillId="4" borderId="42" xfId="0" applyNumberFormat="1" applyFill="1" applyBorder="1" applyAlignment="1" applyProtection="1">
      <alignment horizontal="center" vertical="center"/>
      <protection hidden="1"/>
    </xf>
    <xf numFmtId="0" fontId="18" fillId="0" borderId="0" xfId="0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protection hidden="1"/>
    </xf>
    <xf numFmtId="0" fontId="5" fillId="0" borderId="0" xfId="0" applyFill="1" applyBorder="1" applyAlignment="1" applyProtection="1">
      <protection hidden="1"/>
    </xf>
    <xf numFmtId="0" fontId="26" fillId="0" borderId="0" xfId="0" applyBorder="1" applyAlignment="1" applyProtection="1">
      <alignment horizontal="right"/>
      <protection hidden="1"/>
    </xf>
    <xf numFmtId="183" fontId="7" fillId="0" borderId="0" xfId="0" applyNumberFormat="1" applyBorder="1" applyAlignment="1" applyProtection="1">
      <protection hidden="1"/>
    </xf>
    <xf numFmtId="0" fontId="26" fillId="0" borderId="0" xfId="0" applyBorder="1" applyAlignment="1" applyProtection="1">
      <protection hidden="1"/>
    </xf>
    <xf numFmtId="0" fontId="0" fillId="0" borderId="9" xfId="0" applyBorder="1" applyProtection="1">
      <protection locked="0"/>
    </xf>
    <xf numFmtId="0" fontId="5" fillId="0" borderId="10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41" xfId="0" applyFill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5" fillId="0" borderId="0" xfId="0" applyFill="1" applyBorder="1" applyAlignment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21" xfId="0" applyBorder="1" applyAlignment="1" applyProtection="1">
      <protection hidden="1"/>
    </xf>
    <xf numFmtId="0" fontId="0" fillId="0" borderId="22" xfId="0" applyBorder="1" applyAlignment="1" applyProtection="1">
      <protection hidden="1"/>
    </xf>
    <xf numFmtId="0" fontId="0" fillId="0" borderId="22" xfId="0" applyBorder="1" applyAlignment="1" applyProtection="1">
      <alignment horizontal="left"/>
      <protection hidden="1"/>
    </xf>
    <xf numFmtId="0" fontId="0" fillId="0" borderId="23" xfId="0" applyBorder="1" applyAlignment="1" applyProtection="1">
      <alignment horizontal="left"/>
      <protection hidden="1"/>
    </xf>
    <xf numFmtId="0" fontId="0" fillId="2" borderId="43" xfId="0" applyFill="1" applyBorder="1" applyAlignment="1" applyProtection="1">
      <alignment horizontal="center" vertical="top"/>
      <protection locked="0"/>
    </xf>
    <xf numFmtId="0" fontId="0" fillId="3" borderId="44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5" fillId="0" borderId="0" xfId="0" applyFill="1" applyBorder="1" applyAlignment="1" applyProtection="1">
      <alignment horizontal="left"/>
      <protection hidden="1"/>
    </xf>
    <xf numFmtId="180" fontId="26" fillId="0" borderId="0" xfId="0" applyNumberFormat="1" applyFill="1" applyBorder="1" applyAlignment="1" applyProtection="1">
      <alignment horizontal="right" vertical="center"/>
      <protection hidden="1"/>
    </xf>
    <xf numFmtId="180" fontId="26" fillId="0" borderId="0" xfId="0" applyNumberFormat="1" applyFill="1" applyBorder="1" applyAlignment="1" applyProtection="1">
      <alignment horizontal="left" vertical="center"/>
      <protection hidden="1"/>
    </xf>
    <xf numFmtId="0" fontId="7" fillId="0" borderId="0" xfId="0" applyFill="1" applyBorder="1" applyAlignment="1" applyProtection="1">
      <alignment horizontal="left" vertical="center"/>
      <protection hidden="1"/>
    </xf>
    <xf numFmtId="0" fontId="5" fillId="0" borderId="0" xfId="0" applyFill="1" applyBorder="1" applyAlignment="1" applyProtection="1">
      <alignment horizontal="center"/>
      <protection hidden="1"/>
    </xf>
    <xf numFmtId="0" fontId="11" fillId="0" borderId="0" xfId="0" applyFill="1" applyBorder="1" applyAlignment="1" applyProtection="1">
      <alignment horizontal="right"/>
      <protection hidden="1"/>
    </xf>
    <xf numFmtId="0" fontId="5" fillId="0" borderId="0" xfId="0" applyFill="1" applyBorder="1" applyAlignment="1" applyProtection="1">
      <alignment horizontal="center" vertical="center"/>
      <protection hidden="1"/>
    </xf>
    <xf numFmtId="177" fontId="0" fillId="3" borderId="41" xfId="0" applyNumberFormat="1" applyFill="1" applyBorder="1" applyAlignment="1" applyProtection="1">
      <alignment horizontal="center"/>
      <protection hidden="1"/>
    </xf>
    <xf numFmtId="0" fontId="7" fillId="0" borderId="0" xfId="0" applyBorder="1" applyAlignment="1" applyProtection="1">
      <protection hidden="1"/>
    </xf>
    <xf numFmtId="183" fontId="5" fillId="0" borderId="0" xfId="0" applyNumberFormat="1" applyBorder="1" applyAlignment="1" applyProtection="1">
      <protection hidden="1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17" fillId="0" borderId="0" xfId="0" applyBorder="1" applyAlignment="1" applyProtection="1">
      <alignment horizontal="right"/>
      <protection hidden="1"/>
    </xf>
    <xf numFmtId="1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8" fillId="0" borderId="0" xfId="0" applyFill="1" applyBorder="1" applyAlignment="1" applyProtection="1">
      <alignment vertical="center"/>
      <protection hidden="1"/>
    </xf>
    <xf numFmtId="185" fontId="28" fillId="0" borderId="0" xfId="0" applyNumberFormat="1" applyFill="1" applyBorder="1" applyAlignment="1" applyProtection="1">
      <alignment horizontal="center" vertical="center"/>
      <protection hidden="1"/>
    </xf>
    <xf numFmtId="0" fontId="32" fillId="0" borderId="0" xfId="0" applyFill="1" applyBorder="1" applyAlignment="1" applyProtection="1">
      <alignment horizontal="right" vertical="top"/>
      <protection hidden="1"/>
    </xf>
    <xf numFmtId="0" fontId="0" fillId="0" borderId="0" xfId="0" applyFill="1" applyBorder="1" applyAlignment="1" applyProtection="1">
      <alignment horizontal="center" vertical="top"/>
      <protection hidden="1"/>
    </xf>
    <xf numFmtId="0" fontId="18" fillId="0" borderId="0" xfId="0" applyFill="1" applyBorder="1" applyAlignment="1" applyProtection="1">
      <alignment vertical="top"/>
      <protection hidden="1"/>
    </xf>
    <xf numFmtId="0" fontId="33" fillId="0" borderId="0" xfId="0" applyFill="1" applyBorder="1" applyAlignment="1" applyProtection="1">
      <alignment vertical="top"/>
      <protection hidden="1"/>
    </xf>
    <xf numFmtId="0" fontId="34" fillId="0" borderId="0" xfId="0" applyFill="1" applyBorder="1" applyAlignment="1" applyProtection="1">
      <alignment horizontal="right"/>
      <protection hidden="1"/>
    </xf>
    <xf numFmtId="0" fontId="28" fillId="0" borderId="0" xfId="0" applyAlignment="1" applyProtection="1">
      <alignment horizontal="distributed" vertical="center"/>
      <protection hidden="1"/>
    </xf>
    <xf numFmtId="0" fontId="35" fillId="0" borderId="0" xfId="0" applyAlignment="1" applyProtection="1">
      <alignment horizontal="right" vertical="center"/>
      <protection hidden="1"/>
    </xf>
    <xf numFmtId="185" fontId="28" fillId="0" borderId="0" xfId="0" applyNumberFormat="1" applyAlignment="1" applyProtection="1">
      <alignment horizontal="center" vertical="center"/>
      <protection hidden="1"/>
    </xf>
    <xf numFmtId="0" fontId="28" fillId="0" borderId="0" xfId="0" applyAlignment="1" applyProtection="1">
      <alignment vertical="center"/>
      <protection hidden="1"/>
    </xf>
    <xf numFmtId="0" fontId="35" fillId="0" borderId="0" xfId="0" applyAlignment="1" applyProtection="1">
      <alignment vertical="center"/>
      <protection hidden="1"/>
    </xf>
    <xf numFmtId="0" fontId="5" fillId="0" borderId="0" xfId="0" applyAlignment="1" applyProtection="1">
      <alignment horizontal="right"/>
      <protection hidden="1"/>
    </xf>
    <xf numFmtId="0" fontId="0" fillId="0" borderId="0" xfId="0" applyAlignment="1" applyProtection="1">
      <alignment horizontal="left"/>
      <protection hidden="1"/>
    </xf>
    <xf numFmtId="185" fontId="0" fillId="0" borderId="0" xfId="0" applyNumberFormat="1" applyAlignment="1" applyProtection="1">
      <alignment horizontal="center" vertical="center"/>
      <protection hidden="1"/>
    </xf>
    <xf numFmtId="0" fontId="34" fillId="0" borderId="0" xfId="0" applyAlignment="1" applyProtection="1">
      <alignment horizontal="center" vertical="top"/>
      <protection hidden="1"/>
    </xf>
    <xf numFmtId="0" fontId="36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horizontal="right"/>
      <protection hidden="1"/>
    </xf>
    <xf numFmtId="0" fontId="34" fillId="0" borderId="0" xfId="0" applyAlignment="1" applyProtection="1">
      <alignment horizontal="center" vertical="top" wrapText="1"/>
      <protection hidden="1"/>
    </xf>
    <xf numFmtId="180" fontId="36" fillId="0" borderId="0" xfId="0" applyNumberFormat="1" applyAlignment="1" applyProtection="1">
      <alignment horizontal="center" vertical="top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vertical="center"/>
      <protection hidden="1"/>
    </xf>
    <xf numFmtId="0" fontId="36" fillId="0" borderId="0" xfId="0" applyProtection="1">
      <protection hidden="1"/>
    </xf>
    <xf numFmtId="0" fontId="34" fillId="0" borderId="0" xfId="0" applyProtection="1"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0" fontId="5" fillId="2" borderId="13" xfId="0" applyFill="1" applyBorder="1" applyAlignment="1" applyProtection="1">
      <alignment horizontal="center"/>
      <protection locked="0"/>
    </xf>
    <xf numFmtId="0" fontId="5" fillId="0" borderId="13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48" xfId="0" applyBorder="1" applyAlignment="1" applyProtection="1">
      <alignment horizontal="distributed" vertical="center"/>
      <protection hidden="1"/>
    </xf>
    <xf numFmtId="0" fontId="0" fillId="3" borderId="42" xfId="0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distributed" vertical="center"/>
      <protection hidden="1"/>
    </xf>
    <xf numFmtId="0" fontId="0" fillId="0" borderId="49" xfId="0" applyBorder="1" applyAlignment="1" applyProtection="1">
      <alignment horizontal="distributed" vertic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0" fillId="0" borderId="50" xfId="0" applyBorder="1" applyAlignment="1" applyProtection="1">
      <alignment horizontal="distributed" vertical="center"/>
      <protection hidden="1"/>
    </xf>
    <xf numFmtId="0" fontId="0" fillId="0" borderId="51" xfId="0" applyBorder="1" applyAlignment="1" applyProtection="1">
      <alignment horizontal="distributed" vertical="center"/>
      <protection hidden="1"/>
    </xf>
    <xf numFmtId="0" fontId="0" fillId="2" borderId="52" xfId="0" applyFill="1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distributed" vertical="center"/>
      <protection hidden="1"/>
    </xf>
    <xf numFmtId="0" fontId="0" fillId="2" borderId="53" xfId="0" applyFill="1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hidden="1"/>
    </xf>
    <xf numFmtId="0" fontId="5" fillId="0" borderId="55" xfId="0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5" fillId="0" borderId="48" xfId="0" applyBorder="1" applyAlignment="1" applyProtection="1">
      <alignment horizontal="center"/>
      <protection hidden="1"/>
    </xf>
    <xf numFmtId="0" fontId="0" fillId="2" borderId="42" xfId="0" applyFill="1" applyBorder="1" applyAlignment="1" applyProtection="1">
      <alignment horizontal="center"/>
      <protection locked="0"/>
    </xf>
    <xf numFmtId="0" fontId="5" fillId="0" borderId="49" xfId="0" applyBorder="1" applyAlignment="1" applyProtection="1">
      <alignment horizontal="center"/>
      <protection hidden="1"/>
    </xf>
    <xf numFmtId="0" fontId="0" fillId="2" borderId="50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5" fillId="0" borderId="12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180" fontId="0" fillId="0" borderId="0" xfId="0" applyNumberFormat="1" applyProtection="1">
      <protection hidden="1"/>
    </xf>
    <xf numFmtId="0" fontId="34" fillId="0" borderId="22" xfId="0" applyBorder="1" applyAlignment="1" applyProtection="1">
      <alignment horizontal="left"/>
      <protection hidden="1"/>
    </xf>
    <xf numFmtId="0" fontId="36" fillId="0" borderId="22" xfId="0" applyBorder="1" applyAlignment="1" applyProtection="1">
      <alignment horizontal="center" vertical="top"/>
      <protection hidden="1"/>
    </xf>
    <xf numFmtId="0" fontId="36" fillId="0" borderId="23" xfId="0" applyBorder="1" applyAlignment="1" applyProtection="1">
      <alignment horizontal="left" vertical="top"/>
      <protection hidden="1"/>
    </xf>
    <xf numFmtId="0" fontId="0" fillId="2" borderId="13" xfId="0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protection hidden="1"/>
    </xf>
    <xf numFmtId="0" fontId="0" fillId="0" borderId="10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4" fillId="0" borderId="22" xfId="0" applyBorder="1" applyAlignment="1" applyProtection="1">
      <alignment horizontal="center" vertical="top"/>
      <protection hidden="1"/>
    </xf>
    <xf numFmtId="0" fontId="34" fillId="0" borderId="23" xfId="0" applyBorder="1" applyAlignment="1" applyProtection="1">
      <alignment horizontal="center" vertical="top"/>
      <protection hidden="1"/>
    </xf>
    <xf numFmtId="0" fontId="0" fillId="0" borderId="22" xfId="0" applyBorder="1" applyAlignment="1" applyProtection="1">
      <protection locked="0"/>
    </xf>
    <xf numFmtId="0" fontId="5" fillId="0" borderId="0" xfId="0" applyAlignment="1" applyProtection="1">
      <alignment horizontal="center" wrapText="1"/>
      <protection hidden="1"/>
    </xf>
    <xf numFmtId="0" fontId="0" fillId="0" borderId="0" xfId="0" applyAlignment="1"/>
    <xf numFmtId="0" fontId="0" fillId="0" borderId="47" xfId="0" applyBorder="1" applyAlignment="1" applyProtection="1">
      <alignment horizontal="distributed" vertical="center"/>
      <protection hidden="1"/>
    </xf>
    <xf numFmtId="0" fontId="0" fillId="0" borderId="0" xfId="0" applyAlignment="1" applyProtection="1">
      <alignment horizontal="center" wrapText="1"/>
      <protection hidden="1"/>
    </xf>
    <xf numFmtId="0" fontId="11" fillId="0" borderId="0" xfId="0" applyAlignment="1" applyProtection="1">
      <alignment horizontal="right"/>
      <protection hidden="1"/>
    </xf>
    <xf numFmtId="14" fontId="11" fillId="0" borderId="0" xfId="0" applyNumberFormat="1" applyAlignment="1" applyProtection="1">
      <alignment horizontal="left"/>
      <protection hidden="1"/>
    </xf>
    <xf numFmtId="0" fontId="5" fillId="0" borderId="0" xfId="0" applyAlignment="1" applyProtection="1">
      <alignment horizontal="center"/>
      <protection hidden="1"/>
    </xf>
    <xf numFmtId="0" fontId="5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horizontal="center" vertical="top"/>
      <protection hidden="1"/>
    </xf>
    <xf numFmtId="0" fontId="28" fillId="0" borderId="0" xfId="0" applyAlignment="1" applyProtection="1">
      <alignment horizontal="center" vertical="center"/>
      <protection hidden="1"/>
    </xf>
    <xf numFmtId="185" fontId="28" fillId="0" borderId="0" xfId="0" applyNumberFormat="1" applyAlignment="1" applyProtection="1">
      <alignment horizontal="center"/>
      <protection hidden="1"/>
    </xf>
    <xf numFmtId="0" fontId="35" fillId="0" borderId="0" xfId="0" applyAlignment="1" applyProtection="1">
      <alignment horizontal="left" vertical="center"/>
      <protection hidden="1"/>
    </xf>
    <xf numFmtId="0" fontId="34" fillId="0" borderId="0" xfId="0" applyAlignment="1" applyProtection="1">
      <alignment horizontal="right" vertical="top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34" fillId="0" borderId="0" xfId="0" applyAlignment="1" applyProtection="1">
      <alignment horizontal="right"/>
      <protection hidden="1"/>
    </xf>
    <xf numFmtId="14" fontId="34" fillId="0" borderId="0" xfId="0" applyNumberFormat="1" applyAlignment="1" applyProtection="1">
      <alignment horizontal="left"/>
      <protection hidden="1"/>
    </xf>
    <xf numFmtId="0" fontId="5" fillId="0" borderId="0" xfId="0" applyAlignment="1" applyProtection="1">
      <alignment vertical="top"/>
      <protection hidden="1"/>
    </xf>
    <xf numFmtId="0" fontId="0" fillId="0" borderId="22" xfId="0" applyBorder="1" applyAlignment="1" applyProtection="1">
      <alignment vertical="top"/>
      <protection hidden="1"/>
    </xf>
    <xf numFmtId="0" fontId="0" fillId="0" borderId="23" xfId="0" applyBorder="1" applyAlignment="1" applyProtection="1">
      <alignment vertical="top"/>
      <protection hidden="1"/>
    </xf>
    <xf numFmtId="0" fontId="0" fillId="2" borderId="0" xfId="0" applyFill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18" fillId="0" borderId="0" xfId="0" applyBorder="1" applyAlignment="1" applyProtection="1">
      <alignment vertical="top"/>
      <protection hidden="1"/>
    </xf>
    <xf numFmtId="0" fontId="23" fillId="0" borderId="0" xfId="0" applyAlignment="1" applyProtection="1">
      <alignment horizontal="right"/>
      <protection hidden="1"/>
    </xf>
    <xf numFmtId="14" fontId="23" fillId="0" borderId="12" xfId="0" applyNumberFormat="1" applyBorder="1" applyAlignment="1" applyProtection="1">
      <alignment horizontal="left"/>
      <protection hidden="1"/>
    </xf>
    <xf numFmtId="0" fontId="34" fillId="0" borderId="22" xfId="0" applyBorder="1" applyProtection="1">
      <protection hidden="1"/>
    </xf>
    <xf numFmtId="0" fontId="36" fillId="0" borderId="23" xfId="0" applyBorder="1" applyAlignment="1" applyProtection="1">
      <alignment horizontal="center" vertical="top"/>
      <protection hidden="1"/>
    </xf>
    <xf numFmtId="0" fontId="0" fillId="0" borderId="23" xfId="0" applyBorder="1" applyAlignment="1" applyProtection="1">
      <protection locked="0"/>
    </xf>
    <xf numFmtId="0" fontId="0" fillId="0" borderId="42" xfId="0" applyBorder="1" applyProtection="1"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5" fillId="0" borderId="42" xfId="0" applyBorder="1" applyAlignment="1" applyProtection="1">
      <alignment horizontal="center" vertical="center"/>
      <protection hidden="1"/>
    </xf>
    <xf numFmtId="0" fontId="0" fillId="2" borderId="42" xfId="0" applyFill="1" applyBorder="1" applyAlignment="1" applyProtection="1">
      <alignment horizontal="distributed" vertical="center"/>
      <protection hidden="1"/>
    </xf>
    <xf numFmtId="0" fontId="5" fillId="2" borderId="42" xfId="0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distributed" vertical="center"/>
      <protection hidden="1"/>
    </xf>
    <xf numFmtId="182" fontId="0" fillId="4" borderId="42" xfId="0" applyNumberFormat="1" applyFill="1" applyBorder="1" applyAlignment="1" applyProtection="1">
      <alignment horizontal="center"/>
      <protection hidden="1"/>
    </xf>
    <xf numFmtId="49" fontId="0" fillId="4" borderId="42" xfId="0" applyNumberFormat="1" applyFill="1" applyBorder="1" applyAlignment="1" applyProtection="1">
      <alignment horizontal="distributed" vertical="center"/>
      <protection hidden="1"/>
    </xf>
    <xf numFmtId="182" fontId="0" fillId="3" borderId="42" xfId="0" applyNumberFormat="1" applyFill="1" applyBorder="1" applyAlignment="1" applyProtection="1">
      <alignment horizontal="center"/>
      <protection hidden="1"/>
    </xf>
    <xf numFmtId="0" fontId="34" fillId="3" borderId="56" xfId="0" applyFill="1" applyBorder="1" applyAlignment="1" applyProtection="1">
      <alignment horizontal="center"/>
      <protection hidden="1"/>
    </xf>
    <xf numFmtId="186" fontId="5" fillId="3" borderId="56" xfId="0" applyNumberFormat="1" applyFill="1" applyBorder="1" applyAlignment="1" applyProtection="1">
      <alignment horizontal="center"/>
      <protection hidden="1"/>
    </xf>
    <xf numFmtId="0" fontId="0" fillId="3" borderId="56" xfId="0" applyFill="1" applyBorder="1" applyAlignment="1" applyProtection="1">
      <alignment horizontal="center"/>
      <protection hidden="1"/>
    </xf>
    <xf numFmtId="185" fontId="5" fillId="3" borderId="56" xfId="0" applyNumberFormat="1" applyFill="1" applyBorder="1" applyAlignment="1" applyProtection="1">
      <alignment horizontal="center"/>
      <protection hidden="1"/>
    </xf>
    <xf numFmtId="0" fontId="39" fillId="0" borderId="56" xfId="0" applyFill="1" applyBorder="1" applyAlignment="1" applyProtection="1">
      <alignment horizontal="center" vertical="center"/>
      <protection hidden="1"/>
    </xf>
    <xf numFmtId="0" fontId="40" fillId="0" borderId="57" xfId="0" applyFill="1" applyBorder="1" applyAlignment="1" applyProtection="1">
      <alignment horizontal="center" vertical="center"/>
      <protection hidden="1"/>
    </xf>
    <xf numFmtId="0" fontId="0" fillId="0" borderId="58" xfId="0" applyFill="1" applyBorder="1" applyAlignment="1" applyProtection="1">
      <alignment horizontal="center"/>
      <protection hidden="1"/>
    </xf>
    <xf numFmtId="0" fontId="0" fillId="0" borderId="59" xfId="0" applyBorder="1" applyAlignment="1" applyProtection="1">
      <alignment horizontal="center"/>
      <protection hidden="1"/>
    </xf>
    <xf numFmtId="0" fontId="0" fillId="0" borderId="29" xfId="0" applyBorder="1" applyProtection="1">
      <protection hidden="1"/>
    </xf>
    <xf numFmtId="0" fontId="0" fillId="0" borderId="60" xfId="0" applyBorder="1" applyAlignment="1" applyProtection="1">
      <alignment horizontal="center"/>
      <protection hidden="1"/>
    </xf>
    <xf numFmtId="0" fontId="19" fillId="0" borderId="61" xfId="0" applyBorder="1" applyProtection="1">
      <protection hidden="1"/>
    </xf>
    <xf numFmtId="179" fontId="0" fillId="2" borderId="42" xfId="0" applyNumberFormat="1" applyFill="1" applyBorder="1" applyAlignment="1" applyProtection="1">
      <alignment horizontal="center" vertical="center"/>
      <protection locked="0"/>
    </xf>
    <xf numFmtId="0" fontId="5" fillId="0" borderId="61" xfId="0" applyBorder="1" applyProtection="1">
      <protection hidden="1"/>
    </xf>
    <xf numFmtId="0" fontId="0" fillId="0" borderId="0" xfId="0" applyBorder="1" applyAlignment="1" applyProtection="1">
      <alignment horizontal="center" vertical="top"/>
      <protection hidden="1"/>
    </xf>
    <xf numFmtId="185" fontId="0" fillId="2" borderId="42" xfId="0" applyNumberFormat="1" applyFill="1" applyBorder="1" applyAlignment="1" applyProtection="1">
      <alignment horizontal="center" vertical="center"/>
      <protection locked="0"/>
    </xf>
    <xf numFmtId="0" fontId="5" fillId="0" borderId="0" xfId="0" applyBorder="1" applyAlignment="1" applyProtection="1">
      <alignment horizontal="right"/>
      <protection hidden="1"/>
    </xf>
    <xf numFmtId="0" fontId="5" fillId="0" borderId="0" xfId="0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22" xfId="0" applyFill="1" applyBorder="1" applyProtection="1">
      <protection hidden="1"/>
    </xf>
    <xf numFmtId="179" fontId="0" fillId="0" borderId="22" xfId="0" applyNumberFormat="1" applyFill="1" applyBorder="1" applyAlignment="1" applyProtection="1">
      <alignment horizontal="center"/>
      <protection hidden="1"/>
    </xf>
    <xf numFmtId="182" fontId="0" fillId="0" borderId="10" xfId="0" applyNumberFormat="1" applyBorder="1" applyAlignment="1" applyProtection="1">
      <protection locked="0"/>
    </xf>
    <xf numFmtId="0" fontId="39" fillId="0" borderId="22" xfId="0" applyFill="1" applyBorder="1" applyAlignment="1" applyProtection="1">
      <alignment horizontal="center"/>
      <protection hidden="1"/>
    </xf>
    <xf numFmtId="0" fontId="34" fillId="0" borderId="0" xfId="0" applyBorder="1" applyAlignment="1" applyProtection="1">
      <alignment horizontal="left"/>
      <protection hidden="1"/>
    </xf>
    <xf numFmtId="0" fontId="41" fillId="0" borderId="0" xfId="0" applyProtection="1">
      <protection hidden="1"/>
    </xf>
    <xf numFmtId="0" fontId="42" fillId="0" borderId="0" xfId="0" applyAlignment="1" applyProtection="1">
      <alignment horizontal="center"/>
      <protection hidden="1"/>
    </xf>
    <xf numFmtId="0" fontId="43" fillId="0" borderId="0" xfId="0" applyAlignment="1" applyProtection="1">
      <alignment horizontal="center"/>
      <protection hidden="1"/>
    </xf>
    <xf numFmtId="0" fontId="43" fillId="0" borderId="0" xfId="0" applyBorder="1" applyAlignment="1" applyProtection="1">
      <alignment horizontal="center"/>
      <protection hidden="1"/>
    </xf>
    <xf numFmtId="0" fontId="25" fillId="0" borderId="0" xfId="0" applyProtection="1">
      <protection hidden="1"/>
    </xf>
    <xf numFmtId="0" fontId="2" fillId="0" borderId="9" xfId="0" applyBorder="1" applyProtection="1">
      <protection hidden="1"/>
    </xf>
    <xf numFmtId="179" fontId="0" fillId="0" borderId="0" xfId="0" applyNumberFormat="1" applyBorder="1" applyProtection="1">
      <protection hidden="1"/>
    </xf>
    <xf numFmtId="0" fontId="0" fillId="5" borderId="42" xfId="0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0" fontId="5" fillId="0" borderId="42" xfId="0" applyBorder="1" applyAlignment="1" applyProtection="1">
      <alignment horizontal="center"/>
      <protection hidden="1"/>
    </xf>
    <xf numFmtId="179" fontId="26" fillId="3" borderId="42" xfId="0" applyNumberFormat="1" applyFill="1" applyBorder="1" applyAlignment="1" applyProtection="1">
      <alignment horizontal="center"/>
      <protection hidden="1"/>
    </xf>
    <xf numFmtId="179" fontId="0" fillId="2" borderId="42" xfId="0" applyNumberFormat="1" applyFill="1" applyBorder="1" applyAlignment="1" applyProtection="1">
      <alignment horizontal="center"/>
      <protection locked="0"/>
    </xf>
    <xf numFmtId="0" fontId="5" fillId="2" borderId="42" xfId="0" applyFill="1" applyBorder="1" applyAlignment="1" applyProtection="1">
      <alignment horizontal="center"/>
      <protection locked="0"/>
    </xf>
    <xf numFmtId="185" fontId="0" fillId="2" borderId="42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protection hidden="1"/>
    </xf>
    <xf numFmtId="0" fontId="0" fillId="0" borderId="9" xfId="0" applyBorder="1" applyAlignment="1"/>
    <xf numFmtId="179" fontId="29" fillId="0" borderId="0" xfId="0" applyNumberFormat="1" applyFill="1" applyBorder="1" applyAlignment="1" applyProtection="1">
      <alignment horizontal="center"/>
      <protection hidden="1"/>
    </xf>
    <xf numFmtId="176" fontId="0" fillId="0" borderId="0" xfId="0" applyNumberFormat="1" applyFill="1" applyBorder="1" applyAlignment="1" applyProtection="1">
      <alignment horizontal="center"/>
      <protection hidden="1"/>
    </xf>
    <xf numFmtId="0" fontId="5" fillId="0" borderId="8" xfId="0" applyBorder="1" applyProtection="1">
      <protection locked="0"/>
    </xf>
    <xf numFmtId="0" fontId="0" fillId="0" borderId="0" xfId="0" applyAlignment="1" applyProtection="1">
      <protection locked="0"/>
    </xf>
    <xf numFmtId="179" fontId="29" fillId="0" borderId="0" xfId="0" applyNumberFormat="1" applyBorder="1" applyAlignment="1" applyProtection="1">
      <alignment horizontal="center"/>
      <protection hidden="1"/>
    </xf>
    <xf numFmtId="0" fontId="5" fillId="0" borderId="0" xfId="0" applyBorder="1" applyAlignment="1" applyProtection="1">
      <protection hidden="1"/>
    </xf>
    <xf numFmtId="14" fontId="23" fillId="0" borderId="0" xfId="0" applyNumberFormat="1" applyAlignment="1" applyProtection="1">
      <alignment horizontal="left"/>
      <protection hidden="1"/>
    </xf>
    <xf numFmtId="179" fontId="29" fillId="3" borderId="42" xfId="0" applyNumberForma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9" fillId="0" borderId="0" xfId="0" applyFill="1" applyBorder="1" applyAlignment="1" applyProtection="1">
      <alignment horizontal="center"/>
      <protection hidden="1"/>
    </xf>
    <xf numFmtId="185" fontId="29" fillId="3" borderId="42" xfId="0" applyNumberFormat="1" applyFill="1" applyBorder="1" applyAlignment="1" applyProtection="1">
      <alignment horizontal="center"/>
      <protection hidden="1"/>
    </xf>
    <xf numFmtId="185" fontId="29" fillId="0" borderId="0" xfId="0" applyNumberFormat="1" applyFill="1" applyBorder="1" applyAlignment="1" applyProtection="1">
      <alignment horizontal="center"/>
      <protection hidden="1"/>
    </xf>
    <xf numFmtId="0" fontId="29" fillId="0" borderId="0" xfId="0" applyBorder="1" applyAlignment="1" applyProtection="1">
      <alignment horizontal="center"/>
      <protection hidden="1"/>
    </xf>
    <xf numFmtId="0" fontId="7" fillId="0" borderId="0" xfId="0" applyProtection="1">
      <protection hidden="1"/>
    </xf>
    <xf numFmtId="0" fontId="26" fillId="0" borderId="0" xfId="0" applyProtection="1">
      <protection hidden="1"/>
    </xf>
    <xf numFmtId="0" fontId="15" fillId="0" borderId="0" xfId="0" applyProtection="1">
      <protection hidden="1"/>
    </xf>
    <xf numFmtId="0" fontId="45" fillId="0" borderId="0" xfId="0" applyProtection="1">
      <protection hidden="1"/>
    </xf>
    <xf numFmtId="0" fontId="46" fillId="0" borderId="0" xfId="0" applyProtection="1">
      <protection hidden="1"/>
    </xf>
    <xf numFmtId="179" fontId="0" fillId="0" borderId="0" xfId="0" applyNumberFormat="1" applyProtection="1">
      <protection hidden="1"/>
    </xf>
    <xf numFmtId="179" fontId="0" fillId="0" borderId="0" xfId="0" applyNumberFormat="1" applyFill="1" applyBorder="1" applyAlignment="1" applyProtection="1">
      <alignment horizontal="center"/>
      <protection hidden="1"/>
    </xf>
    <xf numFmtId="179" fontId="0" fillId="0" borderId="0" xfId="0" applyNumberFormat="1" applyFill="1" applyBorder="1" applyAlignment="1" applyProtection="1">
      <alignment horizontal="right"/>
      <protection hidden="1"/>
    </xf>
    <xf numFmtId="179" fontId="0" fillId="0" borderId="0" xfId="0" applyNumberFormat="1" applyFill="1" applyBorder="1" applyAlignment="1" applyProtection="1">
      <alignment horizontal="center" vertical="center"/>
      <protection hidden="1"/>
    </xf>
    <xf numFmtId="0" fontId="5" fillId="0" borderId="0" xfId="0" applyFill="1" applyBorder="1" applyAlignment="1" applyProtection="1">
      <alignment horizontal="left" vertical="center"/>
      <protection hidden="1"/>
    </xf>
    <xf numFmtId="179" fontId="0" fillId="0" borderId="0" xfId="0" applyNumberFormat="1" applyFill="1" applyBorder="1" applyAlignment="1" applyProtection="1">
      <alignment horizontal="right" vertical="top"/>
      <protection hidden="1"/>
    </xf>
    <xf numFmtId="185" fontId="0" fillId="0" borderId="0" xfId="0" applyNumberFormat="1" applyFill="1" applyBorder="1" applyAlignment="1" applyProtection="1">
      <alignment horizontal="center"/>
      <protection hidden="1"/>
    </xf>
    <xf numFmtId="179" fontId="0" fillId="0" borderId="0" xfId="0" applyNumberFormat="1" applyFill="1" applyBorder="1" applyAlignment="1" applyProtection="1">
      <protection hidden="1"/>
    </xf>
    <xf numFmtId="0" fontId="5" fillId="0" borderId="0" xfId="0" applyFill="1" applyBorder="1" applyAlignment="1" applyProtection="1">
      <alignment horizontal="center" vertical="top"/>
      <protection hidden="1"/>
    </xf>
    <xf numFmtId="0" fontId="25" fillId="0" borderId="0" xfId="0" applyFill="1" applyBorder="1" applyAlignment="1" applyProtection="1">
      <alignment horizontal="right" vertical="top"/>
      <protection hidden="1"/>
    </xf>
    <xf numFmtId="0" fontId="47" fillId="0" borderId="0" xfId="0" applyFill="1" applyBorder="1" applyAlignment="1" applyProtection="1">
      <protection hidden="1"/>
    </xf>
    <xf numFmtId="0" fontId="5" fillId="0" borderId="10" xfId="0" applyBorder="1" applyProtection="1">
      <protection hidden="1"/>
    </xf>
    <xf numFmtId="0" fontId="31" fillId="0" borderId="0" xfId="0" applyAlignment="1" applyProtection="1">
      <alignment vertical="center"/>
      <protection hidden="1"/>
    </xf>
    <xf numFmtId="179" fontId="18" fillId="0" borderId="0" xfId="0" applyNumberFormat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vertical="top"/>
      <protection hidden="1"/>
    </xf>
    <xf numFmtId="0" fontId="0" fillId="0" borderId="10" xfId="0" applyFill="1" applyBorder="1" applyProtection="1">
      <protection locked="0"/>
    </xf>
    <xf numFmtId="179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179" fontId="0" fillId="0" borderId="0" xfId="0" applyNumberForma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79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85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181" fontId="30" fillId="0" borderId="0" xfId="0" applyNumberFormat="1" applyAlignment="1" applyProtection="1">
      <alignment vertical="center"/>
      <protection hidden="1"/>
    </xf>
    <xf numFmtId="0" fontId="0" fillId="0" borderId="22" xfId="0" applyBorder="1" applyAlignment="1"/>
    <xf numFmtId="179" fontId="18" fillId="0" borderId="0" xfId="0" applyNumberFormat="1" applyAlignment="1" applyProtection="1">
      <alignment horizontal="left"/>
      <protection hidden="1"/>
    </xf>
    <xf numFmtId="0" fontId="29" fillId="0" borderId="0" xfId="0" applyFill="1" applyBorder="1" applyAlignment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25" fillId="0" borderId="0" xfId="0" applyFill="1" applyBorder="1" applyAlignment="1">
      <alignment horizontal="right" vertical="top"/>
    </xf>
    <xf numFmtId="0" fontId="0" fillId="0" borderId="62" xfId="0" applyBorder="1" applyProtection="1">
      <protection hidden="1"/>
    </xf>
    <xf numFmtId="0" fontId="0" fillId="0" borderId="63" xfId="0" applyBorder="1" applyProtection="1">
      <protection hidden="1"/>
    </xf>
    <xf numFmtId="0" fontId="0" fillId="0" borderId="64" xfId="0" applyBorder="1" applyProtection="1">
      <protection hidden="1"/>
    </xf>
    <xf numFmtId="0" fontId="0" fillId="0" borderId="65" xfId="0" applyBorder="1" applyProtection="1"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66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67" xfId="0" applyBorder="1" applyProtection="1">
      <protection hidden="1"/>
    </xf>
    <xf numFmtId="0" fontId="0" fillId="0" borderId="20" xfId="0" applyBorder="1" applyProtection="1">
      <protection hidden="1"/>
    </xf>
    <xf numFmtId="0" fontId="29" fillId="0" borderId="19" xfId="0" applyBorder="1" applyProtection="1">
      <protection hidden="1"/>
    </xf>
    <xf numFmtId="179" fontId="31" fillId="0" borderId="0" xfId="0" applyNumberFormat="1" applyAlignment="1" applyProtection="1">
      <alignment horizontal="center"/>
      <protection hidden="1"/>
    </xf>
    <xf numFmtId="0" fontId="31" fillId="0" borderId="0" xfId="0" applyAlignment="1"/>
    <xf numFmtId="179" fontId="18" fillId="0" borderId="0" xfId="0" applyNumberFormat="1" applyBorder="1" applyProtection="1">
      <protection hidden="1"/>
    </xf>
    <xf numFmtId="0" fontId="29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locked="0"/>
    </xf>
    <xf numFmtId="0" fontId="48" fillId="0" borderId="0" xfId="0" applyBorder="1" applyAlignment="1" applyProtection="1">
      <alignment horizontal="left" vertical="center"/>
      <protection hidden="1"/>
    </xf>
    <xf numFmtId="0" fontId="0" fillId="2" borderId="42" xfId="0" applyFill="1" applyBorder="1" applyAlignment="1" applyProtection="1">
      <alignment horizontal="center"/>
      <protection locked="0" hidden="1"/>
    </xf>
    <xf numFmtId="0" fontId="0" fillId="0" borderId="68" xfId="0" applyBorder="1" applyProtection="1">
      <protection hidden="1"/>
    </xf>
    <xf numFmtId="0" fontId="0" fillId="0" borderId="20" xfId="0" applyBorder="1" applyAlignment="1" applyProtection="1">
      <alignment horizontal="right"/>
      <protection hidden="1"/>
    </xf>
    <xf numFmtId="0" fontId="0" fillId="0" borderId="69" xfId="0" applyBorder="1" applyProtection="1">
      <protection hidden="1"/>
    </xf>
    <xf numFmtId="0" fontId="0" fillId="0" borderId="70" xfId="0" applyBorder="1" applyProtection="1">
      <protection hidden="1"/>
    </xf>
    <xf numFmtId="0" fontId="5" fillId="0" borderId="70" xfId="0" applyBorder="1" applyProtection="1">
      <protection hidden="1"/>
    </xf>
    <xf numFmtId="0" fontId="0" fillId="0" borderId="71" xfId="0" applyBorder="1" applyProtection="1">
      <protection hidden="1"/>
    </xf>
    <xf numFmtId="0" fontId="5" fillId="0" borderId="72" xfId="0" applyFill="1" applyBorder="1" applyProtection="1">
      <protection hidden="1"/>
    </xf>
    <xf numFmtId="0" fontId="0" fillId="0" borderId="19" xfId="0" applyBorder="1" applyProtection="1">
      <protection hidden="1"/>
    </xf>
    <xf numFmtId="0" fontId="0" fillId="0" borderId="73" xfId="0" applyBorder="1" applyProtection="1">
      <protection hidden="1"/>
    </xf>
    <xf numFmtId="0" fontId="34" fillId="0" borderId="0" xfId="0" applyBorder="1" applyAlignment="1" applyProtection="1">
      <alignment horizontal="right"/>
      <protection hidden="1"/>
    </xf>
    <xf numFmtId="0" fontId="0" fillId="0" borderId="10" xfId="0" applyBorder="1" applyProtection="1">
      <protection locked="0" hidden="1"/>
    </xf>
    <xf numFmtId="0" fontId="0" fillId="0" borderId="0" xfId="0" applyBorder="1" applyProtection="1">
      <protection locked="0" hidden="1"/>
    </xf>
    <xf numFmtId="0" fontId="23" fillId="0" borderId="0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12" xfId="0" applyBorder="1" applyProtection="1">
      <protection locked="0" hidden="1"/>
    </xf>
    <xf numFmtId="0" fontId="0" fillId="0" borderId="22" xfId="0" applyBorder="1" applyProtection="1">
      <protection locked="0" hidden="1"/>
    </xf>
    <xf numFmtId="0" fontId="0" fillId="0" borderId="23" xfId="0" applyBorder="1" applyProtection="1">
      <protection locked="0" hidden="1"/>
    </xf>
    <xf numFmtId="0" fontId="17" fillId="0" borderId="8" xfId="0" applyBorder="1" applyProtection="1">
      <protection hidden="1"/>
    </xf>
    <xf numFmtId="179" fontId="0" fillId="3" borderId="41" xfId="0" applyNumberFormat="1" applyFill="1" applyBorder="1" applyAlignment="1" applyProtection="1">
      <alignment horizontal="center" vertical="center"/>
      <protection hidden="1"/>
    </xf>
    <xf numFmtId="0" fontId="5" fillId="3" borderId="41" xfId="0" applyFill="1" applyBorder="1" applyAlignment="1" applyProtection="1">
      <alignment horizontal="center" vertical="center"/>
      <protection hidden="1"/>
    </xf>
    <xf numFmtId="0" fontId="0" fillId="2" borderId="41" xfId="0" applyNumberFormat="1" applyFill="1" applyBorder="1" applyAlignment="1" applyProtection="1">
      <alignment horizontal="center" vertical="center"/>
      <protection locked="0"/>
    </xf>
    <xf numFmtId="184" fontId="0" fillId="3" borderId="41" xfId="0" applyNumberFormat="1" applyFill="1" applyBorder="1" applyAlignment="1" applyProtection="1">
      <alignment horizontal="center" vertical="center"/>
      <protection hidden="1"/>
    </xf>
    <xf numFmtId="0" fontId="17" fillId="0" borderId="9" xfId="0" applyBorder="1" applyProtection="1">
      <protection hidden="1"/>
    </xf>
    <xf numFmtId="179" fontId="0" fillId="3" borderId="41" xfId="0" applyNumberFormat="1" applyFill="1" applyBorder="1" applyAlignment="1" applyProtection="1">
      <alignment horizontal="center"/>
      <protection hidden="1"/>
    </xf>
    <xf numFmtId="0" fontId="1" fillId="0" borderId="0" xfId="0" applyBorder="1" applyProtection="1">
      <protection hidden="1"/>
    </xf>
    <xf numFmtId="0" fontId="11" fillId="0" borderId="0" xfId="0" applyFill="1" applyBorder="1" applyAlignment="1" applyProtection="1">
      <alignment horizontal="center" vertical="top"/>
      <protection hidden="1"/>
    </xf>
    <xf numFmtId="0" fontId="11" fillId="0" borderId="0" xfId="0" applyFill="1" applyBorder="1" applyAlignment="1" applyProtection="1">
      <alignment horizontal="center"/>
      <protection hidden="1"/>
    </xf>
    <xf numFmtId="183" fontId="7" fillId="0" borderId="9" xfId="0" applyNumberFormat="1" applyBorder="1" applyAlignment="1" applyProtection="1">
      <protection locked="0"/>
    </xf>
    <xf numFmtId="0" fontId="26" fillId="0" borderId="9" xfId="0" applyBorder="1" applyProtection="1">
      <protection locked="0"/>
    </xf>
    <xf numFmtId="0" fontId="26" fillId="0" borderId="9" xfId="0" applyBorder="1" applyAlignment="1" applyProtection="1">
      <alignment horizontal="right"/>
      <protection locked="0"/>
    </xf>
    <xf numFmtId="183" fontId="7" fillId="0" borderId="0" xfId="0" applyNumberFormat="1" applyBorder="1" applyAlignment="1" applyProtection="1">
      <protection locked="0"/>
    </xf>
    <xf numFmtId="0" fontId="26" fillId="0" borderId="0" xfId="0" applyBorder="1" applyProtection="1">
      <protection locked="0"/>
    </xf>
    <xf numFmtId="0" fontId="0" fillId="0" borderId="22" xfId="0" applyBorder="1" applyAlignment="1" applyProtection="1">
      <alignment horizontal="left" vertical="center"/>
      <protection hidden="1"/>
    </xf>
    <xf numFmtId="180" fontId="26" fillId="3" borderId="3" xfId="0" applyNumberFormat="1" applyFill="1" applyBorder="1" applyAlignment="1" applyProtection="1">
      <alignment horizontal="right" vertical="center"/>
      <protection hidden="1"/>
    </xf>
    <xf numFmtId="180" fontId="26" fillId="3" borderId="74" xfId="0" applyNumberFormat="1" applyFill="1" applyBorder="1" applyAlignment="1" applyProtection="1">
      <alignment horizontal="left" vertical="center"/>
      <protection hidden="1"/>
    </xf>
    <xf numFmtId="0" fontId="7" fillId="0" borderId="22" xfId="0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7" fillId="0" borderId="9" xfId="0" applyBorder="1" applyProtection="1">
      <protection locked="0"/>
    </xf>
    <xf numFmtId="183" fontId="5" fillId="0" borderId="21" xfId="0" applyNumberFormat="1" applyBorder="1" applyAlignment="1" applyProtection="1">
      <protection locked="0"/>
    </xf>
    <xf numFmtId="0" fontId="7" fillId="0" borderId="0" xfId="0" applyBorder="1" applyProtection="1">
      <protection locked="0"/>
    </xf>
    <xf numFmtId="183" fontId="5" fillId="0" borderId="22" xfId="0" applyNumberFormat="1" applyBorder="1" applyAlignment="1" applyProtection="1">
      <protection locked="0"/>
    </xf>
    <xf numFmtId="0" fontId="30" fillId="0" borderId="0" xfId="0" applyAlignment="1" applyProtection="1">
      <protection hidden="1"/>
    </xf>
    <xf numFmtId="0" fontId="48" fillId="0" borderId="12" xfId="0" applyBorder="1" applyAlignment="1" applyProtection="1">
      <alignment vertical="center"/>
      <protection hidden="1"/>
    </xf>
    <xf numFmtId="0" fontId="0" fillId="0" borderId="8" xfId="0" applyFill="1" applyBorder="1" applyAlignment="1" applyProtection="1">
      <protection hidden="1"/>
    </xf>
    <xf numFmtId="0" fontId="0" fillId="0" borderId="9" xfId="0" applyFill="1" applyBorder="1" applyAlignment="1" applyProtection="1">
      <protection hidden="1"/>
    </xf>
    <xf numFmtId="0" fontId="35" fillId="0" borderId="9" xfId="0" applyFill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0" fontId="35" fillId="0" borderId="0" xfId="0" applyFill="1" applyBorder="1" applyAlignment="1" applyProtection="1">
      <alignment horizontal="center"/>
      <protection hidden="1"/>
    </xf>
    <xf numFmtId="179" fontId="0" fillId="4" borderId="41" xfId="0" applyNumberFormat="1" applyFill="1" applyBorder="1" applyAlignment="1" applyProtection="1">
      <alignment horizontal="center" vertical="center"/>
      <protection hidden="1"/>
    </xf>
    <xf numFmtId="179" fontId="15" fillId="0" borderId="0" xfId="0" applyNumberFormat="1" applyFill="1" applyBorder="1" applyAlignment="1" applyProtection="1">
      <protection hidden="1"/>
    </xf>
    <xf numFmtId="185" fontId="0" fillId="0" borderId="0" xfId="0" applyNumberFormat="1" applyFill="1" applyBorder="1" applyAlignment="1" applyProtection="1">
      <alignment horizontal="center" vertical="center"/>
      <protection hidden="1"/>
    </xf>
    <xf numFmtId="0" fontId="15" fillId="0" borderId="0" xfId="0" applyFill="1" applyBorder="1" applyAlignment="1" applyProtection="1">
      <protection hidden="1"/>
    </xf>
    <xf numFmtId="0" fontId="16" fillId="0" borderId="0" xfId="0" applyFill="1" applyBorder="1" applyAlignment="1" applyProtection="1">
      <alignment horizontal="center"/>
      <protection hidden="1"/>
    </xf>
    <xf numFmtId="181" fontId="0" fillId="3" borderId="41" xfId="0" applyNumberFormat="1" applyFill="1" applyBorder="1" applyAlignment="1" applyProtection="1">
      <alignment horizontal="center" vertical="center"/>
      <protection locked="0"/>
    </xf>
    <xf numFmtId="179" fontId="0" fillId="3" borderId="41" xfId="0" applyNumberFormat="1" applyFill="1" applyBorder="1" applyAlignment="1" applyProtection="1">
      <alignment horizontal="right" vertical="center"/>
      <protection hidden="1"/>
    </xf>
    <xf numFmtId="179" fontId="0" fillId="4" borderId="75" xfId="0" applyNumberFormat="1" applyFill="1" applyBorder="1" applyAlignment="1" applyProtection="1">
      <alignment horizontal="center" vertical="center"/>
      <protection hidden="1"/>
    </xf>
    <xf numFmtId="0" fontId="5" fillId="3" borderId="76" xfId="0" applyFill="1" applyBorder="1" applyAlignment="1" applyProtection="1">
      <alignment horizontal="right" vertical="center"/>
      <protection hidden="1"/>
    </xf>
    <xf numFmtId="0" fontId="0" fillId="3" borderId="77" xfId="0" applyNumberFormat="1" applyFill="1" applyBorder="1" applyAlignment="1" applyProtection="1">
      <alignment horizontal="center" vertical="center"/>
      <protection hidden="1"/>
    </xf>
    <xf numFmtId="0" fontId="11" fillId="3" borderId="77" xfId="0" applyNumberFormat="1" applyFill="1" applyBorder="1" applyAlignment="1" applyProtection="1">
      <alignment horizontal="center" vertical="center"/>
      <protection hidden="1"/>
    </xf>
    <xf numFmtId="179" fontId="0" fillId="2" borderId="41" xfId="0" applyNumberFormat="1" applyFill="1" applyBorder="1" applyAlignment="1" applyProtection="1">
      <alignment horizontal="center" vertical="center"/>
      <protection locked="0"/>
    </xf>
    <xf numFmtId="0" fontId="5" fillId="0" borderId="0" xfId="0" applyFill="1" applyBorder="1" applyAlignment="1" applyProtection="1">
      <alignment horizontal="right" vertical="center"/>
      <protection hidden="1"/>
    </xf>
    <xf numFmtId="0" fontId="0" fillId="0" borderId="11" xfId="0" applyFill="1" applyBorder="1" applyAlignment="1" applyProtection="1">
      <protection hidden="1"/>
    </xf>
    <xf numFmtId="0" fontId="0" fillId="0" borderId="12" xfId="0" applyFill="1" applyBorder="1" applyAlignment="1" applyProtection="1">
      <protection hidden="1"/>
    </xf>
    <xf numFmtId="0" fontId="39" fillId="0" borderId="0" xfId="0" applyFill="1" applyBorder="1" applyAlignment="1" applyProtection="1">
      <alignment horizontal="left" vertical="center"/>
      <protection hidden="1"/>
    </xf>
    <xf numFmtId="0" fontId="0" fillId="0" borderId="10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179" fontId="30" fillId="0" borderId="0" xfId="0" applyNumberFormat="1" applyBorder="1" applyAlignment="1" applyProtection="1">
      <alignment horizontal="center"/>
      <protection hidden="1"/>
    </xf>
    <xf numFmtId="0" fontId="30" fillId="0" borderId="0" xfId="0" applyBorder="1" applyAlignment="1" applyProtection="1">
      <alignment horizontal="center"/>
      <protection hidden="1"/>
    </xf>
    <xf numFmtId="0" fontId="5" fillId="0" borderId="9" xfId="0" applyFill="1" applyBorder="1" applyAlignment="1" applyProtection="1">
      <protection hidden="1"/>
    </xf>
    <xf numFmtId="0" fontId="0" fillId="0" borderId="78" xfId="0" applyFill="1" applyBorder="1" applyAlignment="1" applyProtection="1">
      <alignment vertical="center"/>
      <protection hidden="1"/>
    </xf>
    <xf numFmtId="0" fontId="0" fillId="0" borderId="79" xfId="0" applyFill="1" applyBorder="1" applyAlignment="1" applyProtection="1">
      <alignment vertical="center"/>
      <protection hidden="1"/>
    </xf>
    <xf numFmtId="49" fontId="48" fillId="0" borderId="58" xfId="0" applyNumberFormat="1" applyBorder="1" applyAlignment="1" applyProtection="1">
      <alignment horizontal="center"/>
      <protection hidden="1"/>
    </xf>
    <xf numFmtId="0" fontId="0" fillId="0" borderId="80" xfId="0" applyFill="1" applyBorder="1" applyProtection="1">
      <protection hidden="1"/>
    </xf>
    <xf numFmtId="49" fontId="48" fillId="0" borderId="59" xfId="0" applyNumberFormat="1" applyBorder="1" applyAlignment="1" applyProtection="1">
      <alignment horizontal="center"/>
      <protection hidden="1"/>
    </xf>
    <xf numFmtId="49" fontId="48" fillId="0" borderId="60" xfId="0" applyNumberFormat="1" applyBorder="1" applyAlignment="1" applyProtection="1">
      <alignment horizontal="center"/>
      <protection hidden="1"/>
    </xf>
    <xf numFmtId="0" fontId="0" fillId="0" borderId="81" xfId="0" applyFill="1" applyBorder="1" applyProtection="1">
      <protection hidden="1"/>
    </xf>
    <xf numFmtId="49" fontId="5" fillId="0" borderId="0" xfId="0" applyNumberFormat="1" applyBorder="1" applyAlignment="1" applyProtection="1">
      <alignment horizontal="center"/>
      <protection hidden="1"/>
    </xf>
    <xf numFmtId="0" fontId="5" fillId="0" borderId="9" xfId="0" applyFill="1" applyBorder="1" applyAlignment="1" applyProtection="1">
      <protection locked="0"/>
    </xf>
    <xf numFmtId="0" fontId="0" fillId="0" borderId="9" xfId="0" applyFill="1" applyBorder="1" applyAlignment="1" applyProtection="1">
      <alignment horizontal="right"/>
      <protection locked="0"/>
    </xf>
    <xf numFmtId="0" fontId="0" fillId="0" borderId="9" xfId="0" applyFill="1" applyBorder="1" applyAlignment="1" applyProtection="1">
      <protection locked="0"/>
    </xf>
    <xf numFmtId="49" fontId="5" fillId="0" borderId="9" xfId="0" applyNumberFormat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21" xfId="0" applyFill="1" applyBorder="1" applyAlignment="1" applyProtection="1">
      <protection hidden="1"/>
    </xf>
    <xf numFmtId="0" fontId="0" fillId="2" borderId="79" xfId="0" applyFill="1" applyBorder="1" applyAlignment="1" applyProtection="1">
      <alignment horizontal="center" vertical="center"/>
      <protection locked="0"/>
    </xf>
    <xf numFmtId="0" fontId="0" fillId="0" borderId="82" xfId="0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protection hidden="1"/>
    </xf>
    <xf numFmtId="0" fontId="0" fillId="0" borderId="83" xfId="0" applyFill="1" applyBorder="1" applyAlignment="1" applyProtection="1">
      <alignment horizontal="center" vertical="center"/>
      <protection hidden="1"/>
    </xf>
    <xf numFmtId="49" fontId="48" fillId="0" borderId="84" xfId="0" applyNumberFormat="1" applyBorder="1" applyAlignment="1" applyProtection="1">
      <alignment horizontal="center"/>
      <protection hidden="1"/>
    </xf>
    <xf numFmtId="0" fontId="0" fillId="0" borderId="85" xfId="0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left" vertical="center"/>
      <protection hidden="1"/>
    </xf>
    <xf numFmtId="0" fontId="0" fillId="0" borderId="71" xfId="0" applyFill="1" applyBorder="1" applyAlignment="1" applyProtection="1">
      <alignment horizontal="center" vertical="center"/>
      <protection hidden="1"/>
    </xf>
    <xf numFmtId="49" fontId="48" fillId="0" borderId="70" xfId="0" applyNumberFormat="1" applyBorder="1" applyAlignment="1" applyProtection="1">
      <alignment horizontal="center"/>
      <protection hidden="1"/>
    </xf>
    <xf numFmtId="0" fontId="0" fillId="0" borderId="29" xfId="0" applyFill="1" applyBorder="1" applyAlignment="1" applyProtection="1">
      <alignment horizontal="center" vertical="center"/>
      <protection hidden="1"/>
    </xf>
    <xf numFmtId="0" fontId="7" fillId="0" borderId="22" xfId="0" applyFill="1" applyBorder="1" applyAlignment="1" applyProtection="1">
      <alignment horizontal="left" vertical="center"/>
      <protection hidden="1"/>
    </xf>
    <xf numFmtId="0" fontId="5" fillId="0" borderId="20" xfId="0" applyBorder="1" applyProtection="1">
      <protection hidden="1"/>
    </xf>
    <xf numFmtId="0" fontId="7" fillId="0" borderId="0" xfId="0" applyBorder="1" applyProtection="1">
      <protection hidden="1"/>
    </xf>
    <xf numFmtId="0" fontId="26" fillId="0" borderId="0" xfId="0" applyBorder="1" applyProtection="1">
      <protection hidden="1"/>
    </xf>
    <xf numFmtId="0" fontId="11" fillId="0" borderId="71" xfId="0" applyFill="1" applyBorder="1" applyAlignment="1" applyProtection="1">
      <alignment horizontal="center" vertical="center"/>
      <protection hidden="1"/>
    </xf>
    <xf numFmtId="0" fontId="0" fillId="0" borderId="86" xfId="0" applyFill="1" applyBorder="1" applyAlignment="1" applyProtection="1">
      <alignment horizontal="center" vertical="center"/>
      <protection hidden="1"/>
    </xf>
    <xf numFmtId="49" fontId="48" fillId="0" borderId="87" xfId="0" applyNumberFormat="1" applyBorder="1" applyAlignment="1" applyProtection="1">
      <alignment horizontal="center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72" xfId="0" applyBorder="1" applyProtection="1">
      <protection hidden="1"/>
    </xf>
    <xf numFmtId="180" fontId="0" fillId="0" borderId="9" xfId="0" applyNumberFormat="1" applyFill="1" applyBorder="1" applyAlignment="1" applyProtection="1">
      <alignment horizontal="left" vertical="center"/>
      <protection locked="0"/>
    </xf>
    <xf numFmtId="0" fontId="7" fillId="0" borderId="21" xfId="0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/>
      <protection locked="0"/>
    </xf>
    <xf numFmtId="0" fontId="5" fillId="0" borderId="69" xfId="0" applyBorder="1" applyProtection="1">
      <protection hidden="1"/>
    </xf>
    <xf numFmtId="0" fontId="7" fillId="0" borderId="71" xfId="0" applyBorder="1" applyProtection="1">
      <protection hidden="1"/>
    </xf>
    <xf numFmtId="0" fontId="26" fillId="0" borderId="71" xfId="0" applyBorder="1" applyProtection="1">
      <protection hidden="1"/>
    </xf>
    <xf numFmtId="0" fontId="15" fillId="0" borderId="9" xfId="0" applyFill="1" applyBorder="1" applyAlignment="1" applyProtection="1">
      <protection hidden="1"/>
    </xf>
    <xf numFmtId="185" fontId="0" fillId="2" borderId="41" xfId="0" applyNumberFormat="1" applyFill="1" applyBorder="1" applyAlignment="1" applyProtection="1">
      <alignment horizontal="center" vertical="center"/>
      <protection locked="0"/>
    </xf>
    <xf numFmtId="180" fontId="39" fillId="0" borderId="0" xfId="0" applyNumberFormat="1" applyFill="1" applyBorder="1" applyAlignment="1" applyProtection="1">
      <alignment horizontal="center" vertical="center"/>
      <protection hidden="1"/>
    </xf>
    <xf numFmtId="0" fontId="29" fillId="0" borderId="0" xfId="0" applyAlignment="1">
      <alignment horizontal="center" vertical="center"/>
    </xf>
    <xf numFmtId="0" fontId="48" fillId="0" borderId="0" xfId="0" applyAlignment="1" applyProtection="1">
      <alignment vertical="center"/>
      <protection hidden="1"/>
    </xf>
    <xf numFmtId="0" fontId="0" fillId="0" borderId="88" xfId="0" applyFill="1" applyBorder="1" applyAlignment="1" applyProtection="1">
      <alignment vertical="center"/>
      <protection hidden="1"/>
    </xf>
    <xf numFmtId="49" fontId="48" fillId="0" borderId="89" xfId="0" applyNumberFormat="1" applyBorder="1" applyAlignment="1" applyProtection="1">
      <alignment horizontal="center"/>
      <protection hidden="1"/>
    </xf>
    <xf numFmtId="49" fontId="48" fillId="0" borderId="90" xfId="0" applyNumberFormat="1" applyBorder="1" applyAlignment="1" applyProtection="1">
      <alignment horizontal="center"/>
      <protection hidden="1"/>
    </xf>
    <xf numFmtId="49" fontId="48" fillId="0" borderId="91" xfId="0" applyNumberForma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0" fontId="0" fillId="0" borderId="9" xfId="0" applyFill="1" applyBorder="1" applyAlignment="1" applyProtection="1">
      <alignment vertical="center"/>
      <protection locked="0"/>
    </xf>
    <xf numFmtId="0" fontId="18" fillId="0" borderId="9" xfId="0" applyFill="1" applyBorder="1" applyAlignment="1" applyProtection="1">
      <alignment horizontal="center" vertical="center"/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18" fillId="0" borderId="0" xfId="0" applyFill="1" applyBorder="1" applyAlignment="1" applyProtection="1">
      <alignment horizontal="center" vertical="center"/>
      <protection locked="0"/>
    </xf>
    <xf numFmtId="49" fontId="5" fillId="0" borderId="0" xfId="0" applyNumberFormat="1" applyBorder="1" applyAlignment="1" applyProtection="1">
      <alignment horizontal="center"/>
      <protection locked="0"/>
    </xf>
    <xf numFmtId="0" fontId="5" fillId="0" borderId="10" xfId="0" applyFill="1" applyBorder="1" applyAlignment="1" applyProtection="1">
      <protection locked="0"/>
    </xf>
    <xf numFmtId="0" fontId="26" fillId="0" borderId="0" xfId="0" applyFill="1" applyBorder="1" applyAlignment="1" applyProtection="1">
      <alignment horizontal="right"/>
      <protection locked="0"/>
    </xf>
    <xf numFmtId="0" fontId="0" fillId="0" borderId="10" xfId="0" applyFill="1" applyBorder="1" applyAlignment="1" applyProtection="1">
      <alignment horizontal="right"/>
      <protection locked="0"/>
    </xf>
    <xf numFmtId="0" fontId="0" fillId="0" borderId="11" xfId="0" applyFill="1" applyBorder="1" applyAlignment="1" applyProtection="1">
      <protection locked="0"/>
    </xf>
    <xf numFmtId="0" fontId="0" fillId="0" borderId="12" xfId="0" applyFill="1" applyBorder="1" applyAlignment="1" applyProtection="1">
      <protection locked="0"/>
    </xf>
    <xf numFmtId="180" fontId="0" fillId="0" borderId="29" xfId="0" applyNumberFormat="1" applyFill="1" applyBorder="1" applyAlignment="1" applyProtection="1">
      <alignment horizontal="center" vertical="center"/>
      <protection hidden="1"/>
    </xf>
    <xf numFmtId="0" fontId="0" fillId="0" borderId="61" xfId="0" applyBorder="1" applyAlignment="1" applyProtection="1">
      <alignment horizontal="center"/>
      <protection hidden="1"/>
    </xf>
    <xf numFmtId="180" fontId="0" fillId="0" borderId="0" xfId="0" applyNumberFormat="1" applyFill="1" applyBorder="1" applyAlignment="1" applyProtection="1">
      <alignment horizontal="left" vertical="center"/>
      <protection locked="0"/>
    </xf>
    <xf numFmtId="0" fontId="7" fillId="0" borderId="22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protection locked="0"/>
    </xf>
    <xf numFmtId="0" fontId="7" fillId="0" borderId="0" xfId="0" applyFill="1" applyBorder="1" applyAlignment="1" applyProtection="1">
      <protection locked="0"/>
    </xf>
    <xf numFmtId="183" fontId="5" fillId="0" borderId="22" xfId="0" applyNumberFormat="1" applyFill="1" applyBorder="1" applyAlignment="1" applyProtection="1">
      <protection locked="0"/>
    </xf>
    <xf numFmtId="0" fontId="0" fillId="0" borderId="23" xfId="0" applyFill="1" applyBorder="1" applyAlignment="1" applyProtection="1">
      <protection locked="0"/>
    </xf>
    <xf numFmtId="0" fontId="30" fillId="0" borderId="0" xfId="0" applyAlignment="1" applyProtection="1">
      <alignment horizontal="center"/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0" fontId="29" fillId="2" borderId="92" xfId="0" applyFill="1" applyBorder="1" applyAlignment="1" applyProtection="1">
      <alignment horizontal="center"/>
      <protection locked="0"/>
    </xf>
    <xf numFmtId="0" fontId="26" fillId="0" borderId="92" xfId="0" applyFill="1" applyBorder="1" applyAlignment="1" applyProtection="1">
      <alignment horizontal="center"/>
      <protection hidden="1"/>
    </xf>
    <xf numFmtId="0" fontId="26" fillId="0" borderId="92" xfId="0" applyFill="1" applyBorder="1" applyAlignment="1" applyProtection="1">
      <alignment horizontal="right" vertical="center"/>
      <protection hidden="1"/>
    </xf>
    <xf numFmtId="0" fontId="7" fillId="0" borderId="93" xfId="0" applyBorder="1" applyProtection="1">
      <protection hidden="1"/>
    </xf>
    <xf numFmtId="0" fontId="0" fillId="0" borderId="94" xfId="0" applyFill="1" applyBorder="1" applyAlignment="1" applyProtection="1">
      <alignment vertical="top"/>
      <protection hidden="1"/>
    </xf>
    <xf numFmtId="0" fontId="36" fillId="0" borderId="74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49" fontId="5" fillId="0" borderId="94" xfId="0" applyNumberFormat="1" applyFill="1" applyBorder="1" applyAlignment="1" applyProtection="1">
      <alignment horizontal="center" vertical="top"/>
      <protection hidden="1"/>
    </xf>
    <xf numFmtId="0" fontId="0" fillId="0" borderId="74" xfId="0" applyFill="1" applyBorder="1" applyAlignment="1" applyProtection="1">
      <alignment horizontal="center" vertical="center"/>
      <protection hidden="1"/>
    </xf>
    <xf numFmtId="0" fontId="5" fillId="0" borderId="42" xfId="0" applyFill="1" applyBorder="1" applyAlignment="1" applyProtection="1">
      <alignment horizontal="center" vertical="center"/>
      <protection hidden="1"/>
    </xf>
    <xf numFmtId="49" fontId="5" fillId="0" borderId="95" xfId="0" applyNumberFormat="1" applyFill="1" applyBorder="1" applyAlignment="1" applyProtection="1">
      <alignment horizontal="center" vertical="top"/>
      <protection hidden="1"/>
    </xf>
    <xf numFmtId="0" fontId="0" fillId="0" borderId="15" xfId="0" applyFill="1" applyBorder="1" applyAlignment="1" applyProtection="1">
      <alignment horizontal="center" vertical="center"/>
      <protection hidden="1"/>
    </xf>
    <xf numFmtId="0" fontId="5" fillId="0" borderId="96" xfId="0" applyFill="1" applyBorder="1" applyAlignment="1" applyProtection="1">
      <alignment horizontal="center" vertical="center"/>
      <protection hidden="1"/>
    </xf>
    <xf numFmtId="0" fontId="29" fillId="2" borderId="11" xfId="0" applyFill="1" applyBorder="1" applyAlignment="1" applyProtection="1">
      <alignment horizontal="center"/>
      <protection locked="0"/>
    </xf>
    <xf numFmtId="180" fontId="29" fillId="2" borderId="97" xfId="0" applyNumberFormat="1" applyFill="1" applyBorder="1" applyAlignment="1" applyProtection="1">
      <alignment horizontal="center" vertical="center"/>
      <protection locked="0"/>
    </xf>
    <xf numFmtId="185" fontId="29" fillId="2" borderId="97" xfId="0" applyNumberFormat="1" applyFill="1" applyBorder="1" applyAlignment="1" applyProtection="1">
      <alignment horizontal="center"/>
      <protection locked="0"/>
    </xf>
    <xf numFmtId="185" fontId="29" fillId="2" borderId="97" xfId="0" applyNumberFormat="1" applyFill="1" applyBorder="1" applyAlignment="1" applyProtection="1">
      <alignment horizontal="center" vertical="center"/>
      <protection locked="0"/>
    </xf>
    <xf numFmtId="0" fontId="5" fillId="0" borderId="97" xfId="0" applyFill="1" applyBorder="1" applyAlignment="1" applyProtection="1">
      <alignment vertical="center"/>
      <protection hidden="1"/>
    </xf>
    <xf numFmtId="0" fontId="29" fillId="2" borderId="9" xfId="0" applyFill="1" applyBorder="1" applyAlignment="1" applyProtection="1">
      <alignment horizontal="center" vertical="center"/>
      <protection locked="0"/>
    </xf>
    <xf numFmtId="0" fontId="15" fillId="0" borderId="10" xfId="0" applyFill="1" applyBorder="1" applyAlignment="1" applyProtection="1">
      <alignment vertical="center"/>
      <protection locked="0"/>
    </xf>
    <xf numFmtId="0" fontId="15" fillId="0" borderId="0" xfId="0" applyFill="1" applyBorder="1" applyAlignment="1" applyProtection="1">
      <alignment vertical="center"/>
      <protection locked="0"/>
    </xf>
    <xf numFmtId="178" fontId="0" fillId="0" borderId="0" xfId="0" applyNumberFormat="1" applyProtection="1">
      <protection hidden="1"/>
    </xf>
    <xf numFmtId="180" fontId="28" fillId="0" borderId="0" xfId="0" applyNumberFormat="1" applyAlignment="1" applyProtection="1">
      <alignment horizontal="center" vertical="top"/>
      <protection hidden="1"/>
    </xf>
    <xf numFmtId="0" fontId="28" fillId="0" borderId="0" xfId="0" applyAlignment="1" applyProtection="1">
      <alignment horizontal="left" vertical="top"/>
      <protection hidden="1"/>
    </xf>
    <xf numFmtId="0" fontId="28" fillId="0" borderId="0" xfId="0" applyAlignment="1" applyProtection="1">
      <alignment vertical="top"/>
      <protection hidden="1"/>
    </xf>
    <xf numFmtId="0" fontId="0" fillId="0" borderId="9" xfId="0" applyFill="1" applyBorder="1" applyProtection="1">
      <protection hidden="1"/>
    </xf>
    <xf numFmtId="0" fontId="0" fillId="0" borderId="21" xfId="0" applyFill="1" applyBorder="1" applyProtection="1">
      <protection hidden="1"/>
    </xf>
    <xf numFmtId="0" fontId="26" fillId="0" borderId="98" xfId="0" applyFill="1" applyBorder="1" applyProtection="1">
      <protection hidden="1"/>
    </xf>
    <xf numFmtId="0" fontId="39" fillId="2" borderId="99" xfId="0" applyFill="1" applyBorder="1" applyAlignment="1" applyProtection="1">
      <alignment horizontal="center"/>
      <protection locked="0"/>
    </xf>
    <xf numFmtId="0" fontId="26" fillId="0" borderId="10" xfId="0" applyFill="1" applyBorder="1" applyProtection="1">
      <protection hidden="1"/>
    </xf>
    <xf numFmtId="0" fontId="39" fillId="2" borderId="42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hidden="1"/>
    </xf>
    <xf numFmtId="0" fontId="5" fillId="0" borderId="10" xfId="0" applyFill="1" applyBorder="1" applyAlignment="1" applyProtection="1">
      <protection hidden="1"/>
    </xf>
    <xf numFmtId="0" fontId="5" fillId="0" borderId="10" xfId="0" applyFill="1" applyBorder="1" applyProtection="1">
      <protection hidden="1"/>
    </xf>
    <xf numFmtId="49" fontId="5" fillId="0" borderId="22" xfId="0" applyNumberFormat="1" applyFill="1" applyBorder="1" applyAlignment="1" applyProtection="1">
      <alignment horizontal="center"/>
      <protection hidden="1"/>
    </xf>
    <xf numFmtId="0" fontId="5" fillId="0" borderId="11" xfId="0" applyFill="1" applyBorder="1" applyAlignment="1" applyProtection="1">
      <protection hidden="1"/>
    </xf>
    <xf numFmtId="0" fontId="0" fillId="0" borderId="23" xfId="0" applyFill="1" applyBorder="1" applyAlignment="1" applyProtection="1">
      <protection hidden="1"/>
    </xf>
    <xf numFmtId="180" fontId="0" fillId="0" borderId="0" xfId="0" applyNumberFormat="1" applyFill="1" applyProtection="1">
      <protection hidden="1"/>
    </xf>
    <xf numFmtId="180" fontId="5" fillId="0" borderId="8" xfId="0" applyNumberFormat="1" applyFill="1" applyBorder="1" applyAlignment="1" applyProtection="1">
      <protection hidden="1"/>
    </xf>
    <xf numFmtId="180" fontId="26" fillId="0" borderId="11" xfId="0" applyNumberFormat="1" applyFill="1" applyBorder="1" applyProtection="1">
      <protection hidden="1"/>
    </xf>
    <xf numFmtId="185" fontId="39" fillId="2" borderId="100" xfId="0" applyNumberFormat="1" applyFill="1" applyBorder="1" applyProtection="1">
      <protection locked="0" hidden="1"/>
    </xf>
    <xf numFmtId="180" fontId="5" fillId="0" borderId="8" xfId="0" applyNumberFormat="1" applyFill="1" applyBorder="1" applyProtection="1">
      <protection hidden="1"/>
    </xf>
    <xf numFmtId="180" fontId="39" fillId="2" borderId="100" xfId="0" applyNumberFormat="1" applyFill="1" applyBorder="1" applyProtection="1">
      <protection locked="0"/>
    </xf>
    <xf numFmtId="0" fontId="48" fillId="0" borderId="10" xfId="0" applyFill="1" applyBorder="1" applyAlignment="1" applyProtection="1">
      <protection hidden="1"/>
    </xf>
    <xf numFmtId="0" fontId="0" fillId="0" borderId="23" xfId="0" applyFill="1" applyBorder="1" applyProtection="1">
      <protection hidden="1"/>
    </xf>
    <xf numFmtId="0" fontId="5" fillId="0" borderId="8" xfId="0" applyFill="1" applyBorder="1" applyAlignment="1" applyProtection="1">
      <protection hidden="1"/>
    </xf>
    <xf numFmtId="0" fontId="5" fillId="0" borderId="8" xfId="0" applyFill="1" applyBorder="1" applyProtection="1">
      <protection hidden="1"/>
    </xf>
    <xf numFmtId="0" fontId="48" fillId="0" borderId="11" xfId="0" applyFill="1" applyBorder="1" applyProtection="1">
      <protection hidden="1"/>
    </xf>
    <xf numFmtId="0" fontId="48" fillId="0" borderId="23" xfId="0" applyFill="1" applyBorder="1" applyProtection="1">
      <protection hidden="1"/>
    </xf>
    <xf numFmtId="0" fontId="5" fillId="0" borderId="11" xfId="0" applyFill="1" applyBorder="1" applyProtection="1">
      <protection hidden="1"/>
    </xf>
    <xf numFmtId="0" fontId="0" fillId="0" borderId="12" xfId="0" applyFill="1" applyBorder="1" applyAlignment="1" applyProtection="1">
      <alignment horizontal="center"/>
      <protection hidden="1"/>
    </xf>
    <xf numFmtId="0" fontId="49" fillId="0" borderId="0" xfId="0" applyAlignment="1" applyProtection="1">
      <alignment vertical="top"/>
      <protection hidden="1"/>
    </xf>
    <xf numFmtId="0" fontId="48" fillId="0" borderId="9" xfId="0" applyBorder="1" applyAlignment="1" applyProtection="1">
      <alignment horizontal="center"/>
      <protection hidden="1"/>
    </xf>
    <xf numFmtId="0" fontId="5" fillId="0" borderId="9" xfId="0" applyBorder="1" applyAlignment="1" applyProtection="1">
      <alignment horizontal="center"/>
      <protection hidden="1"/>
    </xf>
    <xf numFmtId="0" fontId="29" fillId="0" borderId="101" xfId="0" applyBorder="1" applyAlignment="1">
      <alignment horizontal="right"/>
    </xf>
    <xf numFmtId="0" fontId="5" fillId="0" borderId="20" xfId="0" applyBorder="1" applyAlignment="1" applyProtection="1">
      <alignment horizontal="center"/>
      <protection hidden="1"/>
    </xf>
    <xf numFmtId="180" fontId="0" fillId="0" borderId="69" xfId="0" applyNumberFormat="1" applyBorder="1" applyAlignment="1" applyProtection="1">
      <alignment horizontal="center"/>
      <protection hidden="1"/>
    </xf>
    <xf numFmtId="0" fontId="29" fillId="0" borderId="68" xfId="0" applyBorder="1" applyAlignment="1">
      <alignment horizontal="right"/>
    </xf>
    <xf numFmtId="0" fontId="48" fillId="0" borderId="10" xfId="0" applyBorder="1" applyAlignment="1" applyProtection="1">
      <alignment horizontal="center"/>
      <protection hidden="1"/>
    </xf>
    <xf numFmtId="0" fontId="48" fillId="0" borderId="71" xfId="0" applyBorder="1" applyAlignment="1" applyProtection="1">
      <alignment horizontal="center"/>
      <protection hidden="1"/>
    </xf>
    <xf numFmtId="0" fontId="5" fillId="0" borderId="70" xfId="0" applyBorder="1" applyAlignment="1" applyProtection="1">
      <alignment horizontal="center"/>
      <protection hidden="1"/>
    </xf>
    <xf numFmtId="0" fontId="48" fillId="0" borderId="0" xfId="0" applyBorder="1" applyAlignment="1" applyProtection="1">
      <alignment horizontal="center"/>
      <protection hidden="1"/>
    </xf>
    <xf numFmtId="0" fontId="5" fillId="0" borderId="71" xfId="0" applyBorder="1" applyAlignment="1" applyProtection="1">
      <alignment horizontal="center"/>
      <protection hidden="1"/>
    </xf>
    <xf numFmtId="185" fontId="0" fillId="0" borderId="10" xfId="0" applyNumberFormat="1" applyBorder="1" applyAlignment="1" applyProtection="1">
      <alignment horizontal="center"/>
      <protection hidden="1"/>
    </xf>
    <xf numFmtId="180" fontId="0" fillId="0" borderId="71" xfId="0" applyNumberFormat="1" applyBorder="1" applyAlignment="1" applyProtection="1">
      <alignment horizontal="center"/>
      <protection hidden="1"/>
    </xf>
    <xf numFmtId="0" fontId="36" fillId="0" borderId="0" xfId="0" applyBorder="1" applyAlignment="1" applyProtection="1">
      <alignment horizontal="center"/>
      <protection hidden="1"/>
    </xf>
    <xf numFmtId="0" fontId="36" fillId="0" borderId="71" xfId="0" applyBorder="1" applyAlignment="1" applyProtection="1">
      <alignment horizontal="center"/>
      <protection hidden="1"/>
    </xf>
    <xf numFmtId="0" fontId="50" fillId="0" borderId="70" xfId="0" applyBorder="1" applyAlignment="1" applyProtection="1">
      <alignment horizontal="right" vertical="center"/>
      <protection hidden="1"/>
    </xf>
    <xf numFmtId="180" fontId="11" fillId="0" borderId="102" xfId="0" applyNumberFormat="1" applyBorder="1" applyProtection="1">
      <protection locked="0"/>
    </xf>
    <xf numFmtId="0" fontId="50" fillId="0" borderId="10" xfId="0" applyBorder="1" applyAlignment="1" applyProtection="1">
      <alignment horizontal="right" vertical="center"/>
      <protection hidden="1"/>
    </xf>
    <xf numFmtId="180" fontId="11" fillId="0" borderId="103" xfId="0" applyNumberFormat="1" applyBorder="1" applyProtection="1">
      <protection locked="0"/>
    </xf>
    <xf numFmtId="0" fontId="34" fillId="0" borderId="104" xfId="0" applyBorder="1" applyAlignment="1" applyProtection="1">
      <alignment horizontal="right" vertical="center"/>
      <protection hidden="1"/>
    </xf>
    <xf numFmtId="180" fontId="34" fillId="3" borderId="105" xfId="0" applyNumberFormat="1" applyFill="1" applyBorder="1" applyProtection="1">
      <protection hidden="1"/>
    </xf>
    <xf numFmtId="0" fontId="34" fillId="0" borderId="57" xfId="0" applyBorder="1" applyAlignment="1" applyProtection="1">
      <alignment horizontal="right" vertical="center"/>
      <protection hidden="1"/>
    </xf>
    <xf numFmtId="0" fontId="0" fillId="0" borderId="97" xfId="0" applyBorder="1" applyProtection="1">
      <protection hidden="1"/>
    </xf>
    <xf numFmtId="0" fontId="5" fillId="0" borderId="9" xfId="0" applyBorder="1" applyAlignment="1" applyProtection="1">
      <alignment horizontal="center" vertical="center"/>
      <protection hidden="1"/>
    </xf>
    <xf numFmtId="0" fontId="5" fillId="0" borderId="12" xfId="0" applyBorder="1" applyAlignment="1" applyProtection="1">
      <alignment horizontal="center" vertical="center"/>
      <protection hidden="1"/>
    </xf>
    <xf numFmtId="0" fontId="48" fillId="0" borderId="70" xfId="0" applyBorder="1" applyAlignment="1" applyProtection="1">
      <alignment horizontal="center"/>
      <protection hidden="1"/>
    </xf>
    <xf numFmtId="185" fontId="0" fillId="0" borderId="70" xfId="0" applyNumberFormat="1" applyBorder="1" applyAlignment="1" applyProtection="1">
      <alignment horizontal="center"/>
      <protection hidden="1"/>
    </xf>
    <xf numFmtId="185" fontId="0" fillId="0" borderId="71" xfId="0" applyNumberFormat="1" applyBorder="1" applyAlignment="1" applyProtection="1">
      <alignment horizontal="center"/>
      <protection hidden="1"/>
    </xf>
    <xf numFmtId="0" fontId="50" fillId="0" borderId="70" xfId="0" applyBorder="1" applyAlignment="1" applyProtection="1">
      <alignment horizontal="center"/>
      <protection hidden="1"/>
    </xf>
    <xf numFmtId="0" fontId="34" fillId="0" borderId="57" xfId="0" applyBorder="1" applyAlignment="1" applyProtection="1">
      <alignment horizontal="center"/>
      <protection hidden="1"/>
    </xf>
    <xf numFmtId="180" fontId="0" fillId="0" borderId="106" xfId="0" applyNumberFormat="1" applyBorder="1" applyAlignment="1" applyProtection="1">
      <alignment horizontal="center"/>
      <protection hidden="1"/>
    </xf>
    <xf numFmtId="0" fontId="36" fillId="0" borderId="22" xfId="0" applyBorder="1" applyAlignment="1" applyProtection="1">
      <alignment horizontal="center"/>
      <protection hidden="1"/>
    </xf>
    <xf numFmtId="180" fontId="11" fillId="0" borderId="107" xfId="0" applyNumberFormat="1" applyBorder="1" applyProtection="1">
      <protection locked="0"/>
    </xf>
    <xf numFmtId="180" fontId="11" fillId="0" borderId="108" xfId="0" applyNumberFormat="1" applyBorder="1" applyProtection="1">
      <protection locked="0"/>
    </xf>
    <xf numFmtId="180" fontId="34" fillId="3" borderId="109" xfId="0" applyNumberFormat="1" applyFill="1" applyBorder="1" applyProtection="1">
      <protection hidden="1"/>
    </xf>
    <xf numFmtId="0" fontId="0" fillId="0" borderId="0" xfId="0" applyProtection="1"/>
    <xf numFmtId="0" fontId="5" fillId="0" borderId="22" xfId="0" applyFill="1" applyBorder="1" applyAlignment="1" applyProtection="1">
      <alignment horizontal="center"/>
      <protection hidden="1"/>
    </xf>
    <xf numFmtId="0" fontId="5" fillId="0" borderId="23" xfId="0" applyFill="1" applyBorder="1" applyAlignment="1" applyProtection="1">
      <alignment horizontal="center"/>
      <protection hidden="1"/>
    </xf>
    <xf numFmtId="180" fontId="0" fillId="0" borderId="11" xfId="0" applyNumberFormat="1" applyBorder="1" applyAlignment="1" applyProtection="1">
      <alignment horizontal="center" vertical="center"/>
      <protection hidden="1"/>
    </xf>
    <xf numFmtId="185" fontId="0" fillId="0" borderId="12" xfId="0" applyNumberFormat="1" applyBorder="1" applyAlignment="1" applyProtection="1">
      <alignment horizontal="center" vertical="center"/>
      <protection hidden="1"/>
    </xf>
    <xf numFmtId="0" fontId="5" fillId="0" borderId="112" xfId="0" applyBorder="1" applyAlignment="1" applyProtection="1">
      <alignment horizontal="left" vertical="center"/>
      <protection hidden="1"/>
    </xf>
    <xf numFmtId="0" fontId="0" fillId="0" borderId="97" xfId="0" applyBorder="1" applyAlignment="1">
      <alignment horizontal="left" vertical="center"/>
    </xf>
    <xf numFmtId="185" fontId="28" fillId="0" borderId="8" xfId="0" applyNumberFormat="1" applyBorder="1" applyAlignment="1" applyProtection="1">
      <alignment horizontal="center"/>
      <protection hidden="1"/>
    </xf>
    <xf numFmtId="177" fontId="0" fillId="3" borderId="112" xfId="0" applyNumberFormat="1" applyFill="1" applyBorder="1" applyAlignment="1" applyProtection="1">
      <alignment horizontal="center" vertical="center"/>
      <protection hidden="1"/>
    </xf>
    <xf numFmtId="177" fontId="0" fillId="3" borderId="112" xfId="0" applyNumberFormat="1" applyFill="1" applyBorder="1" applyAlignment="1" applyProtection="1">
      <alignment horizontal="center" vertical="center"/>
    </xf>
    <xf numFmtId="177" fontId="0" fillId="3" borderId="97" xfId="0" applyNumberFormat="1" applyFill="1" applyBorder="1" applyAlignment="1" applyProtection="1">
      <alignment horizontal="center" vertical="center"/>
    </xf>
    <xf numFmtId="0" fontId="0" fillId="0" borderId="95" xfId="0" applyBorder="1" applyAlignment="1" applyProtection="1">
      <alignment horizontal="right" vertical="center"/>
      <protection hidden="1"/>
    </xf>
    <xf numFmtId="0" fontId="0" fillId="0" borderId="112" xfId="0" applyBorder="1" applyAlignment="1">
      <alignment horizontal="right" vertical="center"/>
    </xf>
    <xf numFmtId="0" fontId="0" fillId="0" borderId="112" xfId="0" applyBorder="1" applyAlignment="1"/>
    <xf numFmtId="0" fontId="0" fillId="0" borderId="114" xfId="0" applyBorder="1" applyAlignment="1">
      <alignment horizontal="right" vertical="center"/>
    </xf>
    <xf numFmtId="0" fontId="0" fillId="0" borderId="97" xfId="0" applyBorder="1" applyAlignment="1">
      <alignment horizontal="right" vertical="center"/>
    </xf>
    <xf numFmtId="0" fontId="0" fillId="0" borderId="97" xfId="0" applyBorder="1" applyAlignment="1"/>
    <xf numFmtId="0" fontId="5" fillId="0" borderId="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48" fillId="0" borderId="8" xfId="0" applyFill="1" applyBorder="1" applyAlignment="1" applyProtection="1">
      <protection hidden="1"/>
    </xf>
    <xf numFmtId="0" fontId="29" fillId="0" borderId="21" xfId="0" applyFill="1" applyBorder="1" applyAlignment="1" applyProtection="1">
      <protection hidden="1"/>
    </xf>
    <xf numFmtId="9" fontId="0" fillId="0" borderId="12" xfId="0" applyNumberFormat="1" applyBorder="1" applyAlignment="1" applyProtection="1">
      <alignment horizontal="center" vertical="center"/>
      <protection hidden="1"/>
    </xf>
    <xf numFmtId="180" fontId="0" fillId="0" borderId="12" xfId="0" applyNumberFormat="1" applyBorder="1" applyAlignment="1" applyProtection="1">
      <alignment horizontal="center" vertical="center"/>
      <protection hidden="1"/>
    </xf>
    <xf numFmtId="0" fontId="29" fillId="0" borderId="9" xfId="0" applyFill="1" applyBorder="1" applyAlignment="1" applyProtection="1">
      <protection hidden="1"/>
    </xf>
    <xf numFmtId="0" fontId="3" fillId="0" borderId="0" xfId="0" applyAlignment="1" applyProtection="1">
      <alignment horizontal="center"/>
      <protection hidden="1"/>
    </xf>
    <xf numFmtId="0" fontId="28" fillId="0" borderId="0" xfId="0" applyBorder="1" applyAlignment="1" applyProtection="1">
      <alignment horizontal="right" vertical="top"/>
      <protection hidden="1"/>
    </xf>
    <xf numFmtId="0" fontId="28" fillId="0" borderId="0" xfId="0" applyAlignment="1" applyProtection="1">
      <protection hidden="1"/>
    </xf>
    <xf numFmtId="185" fontId="29" fillId="0" borderId="12" xfId="0" applyNumberFormat="1" applyBorder="1" applyAlignment="1" applyProtection="1">
      <alignment horizontal="center" vertical="center"/>
      <protection hidden="1"/>
    </xf>
    <xf numFmtId="180" fontId="48" fillId="0" borderId="12" xfId="0" applyNumberFormat="1" applyBorder="1" applyAlignment="1">
      <alignment vertical="center"/>
    </xf>
    <xf numFmtId="0" fontId="29" fillId="0" borderId="12" xfId="0" applyBorder="1" applyAlignment="1"/>
    <xf numFmtId="0" fontId="34" fillId="0" borderId="12" xfId="0" applyBorder="1" applyAlignment="1" applyProtection="1">
      <alignment horizontal="right"/>
      <protection hidden="1"/>
    </xf>
    <xf numFmtId="0" fontId="0" fillId="0" borderId="12" xfId="0" applyBorder="1" applyAlignment="1"/>
    <xf numFmtId="14" fontId="34" fillId="0" borderId="12" xfId="0" applyNumberFormat="1" applyBorder="1" applyAlignment="1" applyProtection="1">
      <alignment horizontal="left"/>
      <protection hidden="1"/>
    </xf>
    <xf numFmtId="0" fontId="0" fillId="0" borderId="12" xfId="0" applyBorder="1" applyAlignment="1">
      <alignment horizontal="left"/>
    </xf>
    <xf numFmtId="0" fontId="48" fillId="0" borderId="0" xfId="0" applyBorder="1" applyAlignment="1" applyProtection="1">
      <protection hidden="1"/>
    </xf>
    <xf numFmtId="0" fontId="3" fillId="0" borderId="0" xfId="0" applyAlignment="1" applyProtection="1">
      <alignment horizontal="center" vertical="center"/>
      <protection hidden="1"/>
    </xf>
    <xf numFmtId="0" fontId="2" fillId="0" borderId="0" xfId="0" applyAlignment="1" applyProtection="1">
      <alignment horizontal="right" vertical="center"/>
      <protection hidden="1"/>
    </xf>
    <xf numFmtId="0" fontId="0" fillId="0" borderId="0" xfId="0" applyAlignment="1">
      <alignment horizontal="right" vertical="center"/>
    </xf>
    <xf numFmtId="0" fontId="2" fillId="0" borderId="0" xfId="0" applyAlignment="1" applyProtection="1">
      <alignment horizontal="left" vertical="center"/>
      <protection hidden="1"/>
    </xf>
    <xf numFmtId="0" fontId="0" fillId="0" borderId="0" xfId="0" applyAlignment="1">
      <alignment horizontal="left" vertical="center"/>
    </xf>
    <xf numFmtId="0" fontId="2" fillId="0" borderId="12" xfId="0" applyBorder="1" applyAlignment="1" applyProtection="1">
      <alignment horizontal="right" vertical="center"/>
      <protection hidden="1"/>
    </xf>
    <xf numFmtId="0" fontId="0" fillId="0" borderId="12" xfId="0" applyBorder="1" applyAlignment="1">
      <alignment horizontal="right" vertical="center"/>
    </xf>
    <xf numFmtId="0" fontId="25" fillId="0" borderId="12" xfId="0" applyBorder="1" applyAlignment="1" applyProtection="1">
      <alignment horizontal="left" vertical="center"/>
      <protection hidden="1"/>
    </xf>
    <xf numFmtId="0" fontId="0" fillId="0" borderId="12" xfId="0" applyBorder="1" applyAlignment="1">
      <alignment horizontal="left" vertical="center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113" xfId="0" applyBorder="1" applyAlignment="1">
      <alignment horizontal="center" vertical="center"/>
    </xf>
    <xf numFmtId="0" fontId="48" fillId="0" borderId="114" xfId="0" applyFill="1" applyBorder="1" applyAlignment="1" applyProtection="1">
      <alignment horizontal="distributed" vertical="center"/>
      <protection hidden="1"/>
    </xf>
    <xf numFmtId="0" fontId="0" fillId="0" borderId="97" xfId="0" applyBorder="1" applyAlignment="1" applyProtection="1">
      <alignment horizontal="distributed" vertical="center"/>
      <protection hidden="1"/>
    </xf>
    <xf numFmtId="0" fontId="5" fillId="0" borderId="97" xfId="0" applyFill="1" applyBorder="1" applyAlignment="1" applyProtection="1">
      <alignment horizontal="left" vertical="center"/>
      <protection hidden="1"/>
    </xf>
    <xf numFmtId="0" fontId="0" fillId="0" borderId="110" xfId="0" applyBorder="1"/>
    <xf numFmtId="0" fontId="0" fillId="0" borderId="97" xfId="0" applyFill="1" applyBorder="1" applyAlignment="1" applyProtection="1">
      <alignment vertical="center"/>
      <protection hidden="1"/>
    </xf>
    <xf numFmtId="0" fontId="34" fillId="0" borderId="12" xfId="0" applyBorder="1" applyAlignment="1" applyProtection="1">
      <alignment horizontal="left"/>
      <protection hidden="1"/>
    </xf>
    <xf numFmtId="0" fontId="48" fillId="0" borderId="115" xfId="0" applyFill="1" applyBorder="1" applyAlignment="1" applyProtection="1">
      <alignment horizontal="right" vertical="center"/>
      <protection hidden="1"/>
    </xf>
    <xf numFmtId="0" fontId="0" fillId="0" borderId="92" xfId="0" applyFill="1" applyBorder="1" applyAlignment="1" applyProtection="1">
      <alignment horizontal="right" vertical="center"/>
      <protection hidden="1"/>
    </xf>
    <xf numFmtId="0" fontId="26" fillId="0" borderId="12" xfId="0" applyFill="1" applyBorder="1" applyAlignment="1" applyProtection="1">
      <alignment vertical="center"/>
      <protection hidden="1"/>
    </xf>
    <xf numFmtId="0" fontId="26" fillId="0" borderId="12" xfId="0" applyBorder="1" applyAlignment="1" applyProtection="1">
      <protection hidden="1"/>
    </xf>
    <xf numFmtId="0" fontId="26" fillId="0" borderId="23" xfId="0" applyBorder="1" applyAlignment="1" applyProtection="1">
      <protection hidden="1"/>
    </xf>
    <xf numFmtId="0" fontId="0" fillId="0" borderId="97" xfId="0" applyFill="1" applyBorder="1" applyAlignment="1" applyProtection="1">
      <protection hidden="1"/>
    </xf>
    <xf numFmtId="0" fontId="48" fillId="0" borderId="10" xfId="0" applyFill="1" applyBorder="1" applyAlignment="1" applyProtection="1">
      <alignment vertical="center"/>
      <protection hidden="1"/>
    </xf>
    <xf numFmtId="0" fontId="0" fillId="0" borderId="0" xfId="0" applyBorder="1" applyAlignment="1"/>
    <xf numFmtId="0" fontId="0" fillId="0" borderId="10" xfId="0" applyBorder="1" applyAlignment="1"/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111" xfId="0" applyBorder="1" applyAlignment="1">
      <alignment horizontal="center" vertical="center"/>
    </xf>
    <xf numFmtId="0" fontId="5" fillId="0" borderId="11" xfId="0" applyFill="1" applyBorder="1" applyAlignment="1" applyProtection="1">
      <alignment vertical="center"/>
      <protection hidden="1"/>
    </xf>
    <xf numFmtId="0" fontId="5" fillId="0" borderId="12" xfId="0" applyFill="1" applyBorder="1" applyAlignment="1" applyProtection="1">
      <alignment vertical="center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3" xfId="0" applyBorder="1" applyAlignment="1" applyProtection="1">
      <protection hidden="1"/>
    </xf>
    <xf numFmtId="0" fontId="48" fillId="0" borderId="8" xfId="0" applyFill="1" applyBorder="1" applyAlignment="1" applyProtection="1">
      <alignment horizontal="distributed" vertical="center"/>
      <protection hidden="1"/>
    </xf>
    <xf numFmtId="0" fontId="0" fillId="0" borderId="9" xfId="0" applyBorder="1" applyAlignment="1" applyProtection="1">
      <alignment horizontal="distributed" vertical="center"/>
      <protection hidden="1"/>
    </xf>
    <xf numFmtId="0" fontId="26" fillId="0" borderId="9" xfId="0" applyFill="1" applyBorder="1" applyAlignment="1" applyProtection="1">
      <alignment vertical="center"/>
      <protection hidden="1"/>
    </xf>
    <xf numFmtId="0" fontId="26" fillId="0" borderId="9" xfId="0" applyBorder="1" applyAlignment="1" applyProtection="1">
      <protection hidden="1"/>
    </xf>
    <xf numFmtId="0" fontId="26" fillId="0" borderId="21" xfId="0" applyBorder="1" applyAlignment="1" applyProtection="1">
      <protection hidden="1"/>
    </xf>
    <xf numFmtId="0" fontId="5" fillId="0" borderId="10" xfId="0" applyFill="1" applyBorder="1" applyAlignment="1" applyProtection="1">
      <alignment vertical="center"/>
      <protection hidden="1"/>
    </xf>
    <xf numFmtId="0" fontId="5" fillId="0" borderId="0" xfId="0" applyFill="1" applyBorder="1" applyAlignment="1" applyProtection="1">
      <alignment vertical="center"/>
      <protection hidden="1"/>
    </xf>
    <xf numFmtId="0" fontId="48" fillId="0" borderId="114" xfId="0" applyFill="1" applyBorder="1" applyAlignment="1" applyProtection="1">
      <alignment vertical="center"/>
      <protection hidden="1"/>
    </xf>
    <xf numFmtId="0" fontId="0" fillId="0" borderId="97" xfId="0" applyBorder="1" applyAlignment="1" applyProtection="1">
      <alignment vertical="center"/>
      <protection hidden="1"/>
    </xf>
    <xf numFmtId="0" fontId="15" fillId="0" borderId="97" xfId="0" applyFill="1" applyBorder="1" applyAlignment="1" applyProtection="1">
      <alignment vertical="center"/>
      <protection hidden="1"/>
    </xf>
    <xf numFmtId="0" fontId="15" fillId="0" borderId="110" xfId="0" applyFill="1" applyBorder="1" applyAlignment="1" applyProtection="1">
      <alignment vertical="center"/>
      <protection hidden="1"/>
    </xf>
    <xf numFmtId="0" fontId="0" fillId="0" borderId="97" xfId="0" applyBorder="1" applyAlignment="1" applyProtection="1">
      <alignment horizontal="left" vertical="center"/>
      <protection hidden="1"/>
    </xf>
    <xf numFmtId="0" fontId="0" fillId="0" borderId="110" xfId="0" applyBorder="1" applyAlignment="1" applyProtection="1">
      <alignment horizontal="left" vertical="center"/>
      <protection hidden="1"/>
    </xf>
    <xf numFmtId="0" fontId="5" fillId="0" borderId="79" xfId="0" applyFill="1" applyBorder="1" applyAlignment="1" applyProtection="1">
      <alignment horizontal="left" vertical="center"/>
      <protection hidden="1"/>
    </xf>
    <xf numFmtId="0" fontId="37" fillId="0" borderId="0" xfId="0" applyBorder="1" applyAlignment="1" applyProtection="1">
      <alignment horizontal="center"/>
      <protection hidden="1"/>
    </xf>
    <xf numFmtId="0" fontId="31" fillId="0" borderId="0" xfId="0" applyBorder="1" applyAlignment="1" applyProtection="1">
      <alignment horizontal="right"/>
      <protection hidden="1"/>
    </xf>
    <xf numFmtId="0" fontId="30" fillId="0" borderId="0" xfId="0" applyBorder="1" applyAlignment="1" applyProtection="1">
      <alignment horizontal="right"/>
      <protection hidden="1"/>
    </xf>
    <xf numFmtId="0" fontId="30" fillId="0" borderId="12" xfId="0" applyBorder="1" applyAlignment="1" applyProtection="1">
      <alignment horizontal="right"/>
      <protection hidden="1"/>
    </xf>
    <xf numFmtId="0" fontId="31" fillId="0" borderId="0" xfId="0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179" fontId="28" fillId="0" borderId="0" xfId="0" applyNumberFormat="1" applyAlignment="1" applyProtection="1">
      <alignment horizontal="center"/>
      <protection hidden="1"/>
    </xf>
    <xf numFmtId="0" fontId="0" fillId="0" borderId="0" xfId="0" applyAlignment="1">
      <alignment horizontal="right"/>
    </xf>
    <xf numFmtId="179" fontId="28" fillId="0" borderId="0" xfId="0" applyNumberFormat="1" applyFill="1" applyBorder="1" applyAlignment="1" applyProtection="1">
      <alignment horizontal="center"/>
      <protection hidden="1"/>
    </xf>
    <xf numFmtId="0" fontId="18" fillId="0" borderId="0" xfId="0" applyAlignment="1"/>
    <xf numFmtId="0" fontId="31" fillId="0" borderId="12" xfId="0" applyBorder="1" applyAlignment="1" applyProtection="1">
      <alignment horizontal="left"/>
      <protection hidden="1"/>
    </xf>
    <xf numFmtId="180" fontId="35" fillId="0" borderId="12" xfId="0" applyNumberFormat="1" applyBorder="1" applyAlignment="1" applyProtection="1">
      <alignment horizontal="center"/>
      <protection hidden="1"/>
    </xf>
    <xf numFmtId="180" fontId="0" fillId="0" borderId="12" xfId="0" applyNumberFormat="1" applyBorder="1" applyAlignment="1"/>
    <xf numFmtId="0" fontId="31" fillId="0" borderId="12" xfId="0" applyBorder="1" applyAlignment="1" applyProtection="1">
      <alignment horizontal="right"/>
      <protection hidden="1"/>
    </xf>
    <xf numFmtId="0" fontId="0" fillId="0" borderId="12" xfId="0" applyBorder="1" applyAlignment="1">
      <alignment horizontal="right"/>
    </xf>
    <xf numFmtId="180" fontId="28" fillId="0" borderId="12" xfId="0" applyNumberFormat="1" applyBorder="1" applyAlignment="1" applyProtection="1">
      <alignment horizontal="center"/>
      <protection hidden="1"/>
    </xf>
    <xf numFmtId="179" fontId="0" fillId="3" borderId="116" xfId="0" applyNumberFormat="1" applyFill="1" applyBorder="1" applyAlignment="1" applyProtection="1">
      <alignment horizontal="center" vertical="center"/>
      <protection locked="0"/>
    </xf>
    <xf numFmtId="179" fontId="0" fillId="3" borderId="117" xfId="0" applyNumberFormat="1" applyFill="1" applyBorder="1" applyAlignment="1" applyProtection="1">
      <alignment horizontal="center" vertical="center"/>
      <protection locked="0"/>
    </xf>
    <xf numFmtId="0" fontId="39" fillId="0" borderId="0" xfId="0" applyAlignment="1">
      <alignment horizontal="left" vertical="center"/>
    </xf>
    <xf numFmtId="0" fontId="5" fillId="0" borderId="8" xfId="0" applyFill="1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2" borderId="76" xfId="0" applyNumberFormat="1" applyFill="1" applyBorder="1" applyAlignment="1" applyProtection="1">
      <alignment horizontal="center" vertical="center"/>
      <protection locked="0"/>
    </xf>
    <xf numFmtId="0" fontId="0" fillId="2" borderId="77" xfId="0" applyNumberFormat="1" applyFill="1" applyBorder="1" applyAlignment="1" applyProtection="1">
      <alignment horizontal="center" vertical="center"/>
      <protection locked="0"/>
    </xf>
    <xf numFmtId="0" fontId="18" fillId="0" borderId="0" xfId="0" applyBorder="1" applyAlignment="1" applyProtection="1">
      <alignment horizontal="center" vertical="center"/>
      <protection hidden="1"/>
    </xf>
    <xf numFmtId="0" fontId="0" fillId="0" borderId="71" xfId="0" applyBorder="1" applyAlignment="1" applyProtection="1">
      <alignment horizontal="right" vertical="top"/>
      <protection hidden="1"/>
    </xf>
    <xf numFmtId="0" fontId="0" fillId="0" borderId="71" xfId="0" applyBorder="1" applyAlignment="1">
      <alignment horizontal="right" vertical="top"/>
    </xf>
    <xf numFmtId="0" fontId="3" fillId="0" borderId="0" xfId="0" applyBorder="1" applyAlignment="1" applyProtection="1">
      <alignment horizontal="center"/>
      <protection hidden="1"/>
    </xf>
    <xf numFmtId="0" fontId="30" fillId="0" borderId="0" xfId="0" applyBorder="1" applyAlignment="1" applyProtection="1">
      <alignment horizontal="right" vertical="center"/>
      <protection hidden="1"/>
    </xf>
    <xf numFmtId="0" fontId="29" fillId="0" borderId="0" xfId="0" applyAlignment="1" applyProtection="1">
      <protection hidden="1"/>
    </xf>
    <xf numFmtId="180" fontId="30" fillId="0" borderId="0" xfId="0" applyNumberFormat="1" applyBorder="1" applyAlignment="1" applyProtection="1">
      <alignment horizontal="center" vertical="center"/>
      <protection hidden="1"/>
    </xf>
    <xf numFmtId="180" fontId="26" fillId="3" borderId="68" xfId="0" applyNumberFormat="1" applyFill="1" applyBorder="1" applyAlignment="1" applyProtection="1">
      <alignment horizontal="right" vertical="center"/>
      <protection hidden="1"/>
    </xf>
    <xf numFmtId="0" fontId="0" fillId="3" borderId="72" xfId="0" applyFill="1" applyBorder="1" applyAlignment="1">
      <alignment horizontal="right" vertical="center"/>
    </xf>
    <xf numFmtId="180" fontId="26" fillId="3" borderId="69" xfId="0" applyNumberFormat="1" applyFill="1" applyBorder="1" applyAlignment="1" applyProtection="1">
      <alignment horizontal="left" vertical="center"/>
      <protection hidden="1"/>
    </xf>
    <xf numFmtId="0" fontId="0" fillId="3" borderId="73" xfId="0" applyFill="1" applyBorder="1" applyAlignment="1">
      <alignment horizontal="left" vertical="center"/>
    </xf>
    <xf numFmtId="0" fontId="0" fillId="0" borderId="118" xfId="0" applyBorder="1" applyAlignment="1" applyProtection="1">
      <alignment horizontal="right" vertical="center"/>
      <protection hidden="1"/>
    </xf>
    <xf numFmtId="14" fontId="34" fillId="0" borderId="0" xfId="0" applyNumberFormat="1" applyBorder="1" applyAlignment="1" applyProtection="1">
      <alignment horizontal="left"/>
      <protection hidden="1"/>
    </xf>
    <xf numFmtId="0" fontId="0" fillId="0" borderId="9" xfId="0" applyBorder="1" applyAlignment="1">
      <alignment horizontal="center"/>
    </xf>
    <xf numFmtId="0" fontId="0" fillId="0" borderId="71" xfId="0" applyBorder="1" applyAlignment="1" applyProtection="1">
      <alignment horizontal="right"/>
      <protection hidden="1"/>
    </xf>
    <xf numFmtId="0" fontId="27" fillId="0" borderId="0" xfId="0" applyBorder="1" applyAlignment="1" applyProtection="1">
      <alignment horizontal="center"/>
      <protection hidden="1"/>
    </xf>
    <xf numFmtId="0" fontId="30" fillId="0" borderId="0" xfId="0" applyBorder="1" applyAlignment="1">
      <alignment horizontal="right" vertical="center"/>
    </xf>
    <xf numFmtId="0" fontId="29" fillId="0" borderId="0" xfId="0" applyAlignment="1"/>
    <xf numFmtId="0" fontId="34" fillId="0" borderId="0" xfId="0" applyAlignment="1">
      <alignment horizontal="left"/>
    </xf>
    <xf numFmtId="0" fontId="30" fillId="0" borderId="0" xfId="0" applyAlignment="1" applyProtection="1">
      <alignment horizontal="right"/>
      <protection hidden="1"/>
    </xf>
    <xf numFmtId="0" fontId="2" fillId="0" borderId="0" xfId="0" applyAlignment="1"/>
    <xf numFmtId="181" fontId="30" fillId="0" borderId="0" xfId="0" applyNumberFormat="1" applyAlignment="1" applyProtection="1">
      <alignment horizontal="center"/>
      <protection hidden="1"/>
    </xf>
    <xf numFmtId="181" fontId="0" fillId="0" borderId="0" xfId="0" applyNumberFormat="1" applyAlignment="1">
      <alignment horizontal="center"/>
    </xf>
    <xf numFmtId="0" fontId="34" fillId="0" borderId="0" xfId="0" applyAlignment="1"/>
    <xf numFmtId="0" fontId="34" fillId="0" borderId="0" xfId="0" applyAlignment="1" applyProtection="1">
      <alignment horizontal="left"/>
      <protection hidden="1"/>
    </xf>
    <xf numFmtId="0" fontId="0" fillId="0" borderId="79" xfId="0" applyBorder="1" applyAlignment="1" applyProtection="1">
      <alignment horizontal="right"/>
      <protection hidden="1"/>
    </xf>
    <xf numFmtId="0" fontId="0" fillId="0" borderId="79" xfId="0" applyBorder="1" applyAlignment="1">
      <alignment horizontal="right"/>
    </xf>
    <xf numFmtId="0" fontId="0" fillId="6" borderId="79" xfId="0" applyFill="1" applyBorder="1" applyAlignment="1" applyProtection="1">
      <alignment horizontal="center"/>
      <protection locked="0"/>
    </xf>
    <xf numFmtId="0" fontId="30" fillId="0" borderId="0" xfId="0" applyAlignment="1" applyProtection="1">
      <alignment horizontal="right" vertical="center"/>
      <protection hidden="1"/>
    </xf>
    <xf numFmtId="181" fontId="31" fillId="0" borderId="0" xfId="0" applyNumberFormat="1" applyAlignment="1" applyProtection="1">
      <alignment horizontal="center" vertical="center"/>
      <protection hidden="1"/>
    </xf>
    <xf numFmtId="181" fontId="0" fillId="0" borderId="0" xfId="0" applyNumberFormat="1" applyAlignment="1" applyProtection="1">
      <alignment vertical="center"/>
      <protection hidden="1"/>
    </xf>
    <xf numFmtId="0" fontId="0" fillId="0" borderId="79" xfId="0" applyBorder="1" applyAlignment="1" applyProtection="1">
      <protection hidden="1"/>
    </xf>
    <xf numFmtId="0" fontId="5" fillId="0" borderId="80" xfId="0" applyFill="1" applyBorder="1" applyAlignment="1" applyProtection="1">
      <alignment horizontal="center"/>
      <protection hidden="1"/>
    </xf>
    <xf numFmtId="0" fontId="0" fillId="0" borderId="80" xfId="0" applyBorder="1" applyAlignment="1">
      <alignment horizontal="center"/>
    </xf>
    <xf numFmtId="0" fontId="0" fillId="0" borderId="119" xfId="0" applyBorder="1" applyAlignment="1">
      <alignment horizontal="center"/>
    </xf>
    <xf numFmtId="0" fontId="5" fillId="0" borderId="120" xfId="0" applyFill="1" applyBorder="1" applyAlignment="1" applyProtection="1">
      <alignment horizontal="center"/>
      <protection hidden="1"/>
    </xf>
    <xf numFmtId="0" fontId="0" fillId="0" borderId="71" xfId="0" applyBorder="1" applyAlignment="1" applyProtection="1">
      <protection hidden="1"/>
    </xf>
    <xf numFmtId="179" fontId="0" fillId="2" borderId="3" xfId="0" applyNumberFormat="1" applyFill="1" applyBorder="1" applyAlignment="1" applyProtection="1">
      <alignment horizontal="center" vertical="center"/>
      <protection locked="0"/>
    </xf>
    <xf numFmtId="179" fontId="0" fillId="2" borderId="74" xfId="0" applyNumberFormat="1" applyFill="1" applyBorder="1" applyAlignment="1" applyProtection="1">
      <alignment horizontal="center" vertical="center"/>
      <protection locked="0"/>
    </xf>
    <xf numFmtId="0" fontId="5" fillId="0" borderId="0" xfId="0" applyBorder="1" applyAlignment="1" applyProtection="1">
      <alignment horizontal="center" vertical="top"/>
      <protection hidden="1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179" fontId="39" fillId="0" borderId="0" xfId="0" applyNumberFormat="1" applyFill="1" applyBorder="1" applyAlignment="1" applyProtection="1">
      <alignment horizontal="right"/>
      <protection hidden="1"/>
    </xf>
    <xf numFmtId="0" fontId="39" fillId="0" borderId="0" xfId="0" applyAlignment="1">
      <alignment horizontal="right"/>
    </xf>
    <xf numFmtId="179" fontId="30" fillId="0" borderId="0" xfId="0" applyNumberFormat="1" applyAlignment="1" applyProtection="1">
      <alignment horizontal="center" vertical="center"/>
      <protection hidden="1"/>
    </xf>
    <xf numFmtId="0" fontId="15" fillId="0" borderId="12" xfId="0" applyBorder="1" applyAlignment="1" applyProtection="1">
      <alignment vertical="top"/>
      <protection hidden="1"/>
    </xf>
    <xf numFmtId="0" fontId="15" fillId="0" borderId="12" xfId="0" applyBorder="1" applyAlignment="1">
      <alignment vertical="top"/>
    </xf>
    <xf numFmtId="0" fontId="0" fillId="2" borderId="76" xfId="0" applyFill="1" applyBorder="1" applyAlignment="1" applyProtection="1">
      <alignment horizontal="center"/>
      <protection locked="0"/>
    </xf>
    <xf numFmtId="0" fontId="0" fillId="2" borderId="77" xfId="0" applyFill="1" applyBorder="1" applyAlignment="1" applyProtection="1">
      <alignment horizontal="center"/>
      <protection locked="0"/>
    </xf>
    <xf numFmtId="0" fontId="15" fillId="0" borderId="12" xfId="0" applyBorder="1" applyAlignment="1" applyProtection="1">
      <alignment vertical="center"/>
      <protection hidden="1"/>
    </xf>
    <xf numFmtId="0" fontId="15" fillId="0" borderId="12" xfId="0" applyBorder="1" applyAlignment="1">
      <alignment vertical="center"/>
    </xf>
    <xf numFmtId="0" fontId="5" fillId="0" borderId="0" xfId="0" applyBorder="1" applyAlignment="1" applyProtection="1">
      <alignment horizontal="left" vertical="top"/>
      <protection hidden="1"/>
    </xf>
    <xf numFmtId="0" fontId="0" fillId="0" borderId="0" xfId="0" applyBorder="1" applyAlignment="1">
      <alignment horizontal="left" vertical="top"/>
    </xf>
    <xf numFmtId="0" fontId="5" fillId="0" borderId="0" xfId="0" applyBorder="1" applyAlignment="1" applyProtection="1">
      <alignment horizontal="center" vertical="center"/>
      <protection hidden="1"/>
    </xf>
    <xf numFmtId="0" fontId="2" fillId="0" borderId="12" xfId="0" applyBorder="1" applyAlignment="1" applyProtection="1">
      <alignment horizontal="right"/>
      <protection hidden="1"/>
    </xf>
    <xf numFmtId="179" fontId="44" fillId="0" borderId="12" xfId="0" applyNumberFormat="1" applyBorder="1" applyAlignment="1" applyProtection="1">
      <alignment horizontal="center"/>
      <protection hidden="1"/>
    </xf>
    <xf numFmtId="0" fontId="44" fillId="0" borderId="12" xfId="0" applyBorder="1" applyAlignment="1">
      <alignment horizontal="center"/>
    </xf>
    <xf numFmtId="0" fontId="34" fillId="0" borderId="12" xfId="0" applyBorder="1" applyAlignment="1">
      <alignment horizontal="left"/>
    </xf>
    <xf numFmtId="0" fontId="5" fillId="0" borderId="3" xfId="0" applyBorder="1" applyAlignment="1" applyProtection="1">
      <alignment horizontal="center" vertical="center"/>
      <protection hidden="1"/>
    </xf>
    <xf numFmtId="0" fontId="0" fillId="0" borderId="74" xfId="0" applyBorder="1" applyAlignment="1" applyProtection="1">
      <alignment vertical="center"/>
      <protection hidden="1"/>
    </xf>
    <xf numFmtId="0" fontId="0" fillId="0" borderId="74" xfId="0" applyBorder="1" applyAlignment="1" applyProtection="1">
      <alignment horizontal="center" vertical="center"/>
      <protection hidden="1"/>
    </xf>
    <xf numFmtId="0" fontId="5" fillId="0" borderId="10" xfId="0" applyBorder="1" applyAlignment="1" applyProtection="1"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74" xfId="0" applyBorder="1" applyAlignment="1" applyProtection="1">
      <protection hidden="1"/>
    </xf>
    <xf numFmtId="182" fontId="0" fillId="4" borderId="3" xfId="0" applyNumberFormat="1" applyFill="1" applyBorder="1" applyAlignment="1" applyProtection="1">
      <alignment horizontal="center"/>
      <protection hidden="1"/>
    </xf>
    <xf numFmtId="182" fontId="0" fillId="0" borderId="74" xfId="0" applyNumberFormat="1" applyBorder="1" applyAlignment="1" applyProtection="1">
      <protection hidden="1"/>
    </xf>
    <xf numFmtId="182" fontId="0" fillId="4" borderId="74" xfId="0" applyNumberFormat="1" applyFill="1" applyBorder="1" applyAlignment="1" applyProtection="1">
      <alignment horizontal="center"/>
      <protection hidden="1"/>
    </xf>
    <xf numFmtId="0" fontId="5" fillId="2" borderId="3" xfId="0" applyFill="1" applyBorder="1" applyAlignment="1" applyProtection="1">
      <alignment horizontal="center" vertical="center"/>
      <protection locked="0"/>
    </xf>
    <xf numFmtId="0" fontId="0" fillId="2" borderId="74" xfId="0" applyFill="1" applyBorder="1" applyAlignment="1" applyProtection="1">
      <alignment vertical="center"/>
      <protection locked="0"/>
    </xf>
    <xf numFmtId="182" fontId="0" fillId="0" borderId="74" xfId="0" applyNumberFormat="1" applyBorder="1" applyAlignment="1" applyProtection="1">
      <alignment horizontal="center"/>
      <protection hidden="1"/>
    </xf>
    <xf numFmtId="185" fontId="0" fillId="3" borderId="3" xfId="0" applyNumberFormat="1" applyFill="1" applyBorder="1" applyAlignment="1" applyProtection="1">
      <alignment horizontal="center"/>
      <protection hidden="1"/>
    </xf>
    <xf numFmtId="185" fontId="0" fillId="0" borderId="74" xfId="0" applyNumberFormat="1" applyBorder="1" applyAlignment="1" applyProtection="1">
      <alignment horizontal="center"/>
      <protection hidden="1"/>
    </xf>
    <xf numFmtId="185" fontId="5" fillId="3" borderId="3" xfId="0" applyNumberFormat="1" applyFill="1" applyBorder="1" applyAlignment="1" applyProtection="1">
      <alignment horizontal="center"/>
      <protection hidden="1"/>
    </xf>
    <xf numFmtId="182" fontId="0" fillId="4" borderId="3" xfId="0" applyNumberFormat="1" applyFill="1" applyBorder="1" applyAlignment="1" applyProtection="1">
      <alignment horizontal="distributed" vertical="center"/>
      <protection hidden="1"/>
    </xf>
    <xf numFmtId="182" fontId="0" fillId="3" borderId="3" xfId="0" applyNumberFormat="1" applyFill="1" applyBorder="1" applyAlignment="1" applyProtection="1">
      <alignment horizontal="center"/>
      <protection hidden="1"/>
    </xf>
    <xf numFmtId="182" fontId="0" fillId="3" borderId="74" xfId="0" applyNumberFormat="1" applyFill="1" applyBorder="1" applyAlignment="1" applyProtection="1">
      <alignment horizontal="center"/>
      <protection hidden="1"/>
    </xf>
    <xf numFmtId="186" fontId="0" fillId="3" borderId="3" xfId="0" applyNumberFormat="1" applyFill="1" applyBorder="1" applyAlignment="1" applyProtection="1">
      <alignment horizontal="center"/>
      <protection hidden="1"/>
    </xf>
    <xf numFmtId="186" fontId="0" fillId="0" borderId="74" xfId="0" applyNumberFormat="1" applyBorder="1" applyAlignment="1" applyProtection="1">
      <alignment horizontal="center"/>
      <protection hidden="1"/>
    </xf>
    <xf numFmtId="186" fontId="5" fillId="3" borderId="3" xfId="0" applyNumberFormat="1" applyFill="1" applyBorder="1" applyAlignment="1" applyProtection="1">
      <alignment horizontal="center"/>
      <protection hidden="1"/>
    </xf>
    <xf numFmtId="49" fontId="0" fillId="0" borderId="56" xfId="0" applyNumberFormat="1" applyFill="1" applyBorder="1" applyAlignment="1" applyProtection="1">
      <alignment horizontal="center" vertical="center"/>
      <protection hidden="1"/>
    </xf>
    <xf numFmtId="0" fontId="0" fillId="0" borderId="57" xfId="0" applyBorder="1" applyAlignment="1" applyProtection="1"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85" xfId="0" applyBorder="1" applyAlignment="1">
      <alignment horizontal="center"/>
    </xf>
    <xf numFmtId="0" fontId="40" fillId="0" borderId="72" xfId="0" applyFill="1" applyBorder="1" applyAlignment="1" applyProtection="1">
      <alignment horizontal="center" vertical="center"/>
      <protection hidden="1"/>
    </xf>
    <xf numFmtId="0" fontId="26" fillId="0" borderId="73" xfId="0" applyFill="1" applyBorder="1" applyAlignment="1" applyProtection="1">
      <alignment horizontal="center" vertical="center"/>
      <protection hidden="1"/>
    </xf>
    <xf numFmtId="0" fontId="39" fillId="0" borderId="68" xfId="0" applyFill="1" applyBorder="1" applyAlignment="1" applyProtection="1">
      <alignment horizontal="center" vertical="center"/>
      <protection hidden="1"/>
    </xf>
    <xf numFmtId="0" fontId="15" fillId="0" borderId="69" xfId="0" applyFill="1" applyBorder="1" applyAlignment="1" applyProtection="1">
      <alignment horizontal="center" vertical="center"/>
      <protection hidden="1"/>
    </xf>
    <xf numFmtId="0" fontId="38" fillId="0" borderId="0" xfId="0" applyAlignment="1" applyProtection="1">
      <alignment horizontal="center"/>
      <protection hidden="1"/>
    </xf>
    <xf numFmtId="0" fontId="32" fillId="0" borderId="12" xfId="0" applyBorder="1" applyAlignment="1" applyProtection="1">
      <alignment horizontal="right" vertical="top"/>
      <protection hidden="1"/>
    </xf>
    <xf numFmtId="0" fontId="33" fillId="0" borderId="12" xfId="0" applyBorder="1" applyAlignment="1" applyProtection="1">
      <alignment vertical="top"/>
      <protection hidden="1"/>
    </xf>
    <xf numFmtId="0" fontId="34" fillId="0" borderId="0" xfId="0" applyAlignment="1" applyProtection="1">
      <alignment horizontal="center"/>
      <protection hidden="1"/>
    </xf>
    <xf numFmtId="0" fontId="5" fillId="0" borderId="0" xfId="0" applyAlignment="1" applyProtection="1">
      <alignment vertical="center"/>
      <protection hidden="1"/>
    </xf>
    <xf numFmtId="0" fontId="37" fillId="0" borderId="0" xfId="0" applyAlignment="1" applyProtection="1">
      <alignment horizontal="center"/>
      <protection hidden="1"/>
    </xf>
    <xf numFmtId="0" fontId="28" fillId="0" borderId="12" xfId="0" applyBorder="1" applyAlignment="1" applyProtection="1">
      <alignment horizontal="right" vertical="center"/>
      <protection hidden="1"/>
    </xf>
    <xf numFmtId="0" fontId="0" fillId="0" borderId="12" xfId="0" applyBorder="1" applyAlignment="1" applyProtection="1">
      <alignment vertical="top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18" fillId="0" borderId="12" xfId="0" applyBorder="1" applyAlignment="1" applyProtection="1">
      <protection hidden="1"/>
    </xf>
    <xf numFmtId="0" fontId="11" fillId="0" borderId="12" xfId="0" applyBorder="1" applyAlignment="1" applyProtection="1">
      <alignment horizontal="right"/>
      <protection hidden="1"/>
    </xf>
    <xf numFmtId="0" fontId="11" fillId="0" borderId="12" xfId="0" applyBorder="1" applyAlignment="1"/>
    <xf numFmtId="14" fontId="11" fillId="0" borderId="12" xfId="0" applyNumberFormat="1" applyBorder="1" applyAlignment="1" applyProtection="1">
      <alignment horizontal="left"/>
      <protection hidden="1"/>
    </xf>
    <xf numFmtId="0" fontId="0" fillId="0" borderId="11" xfId="0" applyBorder="1" applyAlignment="1"/>
    <xf numFmtId="0" fontId="0" fillId="0" borderId="23" xfId="0" applyBorder="1" applyAlignment="1"/>
    <xf numFmtId="0" fontId="7" fillId="0" borderId="9" xfId="0" applyBorder="1" applyAlignment="1" applyProtection="1">
      <protection hidden="1"/>
    </xf>
    <xf numFmtId="0" fontId="25" fillId="0" borderId="0" xfId="0" applyBorder="1" applyAlignment="1" applyProtection="1">
      <alignment vertical="center"/>
      <protection hidden="1"/>
    </xf>
    <xf numFmtId="0" fontId="2" fillId="0" borderId="0" xfId="0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left"/>
      <protection hidden="1"/>
    </xf>
    <xf numFmtId="0" fontId="0" fillId="0" borderId="0" xfId="0" applyBorder="1" applyAlignment="1">
      <alignment horizontal="left"/>
    </xf>
    <xf numFmtId="0" fontId="0" fillId="0" borderId="133" xfId="0" applyBorder="1" applyAlignment="1" applyProtection="1">
      <alignment vertical="center"/>
      <protection hidden="1"/>
    </xf>
    <xf numFmtId="0" fontId="0" fillId="0" borderId="134" xfId="0" applyBorder="1" applyAlignment="1">
      <alignment vertical="center"/>
    </xf>
    <xf numFmtId="0" fontId="0" fillId="0" borderId="94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131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74" xfId="0" applyBorder="1" applyAlignment="1">
      <alignment vertical="center"/>
    </xf>
    <xf numFmtId="0" fontId="0" fillId="0" borderId="115" xfId="0" applyBorder="1" applyAlignment="1" applyProtection="1">
      <alignment horizontal="center" vertical="center"/>
      <protection hidden="1"/>
    </xf>
    <xf numFmtId="0" fontId="0" fillId="0" borderId="92" xfId="0" applyBorder="1" applyAlignment="1" applyProtection="1">
      <alignment horizontal="center" vertical="center"/>
      <protection hidden="1"/>
    </xf>
    <xf numFmtId="0" fontId="0" fillId="0" borderId="136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32" xfId="0" applyBorder="1" applyAlignment="1">
      <alignment vertical="center"/>
    </xf>
    <xf numFmtId="0" fontId="0" fillId="0" borderId="135" xfId="0" applyBorder="1" applyAlignment="1" applyProtection="1">
      <alignment vertical="center"/>
      <protection hidden="1"/>
    </xf>
    <xf numFmtId="0" fontId="0" fillId="0" borderId="55" xfId="0" applyBorder="1" applyAlignment="1">
      <alignment vertical="center"/>
    </xf>
    <xf numFmtId="0" fontId="0" fillId="0" borderId="128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0" fillId="0" borderId="136" xfId="0" applyBorder="1" applyAlignment="1" applyProtection="1">
      <alignment vertical="center"/>
      <protection locked="0"/>
    </xf>
    <xf numFmtId="0" fontId="0" fillId="0" borderId="50" xfId="0" applyBorder="1" applyAlignment="1" applyProtection="1">
      <alignment vertical="center"/>
      <protection locked="0"/>
    </xf>
    <xf numFmtId="0" fontId="0" fillId="0" borderId="137" xfId="0" applyBorder="1" applyAlignment="1" applyProtection="1">
      <alignment vertical="center"/>
      <protection hidden="1"/>
    </xf>
    <xf numFmtId="0" fontId="0" fillId="0" borderId="138" xfId="0" applyBorder="1" applyAlignment="1" applyProtection="1">
      <alignment vertical="center"/>
      <protection hidden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25" xfId="0" applyBorder="1" applyAlignment="1" applyProtection="1">
      <alignment horizontal="center" vertical="center"/>
      <protection hidden="1"/>
    </xf>
    <xf numFmtId="0" fontId="0" fillId="0" borderId="129" xfId="0" applyBorder="1" applyAlignment="1" applyProtection="1">
      <alignment horizontal="center" vertical="center"/>
      <protection hidden="1"/>
    </xf>
    <xf numFmtId="0" fontId="0" fillId="0" borderId="130" xfId="0" applyBorder="1" applyAlignment="1" applyProtection="1">
      <alignment horizontal="center" vertical="center"/>
      <protection hidden="1"/>
    </xf>
    <xf numFmtId="0" fontId="0" fillId="0" borderId="126" xfId="0" applyBorder="1" applyAlignment="1" applyProtection="1">
      <alignment horizontal="center" vertical="center"/>
      <protection hidden="1"/>
    </xf>
    <xf numFmtId="0" fontId="27" fillId="0" borderId="9" xfId="0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 vertical="center"/>
      <protection hidden="1"/>
    </xf>
    <xf numFmtId="0" fontId="0" fillId="0" borderId="98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28" xfId="0" applyBorder="1" applyAlignment="1" applyProtection="1">
      <alignment horizontal="center" vertical="center"/>
      <protection hidden="1"/>
    </xf>
    <xf numFmtId="0" fontId="31" fillId="0" borderId="0" xfId="0" applyBorder="1" applyAlignment="1" applyProtection="1">
      <alignment horizontal="left" vertical="center"/>
      <protection hidden="1"/>
    </xf>
    <xf numFmtId="0" fontId="30" fillId="0" borderId="0" xfId="0" applyAlignment="1">
      <alignment horizontal="left" vertical="center"/>
    </xf>
    <xf numFmtId="0" fontId="30" fillId="0" borderId="0" xfId="0" applyAlignment="1"/>
    <xf numFmtId="180" fontId="30" fillId="4" borderId="0" xfId="0" applyNumberFormat="1" applyFill="1" applyBorder="1" applyAlignment="1" applyProtection="1">
      <alignment horizontal="center" vertical="center"/>
      <protection hidden="1"/>
    </xf>
    <xf numFmtId="0" fontId="2" fillId="4" borderId="0" xfId="0" applyFill="1" applyAlignment="1" applyProtection="1">
      <alignment horizontal="center" vertical="center"/>
      <protection hidden="1"/>
    </xf>
    <xf numFmtId="0" fontId="29" fillId="3" borderId="121" xfId="0" applyFill="1" applyBorder="1" applyAlignment="1" applyProtection="1">
      <alignment horizontal="center" vertical="center"/>
      <protection hidden="1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17" fillId="2" borderId="12" xfId="0" applyFill="1" applyBorder="1" applyAlignment="1" applyProtection="1">
      <alignment horizontal="right"/>
      <protection locked="0"/>
    </xf>
    <xf numFmtId="0" fontId="18" fillId="0" borderId="12" xfId="0" applyBorder="1" applyAlignment="1">
      <alignment horizontal="right"/>
    </xf>
    <xf numFmtId="0" fontId="2" fillId="0" borderId="12" xfId="0" applyBorder="1" applyAlignment="1" applyProtection="1">
      <protection hidden="1"/>
    </xf>
    <xf numFmtId="0" fontId="0" fillId="0" borderId="12" xfId="0" applyBorder="1" applyAlignment="1" applyProtection="1">
      <alignment horizontal="right"/>
      <protection hidden="1"/>
    </xf>
    <xf numFmtId="14" fontId="0" fillId="0" borderId="12" xfId="0" applyNumberFormat="1" applyBorder="1" applyAlignment="1" applyProtection="1">
      <alignment horizontal="left" wrapText="1"/>
      <protection hidden="1"/>
    </xf>
    <xf numFmtId="0" fontId="4" fillId="0" borderId="47" xfId="0" applyBorder="1" applyAlignment="1" applyProtection="1">
      <alignment horizontal="right" vertical="center" wrapText="1"/>
      <protection hidden="1"/>
    </xf>
    <xf numFmtId="0" fontId="0" fillId="0" borderId="13" xfId="0" applyBorder="1" applyAlignment="1" applyProtection="1">
      <alignment horizontal="right" vertical="center"/>
      <protection hidden="1"/>
    </xf>
    <xf numFmtId="177" fontId="4" fillId="2" borderId="13" xfId="0" applyNumberFormat="1" applyFill="1" applyBorder="1" applyAlignment="1" applyProtection="1">
      <alignment horizontal="center" vertical="center"/>
      <protection locked="0"/>
    </xf>
    <xf numFmtId="177" fontId="0" fillId="0" borderId="13" xfId="0" applyNumberFormat="1" applyBorder="1" applyProtection="1">
      <protection locked="0"/>
    </xf>
    <xf numFmtId="0" fontId="4" fillId="0" borderId="47" xfId="0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4" fillId="0" borderId="135" xfId="0" applyBorder="1" applyAlignment="1" applyProtection="1">
      <alignment horizontal="center" vertical="center" wrapText="1"/>
      <protection hidden="1"/>
    </xf>
    <xf numFmtId="0" fontId="4" fillId="0" borderId="128" xfId="0" applyBorder="1" applyAlignment="1" applyProtection="1">
      <alignment horizontal="center" vertical="center" wrapText="1"/>
      <protection hidden="1"/>
    </xf>
    <xf numFmtId="0" fontId="4" fillId="0" borderId="156" xfId="0" applyBorder="1" applyAlignment="1" applyProtection="1">
      <alignment horizontal="center" vertical="center"/>
      <protection hidden="1"/>
    </xf>
    <xf numFmtId="0" fontId="4" fillId="0" borderId="19" xfId="0" applyBorder="1" applyAlignment="1" applyProtection="1">
      <alignment horizontal="center" vertical="center"/>
      <protection hidden="1"/>
    </xf>
    <xf numFmtId="0" fontId="11" fillId="0" borderId="9" xfId="0" applyBorder="1" applyAlignment="1" applyProtection="1">
      <alignment vertical="center"/>
      <protection hidden="1"/>
    </xf>
    <xf numFmtId="0" fontId="11" fillId="0" borderId="21" xfId="0" applyBorder="1" applyAlignment="1" applyProtection="1">
      <alignment vertical="center"/>
      <protection hidden="1"/>
    </xf>
    <xf numFmtId="0" fontId="4" fillId="0" borderId="157" xfId="0" applyBorder="1" applyAlignment="1" applyProtection="1">
      <alignment horizontal="center" vertical="center"/>
      <protection hidden="1"/>
    </xf>
    <xf numFmtId="0" fontId="0" fillId="0" borderId="158" xfId="0" applyBorder="1" applyAlignment="1" applyProtection="1">
      <alignment horizontal="center" vertical="center"/>
      <protection hidden="1"/>
    </xf>
    <xf numFmtId="0" fontId="0" fillId="0" borderId="159" xfId="0" applyBorder="1" applyAlignment="1" applyProtection="1">
      <alignment horizontal="center" vertical="center"/>
      <protection hidden="1"/>
    </xf>
    <xf numFmtId="0" fontId="4" fillId="0" borderId="160" xfId="0" applyBorder="1" applyAlignment="1" applyProtection="1">
      <alignment horizontal="center" vertical="center"/>
      <protection hidden="1"/>
    </xf>
    <xf numFmtId="0" fontId="4" fillId="0" borderId="158" xfId="0" applyBorder="1" applyAlignment="1" applyProtection="1">
      <alignment horizontal="center" vertical="center"/>
      <protection hidden="1"/>
    </xf>
    <xf numFmtId="0" fontId="4" fillId="0" borderId="159" xfId="0" applyBorder="1" applyAlignment="1" applyProtection="1">
      <alignment horizontal="center" vertical="center"/>
      <protection hidden="1"/>
    </xf>
    <xf numFmtId="0" fontId="4" fillId="0" borderId="1" xfId="0" applyBorder="1" applyAlignment="1" applyProtection="1">
      <alignment horizontal="distributed" vertical="center"/>
      <protection hidden="1"/>
    </xf>
    <xf numFmtId="0" fontId="4" fillId="0" borderId="13" xfId="0" applyBorder="1" applyAlignment="1" applyProtection="1">
      <alignment horizontal="distributed" vertical="center"/>
      <protection hidden="1"/>
    </xf>
    <xf numFmtId="0" fontId="4" fillId="0" borderId="13" xfId="0" applyBorder="1" applyAlignment="1" applyProtection="1">
      <alignment horizontal="left" vertical="center"/>
      <protection hidden="1"/>
    </xf>
    <xf numFmtId="0" fontId="4" fillId="0" borderId="2" xfId="0" applyBorder="1" applyAlignment="1" applyProtection="1">
      <alignment horizontal="left" vertical="center"/>
      <protection hidden="1"/>
    </xf>
    <xf numFmtId="180" fontId="4" fillId="0" borderId="13" xfId="0" applyNumberFormat="1" applyFill="1" applyBorder="1" applyAlignment="1" applyProtection="1">
      <alignment horizontal="center" vertical="center"/>
      <protection hidden="1"/>
    </xf>
    <xf numFmtId="180" fontId="0" fillId="0" borderId="13" xfId="0" applyNumberFormat="1" applyFill="1" applyBorder="1" applyAlignment="1" applyProtection="1">
      <alignment horizontal="center"/>
      <protection hidden="1"/>
    </xf>
    <xf numFmtId="180" fontId="4" fillId="2" borderId="13" xfId="0" applyNumberFormat="1" applyFill="1" applyBorder="1" applyAlignment="1" applyProtection="1">
      <alignment horizontal="center" vertical="center"/>
      <protection locked="0"/>
    </xf>
    <xf numFmtId="180" fontId="0" fillId="2" borderId="13" xfId="0" applyNumberFormat="1" applyFill="1" applyBorder="1" applyAlignment="1" applyProtection="1">
      <alignment horizontal="center" vertical="center"/>
      <protection locked="0"/>
    </xf>
    <xf numFmtId="0" fontId="0" fillId="0" borderId="148" xfId="0" applyBorder="1" applyAlignment="1" applyProtection="1">
      <alignment vertical="center" wrapText="1"/>
      <protection hidden="1"/>
    </xf>
    <xf numFmtId="0" fontId="0" fillId="0" borderId="51" xfId="0" applyBorder="1" applyAlignment="1">
      <alignment vertical="center" wrapText="1"/>
    </xf>
    <xf numFmtId="0" fontId="0" fillId="0" borderId="149" xfId="0" applyBorder="1" applyAlignment="1">
      <alignment vertical="center" wrapText="1"/>
    </xf>
    <xf numFmtId="0" fontId="4" fillId="0" borderId="68" xfId="0" applyBorder="1" applyAlignment="1" applyProtection="1">
      <alignment horizontal="distributed" vertical="center"/>
      <protection hidden="1"/>
    </xf>
    <xf numFmtId="0" fontId="4" fillId="0" borderId="20" xfId="0" applyBorder="1" applyAlignment="1" applyProtection="1">
      <alignment horizontal="distributed" vertical="center"/>
      <protection hidden="1"/>
    </xf>
    <xf numFmtId="0" fontId="0" fillId="0" borderId="72" xfId="0" applyBorder="1" applyAlignment="1" applyProtection="1">
      <alignment horizontal="distributed" vertical="center"/>
      <protection hidden="1"/>
    </xf>
    <xf numFmtId="0" fontId="0" fillId="0" borderId="19" xfId="0" applyBorder="1" applyAlignment="1" applyProtection="1">
      <alignment horizontal="distributed" vertical="center"/>
      <protection hidden="1"/>
    </xf>
    <xf numFmtId="0" fontId="0" fillId="0" borderId="147" xfId="0" applyBorder="1" applyAlignment="1" applyProtection="1">
      <alignment horizontal="distributed" vertical="center"/>
      <protection hidden="1"/>
    </xf>
    <xf numFmtId="0" fontId="0" fillId="0" borderId="12" xfId="0" applyBorder="1" applyAlignment="1" applyProtection="1">
      <alignment horizontal="distributed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24" fillId="0" borderId="80" xfId="0" applyBorder="1" applyAlignment="1" applyProtection="1">
      <alignment vertical="center"/>
      <protection hidden="1"/>
    </xf>
    <xf numFmtId="0" fontId="0" fillId="0" borderId="80" xfId="0" applyBorder="1" applyAlignment="1" applyProtection="1">
      <alignment vertical="center"/>
      <protection hidden="1"/>
    </xf>
    <xf numFmtId="0" fontId="0" fillId="0" borderId="150" xfId="0" applyBorder="1" applyAlignment="1" applyProtection="1">
      <alignment vertical="center"/>
      <protection hidden="1"/>
    </xf>
    <xf numFmtId="0" fontId="4" fillId="0" borderId="16" xfId="0" applyBorder="1" applyAlignment="1" applyProtection="1">
      <alignment horizontal="left" vertical="center"/>
      <protection hidden="1"/>
    </xf>
    <xf numFmtId="0" fontId="4" fillId="0" borderId="141" xfId="0" applyBorder="1" applyAlignment="1" applyProtection="1">
      <alignment horizontal="left" vertical="center"/>
      <protection hidden="1"/>
    </xf>
    <xf numFmtId="0" fontId="4" fillId="0" borderId="151" xfId="0" applyBorder="1" applyAlignment="1" applyProtection="1">
      <alignment horizontal="center" vertical="center"/>
      <protection hidden="1"/>
    </xf>
    <xf numFmtId="0" fontId="4" fillId="0" borderId="20" xfId="0" applyBorder="1" applyAlignment="1" applyProtection="1">
      <alignment horizontal="center" vertical="center"/>
      <protection hidden="1"/>
    </xf>
    <xf numFmtId="0" fontId="4" fillId="0" borderId="20" xfId="0" applyFill="1" applyBorder="1" applyAlignment="1" applyProtection="1">
      <alignment horizontal="left" vertical="center"/>
      <protection hidden="1"/>
    </xf>
    <xf numFmtId="0" fontId="4" fillId="0" borderId="152" xfId="0" applyFill="1" applyBorder="1" applyAlignment="1" applyProtection="1">
      <alignment horizontal="left" vertical="center"/>
      <protection hidden="1"/>
    </xf>
    <xf numFmtId="0" fontId="0" fillId="0" borderId="81" xfId="0" applyBorder="1" applyAlignment="1" applyProtection="1">
      <alignment vertical="center"/>
      <protection locked="0"/>
    </xf>
    <xf numFmtId="0" fontId="0" fillId="0" borderId="153" xfId="0" applyBorder="1" applyAlignment="1" applyProtection="1">
      <alignment vertical="center"/>
      <protection locked="0"/>
    </xf>
    <xf numFmtId="0" fontId="0" fillId="0" borderId="154" xfId="0" applyBorder="1" applyAlignment="1" applyProtection="1">
      <alignment vertical="center" wrapText="1"/>
      <protection hidden="1"/>
    </xf>
    <xf numFmtId="0" fontId="0" fillId="0" borderId="51" xfId="0" applyBorder="1" applyAlignment="1" applyProtection="1">
      <alignment vertical="center" wrapText="1"/>
      <protection hidden="1"/>
    </xf>
    <xf numFmtId="0" fontId="0" fillId="0" borderId="155" xfId="0" applyBorder="1" applyAlignment="1" applyProtection="1">
      <alignment vertical="center" wrapText="1"/>
      <protection hidden="1"/>
    </xf>
    <xf numFmtId="0" fontId="24" fillId="0" borderId="70" xfId="0" applyBorder="1" applyAlignment="1" applyProtection="1">
      <alignment vertical="center"/>
      <protection hidden="1"/>
    </xf>
    <xf numFmtId="0" fontId="4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180" fontId="4" fillId="2" borderId="112" xfId="0" applyNumberFormat="1" applyFill="1" applyBorder="1" applyAlignment="1" applyProtection="1">
      <alignment horizontal="center" vertical="center"/>
      <protection locked="0"/>
    </xf>
    <xf numFmtId="180" fontId="0" fillId="2" borderId="112" xfId="0" applyNumberFormat="1" applyFill="1" applyBorder="1" applyAlignment="1" applyProtection="1">
      <alignment horizontal="center" vertical="center"/>
      <protection locked="0"/>
    </xf>
    <xf numFmtId="0" fontId="4" fillId="0" borderId="19" xfId="0" applyFill="1" applyBorder="1" applyAlignment="1" applyProtection="1">
      <alignment horizontal="center" vertical="center"/>
      <protection hidden="1"/>
    </xf>
    <xf numFmtId="0" fontId="4" fillId="0" borderId="145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24" fillId="0" borderId="84" xfId="0" applyBorder="1" applyAlignment="1" applyProtection="1">
      <alignment vertical="center"/>
      <protection hidden="1"/>
    </xf>
    <xf numFmtId="0" fontId="0" fillId="0" borderId="80" xfId="0" applyBorder="1" applyAlignment="1">
      <alignment vertical="center"/>
    </xf>
    <xf numFmtId="0" fontId="0" fillId="0" borderId="14" xfId="0" applyFill="1" applyBorder="1" applyAlignment="1" applyProtection="1">
      <alignment horizontal="left" vertical="center"/>
      <protection hidden="1"/>
    </xf>
    <xf numFmtId="0" fontId="0" fillId="0" borderId="74" xfId="0" applyFill="1" applyBorder="1" applyAlignment="1" applyProtection="1">
      <alignment horizontal="left" vertical="center"/>
      <protection hidden="1"/>
    </xf>
    <xf numFmtId="0" fontId="4" fillId="0" borderId="17" xfId="0" applyBorder="1" applyAlignment="1" applyProtection="1">
      <alignment horizontal="left" vertical="center"/>
      <protection hidden="1"/>
    </xf>
    <xf numFmtId="0" fontId="4" fillId="0" borderId="146" xfId="0" applyBorder="1" applyAlignment="1" applyProtection="1">
      <alignment horizontal="left" vertical="center"/>
      <protection hidden="1"/>
    </xf>
    <xf numFmtId="180" fontId="4" fillId="0" borderId="14" xfId="0" applyNumberFormat="1" applyFill="1" applyBorder="1" applyAlignment="1" applyProtection="1">
      <alignment horizontal="center" vertical="center"/>
      <protection hidden="1"/>
    </xf>
    <xf numFmtId="180" fontId="0" fillId="0" borderId="14" xfId="0" applyNumberFormat="1" applyFill="1" applyBorder="1" applyAlignment="1" applyProtection="1">
      <alignment horizontal="center" vertical="center"/>
      <protection hidden="1"/>
    </xf>
    <xf numFmtId="0" fontId="24" fillId="0" borderId="147" xfId="0" applyBorder="1" applyAlignment="1" applyProtection="1">
      <alignment vertical="center"/>
      <protection hidden="1"/>
    </xf>
    <xf numFmtId="0" fontId="0" fillId="0" borderId="12" xfId="0" applyBorder="1" applyAlignment="1">
      <alignment vertical="center"/>
    </xf>
    <xf numFmtId="0" fontId="4" fillId="0" borderId="18" xfId="0" applyBorder="1" applyAlignment="1" applyProtection="1">
      <alignment horizontal="left" vertical="center"/>
      <protection hidden="1"/>
    </xf>
    <xf numFmtId="0" fontId="4" fillId="0" borderId="144" xfId="0" applyBorder="1" applyAlignment="1" applyProtection="1">
      <alignment horizontal="left" vertical="center"/>
      <protection hidden="1"/>
    </xf>
    <xf numFmtId="179" fontId="19" fillId="0" borderId="112" xfId="0" applyNumberFormat="1" applyFill="1" applyBorder="1" applyAlignment="1" applyProtection="1">
      <alignment horizontal="center" vertical="center"/>
      <protection hidden="1"/>
    </xf>
    <xf numFmtId="179" fontId="0" fillId="0" borderId="112" xfId="0" applyNumberFormat="1" applyFill="1" applyBorder="1" applyAlignment="1" applyProtection="1">
      <alignment horizontal="center" vertical="center"/>
      <protection hidden="1"/>
    </xf>
    <xf numFmtId="177" fontId="4" fillId="0" borderId="14" xfId="0" applyNumberFormat="1" applyFill="1" applyBorder="1" applyAlignment="1" applyProtection="1">
      <alignment horizontal="center" vertical="center"/>
      <protection hidden="1"/>
    </xf>
    <xf numFmtId="177" fontId="0" fillId="0" borderId="14" xfId="0" applyNumberFormat="1" applyFill="1" applyBorder="1" applyProtection="1">
      <protection hidden="1"/>
    </xf>
    <xf numFmtId="0" fontId="4" fillId="0" borderId="139" xfId="0" applyBorder="1" applyAlignment="1" applyProtection="1">
      <alignment horizontal="center" vertical="center"/>
      <protection hidden="1"/>
    </xf>
    <xf numFmtId="0" fontId="4" fillId="0" borderId="14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" fillId="0" borderId="140" xfId="0" applyBorder="1" applyAlignment="1" applyProtection="1">
      <alignment horizontal="center" vertical="center"/>
      <protection hidden="1"/>
    </xf>
    <xf numFmtId="0" fontId="4" fillId="0" borderId="112" xfId="0" applyBorder="1" applyAlignment="1" applyProtection="1">
      <alignment horizontal="center" vertical="center"/>
      <protection hidden="1"/>
    </xf>
    <xf numFmtId="0" fontId="5" fillId="0" borderId="14" xfId="0" applyBorder="1" applyAlignment="1" applyProtection="1">
      <alignment horizontal="right" vertical="center" wrapText="1"/>
      <protection hidden="1"/>
    </xf>
    <xf numFmtId="0" fontId="0" fillId="0" borderId="14" xfId="0" applyBorder="1" applyAlignment="1" applyProtection="1">
      <alignment horizontal="right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 wrapText="1"/>
      <protection hidden="1"/>
    </xf>
    <xf numFmtId="0" fontId="0" fillId="0" borderId="142" xfId="0" applyBorder="1" applyAlignment="1" applyProtection="1">
      <alignment horizontal="center" vertical="center" wrapText="1"/>
      <protection hidden="1"/>
    </xf>
    <xf numFmtId="0" fontId="0" fillId="0" borderId="143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5" fillId="0" borderId="0" xfId="0" applyBorder="1" applyAlignment="1" applyProtection="1">
      <alignment horizontal="center" vertical="center" wrapText="1"/>
      <protection hidden="1"/>
    </xf>
    <xf numFmtId="180" fontId="4" fillId="2" borderId="14" xfId="0" applyNumberFormat="1" applyFill="1" applyBorder="1" applyAlignment="1" applyProtection="1">
      <alignment horizontal="center" vertical="center"/>
      <protection locked="0"/>
    </xf>
    <xf numFmtId="180" fontId="0" fillId="2" borderId="14" xfId="0" applyNumberFormat="1" applyFill="1" applyBorder="1" applyAlignment="1" applyProtection="1">
      <alignment horizontal="center" vertical="center"/>
      <protection locked="0"/>
    </xf>
    <xf numFmtId="0" fontId="0" fillId="0" borderId="139" xfId="0" applyBorder="1" applyAlignment="1" applyProtection="1">
      <alignment horizontal="right" vertical="center"/>
      <protection hidden="1"/>
    </xf>
    <xf numFmtId="0" fontId="4" fillId="0" borderId="140" xfId="0" applyBorder="1" applyAlignment="1" applyProtection="1">
      <alignment horizontal="right" vertical="center" wrapText="1"/>
      <protection hidden="1"/>
    </xf>
    <xf numFmtId="0" fontId="0" fillId="0" borderId="112" xfId="0" applyBorder="1" applyAlignment="1" applyProtection="1">
      <alignment horizontal="right" vertical="center"/>
      <protection hidden="1"/>
    </xf>
    <xf numFmtId="177" fontId="4" fillId="0" borderId="112" xfId="0" applyNumberFormat="1" applyFill="1" applyBorder="1" applyAlignment="1" applyProtection="1">
      <alignment horizontal="center" vertical="center"/>
      <protection hidden="1"/>
    </xf>
    <xf numFmtId="177" fontId="0" fillId="0" borderId="112" xfId="0" applyNumberFormat="1" applyFill="1" applyBorder="1" applyAlignment="1" applyProtection="1">
      <alignment horizontal="center" vertical="center"/>
      <protection hidden="1"/>
    </xf>
    <xf numFmtId="177" fontId="0" fillId="0" borderId="14" xfId="0" applyNumberFormat="1" applyFill="1" applyBorder="1" applyAlignment="1" applyProtection="1">
      <alignment horizontal="center" vertical="center"/>
      <protection locked="0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千位分隔" xfId="1" builtinId="3"/>
    <cellStyle name="千位分隔[0]" xfId="4" builtinId="6"/>
    <cellStyle name="好" xfId="21" builtinId="26"/>
    <cellStyle name="差" xfId="22" builtinId="27"/>
    <cellStyle name="常规" xfId="0" builtinId="0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worksheet" Target="worksheets/sheet26.xml"></Relationship><Relationship Id="rId27" Type="http://schemas.openxmlformats.org/officeDocument/2006/relationships/worksheet" Target="worksheets/sheet27.xml"></Relationship><Relationship Id="rId28" Type="http://schemas.openxmlformats.org/officeDocument/2006/relationships/worksheet" Target="worksheets/sheet28.xml"></Relationship><Relationship Id="rId29" Type="http://schemas.openxmlformats.org/officeDocument/2006/relationships/worksheet" Target="worksheets/sheet29.xml"></Relationship><Relationship Id="rId30" Type="http://schemas.openxmlformats.org/officeDocument/2006/relationships/theme" Target="theme/theme1.xml"></Relationship><Relationship Id="rId31" Type="http://schemas.openxmlformats.org/officeDocument/2006/relationships/styles" Target="styles.xml"></Relationship><Relationship Id="rId32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plotArea>
      <c:layout>
        <c:manualLayout>
          <c:layoutTarget val="inner"/>
          <c:xMode val="edge"/>
          <c:yMode val="edge"/>
          <c:x val="0.010362694300518106"/>
          <c:y val="0.017006802721088402"/>
          <c:w val="0.97409326424870535"/>
          <c:h val="0.96598639455782298"/>
        </c:manualLayout>
      </c:layout>
      <c:barChart>
        <c:barDir val="col"/>
        <c:grouping val="clustered"/>
        <c:axId val="1111"/>
        <c:axId val="2222"/>
      </c:barChart>
      <c:catAx>
        <c:axId val="111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1200" b="0" i="0" u="none" baseline="0">
                <a:solidFill>
                  <a:srgbClr val="000000"/>
                </a:solidFill>
                <a:latin typeface="宋体"/>
                <a:ea typeface="宋体"/>
              </a:defRPr>
            </a:pPr>
            <a:endParaRPr lang="ko-KR"/>
          </a:p>
        </c:txPr>
        <c:crossAx val="2222"/>
        <c:crosses val="autoZero"/>
        <c:auto val="1"/>
        <c:lblAlgn val="ctr"/>
        <c:lblOffset val="100"/>
      </c:catAx>
      <c:valAx>
        <c:axId val="2222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000000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1200" b="0" i="0" u="none" baseline="0">
                <a:solidFill>
                  <a:srgbClr val="000000"/>
                </a:solidFill>
                <a:latin typeface="宋体"/>
                <a:ea typeface="宋体"/>
              </a:defRPr>
            </a:pPr>
            <a:endParaRPr lang="ko-KR"/>
          </a:p>
        </c:txPr>
        <c:crossAx val="1111"/>
        <c:crosses val="autoZero"/>
        <c:crossBetween val="between"/>
      </c:valAx>
      <c:spPr>
        <a:solidFill>
          <a:srgbClr val="C0C0C0">
            <a:alpha val="100000"/>
          </a:srgbClr>
        </a:solidFill>
        <a:ln w="12700" cap="flat">
          <a:solidFill>
            <a:srgbClr val="808080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98711692084268121"/>
          <c:y val="0.49637846789578316"/>
          <c:w val="0.0073119771914272672"/>
          <c:h val="0.0054547084384151991"/>
        </c:manualLayout>
      </c:layout>
      <c:spPr>
        <a:solidFill>
          <a:srgbClr val="FFFFFF">
            <a:alpha val="100000"/>
          </a:srgbClr>
        </a:solidFill>
        <a:ln w="3175" cap="flat">
          <a:solidFill>
            <a:srgbClr val="000000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1100" b="0" i="0" u="none" baseline="0">
              <a:solidFill>
                <a:srgbClr val="000000"/>
              </a:solidFill>
              <a:latin typeface="宋体"/>
              <a:ea typeface="宋体"/>
            </a:defRPr>
          </a:pPr>
          <a:endParaRPr lang="ko-KR"/>
        </a:p>
      </c:txPr>
    </c:legend>
    <c:plotVisOnly val="1"/>
    <c:dispBlanksAs val="gap"/>
  </c:chart>
  <c:spPr>
    <a:noFill/>
    <a:ln>
      <a:noFill/>
      <a:round/>
    </a:ln>
  </c:spPr>
  <c:txPr>
    <a:bodyPr/>
    <a:lstStyle/>
    <a:p>
      <a:pPr>
        <a:defRPr sz="1200" b="0" i="0" u="none" baseline="0">
          <a:solidFill>
            <a:srgbClr val="000000"/>
          </a:solidFill>
          <a:latin typeface="宋体"/>
          <a:ea typeface="宋体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25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476257698863333"/>
          <c:y val="0.014000032911246595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98654918534771194"/>
          <c:y val="0.10490759141569286"/>
          <c:w val="0.87145178039047877"/>
          <c:h val="0.69115589638574149"/>
        </c:manualLayout>
      </c:layout>
      <c:scatterChart>
        <c:scatterStyle val="lineMarker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偏心負荷計算'!$C$19:$C$30</c:f>
              <c:strCache>
                <c:ptCount val="12"/>
                <c:pt idx="0">
                  <c:v>-200</c:v>
                </c:pt>
                <c:pt idx="1">
                  <c:v>-180</c:v>
                </c:pt>
                <c:pt idx="2">
                  <c:v>0</c:v>
                </c:pt>
                <c:pt idx="3">
                  <c:v>360</c:v>
                </c:pt>
                <c:pt idx="4">
                  <c:v>450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xVal>
          <c:yVal>
            <c:numRef>
              <c:f>'STD 偏心負荷計算'!$D$19:$D$30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偏心負荷計算'!$D$2</c:f>
              <c:strCache>
                <c:ptCount val="1"/>
                <c:pt idx="0">
                  <c:v>4.54</c:v>
                </c:pt>
              </c:strCache>
            </c:strRef>
          </c:xVal>
          <c:yVal>
            <c:numRef>
              <c:f>'STD 偏心負荷計算'!$G$2:$G$2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'STD 偏心負荷計算'!$@$0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偏心負荷計算'!$H$8:$H$12</c:f>
              <c:strCache>
                <c:ptCount val="5"/>
                <c:pt idx="0">
                  <c:v>700</c:v>
                </c:pt>
                <c:pt idx="1">
                  <c:v>-700</c:v>
                </c:pt>
                <c:pt idx="2">
                  <c:v>-700</c:v>
                </c:pt>
                <c:pt idx="3">
                  <c:v>700</c:v>
                </c:pt>
                <c:pt idx="4">
                  <c:v>700</c:v>
                </c:pt>
              </c:strCache>
            </c:strRef>
          </c:xVal>
          <c:yVal>
            <c:numRef>
              <c:f>'STD 偏心負荷計算'!$I$8:$I$12</c:f>
              <c:numCache>
                <c:formatCode>0_ 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-500</c:v>
                </c:pt>
                <c:pt idx="3">
                  <c:v>-500</c:v>
                </c:pt>
                <c:pt idx="4">
                  <c:v>500</c:v>
                </c:pt>
              </c:numCache>
            </c:numRef>
          </c:yVal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偏心負荷計算'!$H$14:$H$18</c:f>
              <c:strCache>
                <c:ptCount val="5"/>
                <c:pt idx="0">
                  <c:v>750</c:v>
                </c:pt>
                <c:pt idx="1">
                  <c:v>-750</c:v>
                </c:pt>
                <c:pt idx="2">
                  <c:v>-750</c:v>
                </c:pt>
                <c:pt idx="3">
                  <c:v>750</c:v>
                </c:pt>
                <c:pt idx="4">
                  <c:v>750</c:v>
                </c:pt>
              </c:strCache>
            </c:strRef>
          </c:xVal>
          <c:yVal>
            <c:numRef>
              <c:f>'STD 偏心負荷計算'!$I$14:$I$18</c:f>
              <c:numCache>
                <c:formatCode>0_ </c:formatCode>
                <c:ptCount val="5"/>
                <c:pt idx="0">
                  <c:v>750</c:v>
                </c:pt>
                <c:pt idx="1">
                  <c:v>750</c:v>
                </c:pt>
                <c:pt idx="2">
                  <c:v>-750</c:v>
                </c:pt>
                <c:pt idx="3">
                  <c:v>-750</c:v>
                </c:pt>
                <c:pt idx="4">
                  <c:v>750</c:v>
                </c:pt>
              </c:numCache>
            </c:numRef>
          </c:yVal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偏心負荷計算'!$H$21:$H$25</c:f>
              <c:strCache>
                <c:ptCount val="5"/>
                <c:pt idx="0">
                  <c:v>650</c:v>
                </c:pt>
                <c:pt idx="1">
                  <c:v>-650</c:v>
                </c:pt>
                <c:pt idx="2">
                  <c:v>-650</c:v>
                </c:pt>
                <c:pt idx="3">
                  <c:v>650</c:v>
                </c:pt>
                <c:pt idx="4">
                  <c:v>650</c:v>
                </c:pt>
              </c:strCache>
            </c:strRef>
          </c:xVal>
          <c:yVal>
            <c:numRef>
              <c:f>'STD 偏心負荷計算'!$I$21:$I$25</c:f>
              <c:numCache>
                <c:formatCode>0_ </c:formatCode>
                <c:ptCount val="5"/>
                <c:pt idx="0">
                  <c:v>425</c:v>
                </c:pt>
                <c:pt idx="1">
                  <c:v>425</c:v>
                </c:pt>
                <c:pt idx="2">
                  <c:v>-425</c:v>
                </c:pt>
                <c:pt idx="3">
                  <c:v>-425</c:v>
                </c:pt>
                <c:pt idx="4">
                  <c:v>425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2000"/>
          <c:min val="-20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37648879547427089"/>
              <c:y val="0.9199999588609416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8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200"/>
        <c:minorUnit val="100"/>
      </c:valAx>
      <c:valAx>
        <c:axId val="2222"/>
        <c:scaling>
          <c:orientation val="minMax"/>
          <c:max val="800"/>
          <c:min val="-8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-5400000" vert="horz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0074404046107782347"/>
              <c:y val="0.25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8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200"/>
        <c:minorUnit val="10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023986304694520125"/>
          <c:y val="0.88222514974876443"/>
          <c:w val="0.93546588308628476"/>
          <c:h val="0.090564705637926249"/>
        </c:manualLayout>
      </c:layout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Times New Roman"/>
                <a:ea typeface="Times New Roman"/>
              </a:defRPr>
            </a:pP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</a:p>
        </c:rich>
      </c:tx>
      <c:layout>
        <c:manualLayout>
          <c:xMode val="edge"/>
          <c:yMode val="edge"/>
          <c:x val="0.41343310563000818"/>
          <c:y val="0.030060116111859644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97160147041820091"/>
          <c:y val="0.12584769495472919"/>
          <c:w val="0.87145178039047877"/>
          <c:h val="0.65399539837129761"/>
        </c:manualLayout>
      </c:layout>
      <c:scatterChart>
        <c:scatterStyle val="lineMarker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偏心負荷計算'!$C$19:$C$30</c:f>
              <c:strCache>
                <c:ptCount val="12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xVal>
          <c:yVal>
            <c:numRef>
              <c:f>'G2   偏心負荷計算'!$D$19:$D$30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偏心負荷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偏心負荷計算'!$D$2</c:f>
              <c:strCache>
                <c:ptCount val="1"/>
                <c:pt idx="0">
                  <c:v>-211.53</c:v>
                </c:pt>
              </c:strCache>
            </c:strRef>
          </c:xVal>
          <c:yVal>
            <c:numRef>
              <c:f>'G2   偏心負荷計算'!$G$2:$G$2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'G2   偏心負荷計算'!$@$0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3366FF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偏心負荷計算'!$I$17:$I$21</c:f>
              <c:strCache>
                <c:ptCount val="5"/>
                <c:pt idx="0">
                  <c:v>1050</c:v>
                </c:pt>
                <c:pt idx="1">
                  <c:v>-1050</c:v>
                </c:pt>
                <c:pt idx="2">
                  <c:v>-1050</c:v>
                </c:pt>
                <c:pt idx="3">
                  <c:v>1050</c:v>
                </c:pt>
                <c:pt idx="4">
                  <c:v>1050</c:v>
                </c:pt>
              </c:strCache>
            </c:strRef>
          </c:xVal>
          <c:yVal>
            <c:numRef>
              <c:f>'G2   偏心負荷計算'!$J$17:$J$21</c:f>
              <c:numCache>
                <c:formatCode>General</c:formatCode>
                <c:ptCount val="5"/>
                <c:pt idx="0">
                  <c:v>350</c:v>
                </c:pt>
                <c:pt idx="1">
                  <c:v>350</c:v>
                </c:pt>
                <c:pt idx="2">
                  <c:v>-350</c:v>
                </c:pt>
                <c:pt idx="3">
                  <c:v>-350</c:v>
                </c:pt>
                <c:pt idx="4">
                  <c:v>350</c:v>
                </c:pt>
              </c:numCache>
            </c:numRef>
          </c:yVal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偏心負荷計算'!$I$22:$I$26</c:f>
              <c:strCache>
                <c:ptCount val="5"/>
                <c:pt idx="0">
                  <c:v>1350</c:v>
                </c:pt>
                <c:pt idx="1">
                  <c:v>-1350</c:v>
                </c:pt>
                <c:pt idx="2">
                  <c:v>-1350</c:v>
                </c:pt>
                <c:pt idx="3">
                  <c:v>1350</c:v>
                </c:pt>
                <c:pt idx="4">
                  <c:v>1350</c:v>
                </c:pt>
              </c:strCache>
            </c:strRef>
          </c:xVal>
          <c:yVal>
            <c:numRef>
              <c:f>'G2   偏心負荷計算'!$J$22:$J$26</c:f>
              <c:numCache>
                <c:formatCode>General</c:formatCode>
                <c:ptCount val="5"/>
                <c:pt idx="0">
                  <c:v>450</c:v>
                </c:pt>
                <c:pt idx="1">
                  <c:v>450</c:v>
                </c:pt>
                <c:pt idx="2">
                  <c:v>-450</c:v>
                </c:pt>
                <c:pt idx="3">
                  <c:v>-450</c:v>
                </c:pt>
                <c:pt idx="4">
                  <c:v>450</c:v>
                </c:pt>
              </c:numCache>
            </c:numRef>
          </c:yVal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偏心負荷計算'!$K$17:$K$21</c:f>
              <c:strCache>
                <c:ptCount val="5"/>
                <c:pt idx="0">
                  <c:v>1000</c:v>
                </c:pt>
                <c:pt idx="1">
                  <c:v>-1000</c:v>
                </c:pt>
                <c:pt idx="2">
                  <c:v>-1000</c:v>
                </c:pt>
                <c:pt idx="3">
                  <c:v>1000</c:v>
                </c:pt>
                <c:pt idx="4">
                  <c:v>1000</c:v>
                </c:pt>
              </c:strCache>
            </c:strRef>
          </c:xVal>
          <c:yVal>
            <c:numRef>
              <c:f>'G2   偏心負荷計算'!$L$17:$L$21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-300</c:v>
                </c:pt>
                <c:pt idx="3">
                  <c:v>-300</c:v>
                </c:pt>
                <c:pt idx="4">
                  <c:v>300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1400"/>
          <c:min val="-14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39104517564443519"/>
              <c:y val="0.8497002435135169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200"/>
        <c:minorUnit val="10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-5400000" vert="horz"/>
              <a:lstStyle/>
              <a:p>
                <a:pPr>
                  <a:defRPr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0074627592080791227"/>
              <c:y val="0.28256550348788817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028931063316050939"/>
          <c:y val="0.89358671190478955"/>
          <c:w val="0.92973917111127335"/>
          <c:h val="0.082942374309901645"/>
        </c:manualLayout>
      </c:layout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387478055309306"/>
          <c:y val="0.026052237975747537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14319214946632269"/>
          <c:y val="0.11965846405531624"/>
          <c:w val="0.82932119899245182"/>
          <c:h val="0.6828784759018911"/>
        </c:manualLayout>
      </c:layout>
      <c:scatterChart>
        <c:scatterStyle val="lineMarker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負荷中心計算'!$C$19:$C$30</c:f>
              <c:strCache>
                <c:ptCount val="12"/>
                <c:pt idx="0">
                  <c:v>36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xVal>
          <c:yVal>
            <c:numRef>
              <c:f>'G1  負荷中心計算'!$D$19:$D$30</c:f>
              <c:numCache>
                <c:formatCode>General</c:formatCode>
                <c:ptCount val="12"/>
                <c:pt idx="0">
                  <c:v>0</c:v>
                </c:pt>
              </c:numCache>
            </c:numRef>
          </c:yVal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負荷中心計算'!$D$2</c:f>
              <c:strCache>
                <c:ptCount val="1"/>
                <c:pt idx="0">
                  <c:v>36.00</c:v>
                </c:pt>
              </c:strCache>
            </c:strRef>
          </c:xVal>
          <c:yVal>
            <c:numRef>
              <c:f>'G1  負荷中心計算'!$G$2:$G$2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'G1  負荷中心計算'!$@$0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滑塊板尺寸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負荷中心計算'!$I$12:$I$16</c:f>
              <c:strCache>
                <c:ptCount val="5"/>
                <c:pt idx="0">
                  <c:v>350</c:v>
                </c:pt>
                <c:pt idx="1">
                  <c:v>-350</c:v>
                </c:pt>
                <c:pt idx="2">
                  <c:v>-350</c:v>
                </c:pt>
                <c:pt idx="3">
                  <c:v>350</c:v>
                </c:pt>
                <c:pt idx="4">
                  <c:v>350</c:v>
                </c:pt>
              </c:strCache>
            </c:strRef>
          </c:xVal>
          <c:yVal>
            <c:numRef>
              <c:f>'G1  負荷中心計算'!$K$12:$K$16</c:f>
              <c:numCache>
                <c:formatCode>General</c:formatCode>
                <c:ptCount val="5"/>
                <c:pt idx="0">
                  <c:v>290</c:v>
                </c:pt>
                <c:pt idx="1">
                  <c:v>290</c:v>
                </c:pt>
                <c:pt idx="2">
                  <c:v>-290</c:v>
                </c:pt>
                <c:pt idx="3">
                  <c:v>-290</c:v>
                </c:pt>
                <c:pt idx="4">
                  <c:v>290</c:v>
                </c:pt>
              </c:numCache>
            </c:numRef>
          </c:yVal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負荷中心計算'!$I$17:$I$21</c:f>
              <c:strCache>
                <c:ptCount val="5"/>
                <c:pt idx="0">
                  <c:v>625</c:v>
                </c:pt>
                <c:pt idx="1">
                  <c:v>-625</c:v>
                </c:pt>
                <c:pt idx="2">
                  <c:v>-625</c:v>
                </c:pt>
                <c:pt idx="3">
                  <c:v>625</c:v>
                </c:pt>
                <c:pt idx="4">
                  <c:v>625</c:v>
                </c:pt>
              </c:strCache>
            </c:strRef>
          </c:xVal>
          <c:yVal>
            <c:numRef>
              <c:f>'G1  負荷中心計算'!$K$17:$K$21</c:f>
              <c:numCache>
                <c:formatCode>General</c:formatCode>
                <c:ptCount val="5"/>
                <c:pt idx="0">
                  <c:v>380</c:v>
                </c:pt>
                <c:pt idx="1">
                  <c:v>380</c:v>
                </c:pt>
                <c:pt idx="2">
                  <c:v>-380</c:v>
                </c:pt>
                <c:pt idx="3">
                  <c:v>-380</c:v>
                </c:pt>
                <c:pt idx="4">
                  <c:v>380</c:v>
                </c:pt>
              </c:numCache>
            </c:numRef>
          </c:yVal>
        </c:ser>
        <c:ser>
          <c:idx val="5"/>
          <c:order val="5"/>
          <c:tx>
            <c:v>模具尺寸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負荷中心計算'!$I$22:$I$26</c:f>
              <c:strCache>
                <c:ptCount val="5"/>
                <c:pt idx="0">
                  <c:v>350</c:v>
                </c:pt>
                <c:pt idx="1">
                  <c:v>-350</c:v>
                </c:pt>
                <c:pt idx="2">
                  <c:v>-350</c:v>
                </c:pt>
                <c:pt idx="3">
                  <c:v>350</c:v>
                </c:pt>
                <c:pt idx="4">
                  <c:v>350</c:v>
                </c:pt>
              </c:strCache>
            </c:strRef>
          </c:xVal>
          <c:yVal>
            <c:numRef>
              <c:f>'G1  負荷中心計算'!$K$22:$K$26</c:f>
              <c:numCache>
                <c:formatCode>General</c:formatCode>
                <c:ptCount val="5"/>
                <c:pt idx="0">
                  <c:v>350</c:v>
                </c:pt>
                <c:pt idx="1">
                  <c:v>350</c:v>
                </c:pt>
                <c:pt idx="2">
                  <c:v>-350</c:v>
                </c:pt>
                <c:pt idx="3">
                  <c:v>-350</c:v>
                </c:pt>
                <c:pt idx="4">
                  <c:v>350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700"/>
          <c:min val="-7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40387478055309306"/>
              <c:y val="0.8677363131806327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87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-5400000" vert="horz"/>
              <a:lstStyle/>
              <a:p>
                <a:pPr>
                  <a:defRPr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0074516347708192109"/>
              <c:y val="0.2645292278025686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87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043396594974076413"/>
          <c:y val="0.92488572107833722"/>
          <c:w val="0.91132849445560471"/>
          <c:h val="0.067292869723127757"/>
        </c:manualLayout>
      </c:layout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25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387478055309306"/>
          <c:y val="0.030000041139058242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16442486422461858"/>
          <c:y val="0.14604782334341559"/>
          <c:w val="0.80867137768653352"/>
          <c:h val="0.6417876180724742"/>
        </c:manualLayout>
      </c:layout>
      <c:scatterChart>
        <c:scatterStyle val="lineMarker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負荷中心計算'!$C$19:$C$30</c:f>
              <c:strCache>
                <c:ptCount val="12"/>
                <c:pt idx="0">
                  <c:v>-200</c:v>
                </c:pt>
                <c:pt idx="1">
                  <c:v>200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xVal>
          <c:yVal>
            <c:numRef>
              <c:f>'OCP-N  負荷中心計算'!$D$19:$D$30</c:f>
              <c:numCache>
                <c:formatCode>General</c:formatCode>
                <c:ptCount val="1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負荷中心計算'!$D$2</c:f>
              <c:strCache>
                <c:ptCount val="1"/>
                <c:pt idx="0">
                  <c:v>22.22</c:v>
                </c:pt>
              </c:strCache>
            </c:strRef>
          </c:xVal>
          <c:yVal>
            <c:numRef>
              <c:f>'OCP-N  負荷中心計算'!$G$2:$G$2</c:f>
              <c:numCache>
                <c:formatCode>0.00_ </c:formatCode>
                <c:ptCount val="1"/>
                <c:pt idx="0">
                  <c:v>-1.11111</c:v>
                </c:pt>
              </c:numCache>
            </c:numRef>
          </c:yVal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'OCP-N  負荷中心計算'!$@$0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負荷中心計算'!$H$8:$H$12</c:f>
              <c:strCache>
                <c:ptCount val="5"/>
                <c:pt idx="0">
                  <c:v>325</c:v>
                </c:pt>
                <c:pt idx="1">
                  <c:v>-325</c:v>
                </c:pt>
                <c:pt idx="2">
                  <c:v>-325</c:v>
                </c:pt>
                <c:pt idx="3">
                  <c:v>325</c:v>
                </c:pt>
                <c:pt idx="4">
                  <c:v>325</c:v>
                </c:pt>
              </c:strCache>
            </c:strRef>
          </c:xVal>
          <c:yVal>
            <c:numRef>
              <c:f>'OCP-N  負荷中心計算'!$I$8:$I$12</c:f>
              <c:numCache>
                <c:formatCode>General</c:formatCode>
                <c:ptCount val="5"/>
                <c:pt idx="0">
                  <c:v>235</c:v>
                </c:pt>
                <c:pt idx="1">
                  <c:v>235</c:v>
                </c:pt>
                <c:pt idx="2">
                  <c:v>-235</c:v>
                </c:pt>
                <c:pt idx="3">
                  <c:v>-235</c:v>
                </c:pt>
                <c:pt idx="4">
                  <c:v>235</c:v>
                </c:pt>
              </c:numCache>
            </c:numRef>
          </c:yVal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負荷中心計算'!$H$14:$H$18</c:f>
              <c:strCache>
                <c:ptCount val="5"/>
                <c:pt idx="0">
                  <c:v>575</c:v>
                </c:pt>
                <c:pt idx="1">
                  <c:v>-575</c:v>
                </c:pt>
                <c:pt idx="2">
                  <c:v>-575</c:v>
                </c:pt>
                <c:pt idx="3">
                  <c:v>575</c:v>
                </c:pt>
                <c:pt idx="4">
                  <c:v>575</c:v>
                </c:pt>
              </c:strCache>
            </c:strRef>
          </c:xVal>
          <c:yVal>
            <c:numRef>
              <c:f>'OCP-N  負荷中心計算'!$I$14:$I$18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-300</c:v>
                </c:pt>
                <c:pt idx="3">
                  <c:v>-300</c:v>
                </c:pt>
                <c:pt idx="4">
                  <c:v>300</c:v>
                </c:pt>
              </c:numCache>
            </c:numRef>
          </c:yVal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負荷中心計算'!$H$21:$H$25</c:f>
              <c:strCache>
                <c:ptCount val="5"/>
                <c:pt idx="0">
                  <c:v>275</c:v>
                </c:pt>
                <c:pt idx="1">
                  <c:v>-275</c:v>
                </c:pt>
                <c:pt idx="2">
                  <c:v>-275</c:v>
                </c:pt>
                <c:pt idx="3">
                  <c:v>275</c:v>
                </c:pt>
                <c:pt idx="4">
                  <c:v>275</c:v>
                </c:pt>
              </c:strCache>
            </c:strRef>
          </c:xVal>
          <c:yVal>
            <c:numRef>
              <c:f>'OCP-N  負荷中心計算'!$I$21:$I$25</c:f>
              <c:numCache>
                <c:formatCode>General</c:formatCode>
                <c:ptCount val="5"/>
                <c:pt idx="0">
                  <c:v>275</c:v>
                </c:pt>
                <c:pt idx="1">
                  <c:v>275</c:v>
                </c:pt>
                <c:pt idx="2">
                  <c:v>-275</c:v>
                </c:pt>
                <c:pt idx="3">
                  <c:v>-275</c:v>
                </c:pt>
                <c:pt idx="4">
                  <c:v>275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800"/>
          <c:min val="-8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4098360883697485"/>
              <c:y val="0.84999999999999998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85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-5400000" vert="horz"/>
              <a:lstStyle/>
              <a:p>
                <a:pPr>
                  <a:defRPr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04918026802941023"/>
              <c:y val="0.278000065822493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85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03967513401012672"/>
          <c:y val="0.92438458168366111"/>
          <c:w val="0.92178561350194421"/>
          <c:h val="0.06401987812336167"/>
        </c:manualLayout>
      </c:layout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25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029827397403139"/>
          <c:y val="0.029940183809312237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98444602758096841"/>
          <c:y val="0.1193066725903958"/>
          <c:w val="0.87406874570067761"/>
          <c:h val="0.69732693117489963"/>
        </c:manualLayout>
      </c:layout>
      <c:scatterChart>
        <c:scatterStyle val="lineMarker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負荷中心計算'!$C$19:$C$30</c:f>
              <c:strCache>
                <c:ptCount val="12"/>
                <c:pt idx="0">
                  <c:v>-200</c:v>
                </c:pt>
                <c:pt idx="1">
                  <c:v>-100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xVal>
          <c:yVal>
            <c:numRef>
              <c:f>'新 OCP  負荷中心計算'!$D$19:$D$30</c:f>
              <c:numCache>
                <c:formatCode>General</c:formatCode>
                <c:ptCount val="12"/>
                <c:pt idx="0">
                  <c:v>10</c:v>
                </c:pt>
                <c:pt idx="1">
                  <c:v>-50</c:v>
                </c:pt>
                <c:pt idx="2">
                  <c:v>20</c:v>
                </c:pt>
                <c:pt idx="3">
                  <c:v>-15</c:v>
                </c:pt>
                <c:pt idx="4">
                  <c:v>30</c:v>
                </c:pt>
              </c:numCache>
            </c:numRef>
          </c:yVal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負荷中心計算'!$D$2</c:f>
              <c:strCache>
                <c:ptCount val="1"/>
                <c:pt idx="0">
                  <c:v>-33.53</c:v>
                </c:pt>
              </c:strCache>
            </c:strRef>
          </c:xVal>
          <c:yVal>
            <c:numRef>
              <c:f>'新 OCP  負荷中心計算'!$G$2:$G$2</c:f>
              <c:numCache>
                <c:formatCode>0.00_ </c:formatCode>
                <c:ptCount val="1"/>
                <c:pt idx="0">
                  <c:v>-9.22156</c:v>
                </c:pt>
              </c:numCache>
            </c:numRef>
          </c:yVal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'新 OCP  負荷中心計算'!$@$0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負荷中心計算'!$H$8:$H$12</c:f>
              <c:strCache>
                <c:ptCount val="5"/>
                <c:pt idx="0">
                  <c:v>425</c:v>
                </c:pt>
                <c:pt idx="1">
                  <c:v>-425</c:v>
                </c:pt>
                <c:pt idx="2">
                  <c:v>-425</c:v>
                </c:pt>
                <c:pt idx="3">
                  <c:v>425</c:v>
                </c:pt>
                <c:pt idx="4">
                  <c:v>425</c:v>
                </c:pt>
              </c:strCache>
            </c:strRef>
          </c:xVal>
          <c:yVal>
            <c:numRef>
              <c:f>'新 OCP  負荷中心計算'!$I$8:$I$12</c:f>
              <c:numCache>
                <c:formatCode>0_ </c:formatCode>
                <c:ptCount val="5"/>
                <c:pt idx="0">
                  <c:v>325</c:v>
                </c:pt>
                <c:pt idx="1">
                  <c:v>325</c:v>
                </c:pt>
                <c:pt idx="2">
                  <c:v>-325</c:v>
                </c:pt>
                <c:pt idx="3">
                  <c:v>-325</c:v>
                </c:pt>
                <c:pt idx="4">
                  <c:v>325</c:v>
                </c:pt>
              </c:numCache>
            </c:numRef>
          </c:yVal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負荷中心計算'!$H$14:$H$18</c:f>
              <c:strCache>
                <c:ptCount val="5"/>
                <c:pt idx="0">
                  <c:v>750</c:v>
                </c:pt>
                <c:pt idx="1">
                  <c:v>-750</c:v>
                </c:pt>
                <c:pt idx="2">
                  <c:v>-750</c:v>
                </c:pt>
                <c:pt idx="3">
                  <c:v>750</c:v>
                </c:pt>
                <c:pt idx="4">
                  <c:v>750</c:v>
                </c:pt>
              </c:strCache>
            </c:strRef>
          </c:xVal>
          <c:yVal>
            <c:numRef>
              <c:f>'新 OCP  負荷中心計算'!$I$14:$I$18</c:f>
              <c:numCache>
                <c:formatCode>0_ </c:formatCode>
                <c:ptCount val="5"/>
                <c:pt idx="0">
                  <c:v>410</c:v>
                </c:pt>
                <c:pt idx="1">
                  <c:v>410</c:v>
                </c:pt>
                <c:pt idx="2">
                  <c:v>-410</c:v>
                </c:pt>
                <c:pt idx="3">
                  <c:v>-410</c:v>
                </c:pt>
                <c:pt idx="4">
                  <c:v>410</c:v>
                </c:pt>
              </c:numCache>
            </c:numRef>
          </c:yVal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負荷中心計算'!$H$21:$H$25</c:f>
              <c:strCache>
                <c:ptCount val="5"/>
                <c:pt idx="0">
                  <c:v>300</c:v>
                </c:pt>
                <c:pt idx="1">
                  <c:v>-300</c:v>
                </c:pt>
                <c:pt idx="2">
                  <c:v>-300</c:v>
                </c:pt>
                <c:pt idx="3">
                  <c:v>300</c:v>
                </c:pt>
                <c:pt idx="4">
                  <c:v>300</c:v>
                </c:pt>
              </c:strCache>
            </c:strRef>
          </c:xVal>
          <c:yVal>
            <c:numRef>
              <c:f>'新 OCP  負荷中心計算'!$I$21:$I$25</c:f>
              <c:numCache>
                <c:formatCode>0_ 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-300</c:v>
                </c:pt>
                <c:pt idx="3">
                  <c:v>-300</c:v>
                </c:pt>
                <c:pt idx="4">
                  <c:v>300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800"/>
          <c:min val="-8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35119101006413933"/>
              <c:y val="0.88024111602037203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92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127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-5400000" vert="horz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014881020667118596"/>
              <c:y val="0.2754496499066143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92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033062611675105602"/>
          <c:y val="0.92543962505040445"/>
          <c:w val="0.92839813583696518"/>
          <c:h val="0.063877145836812435"/>
        </c:manualLayout>
      </c:layout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沖壓工程排列示意圖</a:t>
            </a:r>
          </a:p>
        </c:rich>
      </c:tx>
      <c:layout>
        <c:manualLayout>
          <c:xMode val="edge"/>
          <c:yMode val="edge"/>
          <c:x val="0.38444492087003979"/>
          <c:y val="0.012847953864921815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70000075954943536"/>
          <c:y val="0.087794432548180035"/>
          <c:w val="0.88444540412912831"/>
          <c:h val="0.77730192719486135"/>
        </c:manualLayout>
      </c:layout>
      <c:scatterChart>
        <c:scatterStyle val="lineMarker"/>
        <c:ser>
          <c:idx val="4"/>
          <c:order val="0"/>
          <c:tx>
            <c:v>模座尺寸</c:v>
          </c:tx>
          <c:spPr>
            <a:ln>
              <a:noFill/>
              <a:round/>
            </a:ln>
          </c:spPr>
          <c:marker>
            <c:symbol val="star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模具'!$F$4:$F$8</c:f>
              <c:strCache>
                <c:ptCount val="5"/>
                <c:pt idx="0">
                  <c:v>378.5</c:v>
                </c:pt>
                <c:pt idx="1">
                  <c:v>-378.5</c:v>
                </c:pt>
                <c:pt idx="2">
                  <c:v>-378.5</c:v>
                </c:pt>
                <c:pt idx="3">
                  <c:v>378.5</c:v>
                </c:pt>
                <c:pt idx="4">
                  <c:v>378.5</c:v>
                </c:pt>
              </c:strCache>
            </c:strRef>
          </c:xVal>
          <c:yVal>
            <c:numRef>
              <c:f>'沖壓工程規劃 - 模具'!$G$4:$G$8</c:f>
              <c:numCache>
                <c:formatCode>General</c:formatCode>
                <c:ptCount val="5"/>
                <c:pt idx="0">
                  <c:v>100.85</c:v>
                </c:pt>
                <c:pt idx="1">
                  <c:v>100.85</c:v>
                </c:pt>
                <c:pt idx="2">
                  <c:v>-100.85</c:v>
                </c:pt>
                <c:pt idx="3">
                  <c:v>-100.85</c:v>
                </c:pt>
                <c:pt idx="4">
                  <c:v>100.85</c:v>
                </c:pt>
              </c:numCache>
            </c:numRef>
          </c:yVal>
        </c:ser>
        <c:ser>
          <c:idx val="0"/>
          <c:order val="1"/>
          <c:tx>
            <c:v>素材尺寸</c:v>
          </c:tx>
          <c:spPr>
            <a:ln>
              <a:noFill/>
              <a:round/>
            </a:ln>
          </c:spPr>
          <c:marker>
            <c:symbol val="diamond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模具'!$L$4:$L$8</c:f>
              <c:strCache>
                <c:ptCount val="5"/>
                <c:pt idx="0">
                  <c:v>-298.5</c:v>
                </c:pt>
                <c:pt idx="1">
                  <c:v>-256.8</c:v>
                </c:pt>
                <c:pt idx="2">
                  <c:v>-256.8</c:v>
                </c:pt>
                <c:pt idx="3">
                  <c:v>-298.5</c:v>
                </c:pt>
                <c:pt idx="4">
                  <c:v>-298.5</c:v>
                </c:pt>
              </c:strCache>
            </c:strRef>
          </c:xVal>
          <c:yVal>
            <c:numRef>
              <c:f>'沖壓工程規劃 - 模具'!$M$4:$M$8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1"/>
          <c:order val="2"/>
          <c:tx>
            <c:v>工程2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模具'!$N$4:$N$8</c:f>
              <c:strCache>
                <c:ptCount val="5"/>
                <c:pt idx="0">
                  <c:v>-236.8</c:v>
                </c:pt>
                <c:pt idx="1">
                  <c:v>-195.1</c:v>
                </c:pt>
                <c:pt idx="2">
                  <c:v>-195.1</c:v>
                </c:pt>
                <c:pt idx="3">
                  <c:v>-236.8</c:v>
                </c:pt>
                <c:pt idx="4">
                  <c:v>-236.8</c:v>
                </c:pt>
              </c:strCache>
            </c:strRef>
          </c:xVal>
          <c:yVal>
            <c:numRef>
              <c:f>'沖壓工程規劃 - 模具'!$O$4:$O$8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2"/>
          <c:order val="3"/>
          <c:tx>
            <c:v>工程3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模具'!$P$4:$P$8</c:f>
              <c:strCache>
                <c:ptCount val="5"/>
                <c:pt idx="0">
                  <c:v>-175.1</c:v>
                </c:pt>
                <c:pt idx="1">
                  <c:v>-133.4</c:v>
                </c:pt>
                <c:pt idx="2">
                  <c:v>-133.4</c:v>
                </c:pt>
                <c:pt idx="3">
                  <c:v>-175.1</c:v>
                </c:pt>
                <c:pt idx="4">
                  <c:v>-175.1</c:v>
                </c:pt>
              </c:strCache>
            </c:strRef>
          </c:xVal>
          <c:yVal>
            <c:numRef>
              <c:f>'沖壓工程規劃 - 模具'!$Q$4:$Q$8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3"/>
          <c:order val="4"/>
          <c:tx>
            <c:v>工程4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模具'!$R$4:$R$8</c:f>
              <c:strCache>
                <c:ptCount val="5"/>
                <c:pt idx="0">
                  <c:v>-113.4</c:v>
                </c:pt>
                <c:pt idx="1">
                  <c:v>-71.7</c:v>
                </c:pt>
                <c:pt idx="2">
                  <c:v>-71.7</c:v>
                </c:pt>
                <c:pt idx="3">
                  <c:v>-113.4</c:v>
                </c:pt>
                <c:pt idx="4">
                  <c:v>-113.4</c:v>
                </c:pt>
              </c:strCache>
            </c:strRef>
          </c:xVal>
          <c:yVal>
            <c:numRef>
              <c:f>'沖壓工程規劃 - 模具'!$S$4:$S$8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5"/>
          <c:order val="5"/>
          <c:tx>
            <c:v>工程5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模具'!$T$4:$T$8</c:f>
              <c:strCache>
                <c:ptCount val="5"/>
                <c:pt idx="0">
                  <c:v>-51.7</c:v>
                </c:pt>
                <c:pt idx="1">
                  <c:v>-10</c:v>
                </c:pt>
                <c:pt idx="2">
                  <c:v>-10</c:v>
                </c:pt>
                <c:pt idx="3">
                  <c:v>-51.7</c:v>
                </c:pt>
                <c:pt idx="4">
                  <c:v>-51.7</c:v>
                </c:pt>
              </c:strCache>
            </c:strRef>
          </c:xVal>
          <c:yVal>
            <c:numRef>
              <c:f>'沖壓工程規劃 - 模具'!$U$4:$U$8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6"/>
          <c:order val="6"/>
          <c:tx>
            <c:v>工程6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模具'!$F$11:$F$15</c:f>
              <c:strCache>
                <c:ptCount val="5"/>
                <c:pt idx="0">
                  <c:v>10</c:v>
                </c:pt>
                <c:pt idx="1">
                  <c:v>51.7</c:v>
                </c:pt>
                <c:pt idx="2">
                  <c:v>51.7</c:v>
                </c:pt>
                <c:pt idx="3">
                  <c:v>10</c:v>
                </c:pt>
                <c:pt idx="4">
                  <c:v>10</c:v>
                </c:pt>
              </c:strCache>
            </c:strRef>
          </c:xVal>
          <c:yVal>
            <c:numRef>
              <c:f>'沖壓工程規劃 - 模具'!$G$11:$G$15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7"/>
          <c:order val="7"/>
          <c:tx>
            <c:v>工程7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模具'!$H$11:$H$15</c:f>
              <c:strCache>
                <c:ptCount val="5"/>
                <c:pt idx="0">
                  <c:v>71.7</c:v>
                </c:pt>
                <c:pt idx="1">
                  <c:v>113.4</c:v>
                </c:pt>
                <c:pt idx="2">
                  <c:v>113.4</c:v>
                </c:pt>
                <c:pt idx="3">
                  <c:v>71.7</c:v>
                </c:pt>
                <c:pt idx="4">
                  <c:v>71.7</c:v>
                </c:pt>
              </c:strCache>
            </c:strRef>
          </c:xVal>
          <c:yVal>
            <c:numRef>
              <c:f>'沖壓工程規劃 - 模具'!$I$11:$I$15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8"/>
          <c:order val="8"/>
          <c:tx>
            <c:v>工程8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模具'!$J$11:$J$15</c:f>
              <c:strCache>
                <c:ptCount val="5"/>
                <c:pt idx="0">
                  <c:v>133.4</c:v>
                </c:pt>
                <c:pt idx="1">
                  <c:v>175.1</c:v>
                </c:pt>
                <c:pt idx="2">
                  <c:v>175.1</c:v>
                </c:pt>
                <c:pt idx="3">
                  <c:v>133.4</c:v>
                </c:pt>
                <c:pt idx="4">
                  <c:v>133.4</c:v>
                </c:pt>
              </c:strCache>
            </c:strRef>
          </c:xVal>
          <c:yVal>
            <c:numRef>
              <c:f>'沖壓工程規劃 - 模具'!$K$11:$K$15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10"/>
          <c:order val="9"/>
          <c:tx>
            <c:v>工程9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模具'!$L$11:$L$15</c:f>
              <c:strCache>
                <c:ptCount val="5"/>
                <c:pt idx="0">
                  <c:v>195.1</c:v>
                </c:pt>
                <c:pt idx="1">
                  <c:v>236.8</c:v>
                </c:pt>
                <c:pt idx="2">
                  <c:v>236.8</c:v>
                </c:pt>
                <c:pt idx="3">
                  <c:v>195.1</c:v>
                </c:pt>
                <c:pt idx="4">
                  <c:v>195.1</c:v>
                </c:pt>
              </c:strCache>
            </c:strRef>
          </c:xVal>
          <c:yVal>
            <c:numRef>
              <c:f>'沖壓工程規劃 - 模具'!$M$11:$M$15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9"/>
          <c:order val="10"/>
          <c:tx>
            <c:v>工程10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模具'!$N$11:$N$15</c:f>
              <c:strCache>
                <c:ptCount val="5"/>
                <c:pt idx="0">
                  <c:v>256.8</c:v>
                </c:pt>
                <c:pt idx="1">
                  <c:v>298.5</c:v>
                </c:pt>
                <c:pt idx="2">
                  <c:v>298.5</c:v>
                </c:pt>
                <c:pt idx="3">
                  <c:v>256.8</c:v>
                </c:pt>
                <c:pt idx="4">
                  <c:v>256.8</c:v>
                </c:pt>
              </c:strCache>
            </c:strRef>
          </c:xVal>
          <c:yVal>
            <c:numRef>
              <c:f>'沖壓工程規劃 - 模具'!$O$11:$O$15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</c:ser>
        <c:ser>
          <c:idx val="11"/>
          <c:order val="11"/>
          <c:tx>
            <c:v>工程11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模具'!$P$11:$P$15</c:f>
              <c:strCache>
                <c:ptCount val="5"/>
                <c:pt idx="0">
                  <c:v>  </c:v>
                </c:pt>
                <c:pt idx="1">
                  <c:v>  </c:v>
                </c:pt>
                <c:pt idx="2">
                  <c:v>  </c:v>
                </c:pt>
                <c:pt idx="3">
                  <c:v>  </c:v>
                </c:pt>
                <c:pt idx="4">
                  <c:v>  </c:v>
                </c:pt>
              </c:strCache>
            </c:strRef>
          </c:xVal>
          <c:yVal>
            <c:numRef>
              <c:f>'沖壓工程規劃 - 模具'!$Q$11:$Q$15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2"/>
          <c:order val="12"/>
          <c:tx>
            <c:v>工程12</c:v>
          </c:tx>
          <c:spPr>
            <a:ln>
              <a:noFill/>
              <a:round/>
            </a:ln>
          </c:spPr>
          <c:marker>
            <c:symbol val="square"/>
            <c:size val="3"/>
            <c:spPr>
              <a:noFill/>
              <a:ln>
                <a:noFill/>
                <a:round/>
              </a:ln>
            </c:spPr>
          </c:marker>
          <c:yVal>
            <c:numRef>
              <c:f>'沖壓工程規劃 - 模具'!$@$0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13"/>
          <c:order val="13"/>
          <c:tx>
            <c:v>模塊尺寸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模具'!$J$4:$J$8</c:f>
              <c:strCache>
                <c:ptCount val="5"/>
                <c:pt idx="0">
                  <c:v>328.5</c:v>
                </c:pt>
                <c:pt idx="1">
                  <c:v>-328.5</c:v>
                </c:pt>
                <c:pt idx="2">
                  <c:v>-328.5</c:v>
                </c:pt>
                <c:pt idx="3">
                  <c:v>328.5</c:v>
                </c:pt>
                <c:pt idx="4">
                  <c:v>328.5</c:v>
                </c:pt>
              </c:strCache>
            </c:strRef>
          </c:xVal>
          <c:yVal>
            <c:numRef>
              <c:f>'沖壓工程規劃 - 模具'!$K$4:$K$8</c:f>
              <c:numCache>
                <c:formatCode>General</c:formatCode>
                <c:ptCount val="5"/>
                <c:pt idx="0">
                  <c:v>50.85</c:v>
                </c:pt>
                <c:pt idx="1">
                  <c:v>50.85</c:v>
                </c:pt>
                <c:pt idx="2">
                  <c:v>-50.85</c:v>
                </c:pt>
                <c:pt idx="3">
                  <c:v>-50.85</c:v>
                </c:pt>
                <c:pt idx="4">
                  <c:v>50.85</c:v>
                </c:pt>
              </c:numCache>
            </c:numRef>
          </c:yVal>
        </c:ser>
        <c:ser>
          <c:idx val="14"/>
          <c:order val="14"/>
          <c:tx>
            <c:v>捲料寬度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模具'!$H$4:$H$5</c:f>
              <c:strCache>
                <c:ptCount val="2"/>
                <c:pt idx="0">
                  <c:v>378.5</c:v>
                </c:pt>
                <c:pt idx="1">
                  <c:v>-378.5</c:v>
                </c:pt>
              </c:strCache>
            </c:strRef>
          </c:xVal>
          <c:yVal>
            <c:numRef>
              <c:f>'沖壓工程規劃 - 模具'!$I$4:$I$5</c:f>
              <c:numCache>
                <c:formatCode>General</c:formatCode>
                <c:ptCount val="2"/>
                <c:pt idx="0">
                  <c:v>35.85</c:v>
                </c:pt>
                <c:pt idx="1">
                  <c:v>35.85</c:v>
                </c:pt>
              </c:numCache>
            </c:numRef>
          </c:yVal>
        </c:ser>
        <c:ser>
          <c:idx val="15"/>
          <c:order val="15"/>
          <c:tx>
            <c:v>捲料寬度-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模具'!$H$6:$H$7</c:f>
              <c:strCache>
                <c:ptCount val="2"/>
                <c:pt idx="0">
                  <c:v>-378.5</c:v>
                </c:pt>
                <c:pt idx="1">
                  <c:v>378.5</c:v>
                </c:pt>
              </c:strCache>
            </c:strRef>
          </c:xVal>
          <c:yVal>
            <c:numRef>
              <c:f>'沖壓工程規劃 - 模具'!$I$6:$I$7</c:f>
              <c:numCache>
                <c:formatCode>General</c:formatCode>
                <c:ptCount val="2"/>
                <c:pt idx="0">
                  <c:v>-35.85</c:v>
                </c:pt>
                <c:pt idx="1">
                  <c:v>-35.85</c:v>
                </c:pt>
              </c:numCache>
            </c:numRef>
          </c:yVal>
        </c:ser>
        <c:ser>
          <c:idx val="28"/>
          <c:order val="16"/>
          <c:tx>
            <c:v>中心點</c:v>
          </c:tx>
          <c:spPr>
            <a:ln>
              <a:noFill/>
              <a:round/>
            </a:ln>
          </c:spPr>
          <c:marker>
            <c:symbol val="square"/>
            <c:size val="4"/>
            <c:spPr>
              <a:solidFill>
                <a:srgbClr val="000000">
                  <a:alpha val="100000"/>
                </a:srgbClr>
              </a:solidFill>
              <a:ln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'沖壓工程規劃 - 模具'!$@$0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'沖壓工程規劃 - 模具'!$@$0</c:f>
              <c:numCache>
                <c:formatCode>0.0_ </c:formatCode>
                <c:ptCount val="0"/>
                <c:pt idx="0">
                  <c:v>0</c:v>
                </c:pt>
              </c:numCache>
            </c:numRef>
          </c:yVal>
        </c:ser>
        <c:ser>
          <c:idx val="27"/>
          <c:order val="17"/>
          <c:tx>
            <c:v>負荷點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模具'!$E$21</c:f>
              <c:strCache>
                <c:ptCount val="1"/>
                <c:pt idx="0">
                  <c:v>-277.64999999999998</c:v>
                </c:pt>
              </c:strCache>
            </c:strRef>
          </c:xVal>
          <c:yVal>
            <c:numRef>
              <c:f>'沖壓工程規劃 - 模具'!$E$22:$E$22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7"/>
          <c:order val="18"/>
          <c:tx>
            <c:v>作用點2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模具'!$F$21</c:f>
              <c:strCache>
                <c:ptCount val="1"/>
                <c:pt idx="0">
                  <c:v>-215.95</c:v>
                </c:pt>
              </c:strCache>
            </c:strRef>
          </c:xVal>
          <c:yVal>
            <c:numRef>
              <c:f>'沖壓工程規劃 - 模具'!$F$22:$F$22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8"/>
          <c:order val="19"/>
          <c:tx>
            <c:v>作用點3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模具'!$G$21</c:f>
              <c:strCache>
                <c:ptCount val="1"/>
                <c:pt idx="0">
                  <c:v>-154.25</c:v>
                </c:pt>
              </c:strCache>
            </c:strRef>
          </c:xVal>
          <c:yVal>
            <c:numRef>
              <c:f>'沖壓工程規劃 - 模具'!$G$22:$G$22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9"/>
          <c:order val="20"/>
          <c:tx>
            <c:v>作用點4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模具'!$H$21</c:f>
              <c:strCache>
                <c:ptCount val="1"/>
                <c:pt idx="0">
                  <c:v>-92.55</c:v>
                </c:pt>
              </c:strCache>
            </c:strRef>
          </c:xVal>
          <c:yVal>
            <c:numRef>
              <c:f>'沖壓工程規劃 - 模具'!$H$22:$H$22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0"/>
          <c:order val="21"/>
          <c:tx>
            <c:v>作用點5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模具'!$I$21</c:f>
              <c:strCache>
                <c:ptCount val="1"/>
                <c:pt idx="0">
                  <c:v>-30.85</c:v>
                </c:pt>
              </c:strCache>
            </c:strRef>
          </c:xVal>
          <c:yVal>
            <c:numRef>
              <c:f>'沖壓工程規劃 - 模具'!$I$22:$I$22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1"/>
          <c:order val="22"/>
          <c:tx>
            <c:v>作用點6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模具'!$J$21</c:f>
              <c:strCache>
                <c:ptCount val="1"/>
                <c:pt idx="0">
                  <c:v>30.85</c:v>
                </c:pt>
              </c:strCache>
            </c:strRef>
          </c:xVal>
          <c:yVal>
            <c:numRef>
              <c:f>'沖壓工程規劃 - 模具'!$J$22:$J$22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2"/>
          <c:order val="23"/>
          <c:tx>
            <c:v>作用點7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模具'!$K$21</c:f>
              <c:strCache>
                <c:ptCount val="1"/>
                <c:pt idx="0">
                  <c:v>92.55</c:v>
                </c:pt>
              </c:strCache>
            </c:strRef>
          </c:xVal>
          <c:yVal>
            <c:numRef>
              <c:f>'沖壓工程規劃 - 模具'!$K$22:$K$22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3"/>
          <c:order val="24"/>
          <c:tx>
            <c:v>作用點8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模具'!$L$21</c:f>
              <c:strCache>
                <c:ptCount val="0"/>
              </c:strCache>
            </c:strRef>
          </c:xVal>
          <c:yVal>
            <c:numRef>
              <c:f>'沖壓工程規劃 - 模具'!$L$22:$L$22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4"/>
          <c:order val="25"/>
          <c:tx>
            <c:v>作用點9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模具'!$M$21</c:f>
              <c:strCache>
                <c:ptCount val="0"/>
              </c:strCache>
            </c:strRef>
          </c:xVal>
          <c:yVal>
            <c:numRef>
              <c:f>'沖壓工程規劃 - 模具'!$M$22:$M$22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5"/>
          <c:order val="26"/>
          <c:tx>
            <c:v>作用點10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模具'!$N$21</c:f>
              <c:strCache>
                <c:ptCount val="0"/>
              </c:strCache>
            </c:strRef>
          </c:xVal>
          <c:yVal>
            <c:numRef>
              <c:f>'沖壓工程規劃 - 模具'!$N$22:$N$22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16"/>
          <c:order val="27"/>
          <c:tx>
            <c:v>作用點11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模具'!$O$21</c:f>
              <c:strCache>
                <c:ptCount val="0"/>
              </c:strCache>
            </c:strRef>
          </c:xVal>
          <c:yVal>
            <c:numRef>
              <c:f>'沖壓工程規劃 - 模具'!$O$22:$O$22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26"/>
          <c:order val="28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8"/>
            <c:spPr>
              <a:solidFill>
                <a:srgbClr val="FF0000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模具'!$C$18</c:f>
              <c:strCache>
                <c:ptCount val="1"/>
                <c:pt idx="0">
                  <c:v>-69.045238095238105</c:v>
                </c:pt>
              </c:strCache>
            </c:strRef>
          </c:xVal>
          <c:yVal>
            <c:numRef>
              <c:f>'沖壓工程規劃 - 模具'!$C$19:$C$19</c:f>
              <c:numCache>
                <c:formatCode>0.0_ </c:formatCode>
                <c:ptCount val="1"/>
                <c:pt idx="0">
                  <c:v>0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1500"/>
          <c:min val="-15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defRPr>
                </a:pP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模具左右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(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X)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方向  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mm</a:t>
                </a:r>
              </a:p>
            </c:rich>
          </c:tx>
          <c:layout>
            <c:manualLayout>
              <c:xMode val="edge"/>
              <c:yMode val="edge"/>
              <c:x val="0.4222226553363998"/>
              <c:y val="0.9143467431887915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7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400"/>
          <c:min val="-4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anchor="ctr" anchorCtr="1" rot="-5400000" vert="horz"/>
              <a:lstStyle/>
              <a:p>
                <a:pPr>
                  <a:defRPr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defRPr>
                </a:pP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模具前後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(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Y)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方向  </a:t>
                </a: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mm</a:t>
                </a:r>
              </a:p>
            </c:rich>
          </c:tx>
          <c:layout>
            <c:manualLayout>
              <c:xMode val="edge"/>
              <c:yMode val="edge"/>
              <c:x val="0.0055555988669733119"/>
              <c:y val="0.3019273779157886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7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010" b="0" i="0" u="none" baseline="0">
                <a:solidFill>
                  <a:srgbClr val="ff0000"/>
                </a:solidFill>
                <a:latin typeface="PMingLiU"/>
                <a:ea typeface="PMingLiU"/>
              </a:defRPr>
            </a:pPr>
            <a:endParaRPr lang="ko-KR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txPr>
          <a:bodyPr/>
          <a:lstStyle/>
          <a:p>
            <a:pPr>
              <a:defRPr sz="1010" b="0" i="0" u="none" baseline="0">
                <a:solidFill>
                  <a:srgbClr val="0000ff"/>
                </a:solidFill>
                <a:latin typeface="PMingLiU"/>
                <a:ea typeface="PMingLiU"/>
              </a:defRPr>
            </a:pPr>
            <a:endParaRPr lang="ko-KR"/>
          </a:p>
        </c:txPr>
      </c:legendEntry>
      <c:legendEntry>
        <c:idx val="15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ayout>
        <c:manualLayout>
          <c:xMode val="edge"/>
          <c:yMode val="edge"/>
          <c:x val="0.0069174099086492724"/>
          <c:y val="0.87612784337941152"/>
          <c:w val="0.95559076880912086"/>
          <c:h val="0.084446057193196297"/>
        </c:manualLayout>
      </c:layout>
      <c:spPr>
        <a:noFill/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1005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700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title>
      <c:tx>
        <c:rich>
          <a:bodyPr anchor="ctr" anchorCtr="1" rot="0" vert="horz"/>
          <a:lstStyle/>
          <a:p>
            <a:pPr algn="ctr">
              <a:defRPr sz="16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00" b="0" i="0" u="none" baseline="0">
                <a:solidFill>
                  <a:srgbClr val="000000"/>
                </a:solidFill>
                <a:latin typeface="PMingLiU"/>
                <a:ea typeface="PMingLiU"/>
              </a:rPr>
              <a:t>機械手連線排列示意圖</a:t>
            </a:r>
          </a:p>
        </c:rich>
      </c:tx>
      <c:layout>
        <c:manualLayout>
          <c:xMode val="edge"/>
          <c:yMode val="edge"/>
          <c:x val="0.40204307588102356"/>
          <c:y val="0.010224855471497436"/>
        </c:manualLayout>
      </c:layout>
      <c:overlay val="0"/>
      <c:spPr>
        <a:noFill/>
        <a:ln>
          <a:noFill/>
          <a:round/>
        </a:ln>
      </c:spPr>
    </c:title>
    <c:plotArea>
      <c:layout>
        <c:manualLayout>
          <c:layoutTarget val="inner"/>
          <c:xMode val="edge"/>
          <c:yMode val="edge"/>
          <c:x val="0.023014074619256059"/>
          <c:y val="0.072149611802442684"/>
          <c:w val="0.96165954659034236"/>
          <c:h val="0.81769560042768374"/>
        </c:manualLayout>
      </c:layout>
      <c:scatterChart>
        <c:scatterStyle val="lineMarker"/>
        <c:ser>
          <c:idx val="0"/>
          <c:order val="0"/>
          <c:tx>
            <c:v>沖床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機械手連線工程規劃!$H$15:$H$19</c:f>
              <c:strCache>
                <c:ptCount val="5"/>
                <c:pt idx="0">
                  <c:v>-12.55</c:v>
                </c:pt>
                <c:pt idx="1">
                  <c:v>-14.4</c:v>
                </c:pt>
                <c:pt idx="2">
                  <c:v>-14.4</c:v>
                </c:pt>
                <c:pt idx="3">
                  <c:v>-12.55</c:v>
                </c:pt>
                <c:pt idx="4">
                  <c:v>-12.55</c:v>
                </c:pt>
              </c:strCache>
            </c:strRef>
          </c:xVal>
          <c:yVal>
            <c:numRef>
              <c:f>機械手連線工程規劃!$I$15:$I$19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1"/>
          <c:order val="1"/>
          <c:tx>
            <c:v>沖床2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機械手連線工程規劃!$J$15:$J$19</c:f>
              <c:strCache>
                <c:ptCount val="5"/>
                <c:pt idx="0">
                  <c:v>-8.7</c:v>
                </c:pt>
                <c:pt idx="1">
                  <c:v>-10.55</c:v>
                </c:pt>
                <c:pt idx="2">
                  <c:v>-10.55</c:v>
                </c:pt>
                <c:pt idx="3">
                  <c:v>-8.7</c:v>
                </c:pt>
                <c:pt idx="4">
                  <c:v>-8.7</c:v>
                </c:pt>
              </c:strCache>
            </c:strRef>
          </c:xVal>
          <c:yVal>
            <c:numRef>
              <c:f>機械手連線工程規劃!$K$15:$K$19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2"/>
          <c:order val="2"/>
          <c:tx>
            <c:v>沖床3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機械手連線工程規劃!$L$15:$L$19</c:f>
              <c:strCache>
                <c:ptCount val="5"/>
                <c:pt idx="0">
                  <c:v>-4.85</c:v>
                </c:pt>
                <c:pt idx="1">
                  <c:v>-6.7</c:v>
                </c:pt>
                <c:pt idx="2">
                  <c:v>-6.7</c:v>
                </c:pt>
                <c:pt idx="3">
                  <c:v>-4.85</c:v>
                </c:pt>
                <c:pt idx="4">
                  <c:v>-4.85</c:v>
                </c:pt>
              </c:strCache>
            </c:strRef>
          </c:xVal>
          <c:yVal>
            <c:numRef>
              <c:f>機械手連線工程規劃!$M$15:$M$19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3"/>
          <c:order val="3"/>
          <c:tx>
            <c:v>沖床4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機械手連線工程規劃!$N$15:$N$19</c:f>
              <c:strCache>
                <c:ptCount val="5"/>
                <c:pt idx="0">
                  <c:v>-1</c:v>
                </c:pt>
                <c:pt idx="1">
                  <c:v>-2.85</c:v>
                </c:pt>
                <c:pt idx="2">
                  <c:v>-2.85</c:v>
                </c:pt>
                <c:pt idx="3">
                  <c:v>-1</c:v>
                </c:pt>
                <c:pt idx="4">
                  <c:v>-1</c:v>
                </c:pt>
              </c:strCache>
            </c:strRef>
          </c:xVal>
          <c:yVal>
            <c:numRef>
              <c:f>機械手連線工程規劃!$O$15:$O$19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5"/>
          <c:order val="4"/>
          <c:tx>
            <c:v>沖床5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機械手連線工程規劃!$P$15:$P$19</c:f>
              <c:strCache>
                <c:ptCount val="5"/>
                <c:pt idx="0">
                  <c:v>2.85</c:v>
                </c:pt>
                <c:pt idx="1">
                  <c:v>1</c:v>
                </c:pt>
                <c:pt idx="2">
                  <c:v>1</c:v>
                </c:pt>
                <c:pt idx="3">
                  <c:v>2.85</c:v>
                </c:pt>
                <c:pt idx="4">
                  <c:v>2.85</c:v>
                </c:pt>
              </c:strCache>
            </c:strRef>
          </c:xVal>
          <c:yVal>
            <c:numRef>
              <c:f>機械手連線工程規劃!$Q$15:$Q$19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6"/>
          <c:order val="5"/>
          <c:tx>
            <c:v>沖床6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機械手連線工程規劃!$R$15:$R$19</c:f>
              <c:strCache>
                <c:ptCount val="5"/>
                <c:pt idx="0">
                  <c:v>6.7</c:v>
                </c:pt>
                <c:pt idx="1">
                  <c:v>4.85</c:v>
                </c:pt>
                <c:pt idx="2">
                  <c:v>4.85</c:v>
                </c:pt>
                <c:pt idx="3">
                  <c:v>6.7</c:v>
                </c:pt>
                <c:pt idx="4">
                  <c:v>6.7</c:v>
                </c:pt>
              </c:strCache>
            </c:strRef>
          </c:xVal>
          <c:yVal>
            <c:numRef>
              <c:f>機械手連線工程規劃!$S$15:$S$19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7"/>
          <c:order val="6"/>
          <c:tx>
            <c:v>沖床7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機械手連線工程規劃!$T$15:$T$19</c:f>
              <c:strCache>
                <c:ptCount val="5"/>
                <c:pt idx="0">
                  <c:v>10.55</c:v>
                </c:pt>
                <c:pt idx="1">
                  <c:v>8.7</c:v>
                </c:pt>
                <c:pt idx="2">
                  <c:v>8.7</c:v>
                </c:pt>
                <c:pt idx="3">
                  <c:v>10.55</c:v>
                </c:pt>
                <c:pt idx="4">
                  <c:v>10.55</c:v>
                </c:pt>
              </c:strCache>
            </c:strRef>
          </c:xVal>
          <c:yVal>
            <c:numRef>
              <c:f>機械手連線工程規劃!$U$15:$U$19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9"/>
          <c:order val="7"/>
          <c:tx>
            <c:v>沖床8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機械手連線工程規劃!$V$15:$V$19</c:f>
              <c:strCache>
                <c:ptCount val="5"/>
                <c:pt idx="0">
                  <c:v>14.4</c:v>
                </c:pt>
                <c:pt idx="1">
                  <c:v>12.55</c:v>
                </c:pt>
                <c:pt idx="2">
                  <c:v>12.55</c:v>
                </c:pt>
                <c:pt idx="3">
                  <c:v>14.4</c:v>
                </c:pt>
                <c:pt idx="4">
                  <c:v>14.4</c:v>
                </c:pt>
              </c:strCache>
            </c:strRef>
          </c:xVal>
          <c:yVal>
            <c:numRef>
              <c:f>機械手連線工程規劃!$W$15:$W$19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</c:ser>
        <c:ser>
          <c:idx val="10"/>
          <c:order val="8"/>
          <c:tx>
            <c:v>中間站</c:v>
          </c:tx>
          <c:spPr>
            <a:ln w="127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機械手連線工程規劃!$J$30:$J$34</c:f>
              <c:strCache>
                <c:ptCount val="5"/>
                <c:pt idx="0">
                  <c:v>-10.925</c:v>
                </c:pt>
                <c:pt idx="1">
                  <c:v>-12.175</c:v>
                </c:pt>
                <c:pt idx="2">
                  <c:v>-12.175</c:v>
                </c:pt>
                <c:pt idx="3">
                  <c:v>-10.925</c:v>
                </c:pt>
                <c:pt idx="4">
                  <c:v>-10.925</c:v>
                </c:pt>
              </c:strCache>
            </c:strRef>
          </c:xVal>
          <c:yVal>
            <c:numRef>
              <c:f>機械手連線工程規劃!$K$30:$K$34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11"/>
          <c:order val="9"/>
          <c:tx>
            <c:v>中間站3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機械手連線工程規劃!$L$30:$L$34</c:f>
              <c:strCache>
                <c:ptCount val="5"/>
                <c:pt idx="0">
                  <c:v>-7.075</c:v>
                </c:pt>
                <c:pt idx="1">
                  <c:v>-8.325</c:v>
                </c:pt>
                <c:pt idx="2">
                  <c:v>-8.325</c:v>
                </c:pt>
                <c:pt idx="3">
                  <c:v>-7.075</c:v>
                </c:pt>
                <c:pt idx="4">
                  <c:v>-7.075</c:v>
                </c:pt>
              </c:strCache>
            </c:strRef>
          </c:xVal>
          <c:yVal>
            <c:numRef>
              <c:f>機械手連線工程規劃!$M$30:$M$34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12"/>
          <c:order val="10"/>
          <c:tx>
            <c:v>中間站4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機械手連線工程規劃!$N$30:$N$34</c:f>
              <c:strCache>
                <c:ptCount val="5"/>
                <c:pt idx="0">
                  <c:v>-3.225</c:v>
                </c:pt>
                <c:pt idx="1">
                  <c:v>-4.475</c:v>
                </c:pt>
                <c:pt idx="2">
                  <c:v>-4.475</c:v>
                </c:pt>
                <c:pt idx="3">
                  <c:v>-3.225</c:v>
                </c:pt>
                <c:pt idx="4">
                  <c:v>-3.225</c:v>
                </c:pt>
              </c:strCache>
            </c:strRef>
          </c:xVal>
          <c:yVal>
            <c:numRef>
              <c:f>機械手連線工程規劃!$O$30:$O$34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13"/>
          <c:order val="11"/>
          <c:tx>
            <c:v>中間站5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機械手連線工程規劃!$P$30:$P$34</c:f>
              <c:strCache>
                <c:ptCount val="5"/>
                <c:pt idx="0">
                  <c:v>0.625</c:v>
                </c:pt>
                <c:pt idx="1">
                  <c:v>-0.625</c:v>
                </c:pt>
                <c:pt idx="2">
                  <c:v>-0.625</c:v>
                </c:pt>
                <c:pt idx="3">
                  <c:v>0.625</c:v>
                </c:pt>
                <c:pt idx="4">
                  <c:v>0.625</c:v>
                </c:pt>
              </c:strCache>
            </c:strRef>
          </c:xVal>
          <c:yVal>
            <c:numRef>
              <c:f>機械手連線工程規劃!$Q$30:$Q$34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14"/>
          <c:order val="12"/>
          <c:tx>
            <c:v>中間站6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機械手連線工程規劃!$R$30:$R$34</c:f>
              <c:strCache>
                <c:ptCount val="5"/>
                <c:pt idx="0">
                  <c:v>4.475</c:v>
                </c:pt>
                <c:pt idx="1">
                  <c:v>3.225</c:v>
                </c:pt>
                <c:pt idx="2">
                  <c:v>3.225</c:v>
                </c:pt>
                <c:pt idx="3">
                  <c:v>4.475</c:v>
                </c:pt>
                <c:pt idx="4">
                  <c:v>4.475</c:v>
                </c:pt>
              </c:strCache>
            </c:strRef>
          </c:xVal>
          <c:yVal>
            <c:numRef>
              <c:f>機械手連線工程規劃!$S$30:$S$34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15"/>
          <c:order val="13"/>
          <c:tx>
            <c:v>中間站7</c:v>
          </c:tx>
          <c:spPr>
            <a:ln w="127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機械手連線工程規劃!$T$30:$T$34</c:f>
              <c:strCache>
                <c:ptCount val="5"/>
                <c:pt idx="0">
                  <c:v>8.325</c:v>
                </c:pt>
                <c:pt idx="1">
                  <c:v>7.075</c:v>
                </c:pt>
                <c:pt idx="2">
                  <c:v>7.075</c:v>
                </c:pt>
                <c:pt idx="3">
                  <c:v>8.325</c:v>
                </c:pt>
                <c:pt idx="4">
                  <c:v>8.325</c:v>
                </c:pt>
              </c:strCache>
            </c:strRef>
          </c:xVal>
          <c:yVal>
            <c:numRef>
              <c:f>機械手連線工程規劃!$U$30:$U$34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4"/>
          <c:order val="14"/>
          <c:tx>
            <c:v>操作員</c:v>
          </c:tx>
          <c:spPr>
            <a:ln>
              <a:noFill/>
              <a:round/>
            </a:ln>
          </c:spPr>
          <c:marker>
            <c:symbol val="triangle"/>
            <c:size val="8"/>
            <c:spPr>
              <a:solidFill>
                <a:srgbClr val="000000">
                  <a:alpha val="100000"/>
                </a:srgbClr>
              </a:solidFill>
              <a:ln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機械手連線工程規劃!$@$0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機械手連線工程規劃!$@$0</c:f>
              <c:numCache>
                <c:formatCode>General</c:formatCode>
                <c:ptCount val="0"/>
                <c:pt idx="0">
                  <c:v>0</c:v>
                </c:pt>
              </c:numCache>
            </c:numRef>
          </c:yVal>
        </c:ser>
        <c:ser>
          <c:idx val="8"/>
          <c:order val="15"/>
          <c:tx>
            <c:v>中間站8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機械手連線工程規劃!$V$30:$V$34</c:f>
              <c:strCache>
                <c:ptCount val="5"/>
                <c:pt idx="0">
                  <c:v>12.175</c:v>
                </c:pt>
                <c:pt idx="1">
                  <c:v>10.925</c:v>
                </c:pt>
                <c:pt idx="2">
                  <c:v>10.925</c:v>
                </c:pt>
                <c:pt idx="3">
                  <c:v>12.175</c:v>
                </c:pt>
                <c:pt idx="4">
                  <c:v>12.175</c:v>
                </c:pt>
              </c:strCache>
            </c:strRef>
          </c:xVal>
          <c:yVal>
            <c:numRef>
              <c:f>機械手連線工程規劃!$W$30:$W$34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</c:ser>
        <c:ser>
          <c:idx val="16"/>
          <c:order val="16"/>
          <c:tx>
            <c:v>成品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機械手連線工程規劃!$H$20:$H$24</c:f>
              <c:strCache>
                <c:ptCount val="5"/>
                <c:pt idx="0">
                  <c:v>-13</c:v>
                </c:pt>
                <c:pt idx="1">
                  <c:v>-13.95</c:v>
                </c:pt>
                <c:pt idx="2">
                  <c:v>-13.95</c:v>
                </c:pt>
                <c:pt idx="3">
                  <c:v>-13</c:v>
                </c:pt>
                <c:pt idx="4">
                  <c:v>-13</c:v>
                </c:pt>
              </c:strCache>
            </c:strRef>
          </c:xVal>
          <c:yVal>
            <c:numRef>
              <c:f>機械手連線工程規劃!$I$20:$I$24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17"/>
          <c:order val="17"/>
          <c:tx>
            <c:v>成品2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機械手連線工程規劃!$I$25:$I$29</c:f>
              <c:strCache>
                <c:ptCount val="5"/>
                <c:pt idx="0">
                  <c:v>-11.075</c:v>
                </c:pt>
                <c:pt idx="1">
                  <c:v>-12.025</c:v>
                </c:pt>
                <c:pt idx="2">
                  <c:v>-12.025</c:v>
                </c:pt>
                <c:pt idx="3">
                  <c:v>-11.075</c:v>
                </c:pt>
                <c:pt idx="4">
                  <c:v>-11.075</c:v>
                </c:pt>
              </c:strCache>
            </c:strRef>
          </c:xVal>
          <c:yVal>
            <c:numRef>
              <c:f>機械手連線工程規劃!$J$25:$J$29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18"/>
          <c:order val="18"/>
          <c:tx>
            <c:v>成品3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機械手連線工程規劃!$J$20:$J$24</c:f>
              <c:strCache>
                <c:ptCount val="5"/>
                <c:pt idx="0">
                  <c:v>-9.15</c:v>
                </c:pt>
                <c:pt idx="1">
                  <c:v>-10.1</c:v>
                </c:pt>
                <c:pt idx="2">
                  <c:v>-10.1</c:v>
                </c:pt>
                <c:pt idx="3">
                  <c:v>-9.15</c:v>
                </c:pt>
                <c:pt idx="4">
                  <c:v>-9.15</c:v>
                </c:pt>
              </c:strCache>
            </c:strRef>
          </c:xVal>
          <c:yVal>
            <c:numRef>
              <c:f>機械手連線工程規劃!$K$20:$K$24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19"/>
          <c:order val="19"/>
          <c:tx>
            <c:v>成品4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機械手連線工程規劃!$K$25:$K$29</c:f>
              <c:strCache>
                <c:ptCount val="5"/>
                <c:pt idx="0">
                  <c:v>-7.225</c:v>
                </c:pt>
                <c:pt idx="1">
                  <c:v>-8.175</c:v>
                </c:pt>
                <c:pt idx="2">
                  <c:v>-8.175</c:v>
                </c:pt>
                <c:pt idx="3">
                  <c:v>-7.225</c:v>
                </c:pt>
                <c:pt idx="4">
                  <c:v>-7.225</c:v>
                </c:pt>
              </c:strCache>
            </c:strRef>
          </c:xVal>
          <c:yVal>
            <c:numRef>
              <c:f>機械手連線工程規劃!$L$25:$L$29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0"/>
          <c:order val="20"/>
          <c:tx>
            <c:v>成品5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機械手連線工程規劃!$L$20:$L$24</c:f>
              <c:strCache>
                <c:ptCount val="5"/>
                <c:pt idx="0">
                  <c:v>-5.3</c:v>
                </c:pt>
                <c:pt idx="1">
                  <c:v>-6.25</c:v>
                </c:pt>
                <c:pt idx="2">
                  <c:v>-6.25</c:v>
                </c:pt>
                <c:pt idx="3">
                  <c:v>-5.3</c:v>
                </c:pt>
                <c:pt idx="4">
                  <c:v>-5.3</c:v>
                </c:pt>
              </c:strCache>
            </c:strRef>
          </c:xVal>
          <c:yVal>
            <c:numRef>
              <c:f>機械手連線工程規劃!$M$20:$M$24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1"/>
          <c:order val="21"/>
          <c:tx>
            <c:v>成品6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機械手連線工程規劃!$M$25:$M$29</c:f>
              <c:strCache>
                <c:ptCount val="5"/>
                <c:pt idx="0">
                  <c:v>-3.375</c:v>
                </c:pt>
                <c:pt idx="1">
                  <c:v>-4.325</c:v>
                </c:pt>
                <c:pt idx="2">
                  <c:v>-4.325</c:v>
                </c:pt>
                <c:pt idx="3">
                  <c:v>-3.375</c:v>
                </c:pt>
                <c:pt idx="4">
                  <c:v>-3.375</c:v>
                </c:pt>
              </c:strCache>
            </c:strRef>
          </c:xVal>
          <c:yVal>
            <c:numRef>
              <c:f>機械手連線工程規劃!$N$25:$N$29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2"/>
          <c:order val="22"/>
          <c:tx>
            <c:v>成品7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機械手連線工程規劃!$N$20:$N$24</c:f>
              <c:strCache>
                <c:ptCount val="5"/>
                <c:pt idx="0">
                  <c:v>-1.45</c:v>
                </c:pt>
                <c:pt idx="1">
                  <c:v>-2.4</c:v>
                </c:pt>
                <c:pt idx="2">
                  <c:v>-2.4</c:v>
                </c:pt>
                <c:pt idx="3">
                  <c:v>-1.45</c:v>
                </c:pt>
                <c:pt idx="4">
                  <c:v>-1.45</c:v>
                </c:pt>
              </c:strCache>
            </c:strRef>
          </c:xVal>
          <c:yVal>
            <c:numRef>
              <c:f>機械手連線工程規劃!$O$20:$O$24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3"/>
          <c:order val="23"/>
          <c:tx>
            <c:v>成品8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機械手連線工程規劃!$O$25:$O$29</c:f>
              <c:strCache>
                <c:ptCount val="5"/>
                <c:pt idx="0">
                  <c:v>0.475</c:v>
                </c:pt>
                <c:pt idx="1">
                  <c:v>-0.475</c:v>
                </c:pt>
                <c:pt idx="2">
                  <c:v>-0.475</c:v>
                </c:pt>
                <c:pt idx="3">
                  <c:v>0.475</c:v>
                </c:pt>
                <c:pt idx="4">
                  <c:v>0.475</c:v>
                </c:pt>
              </c:strCache>
            </c:strRef>
          </c:xVal>
          <c:yVal>
            <c:numRef>
              <c:f>機械手連線工程規劃!$P$25:$P$29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4"/>
          <c:order val="24"/>
          <c:tx>
            <c:v>成品9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機械手連線工程規劃!$P$20:$P$24</c:f>
              <c:strCache>
                <c:ptCount val="5"/>
                <c:pt idx="0">
                  <c:v>2.4</c:v>
                </c:pt>
                <c:pt idx="1">
                  <c:v>1.45</c:v>
                </c:pt>
                <c:pt idx="2">
                  <c:v>1.45</c:v>
                </c:pt>
                <c:pt idx="3">
                  <c:v>2.4</c:v>
                </c:pt>
                <c:pt idx="4">
                  <c:v>2.4</c:v>
                </c:pt>
              </c:strCache>
            </c:strRef>
          </c:xVal>
          <c:yVal>
            <c:numRef>
              <c:f>機械手連線工程規劃!$Q$20:$Q$24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5"/>
          <c:order val="25"/>
          <c:tx>
            <c:v>成品10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機械手連線工程規劃!$Q$25:$Q$29</c:f>
              <c:strCache>
                <c:ptCount val="5"/>
                <c:pt idx="0">
                  <c:v>4.325</c:v>
                </c:pt>
                <c:pt idx="1">
                  <c:v>3.375</c:v>
                </c:pt>
                <c:pt idx="2">
                  <c:v>3.375</c:v>
                </c:pt>
                <c:pt idx="3">
                  <c:v>4.325</c:v>
                </c:pt>
                <c:pt idx="4">
                  <c:v>4.325</c:v>
                </c:pt>
              </c:strCache>
            </c:strRef>
          </c:xVal>
          <c:yVal>
            <c:numRef>
              <c:f>機械手連線工程規劃!$R$25:$R$29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6"/>
          <c:order val="26"/>
          <c:tx>
            <c:v>成品11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機械手連線工程規劃!$R$20:$R$24</c:f>
              <c:strCache>
                <c:ptCount val="5"/>
                <c:pt idx="0">
                  <c:v>6.25</c:v>
                </c:pt>
                <c:pt idx="1">
                  <c:v>5.3</c:v>
                </c:pt>
                <c:pt idx="2">
                  <c:v>5.3</c:v>
                </c:pt>
                <c:pt idx="3">
                  <c:v>6.25</c:v>
                </c:pt>
                <c:pt idx="4">
                  <c:v>6.25</c:v>
                </c:pt>
              </c:strCache>
            </c:strRef>
          </c:xVal>
          <c:yVal>
            <c:numRef>
              <c:f>機械手連線工程規劃!$S$20:$S$24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7"/>
          <c:order val="27"/>
          <c:tx>
            <c:v>成品12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機械手連線工程規劃!$S$25:$S$29</c:f>
              <c:strCache>
                <c:ptCount val="5"/>
                <c:pt idx="0">
                  <c:v>8.175</c:v>
                </c:pt>
                <c:pt idx="1">
                  <c:v>7.225</c:v>
                </c:pt>
                <c:pt idx="2">
                  <c:v>7.225</c:v>
                </c:pt>
                <c:pt idx="3">
                  <c:v>8.175</c:v>
                </c:pt>
                <c:pt idx="4">
                  <c:v>8.175</c:v>
                </c:pt>
              </c:strCache>
            </c:strRef>
          </c:xVal>
          <c:yVal>
            <c:numRef>
              <c:f>機械手連線工程規劃!$T$25:$T$29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8"/>
          <c:order val="28"/>
          <c:tx>
            <c:v>成品13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機械手連線工程規劃!$T$20:$T$24</c:f>
              <c:strCache>
                <c:ptCount val="5"/>
                <c:pt idx="0">
                  <c:v>10.1</c:v>
                </c:pt>
                <c:pt idx="1">
                  <c:v>9.15</c:v>
                </c:pt>
                <c:pt idx="2">
                  <c:v>9.15</c:v>
                </c:pt>
                <c:pt idx="3">
                  <c:v>10.1</c:v>
                </c:pt>
                <c:pt idx="4">
                  <c:v>10.1</c:v>
                </c:pt>
              </c:strCache>
            </c:strRef>
          </c:xVal>
          <c:yVal>
            <c:numRef>
              <c:f>機械手連線工程規劃!$U$20:$U$24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29"/>
          <c:order val="29"/>
          <c:tx>
            <c:v>成品14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機械手連線工程規劃!$U$25:$U$29</c:f>
              <c:strCache>
                <c:ptCount val="5"/>
                <c:pt idx="0">
                  <c:v>12.025</c:v>
                </c:pt>
                <c:pt idx="1">
                  <c:v>11.075</c:v>
                </c:pt>
                <c:pt idx="2">
                  <c:v>11.075</c:v>
                </c:pt>
                <c:pt idx="3">
                  <c:v>12.025</c:v>
                </c:pt>
                <c:pt idx="4">
                  <c:v>12.025</c:v>
                </c:pt>
              </c:strCache>
            </c:strRef>
          </c:xVal>
          <c:yVal>
            <c:numRef>
              <c:f>機械手連線工程規劃!$V$25:$V$29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30"/>
          <c:order val="30"/>
          <c:tx>
            <c:v>成品15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機械手連線工程規劃!$V$20:$V$24</c:f>
              <c:strCache>
                <c:ptCount val="5"/>
                <c:pt idx="0">
                  <c:v>13.95</c:v>
                </c:pt>
                <c:pt idx="1">
                  <c:v>13</c:v>
                </c:pt>
                <c:pt idx="2">
                  <c:v>13</c:v>
                </c:pt>
                <c:pt idx="3">
                  <c:v>13.95</c:v>
                </c:pt>
                <c:pt idx="4">
                  <c:v>13.95</c:v>
                </c:pt>
              </c:strCache>
            </c:strRef>
          </c:xVal>
          <c:yVal>
            <c:numRef>
              <c:f>機械手連線工程規劃!$W$20:$W$24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1.5</c:v>
                </c:pt>
              </c:numCache>
            </c:numRef>
          </c:yVal>
        </c:ser>
        <c:ser>
          <c:idx val="31"/>
          <c:order val="31"/>
          <c:tx>
            <c:v>攻牙機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機械手連線工程規劃!$O$35:$O$39</c:f>
              <c:strCache>
                <c:ptCount val="5"/>
                <c:pt idx="0">
                  <c:v>-3.275</c:v>
                </c:pt>
                <c:pt idx="1">
                  <c:v>-4.425</c:v>
                </c:pt>
                <c:pt idx="2">
                  <c:v>-4.425</c:v>
                </c:pt>
                <c:pt idx="3">
                  <c:v>-3.275</c:v>
                </c:pt>
                <c:pt idx="4">
                  <c:v>-3.275</c:v>
                </c:pt>
              </c:strCache>
            </c:strRef>
          </c:xVal>
          <c:yVal>
            <c:numRef>
              <c:f>機械手連線工程規劃!$P$35:$P$39</c:f>
              <c:numCache>
                <c:formatCode>General</c:formatCode>
                <c:ptCount val="5"/>
                <c:pt idx="0">
                  <c:v>1.15</c:v>
                </c:pt>
                <c:pt idx="1">
                  <c:v>1.15</c:v>
                </c:pt>
                <c:pt idx="2">
                  <c:v>0.55</c:v>
                </c:pt>
                <c:pt idx="3">
                  <c:v>0.55</c:v>
                </c:pt>
                <c:pt idx="4">
                  <c:v>1.15</c:v>
                </c:pt>
              </c:numCache>
            </c:numRef>
          </c:yVal>
        </c:ser>
        <c:ser>
          <c:idx val="32"/>
          <c:order val="32"/>
          <c:tx>
            <c:v>攻牙機2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機械手連線工程規劃!$Q$35:$Q$39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xVal>
          <c:yVal>
            <c:numRef>
              <c:f>機械手連線工程規劃!$R$35:$R$39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33"/>
          <c:order val="33"/>
          <c:tx>
            <c:v>翻轉台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機械手連線工程規劃!$H$35:$H$39</c:f>
              <c:strCache>
                <c:ptCount val="5"/>
                <c:pt idx="0">
                  <c:v>4.475</c:v>
                </c:pt>
                <c:pt idx="1">
                  <c:v>3.225</c:v>
                </c:pt>
                <c:pt idx="2">
                  <c:v>3.225</c:v>
                </c:pt>
                <c:pt idx="3">
                  <c:v>4.475</c:v>
                </c:pt>
                <c:pt idx="4">
                  <c:v>4.475</c:v>
                </c:pt>
              </c:strCache>
            </c:strRef>
          </c:xVal>
          <c:yVal>
            <c:numRef>
              <c:f>機械手連線工程規劃!$I$35:$I$39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0.7</c:v>
                </c:pt>
                <c:pt idx="3">
                  <c:v>0.7</c:v>
                </c:pt>
                <c:pt idx="4">
                  <c:v>1.2</c:v>
                </c:pt>
              </c:numCache>
            </c:numRef>
          </c:yVal>
        </c:ser>
        <c:ser>
          <c:idx val="34"/>
          <c:order val="34"/>
          <c:tx>
            <c:v>翻轉台2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機械手連線工程規劃!$J$35:$J$39</c:f>
              <c:strCach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xVal>
          <c:yVal>
            <c:numRef>
              <c:f>機械手連線工程規劃!$K$35:$K$39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35"/>
          <c:order val="35"/>
          <c:tx>
            <c:v>驅動器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機械手連線工程規劃!$V$35:$V$39</c:f>
              <c:strCache>
                <c:ptCount val="5"/>
                <c:pt idx="0">
                  <c:v>-14.725</c:v>
                </c:pt>
                <c:pt idx="1">
                  <c:v>-16.075</c:v>
                </c:pt>
                <c:pt idx="2">
                  <c:v>-16.075</c:v>
                </c:pt>
                <c:pt idx="3">
                  <c:v>-14.725</c:v>
                </c:pt>
                <c:pt idx="4">
                  <c:v>-14.725</c:v>
                </c:pt>
              </c:strCache>
            </c:strRef>
          </c:xVal>
          <c:yVal>
            <c:numRef>
              <c:f>機械手連線工程規劃!$W$35:$W$39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</c:numCache>
            </c:numRef>
          </c:yVal>
        </c:ser>
        <c:ser>
          <c:idx val="36"/>
          <c:order val="36"/>
          <c:tx>
            <c:v>積料架</c:v>
          </c:tx>
          <c:spPr>
            <a:ln w="3175" cap="flat">
              <a:solidFill>
                <a:srgbClr val="FF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機械手連線工程規劃!$H$40:$H$44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xVal>
          <c:yVal>
            <c:numRef>
              <c:f>機械手連線工程規劃!$I$40:$I$44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37"/>
          <c:order val="37"/>
          <c:tx>
            <c:v>積料架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機械手連線工程規劃!$J$40:$J$44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xVal>
          <c:yVal>
            <c:numRef>
              <c:f>機械手連線工程規劃!$K$40:$K$44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38"/>
          <c:order val="38"/>
          <c:tx>
            <c:v>積料架3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strRef>
              <c:f>機械手連線工程規劃!$L$40:$L$44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xVal>
          <c:yVal>
            <c:numRef>
              <c:f>機械手連線工程規劃!$M$40:$M$44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39"/>
          <c:order val="39"/>
          <c:tx>
            <c:v>積料架4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機械手連線工程規劃!$N$40:$N$44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xVal>
          <c:yVal>
            <c:numRef>
              <c:f>機械手連線工程規劃!$O$40:$O$44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40"/>
          <c:order val="40"/>
          <c:tx>
            <c:v>連桿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機械手連線工程規劃!$X$35:$X$36</c:f>
              <c:strCache>
                <c:ptCount val="2"/>
                <c:pt idx="0">
                  <c:v>-15.325</c:v>
                </c:pt>
                <c:pt idx="1">
                  <c:v>15.325</c:v>
                </c:pt>
              </c:strCache>
            </c:strRef>
          </c:xVal>
          <c:yVal>
            <c:numRef>
              <c:f>機械手連線工程規劃!$Y$35:$Y$36</c:f>
              <c:numCache>
                <c:formatCode>General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yVal>
        </c:ser>
        <c:axId val="1111"/>
        <c:axId val="2222"/>
      </c:scatterChart>
      <c:valAx>
        <c:axId val="1111"/>
        <c:scaling>
          <c:orientation val="minMax"/>
          <c:max val="20"/>
          <c:min val="-2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2222"/>
        <c:crosses val="autoZero"/>
        <c:crossBetween val="between"/>
        <c:majorUnit val="1"/>
        <c:minorUnit val="0.5"/>
      </c:valAx>
      <c:valAx>
        <c:axId val="2222"/>
        <c:scaling>
          <c:orientation val="minMax"/>
          <c:max val="7"/>
          <c:min val="-8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anchor="ctr" anchorCtr="1" rot="0" vert="horz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  <c:crossAx val="1111"/>
        <c:crosses val="autoZero"/>
        <c:crossBetween val="midCat"/>
        <c:majorUnit val="1"/>
        <c:minorUnit val="0.5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ko-KR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2"/>
        <c:delete val="1"/>
      </c:legendEntry>
      <c:legendEntry>
        <c:idx val="34"/>
        <c:delete val="1"/>
      </c:legendEntry>
      <c:legendEntry>
        <c:idx val="36"/>
        <c:delete val="1"/>
      </c:legendEntry>
      <c:legendEntry>
        <c:idx val="38"/>
        <c:delete val="1"/>
      </c:legendEntry>
      <c:legendEntry>
        <c:idx val="39"/>
        <c:delete val="1"/>
      </c:legendEntry>
      <c:layout>
        <c:manualLayout>
          <c:xMode val="edge"/>
          <c:yMode val="edge"/>
          <c:x val="0.020548280910050051"/>
          <c:y val="0.93794495343175477"/>
          <c:w val="0.84412337978485619"/>
          <c:h val="0.052909715321791305"/>
        </c:manualLayout>
      </c:layout>
      <c:spPr>
        <a:noFill/>
        <a:ln w="3175" cap="flat">
          <a:solidFill>
            <a:srgbClr val="FFFFFF">
              <a:alpha val="100000"/>
            </a:srgbClr>
          </a:solidFill>
          <a:round/>
        </a:ln>
      </c:spPr>
      <c:txPr>
        <a:bodyPr anchor="ctr" anchorCtr="1" rot="0" vert="horz"/>
        <a:lstStyle/>
        <a:p>
          <a:pPr>
            <a:defRPr sz="1005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ko-KR"/>
        </a:p>
      </c:txPr>
    </c:legend>
    <c:plotVisOnly val="1"/>
    <c:dispBlanksAs val="gap"/>
  </c:chart>
  <c:spPr>
    <a:solidFill>
      <a:srgbClr val="FFFFFF">
        <a:alpha val="100000"/>
      </a:srgbClr>
    </a:solidFill>
    <a:ln w="3175" cap="flat">
      <a:solidFill>
        <a:srgbClr val="000000">
          <a:alpha val="100000"/>
        </a:srgbClr>
      </a:solidFill>
      <a:round/>
    </a:ln>
  </c:spPr>
  <c:txPr>
    <a:bodyPr/>
    <a:lstStyle/>
    <a:p>
      <a:pPr>
        <a:defRPr sz="2825" b="0" i="0" u="none" baseline="0">
          <a:solidFill>
            <a:srgbClr val="000000"/>
          </a:solidFill>
          <a:latin typeface="PMingLiU"/>
          <a:ea typeface="PMingLiU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0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1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2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3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4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5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6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7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8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19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_rels/drawing20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21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22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23.xml.rels><?xml version="1.0" encoding="UTF-8"?>
<Relationships xmlns="http://schemas.openxmlformats.org/package/2006/relationships"><Relationship Id="rId1" Type="http://schemas.openxmlformats.org/officeDocument/2006/relationships/chart" Target="../charts/chart2.xml"></Relationship><Relationship Id="rId2" Type="http://schemas.openxmlformats.org/officeDocument/2006/relationships/hyperlink" Target="#&#30446;&#24405;!A1"></Relationship></Relationships>
</file>

<file path=xl/drawings/_rels/drawing24.xml.rels><?xml version="1.0" encoding="UTF-8"?>
<Relationships xmlns="http://schemas.openxmlformats.org/package/2006/relationships"><Relationship Id="rId1" Type="http://schemas.openxmlformats.org/officeDocument/2006/relationships/chart" Target="../charts/chart3.xml"></Relationship><Relationship Id="rId2" Type="http://schemas.openxmlformats.org/officeDocument/2006/relationships/hyperlink" Target="#&#30446;&#24405;!A1"></Relationship></Relationships>
</file>

<file path=xl/drawings/_rels/drawing25.xml.rels><?xml version="1.0" encoding="UTF-8"?>
<Relationships xmlns="http://schemas.openxmlformats.org/package/2006/relationships"><Relationship Id="rId1" Type="http://schemas.openxmlformats.org/officeDocument/2006/relationships/chart" Target="../charts/chart4.xml"></Relationship><Relationship Id="rId2" Type="http://schemas.openxmlformats.org/officeDocument/2006/relationships/hyperlink" Target="#&#30446;&#24405;!A1"></Relationship></Relationships>
</file>

<file path=xl/drawings/_rels/drawing26.xml.rels><?xml version="1.0" encoding="UTF-8"?>
<Relationships xmlns="http://schemas.openxmlformats.org/package/2006/relationships"><Relationship Id="rId1" Type="http://schemas.openxmlformats.org/officeDocument/2006/relationships/chart" Target="../charts/chart5.xml"></Relationship><Relationship Id="rId2" Type="http://schemas.openxmlformats.org/officeDocument/2006/relationships/hyperlink" Target="#&#30446;&#24405;!A1"></Relationship></Relationships>
</file>

<file path=xl/drawings/_rels/drawing27.xml.rels><?xml version="1.0" encoding="UTF-8"?>
<Relationships xmlns="http://schemas.openxmlformats.org/package/2006/relationships"><Relationship Id="rId1" Type="http://schemas.openxmlformats.org/officeDocument/2006/relationships/chart" Target="../charts/chart6.xml"></Relationship><Relationship Id="rId2" Type="http://schemas.openxmlformats.org/officeDocument/2006/relationships/hyperlink" Target="#&#30446;&#24405;!A1"></Relationship></Relationships>
</file>

<file path=xl/drawings/_rels/drawing28.xml.rels><?xml version="1.0" encoding="UTF-8"?>
<Relationships xmlns="http://schemas.openxmlformats.org/package/2006/relationships"><Relationship Id="rId1" Type="http://schemas.openxmlformats.org/officeDocument/2006/relationships/chart" Target="../charts/chart7.xml"></Relationship><Relationship Id="rId2" Type="http://schemas.openxmlformats.org/officeDocument/2006/relationships/hyperlink" Target="#&#30446;&#24405;!A1"></Relationship></Relationships>
</file>

<file path=xl/drawings/_rels/drawing29.xml.rels><?xml version="1.0" encoding="UTF-8"?>
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hyperlink" Target="#&#30446;&#24405;!A1"></Relationship></Relationships>
</file>

<file path=xl/drawings/_rels/drawing3.xml.rels><?xml version="1.0" encoding="UTF-8"?>
<Relationships xmlns="http://schemas.openxmlformats.org/package/2006/relationships"><Relationship Id="rId1" Type="http://schemas.openxmlformats.org/officeDocument/2006/relationships/hyperlink" Target="#&#21098;&#20999;&#21147;&#35336;&#31639;!Print_Area"></Relationship><Relationship Id="rId2" Type="http://schemas.openxmlformats.org/officeDocument/2006/relationships/hyperlink" Target="#&#26495;&#26448;&#22739;&#21360;&#25104;&#22411;&#20043;&#21152;&#24037;&#22739;&#21147;!A1"></Relationship><Relationship Id="rId3" Type="http://schemas.openxmlformats.org/officeDocument/2006/relationships/hyperlink" Target="#'V&#22411; &#24398;&#26354;&#21147;&#20043;&#35336;&#31639; '!A1"></Relationship><Relationship Id="rId4" Type="http://schemas.openxmlformats.org/officeDocument/2006/relationships/hyperlink" Target="#'U&#22411; &#24398;&#26354;&#21147;&#20043;&#35336;&#31639;'!A1"></Relationship><Relationship Id="rId5" Type="http://schemas.openxmlformats.org/officeDocument/2006/relationships/hyperlink" Target="#&#27169;&#20855;&#37325;&#37327;&#20272;&#31639;!A1"></Relationship><Relationship Id="rId6" Type="http://schemas.openxmlformats.org/officeDocument/2006/relationships/hyperlink" Target="#&#21462;&#26009;&#21450;&#26448;&#26009;&#20351;&#29992;&#29575;!A1"></Relationship><Relationship Id="rId7" Type="http://schemas.openxmlformats.org/officeDocument/2006/relationships/hyperlink" Target="#&#25458;&#26009;&#27798;&#22739;&#25928;&#29575;!A1"></Relationship><Relationship Id="rId8" Type="http://schemas.openxmlformats.org/officeDocument/2006/relationships/hyperlink" Target="#'&#24341;&#20280;&#33012;&#39636;&#27611;&#32986;&#30452;&#24465;&#35336;&#31639; - 1'!A1"></Relationship><Relationship Id="rId9" Type="http://schemas.openxmlformats.org/officeDocument/2006/relationships/hyperlink" Target="#'&#24341;&#20280;&#33012;&#39636;&#27611;&#32986;&#30452;&#24465;&#35336;&#31639; - 2'!A1"></Relationship><Relationship Id="rId10" Type="http://schemas.openxmlformats.org/officeDocument/2006/relationships/hyperlink" Target="#'&#24341;&#20280;&#33012;&#39636;&#27611;&#32986;&#30452;&#24465;&#35336;&#31639; - 3'!A1"></Relationship><Relationship Id="rId11" Type="http://schemas.openxmlformats.org/officeDocument/2006/relationships/hyperlink" Target="#'&#24341;&#20280;&#33012;&#39636;&#27611;&#32986;&#30452;&#24465;&#35336;&#31639; - 4'!A1"></Relationship><Relationship Id="rId12" Type="http://schemas.openxmlformats.org/officeDocument/2006/relationships/hyperlink" Target="#'&#24341;&#20280;&#33012;&#39636;&#27611;&#32986;&#30452;&#24465;&#35336;&#31639; - 5'!A1"></Relationship><Relationship Id="rId13" Type="http://schemas.openxmlformats.org/officeDocument/2006/relationships/hyperlink" Target="#'&#24341;&#20280;&#33012;&#39636;&#27611;&#32986;&#30452;&#24465;&#35336;&#31639; - 6'!A1"></Relationship><Relationship Id="rId14" Type="http://schemas.openxmlformats.org/officeDocument/2006/relationships/hyperlink" Target="#'&#24341;&#20280;&#33012;&#39636;&#27611;&#32986;&#30452;&#24465;&#35336;&#31639; - 7'!A1"></Relationship><Relationship Id="rId15" Type="http://schemas.openxmlformats.org/officeDocument/2006/relationships/hyperlink" Target="#'&#24341;&#20280;&#33012;&#39636;&#27611;&#32986;&#30452;&#24465;&#35336;&#31639; - 8'!A1"></Relationship><Relationship Id="rId16" Type="http://schemas.openxmlformats.org/officeDocument/2006/relationships/hyperlink" Target="#'&#35282;&#31570;&#39636;&#20043;&#19979;&#26009;&#23637;&#38283;&#35336;&#31639; - 1'!A1"></Relationship><Relationship Id="rId17" Type="http://schemas.openxmlformats.org/officeDocument/2006/relationships/hyperlink" Target="#'&#35282;&#31570;&#39636;&#20043;&#19979;&#26009;&#23637;&#38283;&#35336;&#31639; - 2 '!A1"></Relationship><Relationship Id="rId18" Type="http://schemas.openxmlformats.org/officeDocument/2006/relationships/hyperlink" Target="#&#24398;&#26354;&#21152;&#24037;&#23637;&#38283;&#23610;&#23544;&#35336;&#31639;!A1"></Relationship><Relationship Id="rId19" Type="http://schemas.openxmlformats.org/officeDocument/2006/relationships/hyperlink" Target="#&#24341;&#20280;&#36011;&#31359;&#39636;&#20043;&#24341;&#20280;&#29575;!A1"></Relationship><Relationship Id="rId20" Type="http://schemas.openxmlformats.org/officeDocument/2006/relationships/hyperlink" Target="#'STD &#20559;&#24515;&#36000;&#33655;&#35336;&#31639;'!A1"></Relationship><Relationship Id="rId21" Type="http://schemas.openxmlformats.org/officeDocument/2006/relationships/hyperlink" Target="#'G2   &#20559;&#24515;&#36000;&#33655;&#35336;&#31639;'!A1"></Relationship><Relationship Id="rId22" Type="http://schemas.openxmlformats.org/officeDocument/2006/relationships/hyperlink" Target="#'G1  &#36000;&#33655;&#20013;&#24515;&#35336;&#31639;'!A1"></Relationship><Relationship Id="rId23" Type="http://schemas.openxmlformats.org/officeDocument/2006/relationships/hyperlink" Target="#'OCP-N  &#36000;&#33655;&#20013;&#24515;&#35336;&#31639;'!A1"></Relationship><Relationship Id="rId24" Type="http://schemas.openxmlformats.org/officeDocument/2006/relationships/hyperlink" Target="#'&#26032; OCP  &#36000;&#33655;&#20013;&#24515;&#35336;&#31639;'!A1"></Relationship><Relationship Id="rId25" Type="http://schemas.openxmlformats.org/officeDocument/2006/relationships/hyperlink" Target="#'&#27798;&#22739;&#24037;&#31243;&#35215;&#21123; - &#27169;&#20855;'!A1"></Relationship><Relationship Id="rId26" Type="http://schemas.openxmlformats.org/officeDocument/2006/relationships/hyperlink" Target="#&#27231;&#26800;&#25163;&#36899;&#32218;&#24037;&#31243;&#35215;&#21123;!A1"></Relationship><Relationship Id="rId27" Type="http://schemas.openxmlformats.org/officeDocument/2006/relationships/hyperlink" Target="#Sheet2!A1"></Relationship></Relationships>
</file>

<file path=xl/drawings/_rels/drawing4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5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6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7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8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_rels/drawing9.xml.rels><?xml version="1.0" encoding="UTF-8"?>
<Relationships xmlns="http://schemas.openxmlformats.org/package/2006/relationships"><Relationship Id="rId1" Type="http://schemas.openxmlformats.org/officeDocument/2006/relationships/hyperlink" Target="#&#30446;&#24405;!A1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200025</xdr:rowOff>
    </xdr:from>
    <xdr:to>
      <xdr:col>12</xdr:col>
      <xdr:colOff>247650</xdr:colOff>
      <xdr:row>21</xdr:row>
      <xdr:rowOff>19050</xdr:rowOff>
    </xdr:to>
    <xdr:sp>
      <xdr:nvSpPr>
        <xdr:cNvPr id="70657" name="Oval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98295" y="1832610"/>
          <a:ext cx="5829300" cy="2493645"/>
        </a:xfrm>
        <a:prstGeom prst="ellipse"/>
        <a:gradFill rotWithShape="1">
          <a:gsLst>
            <a:gs pos="0">
              <a:srgbClr val="CC99FF"/>
            </a:gs>
            <a:gs pos="100000">
              <a:srgbClr val="FF0000"/>
            </a:gs>
          </a:gsLst>
          <a:path path="shape">
            <a:fillToRect l="50000" t="50000" r="50000" b="50000"/>
          </a:path>
        </a:gradFill>
        <a:ln w="9525" cap="flat" cmpd="sng">
          <a:solidFill>
            <a:srgbClr val="000000">
              <a:alpha val="100000"/>
            </a:srgbClr>
          </a:solidFill>
          <a:prstDash val="solid"/>
          <a:round/>
        </a:ln>
      </xdr:spPr>
      <xdr:txBody>
        <a:bodyPr wrap="square" lIns="27305" tIns="27305" rIns="27305" bIns="0" anchor="t" vertOverflow="clip">
          <a:noAutofit/>
        </a:bodyPr>
        <a:p>
          <a:pPr algn="ctr">
            <a:buFontTx/>
            <a:buNone/>
          </a:pPr>
          <a:r>
            <a:rPr lang="ko-KR" altLang="en-US" sz="12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密</a:t>
          </a:r>
          <a:r>
            <a:rPr lang="ko-KR" altLang="en-US" sz="1200" kern="1200" cap="none" dirty="0" smtClean="0" b="0">
              <a:solidFill>
                <a:srgbClr val="000000"/>
              </a:solidFill>
              <a:latin typeface="宋体"/>
              <a:ea typeface="宋体"/>
            </a:rPr>
            <a:t>码：</a:t>
          </a:r>
          <a:r>
            <a:rPr lang="ko-KR" altLang="en-US" sz="12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1</a:t>
          </a:r>
          <a:endParaRPr lang="ko-KR" altLang="en-US" sz="12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12</xdr:row>
      <xdr:rowOff>190500</xdr:rowOff>
    </xdr:from>
    <xdr:to>
      <xdr:col>6</xdr:col>
      <xdr:colOff>297180</xdr:colOff>
      <xdr:row>21</xdr:row>
      <xdr:rowOff>68580</xdr:rowOff>
    </xdr:to>
    <xdr:sp>
      <xdr:nvSpPr>
        <xdr:cNvPr id="3111" name="Oval 1"/>
        <xdr:cNvSpPr>
          <a:spLocks/>
        </xdr:cNvSpPr>
      </xdr:nvSpPr>
      <xdr:spPr>
        <a:xfrm>
          <a:off x="901065" y="2926080"/>
          <a:ext cx="1546860" cy="1729740"/>
        </a:xfrm>
        <a:prstGeom prst="ellips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220980</xdr:colOff>
      <xdr:row>17</xdr:row>
      <xdr:rowOff>38100</xdr:rowOff>
    </xdr:from>
    <xdr:to>
      <xdr:col>6</xdr:col>
      <xdr:colOff>274320</xdr:colOff>
      <xdr:row>17</xdr:row>
      <xdr:rowOff>38100</xdr:rowOff>
    </xdr:to>
    <xdr:cxnSp>
      <xdr:nvCxnSpPr>
        <xdr:cNvPr id="3112" name="Line 2"/>
        <xdr:cNvCxnSpPr/>
      </xdr:nvCxnSpPr>
      <xdr:spPr>
        <a:xfrm>
          <a:off x="923925" y="3802380"/>
          <a:ext cx="15011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12</xdr:row>
      <xdr:rowOff>76200</xdr:rowOff>
    </xdr:from>
    <xdr:to>
      <xdr:col>6</xdr:col>
      <xdr:colOff>411480</xdr:colOff>
      <xdr:row>21</xdr:row>
      <xdr:rowOff>182880</xdr:rowOff>
    </xdr:to>
    <xdr:sp>
      <xdr:nvSpPr>
        <xdr:cNvPr id="3113" name="Oval 3"/>
        <xdr:cNvSpPr>
          <a:spLocks/>
        </xdr:cNvSpPr>
      </xdr:nvSpPr>
      <xdr:spPr>
        <a:xfrm>
          <a:off x="786765" y="2811780"/>
          <a:ext cx="1775460" cy="1958340"/>
        </a:xfrm>
        <a:prstGeom prst="ellips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403860</xdr:colOff>
      <xdr:row>11</xdr:row>
      <xdr:rowOff>160020</xdr:rowOff>
    </xdr:from>
    <xdr:to>
      <xdr:col>7</xdr:col>
      <xdr:colOff>137160</xdr:colOff>
      <xdr:row>22</xdr:row>
      <xdr:rowOff>99060</xdr:rowOff>
    </xdr:to>
    <xdr:sp>
      <xdr:nvSpPr>
        <xdr:cNvPr id="3114" name="Oval 4"/>
        <xdr:cNvSpPr>
          <a:spLocks/>
        </xdr:cNvSpPr>
      </xdr:nvSpPr>
      <xdr:spPr>
        <a:xfrm>
          <a:off x="744855" y="2689860"/>
          <a:ext cx="1905000" cy="2202180"/>
        </a:xfrm>
        <a:prstGeom prst="ellips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266700</xdr:colOff>
      <xdr:row>11</xdr:row>
      <xdr:rowOff>60960</xdr:rowOff>
    </xdr:from>
    <xdr:to>
      <xdr:col>7</xdr:col>
      <xdr:colOff>274320</xdr:colOff>
      <xdr:row>22</xdr:row>
      <xdr:rowOff>198120</xdr:rowOff>
    </xdr:to>
    <xdr:sp>
      <xdr:nvSpPr>
        <xdr:cNvPr id="3115" name="Oval 5"/>
        <xdr:cNvSpPr>
          <a:spLocks/>
        </xdr:cNvSpPr>
      </xdr:nvSpPr>
      <xdr:spPr>
        <a:xfrm>
          <a:off x="607695" y="2590800"/>
          <a:ext cx="2179320" cy="2400300"/>
        </a:xfrm>
        <a:prstGeom prst="ellips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137160</xdr:colOff>
      <xdr:row>10</xdr:row>
      <xdr:rowOff>144780</xdr:rowOff>
    </xdr:from>
    <xdr:to>
      <xdr:col>7</xdr:col>
      <xdr:colOff>403860</xdr:colOff>
      <xdr:row>23</xdr:row>
      <xdr:rowOff>114300</xdr:rowOff>
    </xdr:to>
    <xdr:sp>
      <xdr:nvSpPr>
        <xdr:cNvPr id="3116" name="Oval 6"/>
        <xdr:cNvSpPr>
          <a:spLocks/>
        </xdr:cNvSpPr>
      </xdr:nvSpPr>
      <xdr:spPr>
        <a:xfrm>
          <a:off x="478155" y="2468880"/>
          <a:ext cx="2438400" cy="2644140"/>
        </a:xfrm>
        <a:prstGeom prst="ellips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10</xdr:row>
      <xdr:rowOff>7620</xdr:rowOff>
    </xdr:from>
    <xdr:to>
      <xdr:col>8</xdr:col>
      <xdr:colOff>114300</xdr:colOff>
      <xdr:row>24</xdr:row>
      <xdr:rowOff>45720</xdr:rowOff>
    </xdr:to>
    <xdr:sp>
      <xdr:nvSpPr>
        <xdr:cNvPr id="3117" name="Oval 7"/>
        <xdr:cNvSpPr>
          <a:spLocks/>
        </xdr:cNvSpPr>
      </xdr:nvSpPr>
      <xdr:spPr>
        <a:xfrm>
          <a:off x="340995" y="2331720"/>
          <a:ext cx="2647950" cy="2918460"/>
        </a:xfrm>
        <a:prstGeom prst="ellips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76200</xdr:colOff>
      <xdr:row>10</xdr:row>
      <xdr:rowOff>30480</xdr:rowOff>
    </xdr:from>
    <xdr:to>
      <xdr:col>13</xdr:col>
      <xdr:colOff>7620</xdr:colOff>
      <xdr:row>10</xdr:row>
      <xdr:rowOff>30480</xdr:rowOff>
    </xdr:to>
    <xdr:cxnSp>
      <xdr:nvCxnSpPr>
        <xdr:cNvPr id="3118" name="Line 8"/>
        <xdr:cNvCxnSpPr/>
      </xdr:nvCxnSpPr>
      <xdr:spPr>
        <a:xfrm>
          <a:off x="1864995" y="2354580"/>
          <a:ext cx="2893695" cy="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10</xdr:row>
      <xdr:rowOff>30480</xdr:rowOff>
    </xdr:from>
    <xdr:to>
      <xdr:col>8</xdr:col>
      <xdr:colOff>251460</xdr:colOff>
      <xdr:row>11</xdr:row>
      <xdr:rowOff>106680</xdr:rowOff>
    </xdr:to>
    <xdr:cxnSp>
      <xdr:nvCxnSpPr>
        <xdr:cNvPr id="3119" name="Line 10"/>
        <xdr:cNvCxnSpPr/>
      </xdr:nvCxnSpPr>
      <xdr:spPr>
        <a:xfrm>
          <a:off x="3126105" y="2354580"/>
          <a:ext cx="0" cy="2819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10</xdr:row>
      <xdr:rowOff>30480</xdr:rowOff>
    </xdr:from>
    <xdr:to>
      <xdr:col>12</xdr:col>
      <xdr:colOff>99060</xdr:colOff>
      <xdr:row>11</xdr:row>
      <xdr:rowOff>137160</xdr:rowOff>
    </xdr:to>
    <xdr:cxnSp>
      <xdr:nvCxnSpPr>
        <xdr:cNvPr id="3120" name="Line 12"/>
        <xdr:cNvCxnSpPr/>
      </xdr:nvCxnSpPr>
      <xdr:spPr>
        <a:xfrm>
          <a:off x="4488180" y="2354580"/>
          <a:ext cx="0" cy="3124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10</xdr:row>
      <xdr:rowOff>175260</xdr:rowOff>
    </xdr:from>
    <xdr:to>
      <xdr:col>12</xdr:col>
      <xdr:colOff>99060</xdr:colOff>
      <xdr:row>10</xdr:row>
      <xdr:rowOff>175260</xdr:rowOff>
    </xdr:to>
    <xdr:cxnSp>
      <xdr:nvCxnSpPr>
        <xdr:cNvPr id="3121" name="Line 13"/>
        <xdr:cNvCxnSpPr/>
      </xdr:nvCxnSpPr>
      <xdr:spPr>
        <a:xfrm>
          <a:off x="3126105" y="2499360"/>
          <a:ext cx="13620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251460</xdr:colOff>
      <xdr:row>8</xdr:row>
      <xdr:rowOff>198120</xdr:rowOff>
    </xdr:from>
    <xdr:to>
      <xdr:col>12</xdr:col>
      <xdr:colOff>251460</xdr:colOff>
      <xdr:row>10</xdr:row>
      <xdr:rowOff>22860</xdr:rowOff>
    </xdr:to>
    <xdr:cxnSp>
      <xdr:nvCxnSpPr>
        <xdr:cNvPr id="3122" name="Line 14"/>
        <xdr:cNvCxnSpPr/>
      </xdr:nvCxnSpPr>
      <xdr:spPr>
        <a:xfrm flipH="1" flipV="1">
          <a:off x="4640580" y="2110740"/>
          <a:ext cx="0" cy="2362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251460</xdr:colOff>
      <xdr:row>10</xdr:row>
      <xdr:rowOff>45720</xdr:rowOff>
    </xdr:from>
    <xdr:to>
      <xdr:col>12</xdr:col>
      <xdr:colOff>251460</xdr:colOff>
      <xdr:row>13</xdr:row>
      <xdr:rowOff>83820</xdr:rowOff>
    </xdr:to>
    <xdr:cxnSp>
      <xdr:nvCxnSpPr>
        <xdr:cNvPr id="3123" name="Line 15"/>
        <xdr:cNvCxnSpPr/>
      </xdr:nvCxnSpPr>
      <xdr:spPr>
        <a:xfrm>
          <a:off x="4640580" y="2369820"/>
          <a:ext cx="0" cy="6553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68580</xdr:rowOff>
    </xdr:from>
    <xdr:to>
      <xdr:col>8</xdr:col>
      <xdr:colOff>121920</xdr:colOff>
      <xdr:row>26</xdr:row>
      <xdr:rowOff>68580</xdr:rowOff>
    </xdr:to>
    <xdr:cxnSp>
      <xdr:nvCxnSpPr>
        <xdr:cNvPr id="3124" name="Line 16"/>
        <xdr:cNvCxnSpPr/>
      </xdr:nvCxnSpPr>
      <xdr:spPr>
        <a:xfrm>
          <a:off x="340995" y="5684520"/>
          <a:ext cx="26555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30480</xdr:rowOff>
    </xdr:from>
    <xdr:to>
      <xdr:col>1</xdr:col>
      <xdr:colOff>0</xdr:colOff>
      <xdr:row>27</xdr:row>
      <xdr:rowOff>0</xdr:rowOff>
    </xdr:to>
    <xdr:cxnSp>
      <xdr:nvCxnSpPr>
        <xdr:cNvPr id="3125" name="Line 17"/>
        <xdr:cNvCxnSpPr/>
      </xdr:nvCxnSpPr>
      <xdr:spPr>
        <a:xfrm>
          <a:off x="340995" y="4000500"/>
          <a:ext cx="0" cy="18211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17</xdr:row>
      <xdr:rowOff>190500</xdr:rowOff>
    </xdr:from>
    <xdr:to>
      <xdr:col>8</xdr:col>
      <xdr:colOff>121920</xdr:colOff>
      <xdr:row>27</xdr:row>
      <xdr:rowOff>0</xdr:rowOff>
    </xdr:to>
    <xdr:cxnSp>
      <xdr:nvCxnSpPr>
        <xdr:cNvPr id="3126" name="Line 18"/>
        <xdr:cNvCxnSpPr/>
      </xdr:nvCxnSpPr>
      <xdr:spPr>
        <a:xfrm>
          <a:off x="2996565" y="3954780"/>
          <a:ext cx="0" cy="1866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13</xdr:row>
      <xdr:rowOff>99060</xdr:rowOff>
    </xdr:from>
    <xdr:to>
      <xdr:col>12</xdr:col>
      <xdr:colOff>251460</xdr:colOff>
      <xdr:row>13</xdr:row>
      <xdr:rowOff>99060</xdr:rowOff>
    </xdr:to>
    <xdr:cxnSp>
      <xdr:nvCxnSpPr>
        <xdr:cNvPr id="3127" name="Line 19"/>
        <xdr:cNvCxnSpPr/>
      </xdr:nvCxnSpPr>
      <xdr:spPr>
        <a:xfrm flipH="1">
          <a:off x="4396740" y="3040380"/>
          <a:ext cx="2438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373380</xdr:colOff>
      <xdr:row>7</xdr:row>
      <xdr:rowOff>7620</xdr:rowOff>
    </xdr:from>
    <xdr:to>
      <xdr:col>14</xdr:col>
      <xdr:colOff>160020</xdr:colOff>
      <xdr:row>7</xdr:row>
      <xdr:rowOff>7620</xdr:rowOff>
    </xdr:to>
    <xdr:cxnSp>
      <xdr:nvCxnSpPr>
        <xdr:cNvPr id="3128" name="Line 22"/>
        <xdr:cNvCxnSpPr/>
      </xdr:nvCxnSpPr>
      <xdr:spPr>
        <a:xfrm>
          <a:off x="1800225" y="1714500"/>
          <a:ext cx="34728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8</xdr:row>
      <xdr:rowOff>45720</xdr:rowOff>
    </xdr:from>
    <xdr:to>
      <xdr:col>9</xdr:col>
      <xdr:colOff>274320</xdr:colOff>
      <xdr:row>10</xdr:row>
      <xdr:rowOff>30480</xdr:rowOff>
    </xdr:to>
    <xdr:cxnSp>
      <xdr:nvCxnSpPr>
        <xdr:cNvPr id="3129" name="Line 24"/>
        <xdr:cNvCxnSpPr/>
      </xdr:nvCxnSpPr>
      <xdr:spPr>
        <a:xfrm flipV="1">
          <a:off x="3126105" y="1958340"/>
          <a:ext cx="384810" cy="3962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8</xdr:row>
      <xdr:rowOff>60960</xdr:rowOff>
    </xdr:from>
    <xdr:to>
      <xdr:col>13</xdr:col>
      <xdr:colOff>45720</xdr:colOff>
      <xdr:row>10</xdr:row>
      <xdr:rowOff>30480</xdr:rowOff>
    </xdr:to>
    <xdr:cxnSp>
      <xdr:nvCxnSpPr>
        <xdr:cNvPr id="3130" name="Line 25"/>
        <xdr:cNvCxnSpPr/>
      </xdr:nvCxnSpPr>
      <xdr:spPr>
        <a:xfrm flipV="1">
          <a:off x="4488180" y="1973580"/>
          <a:ext cx="308610" cy="3810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7620</xdr:rowOff>
    </xdr:from>
    <xdr:to>
      <xdr:col>4</xdr:col>
      <xdr:colOff>381000</xdr:colOff>
      <xdr:row>17</xdr:row>
      <xdr:rowOff>45720</xdr:rowOff>
    </xdr:to>
    <xdr:sp>
      <xdr:nvSpPr>
        <xdr:cNvPr id="3131" name="Arc 26"/>
        <xdr:cNvSpPr>
          <a:spLocks/>
        </xdr:cNvSpPr>
      </xdr:nvSpPr>
      <xdr:spPr>
        <a:xfrm flipH="1">
          <a:off x="340995" y="1714500"/>
          <a:ext cx="1466850" cy="209550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10</xdr:row>
      <xdr:rowOff>22860</xdr:rowOff>
    </xdr:from>
    <xdr:to>
      <xdr:col>13</xdr:col>
      <xdr:colOff>0</xdr:colOff>
      <xdr:row>11</xdr:row>
      <xdr:rowOff>182880</xdr:rowOff>
    </xdr:to>
    <xdr:cxnSp>
      <xdr:nvCxnSpPr>
        <xdr:cNvPr id="3132" name="Line 27"/>
        <xdr:cNvCxnSpPr/>
      </xdr:nvCxnSpPr>
      <xdr:spPr>
        <a:xfrm>
          <a:off x="4751070" y="2346960"/>
          <a:ext cx="0" cy="3657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160020</xdr:colOff>
      <xdr:row>7</xdr:row>
      <xdr:rowOff>7620</xdr:rowOff>
    </xdr:from>
    <xdr:to>
      <xdr:col>14</xdr:col>
      <xdr:colOff>160020</xdr:colOff>
      <xdr:row>8</xdr:row>
      <xdr:rowOff>175260</xdr:rowOff>
    </xdr:to>
    <xdr:cxnSp>
      <xdr:nvCxnSpPr>
        <xdr:cNvPr id="3133" name="Line 28"/>
        <xdr:cNvCxnSpPr/>
      </xdr:nvCxnSpPr>
      <xdr:spPr>
        <a:xfrm>
          <a:off x="5273040" y="1714500"/>
          <a:ext cx="0" cy="373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106680</xdr:rowOff>
    </xdr:from>
    <xdr:to>
      <xdr:col>14</xdr:col>
      <xdr:colOff>152400</xdr:colOff>
      <xdr:row>11</xdr:row>
      <xdr:rowOff>137160</xdr:rowOff>
    </xdr:to>
    <xdr:cxnSp>
      <xdr:nvCxnSpPr>
        <xdr:cNvPr id="3134" name="Line 29"/>
        <xdr:cNvCxnSpPr/>
      </xdr:nvCxnSpPr>
      <xdr:spPr>
        <a:xfrm flipV="1">
          <a:off x="4751070" y="2019300"/>
          <a:ext cx="514350" cy="6477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9</xdr:row>
      <xdr:rowOff>160020</xdr:rowOff>
    </xdr:from>
    <xdr:to>
      <xdr:col>13</xdr:col>
      <xdr:colOff>335280</xdr:colOff>
      <xdr:row>15</xdr:row>
      <xdr:rowOff>114300</xdr:rowOff>
    </xdr:to>
    <xdr:cxnSp>
      <xdr:nvCxnSpPr>
        <xdr:cNvPr id="3135" name="Line 30"/>
        <xdr:cNvCxnSpPr/>
      </xdr:nvCxnSpPr>
      <xdr:spPr>
        <a:xfrm flipH="1">
          <a:off x="5086350" y="2278380"/>
          <a:ext cx="0" cy="1188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114300</xdr:rowOff>
    </xdr:from>
    <xdr:to>
      <xdr:col>13</xdr:col>
      <xdr:colOff>327660</xdr:colOff>
      <xdr:row>15</xdr:row>
      <xdr:rowOff>114300</xdr:rowOff>
    </xdr:to>
    <xdr:cxnSp>
      <xdr:nvCxnSpPr>
        <xdr:cNvPr id="3136" name="Line 31"/>
        <xdr:cNvCxnSpPr/>
      </xdr:nvCxnSpPr>
      <xdr:spPr>
        <a:xfrm flipH="1">
          <a:off x="4389120" y="3467100"/>
          <a:ext cx="6896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7620</xdr:rowOff>
    </xdr:from>
    <xdr:to>
      <xdr:col>14</xdr:col>
      <xdr:colOff>152400</xdr:colOff>
      <xdr:row>10</xdr:row>
      <xdr:rowOff>7620</xdr:rowOff>
    </xdr:to>
    <xdr:cxnSp>
      <xdr:nvCxnSpPr>
        <xdr:cNvPr id="3137" name="Line 42"/>
        <xdr:cNvCxnSpPr/>
      </xdr:nvCxnSpPr>
      <xdr:spPr>
        <a:xfrm flipH="1">
          <a:off x="4751070" y="1714500"/>
          <a:ext cx="514350" cy="6172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38100</xdr:rowOff>
    </xdr:from>
    <xdr:to>
      <xdr:col>14</xdr:col>
      <xdr:colOff>160020</xdr:colOff>
      <xdr:row>10</xdr:row>
      <xdr:rowOff>45720</xdr:rowOff>
    </xdr:to>
    <xdr:cxnSp>
      <xdr:nvCxnSpPr>
        <xdr:cNvPr id="3138" name="Line 43"/>
        <xdr:cNvCxnSpPr/>
      </xdr:nvCxnSpPr>
      <xdr:spPr>
        <a:xfrm flipV="1">
          <a:off x="4751070" y="1744980"/>
          <a:ext cx="521970" cy="6248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342900</xdr:colOff>
      <xdr:row>2</xdr:row>
      <xdr:rowOff>76200</xdr:rowOff>
    </xdr:from>
    <xdr:to>
      <xdr:col>23</xdr:col>
      <xdr:colOff>409575</xdr:colOff>
      <xdr:row>3</xdr:row>
      <xdr:rowOff>95250</xdr:rowOff>
    </xdr:to>
    <xdr:sp>
      <xdr:nvSpPr>
        <xdr:cNvPr id="2" name="Rectangle 4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684770" y="520065"/>
          <a:ext cx="790575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11</xdr:row>
      <xdr:rowOff>68580</xdr:rowOff>
    </xdr:from>
    <xdr:to>
      <xdr:col>1</xdr:col>
      <xdr:colOff>259080</xdr:colOff>
      <xdr:row>20</xdr:row>
      <xdr:rowOff>99060</xdr:rowOff>
    </xdr:to>
    <xdr:cxnSp>
      <xdr:nvCxnSpPr>
        <xdr:cNvPr id="4127" name="Line 2"/>
        <xdr:cNvCxnSpPr/>
      </xdr:nvCxnSpPr>
      <xdr:spPr>
        <a:xfrm>
          <a:off x="581025" y="2863215"/>
          <a:ext cx="0" cy="188214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20</xdr:row>
      <xdr:rowOff>68580</xdr:rowOff>
    </xdr:from>
    <xdr:to>
      <xdr:col>3</xdr:col>
      <xdr:colOff>0</xdr:colOff>
      <xdr:row>22</xdr:row>
      <xdr:rowOff>198120</xdr:rowOff>
    </xdr:to>
    <xdr:sp>
      <xdr:nvSpPr>
        <xdr:cNvPr id="4128" name="Arc 5"/>
        <xdr:cNvSpPr>
          <a:spLocks/>
        </xdr:cNvSpPr>
      </xdr:nvSpPr>
      <xdr:spPr>
        <a:xfrm flipH="1" flipV="1">
          <a:off x="581025" y="4714875"/>
          <a:ext cx="426720" cy="5410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22</xdr:row>
      <xdr:rowOff>198120</xdr:rowOff>
    </xdr:from>
    <xdr:to>
      <xdr:col>5</xdr:col>
      <xdr:colOff>190500</xdr:colOff>
      <xdr:row>22</xdr:row>
      <xdr:rowOff>198120</xdr:rowOff>
    </xdr:to>
    <xdr:cxnSp>
      <xdr:nvCxnSpPr>
        <xdr:cNvPr id="4129" name="Line 6"/>
        <xdr:cNvCxnSpPr/>
      </xdr:nvCxnSpPr>
      <xdr:spPr>
        <a:xfrm>
          <a:off x="1007745" y="5255895"/>
          <a:ext cx="108585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20</xdr:row>
      <xdr:rowOff>68580</xdr:rowOff>
    </xdr:from>
    <xdr:to>
      <xdr:col>6</xdr:col>
      <xdr:colOff>335280</xdr:colOff>
      <xdr:row>22</xdr:row>
      <xdr:rowOff>198120</xdr:rowOff>
    </xdr:to>
    <xdr:sp>
      <xdr:nvSpPr>
        <xdr:cNvPr id="4130" name="Arc 7"/>
        <xdr:cNvSpPr>
          <a:spLocks/>
        </xdr:cNvSpPr>
      </xdr:nvSpPr>
      <xdr:spPr>
        <a:xfrm flipV="1">
          <a:off x="2093595" y="4714875"/>
          <a:ext cx="440055" cy="541020"/>
        </a:xfrm>
        <a:custGeom>
          <a:pathLst>
            <a:path w="21588" h="21600">
              <a:moveTo>
                <a:pt x="-1" y="0"/>
              </a:moveTo>
              <a:cubicBezTo>
                <a:pt x="11643" y="0"/>
                <a:pt x="21191" y="9229"/>
                <a:pt x="21587" y="20866"/>
              </a:cubicBezTo>
              <a:moveTo>
                <a:pt x="-1" y="0"/>
              </a:moveTo>
              <a:cubicBezTo>
                <a:pt x="11643" y="0"/>
                <a:pt x="21191" y="9229"/>
                <a:pt x="21587" y="20866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335280</xdr:colOff>
      <xdr:row>11</xdr:row>
      <xdr:rowOff>68580</xdr:rowOff>
    </xdr:from>
    <xdr:to>
      <xdr:col>6</xdr:col>
      <xdr:colOff>335280</xdr:colOff>
      <xdr:row>20</xdr:row>
      <xdr:rowOff>99060</xdr:rowOff>
    </xdr:to>
    <xdr:cxnSp>
      <xdr:nvCxnSpPr>
        <xdr:cNvPr id="4131" name="Line 8"/>
        <xdr:cNvCxnSpPr/>
      </xdr:nvCxnSpPr>
      <xdr:spPr>
        <a:xfrm flipV="1">
          <a:off x="2533650" y="2863215"/>
          <a:ext cx="0" cy="188214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8</xdr:row>
      <xdr:rowOff>38100</xdr:rowOff>
    </xdr:from>
    <xdr:to>
      <xdr:col>1</xdr:col>
      <xdr:colOff>220980</xdr:colOff>
      <xdr:row>11</xdr:row>
      <xdr:rowOff>68580</xdr:rowOff>
    </xdr:to>
    <xdr:cxnSp>
      <xdr:nvCxnSpPr>
        <xdr:cNvPr id="4132" name="Line 9"/>
        <xdr:cNvCxnSpPr/>
      </xdr:nvCxnSpPr>
      <xdr:spPr>
        <a:xfrm flipV="1">
          <a:off x="542925" y="2215515"/>
          <a:ext cx="0" cy="6477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8</xdr:row>
      <xdr:rowOff>60960</xdr:rowOff>
    </xdr:from>
    <xdr:to>
      <xdr:col>6</xdr:col>
      <xdr:colOff>373380</xdr:colOff>
      <xdr:row>9</xdr:row>
      <xdr:rowOff>152400</xdr:rowOff>
    </xdr:to>
    <xdr:cxnSp>
      <xdr:nvCxnSpPr>
        <xdr:cNvPr id="4133" name="Line 10"/>
        <xdr:cNvCxnSpPr/>
      </xdr:nvCxnSpPr>
      <xdr:spPr>
        <a:xfrm flipV="1">
          <a:off x="2571750" y="2238375"/>
          <a:ext cx="0" cy="2971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9</xdr:row>
      <xdr:rowOff>45720</xdr:rowOff>
    </xdr:from>
    <xdr:to>
      <xdr:col>6</xdr:col>
      <xdr:colOff>373380</xdr:colOff>
      <xdr:row>9</xdr:row>
      <xdr:rowOff>45720</xdr:rowOff>
    </xdr:to>
    <xdr:cxnSp>
      <xdr:nvCxnSpPr>
        <xdr:cNvPr id="4134" name="Line 11"/>
        <xdr:cNvCxnSpPr/>
      </xdr:nvCxnSpPr>
      <xdr:spPr>
        <a:xfrm>
          <a:off x="542925" y="2428875"/>
          <a:ext cx="20288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11</xdr:row>
      <xdr:rowOff>76200</xdr:rowOff>
    </xdr:from>
    <xdr:to>
      <xdr:col>7</xdr:col>
      <xdr:colOff>335280</xdr:colOff>
      <xdr:row>11</xdr:row>
      <xdr:rowOff>76200</xdr:rowOff>
    </xdr:to>
    <xdr:cxnSp>
      <xdr:nvCxnSpPr>
        <xdr:cNvPr id="4135" name="Line 12"/>
        <xdr:cNvCxnSpPr/>
      </xdr:nvCxnSpPr>
      <xdr:spPr>
        <a:xfrm flipV="1">
          <a:off x="2571750" y="2870835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9</xdr:row>
      <xdr:rowOff>152400</xdr:rowOff>
    </xdr:from>
    <xdr:to>
      <xdr:col>7</xdr:col>
      <xdr:colOff>327660</xdr:colOff>
      <xdr:row>9</xdr:row>
      <xdr:rowOff>152400</xdr:rowOff>
    </xdr:to>
    <xdr:cxnSp>
      <xdr:nvCxnSpPr>
        <xdr:cNvPr id="4136" name="Line 13"/>
        <xdr:cNvCxnSpPr/>
      </xdr:nvCxnSpPr>
      <xdr:spPr>
        <a:xfrm>
          <a:off x="2487930" y="2535555"/>
          <a:ext cx="3810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312420</xdr:colOff>
      <xdr:row>23</xdr:row>
      <xdr:rowOff>30480</xdr:rowOff>
    </xdr:from>
    <xdr:to>
      <xdr:col>7</xdr:col>
      <xdr:colOff>335280</xdr:colOff>
      <xdr:row>23</xdr:row>
      <xdr:rowOff>30480</xdr:rowOff>
    </xdr:to>
    <xdr:cxnSp>
      <xdr:nvCxnSpPr>
        <xdr:cNvPr id="4137" name="Line 14"/>
        <xdr:cNvCxnSpPr/>
      </xdr:nvCxnSpPr>
      <xdr:spPr>
        <a:xfrm>
          <a:off x="2215515" y="5293995"/>
          <a:ext cx="6610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9</xdr:row>
      <xdr:rowOff>144780</xdr:rowOff>
    </xdr:from>
    <xdr:to>
      <xdr:col>7</xdr:col>
      <xdr:colOff>228600</xdr:colOff>
      <xdr:row>11</xdr:row>
      <xdr:rowOff>76200</xdr:rowOff>
    </xdr:to>
    <xdr:cxnSp>
      <xdr:nvCxnSpPr>
        <xdr:cNvPr id="4138" name="Line 15"/>
        <xdr:cNvCxnSpPr/>
      </xdr:nvCxnSpPr>
      <xdr:spPr>
        <a:xfrm>
          <a:off x="2769870" y="2527935"/>
          <a:ext cx="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11</xdr:row>
      <xdr:rowOff>76200</xdr:rowOff>
    </xdr:from>
    <xdr:to>
      <xdr:col>7</xdr:col>
      <xdr:colOff>228600</xdr:colOff>
      <xdr:row>23</xdr:row>
      <xdr:rowOff>22860</xdr:rowOff>
    </xdr:to>
    <xdr:cxnSp>
      <xdr:nvCxnSpPr>
        <xdr:cNvPr id="4139" name="Line 16"/>
        <xdr:cNvCxnSpPr/>
      </xdr:nvCxnSpPr>
      <xdr:spPr>
        <a:xfrm>
          <a:off x="2769870" y="2870835"/>
          <a:ext cx="0" cy="24155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20</xdr:row>
      <xdr:rowOff>60960</xdr:rowOff>
    </xdr:from>
    <xdr:to>
      <xdr:col>3</xdr:col>
      <xdr:colOff>38100</xdr:colOff>
      <xdr:row>20</xdr:row>
      <xdr:rowOff>60960</xdr:rowOff>
    </xdr:to>
    <xdr:cxnSp>
      <xdr:nvCxnSpPr>
        <xdr:cNvPr id="4140" name="Line 17"/>
        <xdr:cNvCxnSpPr/>
      </xdr:nvCxnSpPr>
      <xdr:spPr>
        <a:xfrm>
          <a:off x="504825" y="4707255"/>
          <a:ext cx="5410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19</xdr:row>
      <xdr:rowOff>175260</xdr:rowOff>
    </xdr:from>
    <xdr:to>
      <xdr:col>2</xdr:col>
      <xdr:colOff>381000</xdr:colOff>
      <xdr:row>23</xdr:row>
      <xdr:rowOff>60960</xdr:rowOff>
    </xdr:to>
    <xdr:cxnSp>
      <xdr:nvCxnSpPr>
        <xdr:cNvPr id="4141" name="Line 18"/>
        <xdr:cNvCxnSpPr/>
      </xdr:nvCxnSpPr>
      <xdr:spPr>
        <a:xfrm flipV="1">
          <a:off x="1045845" y="4615815"/>
          <a:ext cx="0" cy="708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20</xdr:row>
      <xdr:rowOff>7620</xdr:rowOff>
    </xdr:from>
    <xdr:to>
      <xdr:col>3</xdr:col>
      <xdr:colOff>30480</xdr:colOff>
      <xdr:row>21</xdr:row>
      <xdr:rowOff>190500</xdr:rowOff>
    </xdr:to>
    <xdr:cxnSp>
      <xdr:nvCxnSpPr>
        <xdr:cNvPr id="4142" name="Line 19"/>
        <xdr:cNvCxnSpPr/>
      </xdr:nvCxnSpPr>
      <xdr:spPr>
        <a:xfrm flipH="1">
          <a:off x="687705" y="4653915"/>
          <a:ext cx="350520" cy="3886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297180</xdr:colOff>
      <xdr:row>15</xdr:row>
      <xdr:rowOff>106680</xdr:rowOff>
    </xdr:from>
    <xdr:to>
      <xdr:col>2</xdr:col>
      <xdr:colOff>220980</xdr:colOff>
      <xdr:row>15</xdr:row>
      <xdr:rowOff>106680</xdr:rowOff>
    </xdr:to>
    <xdr:cxnSp>
      <xdr:nvCxnSpPr>
        <xdr:cNvPr id="4143" name="Line 21"/>
        <xdr:cNvCxnSpPr/>
      </xdr:nvCxnSpPr>
      <xdr:spPr>
        <a:xfrm>
          <a:off x="619125" y="3724275"/>
          <a:ext cx="266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106680</xdr:rowOff>
    </xdr:from>
    <xdr:to>
      <xdr:col>1</xdr:col>
      <xdr:colOff>220980</xdr:colOff>
      <xdr:row>15</xdr:row>
      <xdr:rowOff>106680</xdr:rowOff>
    </xdr:to>
    <xdr:cxnSp>
      <xdr:nvCxnSpPr>
        <xdr:cNvPr id="4144" name="Line 22"/>
        <xdr:cNvCxnSpPr/>
      </xdr:nvCxnSpPr>
      <xdr:spPr>
        <a:xfrm flipH="1">
          <a:off x="321945" y="3724275"/>
          <a:ext cx="2209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297180</xdr:colOff>
      <xdr:row>9</xdr:row>
      <xdr:rowOff>152400</xdr:rowOff>
    </xdr:from>
    <xdr:to>
      <xdr:col>6</xdr:col>
      <xdr:colOff>297180</xdr:colOff>
      <xdr:row>11</xdr:row>
      <xdr:rowOff>68580</xdr:rowOff>
    </xdr:to>
    <xdr:cxnSp>
      <xdr:nvCxnSpPr>
        <xdr:cNvPr id="4145" name="Line 28"/>
        <xdr:cNvCxnSpPr/>
      </xdr:nvCxnSpPr>
      <xdr:spPr>
        <a:xfrm flipV="1">
          <a:off x="2495550" y="2535555"/>
          <a:ext cx="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9</xdr:row>
      <xdr:rowOff>152400</xdr:rowOff>
    </xdr:from>
    <xdr:to>
      <xdr:col>6</xdr:col>
      <xdr:colOff>373380</xdr:colOff>
      <xdr:row>11</xdr:row>
      <xdr:rowOff>68580</xdr:rowOff>
    </xdr:to>
    <xdr:cxnSp>
      <xdr:nvCxnSpPr>
        <xdr:cNvPr id="4146" name="Line 29"/>
        <xdr:cNvCxnSpPr/>
      </xdr:nvCxnSpPr>
      <xdr:spPr>
        <a:xfrm flipV="1">
          <a:off x="2571750" y="2535555"/>
          <a:ext cx="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9</xdr:row>
      <xdr:rowOff>160020</xdr:rowOff>
    </xdr:from>
    <xdr:to>
      <xdr:col>1</xdr:col>
      <xdr:colOff>289560</xdr:colOff>
      <xdr:row>11</xdr:row>
      <xdr:rowOff>68580</xdr:rowOff>
    </xdr:to>
    <xdr:cxnSp>
      <xdr:nvCxnSpPr>
        <xdr:cNvPr id="4147" name="Line 32"/>
        <xdr:cNvCxnSpPr/>
      </xdr:nvCxnSpPr>
      <xdr:spPr>
        <a:xfrm flipV="1">
          <a:off x="611505" y="2543175"/>
          <a:ext cx="0" cy="3200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9</xdr:row>
      <xdr:rowOff>160020</xdr:rowOff>
    </xdr:from>
    <xdr:to>
      <xdr:col>1</xdr:col>
      <xdr:colOff>289560</xdr:colOff>
      <xdr:row>9</xdr:row>
      <xdr:rowOff>160020</xdr:rowOff>
    </xdr:to>
    <xdr:cxnSp>
      <xdr:nvCxnSpPr>
        <xdr:cNvPr id="4148" name="Line 33"/>
        <xdr:cNvCxnSpPr/>
      </xdr:nvCxnSpPr>
      <xdr:spPr>
        <a:xfrm flipH="1">
          <a:off x="542925" y="2543175"/>
          <a:ext cx="685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10</xdr:row>
      <xdr:rowOff>121920</xdr:rowOff>
    </xdr:from>
    <xdr:to>
      <xdr:col>7</xdr:col>
      <xdr:colOff>381000</xdr:colOff>
      <xdr:row>10</xdr:row>
      <xdr:rowOff>121920</xdr:rowOff>
    </xdr:to>
    <xdr:cxnSp>
      <xdr:nvCxnSpPr>
        <xdr:cNvPr id="4149" name="Line 35"/>
        <xdr:cNvCxnSpPr/>
      </xdr:nvCxnSpPr>
      <xdr:spPr>
        <a:xfrm flipV="1">
          <a:off x="2769870" y="2710815"/>
          <a:ext cx="1524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0</xdr:row>
      <xdr:rowOff>438150</xdr:rowOff>
    </xdr:from>
    <xdr:to>
      <xdr:col>25</xdr:col>
      <xdr:colOff>123825</xdr:colOff>
      <xdr:row>1</xdr:row>
      <xdr:rowOff>171450</xdr:rowOff>
    </xdr:to>
    <xdr:sp>
      <xdr:nvSpPr>
        <xdr:cNvPr id="2" name="Rectangle 37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618095" y="424815"/>
          <a:ext cx="762000" cy="31432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10</xdr:row>
      <xdr:rowOff>152400</xdr:rowOff>
    </xdr:from>
    <xdr:to>
      <xdr:col>3</xdr:col>
      <xdr:colOff>259080</xdr:colOff>
      <xdr:row>21</xdr:row>
      <xdr:rowOff>99060</xdr:rowOff>
    </xdr:to>
    <xdr:cxnSp>
      <xdr:nvCxnSpPr>
        <xdr:cNvPr id="5147" name="Line 1"/>
        <xdr:cNvCxnSpPr/>
      </xdr:nvCxnSpPr>
      <xdr:spPr>
        <a:xfrm>
          <a:off x="1219200" y="2710815"/>
          <a:ext cx="0" cy="2108835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259080</xdr:colOff>
      <xdr:row>21</xdr:row>
      <xdr:rowOff>68580</xdr:rowOff>
    </xdr:from>
    <xdr:to>
      <xdr:col>5</xdr:col>
      <xdr:colOff>0</xdr:colOff>
      <xdr:row>23</xdr:row>
      <xdr:rowOff>198120</xdr:rowOff>
    </xdr:to>
    <xdr:sp>
      <xdr:nvSpPr>
        <xdr:cNvPr id="5148" name="Arc 2"/>
        <xdr:cNvSpPr>
          <a:spLocks/>
        </xdr:cNvSpPr>
      </xdr:nvSpPr>
      <xdr:spPr>
        <a:xfrm flipH="1" flipV="1">
          <a:off x="1219200" y="4789170"/>
          <a:ext cx="560070" cy="5410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23</xdr:row>
      <xdr:rowOff>198120</xdr:rowOff>
    </xdr:from>
    <xdr:to>
      <xdr:col>6</xdr:col>
      <xdr:colOff>289560</xdr:colOff>
      <xdr:row>23</xdr:row>
      <xdr:rowOff>198120</xdr:rowOff>
    </xdr:to>
    <xdr:cxnSp>
      <xdr:nvCxnSpPr>
        <xdr:cNvPr id="5149" name="Line 3"/>
        <xdr:cNvCxnSpPr/>
      </xdr:nvCxnSpPr>
      <xdr:spPr>
        <a:xfrm>
          <a:off x="1779270" y="5330190"/>
          <a:ext cx="97536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10</xdr:row>
      <xdr:rowOff>152400</xdr:rowOff>
    </xdr:from>
    <xdr:to>
      <xdr:col>7</xdr:col>
      <xdr:colOff>335280</xdr:colOff>
      <xdr:row>21</xdr:row>
      <xdr:rowOff>99060</xdr:rowOff>
    </xdr:to>
    <xdr:cxnSp>
      <xdr:nvCxnSpPr>
        <xdr:cNvPr id="5150" name="Line 5"/>
        <xdr:cNvCxnSpPr/>
      </xdr:nvCxnSpPr>
      <xdr:spPr>
        <a:xfrm flipV="1">
          <a:off x="3267075" y="2710815"/>
          <a:ext cx="0" cy="2108835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8</xdr:row>
      <xdr:rowOff>38100</xdr:rowOff>
    </xdr:from>
    <xdr:to>
      <xdr:col>9</xdr:col>
      <xdr:colOff>7620</xdr:colOff>
      <xdr:row>8</xdr:row>
      <xdr:rowOff>38100</xdr:rowOff>
    </xdr:to>
    <xdr:cxnSp>
      <xdr:nvCxnSpPr>
        <xdr:cNvPr id="5151" name="Line 8"/>
        <xdr:cNvCxnSpPr/>
      </xdr:nvCxnSpPr>
      <xdr:spPr>
        <a:xfrm>
          <a:off x="723900" y="2185035"/>
          <a:ext cx="29870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24</xdr:row>
      <xdr:rowOff>22860</xdr:rowOff>
    </xdr:from>
    <xdr:to>
      <xdr:col>10</xdr:col>
      <xdr:colOff>365760</xdr:colOff>
      <xdr:row>24</xdr:row>
      <xdr:rowOff>22860</xdr:rowOff>
    </xdr:to>
    <xdr:cxnSp>
      <xdr:nvCxnSpPr>
        <xdr:cNvPr id="5152" name="Line 11"/>
        <xdr:cNvCxnSpPr/>
      </xdr:nvCxnSpPr>
      <xdr:spPr>
        <a:xfrm>
          <a:off x="2931795" y="5360670"/>
          <a:ext cx="148018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182880</xdr:colOff>
      <xdr:row>21</xdr:row>
      <xdr:rowOff>60960</xdr:rowOff>
    </xdr:from>
    <xdr:to>
      <xdr:col>5</xdr:col>
      <xdr:colOff>38100</xdr:colOff>
      <xdr:row>21</xdr:row>
      <xdr:rowOff>60960</xdr:rowOff>
    </xdr:to>
    <xdr:cxnSp>
      <xdr:nvCxnSpPr>
        <xdr:cNvPr id="5153" name="Line 14"/>
        <xdr:cNvCxnSpPr/>
      </xdr:nvCxnSpPr>
      <xdr:spPr>
        <a:xfrm>
          <a:off x="1143000" y="4781550"/>
          <a:ext cx="6743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20</xdr:row>
      <xdr:rowOff>175260</xdr:rowOff>
    </xdr:from>
    <xdr:to>
      <xdr:col>4</xdr:col>
      <xdr:colOff>381000</xdr:colOff>
      <xdr:row>24</xdr:row>
      <xdr:rowOff>60960</xdr:rowOff>
    </xdr:to>
    <xdr:cxnSp>
      <xdr:nvCxnSpPr>
        <xdr:cNvPr id="5154" name="Line 15"/>
        <xdr:cNvCxnSpPr/>
      </xdr:nvCxnSpPr>
      <xdr:spPr>
        <a:xfrm flipV="1">
          <a:off x="1684020" y="4690110"/>
          <a:ext cx="0" cy="708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21</xdr:row>
      <xdr:rowOff>45720</xdr:rowOff>
    </xdr:from>
    <xdr:to>
      <xdr:col>4</xdr:col>
      <xdr:colOff>381000</xdr:colOff>
      <xdr:row>22</xdr:row>
      <xdr:rowOff>190500</xdr:rowOff>
    </xdr:to>
    <xdr:cxnSp>
      <xdr:nvCxnSpPr>
        <xdr:cNvPr id="5155" name="Line 16"/>
        <xdr:cNvCxnSpPr/>
      </xdr:nvCxnSpPr>
      <xdr:spPr>
        <a:xfrm flipH="1">
          <a:off x="1325880" y="4766310"/>
          <a:ext cx="358140" cy="3505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17</xdr:row>
      <xdr:rowOff>198120</xdr:rowOff>
    </xdr:from>
    <xdr:to>
      <xdr:col>4</xdr:col>
      <xdr:colOff>335280</xdr:colOff>
      <xdr:row>17</xdr:row>
      <xdr:rowOff>198120</xdr:rowOff>
    </xdr:to>
    <xdr:cxnSp>
      <xdr:nvCxnSpPr>
        <xdr:cNvPr id="5156" name="Line 17"/>
        <xdr:cNvCxnSpPr/>
      </xdr:nvCxnSpPr>
      <xdr:spPr>
        <a:xfrm flipV="1">
          <a:off x="1257300" y="4095750"/>
          <a:ext cx="3810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198120</xdr:rowOff>
    </xdr:from>
    <xdr:to>
      <xdr:col>3</xdr:col>
      <xdr:colOff>220980</xdr:colOff>
      <xdr:row>17</xdr:row>
      <xdr:rowOff>198120</xdr:rowOff>
    </xdr:to>
    <xdr:cxnSp>
      <xdr:nvCxnSpPr>
        <xdr:cNvPr id="5157" name="Line 18"/>
        <xdr:cNvCxnSpPr/>
      </xdr:nvCxnSpPr>
      <xdr:spPr>
        <a:xfrm flipH="1">
          <a:off x="960120" y="4095750"/>
          <a:ext cx="2209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21</xdr:row>
      <xdr:rowOff>68580</xdr:rowOff>
    </xdr:from>
    <xdr:to>
      <xdr:col>7</xdr:col>
      <xdr:colOff>335280</xdr:colOff>
      <xdr:row>23</xdr:row>
      <xdr:rowOff>198120</xdr:rowOff>
    </xdr:to>
    <xdr:sp>
      <xdr:nvSpPr>
        <xdr:cNvPr id="5158" name="Arc 22"/>
        <xdr:cNvSpPr>
          <a:spLocks/>
        </xdr:cNvSpPr>
      </xdr:nvSpPr>
      <xdr:spPr>
        <a:xfrm flipV="1">
          <a:off x="2731770" y="4789170"/>
          <a:ext cx="535305" cy="541020"/>
        </a:xfrm>
        <a:custGeom>
          <a:pathLst>
            <a:path w="24934" h="21601">
              <a:moveTo>
                <a:pt x="-1" y="260"/>
              </a:moveTo>
              <a:cubicBezTo>
                <a:pt x="1106" y="87"/>
                <a:pt x="2225" y="-1"/>
                <a:pt x="3346" y="0"/>
              </a:cubicBezTo>
              <a:cubicBezTo>
                <a:pt x="14989" y="0"/>
                <a:pt x="24537" y="9229"/>
                <a:pt x="24933" y="20866"/>
              </a:cubicBezTo>
              <a:moveTo>
                <a:pt x="-1" y="260"/>
              </a:moveTo>
              <a:cubicBezTo>
                <a:pt x="1106" y="87"/>
                <a:pt x="2225" y="-1"/>
                <a:pt x="3346" y="0"/>
              </a:cubicBezTo>
              <a:cubicBezTo>
                <a:pt x="14989" y="0"/>
                <a:pt x="24537" y="9229"/>
                <a:pt x="24933" y="20866"/>
              </a:cubicBezTo>
              <a:lnTo>
                <a:pt x="3346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198120</xdr:colOff>
      <xdr:row>9</xdr:row>
      <xdr:rowOff>38100</xdr:rowOff>
    </xdr:from>
    <xdr:to>
      <xdr:col>10</xdr:col>
      <xdr:colOff>198120</xdr:colOff>
      <xdr:row>16</xdr:row>
      <xdr:rowOff>0</xdr:rowOff>
    </xdr:to>
    <xdr:cxnSp>
      <xdr:nvCxnSpPr>
        <xdr:cNvPr id="5159" name="Line 31"/>
        <xdr:cNvCxnSpPr/>
      </xdr:nvCxnSpPr>
      <xdr:spPr>
        <a:xfrm flipH="1">
          <a:off x="4244340" y="2390775"/>
          <a:ext cx="0" cy="130111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9</xdr:row>
      <xdr:rowOff>60960</xdr:rowOff>
    </xdr:from>
    <xdr:to>
      <xdr:col>8</xdr:col>
      <xdr:colOff>220980</xdr:colOff>
      <xdr:row>10</xdr:row>
      <xdr:rowOff>152400</xdr:rowOff>
    </xdr:to>
    <xdr:sp>
      <xdr:nvSpPr>
        <xdr:cNvPr id="5160" name="Arc 43"/>
        <xdr:cNvSpPr>
          <a:spLocks/>
        </xdr:cNvSpPr>
      </xdr:nvSpPr>
      <xdr:spPr>
        <a:xfrm flipH="1">
          <a:off x="3267075" y="2413635"/>
          <a:ext cx="228600" cy="297180"/>
        </a:xfrm>
        <a:custGeom>
          <a:pathLst>
            <a:path w="21601" h="23964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389"/>
                <a:pt x="21556" y="23178"/>
                <a:pt x="21470" y="23964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389"/>
                <a:pt x="21556" y="23178"/>
                <a:pt x="21470" y="23964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381000</xdr:colOff>
      <xdr:row>9</xdr:row>
      <xdr:rowOff>60960</xdr:rowOff>
    </xdr:from>
    <xdr:to>
      <xdr:col>3</xdr:col>
      <xdr:colOff>259080</xdr:colOff>
      <xdr:row>10</xdr:row>
      <xdr:rowOff>175260</xdr:rowOff>
    </xdr:to>
    <xdr:sp>
      <xdr:nvSpPr>
        <xdr:cNvPr id="5161" name="Arc 45"/>
        <xdr:cNvSpPr>
          <a:spLocks/>
        </xdr:cNvSpPr>
      </xdr:nvSpPr>
      <xdr:spPr>
        <a:xfrm>
          <a:off x="998220" y="2413635"/>
          <a:ext cx="220980" cy="32004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220980</xdr:colOff>
      <xdr:row>9</xdr:row>
      <xdr:rowOff>60960</xdr:rowOff>
    </xdr:from>
    <xdr:to>
      <xdr:col>9</xdr:col>
      <xdr:colOff>7620</xdr:colOff>
      <xdr:row>9</xdr:row>
      <xdr:rowOff>60960</xdr:rowOff>
    </xdr:to>
    <xdr:cxnSp>
      <xdr:nvCxnSpPr>
        <xdr:cNvPr id="5162" name="Line 46"/>
        <xdr:cNvCxnSpPr/>
      </xdr:nvCxnSpPr>
      <xdr:spPr>
        <a:xfrm flipV="1">
          <a:off x="3495675" y="2413635"/>
          <a:ext cx="21526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9</xdr:row>
      <xdr:rowOff>60960</xdr:rowOff>
    </xdr:from>
    <xdr:to>
      <xdr:col>2</xdr:col>
      <xdr:colOff>350520</xdr:colOff>
      <xdr:row>9</xdr:row>
      <xdr:rowOff>60960</xdr:rowOff>
    </xdr:to>
    <xdr:cxnSp>
      <xdr:nvCxnSpPr>
        <xdr:cNvPr id="5163" name="Line 47"/>
        <xdr:cNvCxnSpPr/>
      </xdr:nvCxnSpPr>
      <xdr:spPr>
        <a:xfrm flipH="1">
          <a:off x="701040" y="2413635"/>
          <a:ext cx="26670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9</xdr:row>
      <xdr:rowOff>30480</xdr:rowOff>
    </xdr:from>
    <xdr:to>
      <xdr:col>10</xdr:col>
      <xdr:colOff>304800</xdr:colOff>
      <xdr:row>9</xdr:row>
      <xdr:rowOff>30480</xdr:rowOff>
    </xdr:to>
    <xdr:cxnSp>
      <xdr:nvCxnSpPr>
        <xdr:cNvPr id="5164" name="Line 49"/>
        <xdr:cNvCxnSpPr/>
      </xdr:nvCxnSpPr>
      <xdr:spPr>
        <a:xfrm>
          <a:off x="4046220" y="2383155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7</xdr:row>
      <xdr:rowOff>83820</xdr:rowOff>
    </xdr:from>
    <xdr:to>
      <xdr:col>9</xdr:col>
      <xdr:colOff>7620</xdr:colOff>
      <xdr:row>9</xdr:row>
      <xdr:rowOff>22860</xdr:rowOff>
    </xdr:to>
    <xdr:cxnSp>
      <xdr:nvCxnSpPr>
        <xdr:cNvPr id="5165" name="Line 50"/>
        <xdr:cNvCxnSpPr/>
      </xdr:nvCxnSpPr>
      <xdr:spPr>
        <a:xfrm flipH="1" flipV="1">
          <a:off x="3710940" y="2025015"/>
          <a:ext cx="0" cy="3505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</xdr:colOff>
      <xdr:row>7</xdr:row>
      <xdr:rowOff>76200</xdr:rowOff>
    </xdr:from>
    <xdr:to>
      <xdr:col>2</xdr:col>
      <xdr:colOff>99060</xdr:colOff>
      <xdr:row>9</xdr:row>
      <xdr:rowOff>7620</xdr:rowOff>
    </xdr:to>
    <xdr:cxnSp>
      <xdr:nvCxnSpPr>
        <xdr:cNvPr id="5166" name="Line 51"/>
        <xdr:cNvCxnSpPr/>
      </xdr:nvCxnSpPr>
      <xdr:spPr>
        <a:xfrm flipH="1" flipV="1">
          <a:off x="716280" y="2017395"/>
          <a:ext cx="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7</xdr:row>
      <xdr:rowOff>83820</xdr:rowOff>
    </xdr:from>
    <xdr:to>
      <xdr:col>9</xdr:col>
      <xdr:colOff>335280</xdr:colOff>
      <xdr:row>9</xdr:row>
      <xdr:rowOff>83820</xdr:rowOff>
    </xdr:to>
    <xdr:cxnSp>
      <xdr:nvCxnSpPr>
        <xdr:cNvPr id="5167" name="Line 52"/>
        <xdr:cNvCxnSpPr/>
      </xdr:nvCxnSpPr>
      <xdr:spPr>
        <a:xfrm flipV="1">
          <a:off x="4038600" y="2025015"/>
          <a:ext cx="0" cy="4114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8</xdr:row>
      <xdr:rowOff>38100</xdr:rowOff>
    </xdr:from>
    <xdr:to>
      <xdr:col>9</xdr:col>
      <xdr:colOff>327660</xdr:colOff>
      <xdr:row>8</xdr:row>
      <xdr:rowOff>38100</xdr:rowOff>
    </xdr:to>
    <xdr:cxnSp>
      <xdr:nvCxnSpPr>
        <xdr:cNvPr id="5168" name="Line 53"/>
        <xdr:cNvCxnSpPr/>
      </xdr:nvCxnSpPr>
      <xdr:spPr>
        <a:xfrm>
          <a:off x="3726180" y="2185035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8</xdr:row>
      <xdr:rowOff>38100</xdr:rowOff>
    </xdr:from>
    <xdr:to>
      <xdr:col>10</xdr:col>
      <xdr:colOff>441960</xdr:colOff>
      <xdr:row>8</xdr:row>
      <xdr:rowOff>38100</xdr:rowOff>
    </xdr:to>
    <xdr:cxnSp>
      <xdr:nvCxnSpPr>
        <xdr:cNvPr id="5169" name="Line 54"/>
        <xdr:cNvCxnSpPr/>
      </xdr:nvCxnSpPr>
      <xdr:spPr>
        <a:xfrm>
          <a:off x="4038600" y="2185035"/>
          <a:ext cx="4495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373380</xdr:colOff>
      <xdr:row>9</xdr:row>
      <xdr:rowOff>182880</xdr:rowOff>
    </xdr:from>
    <xdr:to>
      <xdr:col>3</xdr:col>
      <xdr:colOff>144780</xdr:colOff>
      <xdr:row>10</xdr:row>
      <xdr:rowOff>144780</xdr:rowOff>
    </xdr:to>
    <xdr:cxnSp>
      <xdr:nvCxnSpPr>
        <xdr:cNvPr id="5170" name="Line 55"/>
        <xdr:cNvCxnSpPr/>
      </xdr:nvCxnSpPr>
      <xdr:spPr>
        <a:xfrm flipH="1">
          <a:off x="990600" y="2535555"/>
          <a:ext cx="114300" cy="1676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373380</xdr:colOff>
      <xdr:row>9</xdr:row>
      <xdr:rowOff>106680</xdr:rowOff>
    </xdr:from>
    <xdr:to>
      <xdr:col>2</xdr:col>
      <xdr:colOff>373380</xdr:colOff>
      <xdr:row>11</xdr:row>
      <xdr:rowOff>76200</xdr:rowOff>
    </xdr:to>
    <xdr:cxnSp>
      <xdr:nvCxnSpPr>
        <xdr:cNvPr id="5171" name="Line 56"/>
        <xdr:cNvCxnSpPr/>
      </xdr:nvCxnSpPr>
      <xdr:spPr>
        <a:xfrm>
          <a:off x="990600" y="2459355"/>
          <a:ext cx="0" cy="381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10</xdr:row>
      <xdr:rowOff>144780</xdr:rowOff>
    </xdr:from>
    <xdr:to>
      <xdr:col>3</xdr:col>
      <xdr:colOff>228600</xdr:colOff>
      <xdr:row>10</xdr:row>
      <xdr:rowOff>144780</xdr:rowOff>
    </xdr:to>
    <xdr:cxnSp>
      <xdr:nvCxnSpPr>
        <xdr:cNvPr id="5172" name="Line 57"/>
        <xdr:cNvCxnSpPr/>
      </xdr:nvCxnSpPr>
      <xdr:spPr>
        <a:xfrm flipH="1">
          <a:off x="868680" y="2703195"/>
          <a:ext cx="3200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10</xdr:row>
      <xdr:rowOff>152400</xdr:rowOff>
    </xdr:from>
    <xdr:to>
      <xdr:col>2</xdr:col>
      <xdr:colOff>365760</xdr:colOff>
      <xdr:row>12</xdr:row>
      <xdr:rowOff>7620</xdr:rowOff>
    </xdr:to>
    <xdr:cxnSp>
      <xdr:nvCxnSpPr>
        <xdr:cNvPr id="5173" name="Line 59"/>
        <xdr:cNvCxnSpPr/>
      </xdr:nvCxnSpPr>
      <xdr:spPr>
        <a:xfrm flipH="1">
          <a:off x="693420" y="2710815"/>
          <a:ext cx="289560" cy="2667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18</xdr:row>
      <xdr:rowOff>30480</xdr:rowOff>
    </xdr:from>
    <xdr:to>
      <xdr:col>10</xdr:col>
      <xdr:colOff>228600</xdr:colOff>
      <xdr:row>24</xdr:row>
      <xdr:rowOff>22860</xdr:rowOff>
    </xdr:to>
    <xdr:cxnSp>
      <xdr:nvCxnSpPr>
        <xdr:cNvPr id="5174" name="Line 62"/>
        <xdr:cNvCxnSpPr/>
      </xdr:nvCxnSpPr>
      <xdr:spPr>
        <a:xfrm flipV="1">
          <a:off x="4274820" y="4133850"/>
          <a:ext cx="0" cy="1226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13</xdr:row>
      <xdr:rowOff>45720</xdr:rowOff>
    </xdr:from>
    <xdr:to>
      <xdr:col>7</xdr:col>
      <xdr:colOff>297180</xdr:colOff>
      <xdr:row>13</xdr:row>
      <xdr:rowOff>45720</xdr:rowOff>
    </xdr:to>
    <xdr:cxnSp>
      <xdr:nvCxnSpPr>
        <xdr:cNvPr id="5175" name="Line 66"/>
        <xdr:cNvCxnSpPr/>
      </xdr:nvCxnSpPr>
      <xdr:spPr>
        <a:xfrm>
          <a:off x="1257300" y="3221355"/>
          <a:ext cx="19716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30480</xdr:rowOff>
    </xdr:from>
    <xdr:to>
      <xdr:col>9</xdr:col>
      <xdr:colOff>335280</xdr:colOff>
      <xdr:row>9</xdr:row>
      <xdr:rowOff>30480</xdr:rowOff>
    </xdr:to>
    <xdr:cxnSp>
      <xdr:nvCxnSpPr>
        <xdr:cNvPr id="5176" name="Line 67"/>
        <xdr:cNvCxnSpPr/>
      </xdr:nvCxnSpPr>
      <xdr:spPr>
        <a:xfrm>
          <a:off x="3703320" y="2383155"/>
          <a:ext cx="3352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9</xdr:row>
      <xdr:rowOff>83820</xdr:rowOff>
    </xdr:from>
    <xdr:to>
      <xdr:col>9</xdr:col>
      <xdr:colOff>335280</xdr:colOff>
      <xdr:row>9</xdr:row>
      <xdr:rowOff>83820</xdr:rowOff>
    </xdr:to>
    <xdr:cxnSp>
      <xdr:nvCxnSpPr>
        <xdr:cNvPr id="5177" name="Line 68"/>
        <xdr:cNvCxnSpPr/>
      </xdr:nvCxnSpPr>
      <xdr:spPr>
        <a:xfrm>
          <a:off x="3762375" y="2436495"/>
          <a:ext cx="2762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9</xdr:row>
      <xdr:rowOff>30480</xdr:rowOff>
    </xdr:from>
    <xdr:to>
      <xdr:col>2</xdr:col>
      <xdr:colOff>99060</xdr:colOff>
      <xdr:row>9</xdr:row>
      <xdr:rowOff>30480</xdr:rowOff>
    </xdr:to>
    <xdr:cxnSp>
      <xdr:nvCxnSpPr>
        <xdr:cNvPr id="5178" name="Line 70"/>
        <xdr:cNvCxnSpPr/>
      </xdr:nvCxnSpPr>
      <xdr:spPr>
        <a:xfrm flipH="1">
          <a:off x="541020" y="2383155"/>
          <a:ext cx="1752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9</xdr:row>
      <xdr:rowOff>83820</xdr:rowOff>
    </xdr:from>
    <xdr:to>
      <xdr:col>2</xdr:col>
      <xdr:colOff>83820</xdr:colOff>
      <xdr:row>9</xdr:row>
      <xdr:rowOff>83820</xdr:rowOff>
    </xdr:to>
    <xdr:cxnSp>
      <xdr:nvCxnSpPr>
        <xdr:cNvPr id="5179" name="Line 71"/>
        <xdr:cNvCxnSpPr/>
      </xdr:nvCxnSpPr>
      <xdr:spPr>
        <a:xfrm flipH="1">
          <a:off x="541020" y="2436495"/>
          <a:ext cx="1600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9</xdr:row>
      <xdr:rowOff>30480</xdr:rowOff>
    </xdr:from>
    <xdr:to>
      <xdr:col>1</xdr:col>
      <xdr:colOff>266700</xdr:colOff>
      <xdr:row>9</xdr:row>
      <xdr:rowOff>83820</xdr:rowOff>
    </xdr:to>
    <xdr:cxnSp>
      <xdr:nvCxnSpPr>
        <xdr:cNvPr id="5180" name="Line 72"/>
        <xdr:cNvCxnSpPr/>
      </xdr:nvCxnSpPr>
      <xdr:spPr>
        <a:xfrm>
          <a:off x="541020" y="2383155"/>
          <a:ext cx="0" cy="533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276225</xdr:colOff>
      <xdr:row>0</xdr:row>
      <xdr:rowOff>304800</xdr:rowOff>
    </xdr:from>
    <xdr:to>
      <xdr:col>24</xdr:col>
      <xdr:colOff>152400</xdr:colOff>
      <xdr:row>1</xdr:row>
      <xdr:rowOff>38100</xdr:rowOff>
    </xdr:to>
    <xdr:sp>
      <xdr:nvSpPr>
        <xdr:cNvPr id="5194" name="Rectangle 7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675245" y="291465"/>
          <a:ext cx="762000" cy="3238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19</xdr:row>
      <xdr:rowOff>38100</xdr:rowOff>
    </xdr:from>
    <xdr:to>
      <xdr:col>8</xdr:col>
      <xdr:colOff>373380</xdr:colOff>
      <xdr:row>19</xdr:row>
      <xdr:rowOff>38100</xdr:rowOff>
    </xdr:to>
    <xdr:cxnSp>
      <xdr:nvCxnSpPr>
        <xdr:cNvPr id="6154" name="Line 8"/>
        <xdr:cNvCxnSpPr/>
      </xdr:nvCxnSpPr>
      <xdr:spPr>
        <a:xfrm flipV="1">
          <a:off x="1609725" y="4530090"/>
          <a:ext cx="112395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12</xdr:row>
      <xdr:rowOff>152400</xdr:rowOff>
    </xdr:from>
    <xdr:to>
      <xdr:col>9</xdr:col>
      <xdr:colOff>76200</xdr:colOff>
      <xdr:row>19</xdr:row>
      <xdr:rowOff>106680</xdr:rowOff>
    </xdr:to>
    <xdr:cxnSp>
      <xdr:nvCxnSpPr>
        <xdr:cNvPr id="6155" name="Line 11"/>
        <xdr:cNvCxnSpPr/>
      </xdr:nvCxnSpPr>
      <xdr:spPr>
        <a:xfrm rot="1380000" flipV="1">
          <a:off x="2912745" y="3177540"/>
          <a:ext cx="0" cy="142113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12</xdr:row>
      <xdr:rowOff>160020</xdr:rowOff>
    </xdr:from>
    <xdr:to>
      <xdr:col>4</xdr:col>
      <xdr:colOff>7620</xdr:colOff>
      <xdr:row>19</xdr:row>
      <xdr:rowOff>114300</xdr:rowOff>
    </xdr:to>
    <xdr:cxnSp>
      <xdr:nvCxnSpPr>
        <xdr:cNvPr id="6156" name="Line 14"/>
        <xdr:cNvCxnSpPr/>
      </xdr:nvCxnSpPr>
      <xdr:spPr>
        <a:xfrm rot="20220000" flipV="1">
          <a:off x="1358265" y="3185160"/>
          <a:ext cx="0" cy="142113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13</xdr:row>
      <xdr:rowOff>7620</xdr:rowOff>
    </xdr:from>
    <xdr:to>
      <xdr:col>12</xdr:col>
      <xdr:colOff>76200</xdr:colOff>
      <xdr:row>13</xdr:row>
      <xdr:rowOff>7620</xdr:rowOff>
    </xdr:to>
    <xdr:cxnSp>
      <xdr:nvCxnSpPr>
        <xdr:cNvPr id="6157" name="Line 15"/>
        <xdr:cNvCxnSpPr/>
      </xdr:nvCxnSpPr>
      <xdr:spPr>
        <a:xfrm>
          <a:off x="3164205" y="3242310"/>
          <a:ext cx="83439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19</xdr:row>
      <xdr:rowOff>83820</xdr:rowOff>
    </xdr:from>
    <xdr:to>
      <xdr:col>4</xdr:col>
      <xdr:colOff>259080</xdr:colOff>
      <xdr:row>21</xdr:row>
      <xdr:rowOff>137160</xdr:rowOff>
    </xdr:to>
    <xdr:cxnSp>
      <xdr:nvCxnSpPr>
        <xdr:cNvPr id="6158" name="Line 17"/>
        <xdr:cNvCxnSpPr/>
      </xdr:nvCxnSpPr>
      <xdr:spPr>
        <a:xfrm>
          <a:off x="1609725" y="4575810"/>
          <a:ext cx="0" cy="4724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19</xdr:row>
      <xdr:rowOff>76200</xdr:rowOff>
    </xdr:from>
    <xdr:to>
      <xdr:col>8</xdr:col>
      <xdr:colOff>365760</xdr:colOff>
      <xdr:row>21</xdr:row>
      <xdr:rowOff>114300</xdr:rowOff>
    </xdr:to>
    <xdr:cxnSp>
      <xdr:nvCxnSpPr>
        <xdr:cNvPr id="6159" name="Line 19"/>
        <xdr:cNvCxnSpPr/>
      </xdr:nvCxnSpPr>
      <xdr:spPr>
        <a:xfrm>
          <a:off x="2726055" y="4568190"/>
          <a:ext cx="0" cy="457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21</xdr:row>
      <xdr:rowOff>60960</xdr:rowOff>
    </xdr:from>
    <xdr:to>
      <xdr:col>8</xdr:col>
      <xdr:colOff>365760</xdr:colOff>
      <xdr:row>21</xdr:row>
      <xdr:rowOff>60960</xdr:rowOff>
    </xdr:to>
    <xdr:cxnSp>
      <xdr:nvCxnSpPr>
        <xdr:cNvPr id="6160" name="Line 20"/>
        <xdr:cNvCxnSpPr/>
      </xdr:nvCxnSpPr>
      <xdr:spPr>
        <a:xfrm flipV="1">
          <a:off x="1609725" y="4972050"/>
          <a:ext cx="11163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11</xdr:row>
      <xdr:rowOff>144780</xdr:rowOff>
    </xdr:from>
    <xdr:to>
      <xdr:col>3</xdr:col>
      <xdr:colOff>160020</xdr:colOff>
      <xdr:row>12</xdr:row>
      <xdr:rowOff>190500</xdr:rowOff>
    </xdr:to>
    <xdr:cxnSp>
      <xdr:nvCxnSpPr>
        <xdr:cNvPr id="6161" name="Line 22"/>
        <xdr:cNvCxnSpPr/>
      </xdr:nvCxnSpPr>
      <xdr:spPr>
        <a:xfrm flipV="1">
          <a:off x="1167765" y="2960370"/>
          <a:ext cx="0" cy="2552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11</xdr:row>
      <xdr:rowOff>99060</xdr:rowOff>
    </xdr:from>
    <xdr:to>
      <xdr:col>9</xdr:col>
      <xdr:colOff>335280</xdr:colOff>
      <xdr:row>12</xdr:row>
      <xdr:rowOff>182880</xdr:rowOff>
    </xdr:to>
    <xdr:cxnSp>
      <xdr:nvCxnSpPr>
        <xdr:cNvPr id="6162" name="Line 24"/>
        <xdr:cNvCxnSpPr/>
      </xdr:nvCxnSpPr>
      <xdr:spPr>
        <a:xfrm flipV="1">
          <a:off x="3171825" y="2914650"/>
          <a:ext cx="0" cy="2933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12</xdr:row>
      <xdr:rowOff>45720</xdr:rowOff>
    </xdr:from>
    <xdr:to>
      <xdr:col>9</xdr:col>
      <xdr:colOff>335280</xdr:colOff>
      <xdr:row>12</xdr:row>
      <xdr:rowOff>45720</xdr:rowOff>
    </xdr:to>
    <xdr:cxnSp>
      <xdr:nvCxnSpPr>
        <xdr:cNvPr id="6163" name="Line 26"/>
        <xdr:cNvCxnSpPr/>
      </xdr:nvCxnSpPr>
      <xdr:spPr>
        <a:xfrm>
          <a:off x="1183005" y="3070860"/>
          <a:ext cx="19888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</xdr:row>
      <xdr:rowOff>182880</xdr:rowOff>
    </xdr:from>
    <xdr:to>
      <xdr:col>12</xdr:col>
      <xdr:colOff>274320</xdr:colOff>
      <xdr:row>12</xdr:row>
      <xdr:rowOff>182880</xdr:rowOff>
    </xdr:to>
    <xdr:cxnSp>
      <xdr:nvCxnSpPr>
        <xdr:cNvPr id="6164" name="Line 29"/>
        <xdr:cNvCxnSpPr/>
      </xdr:nvCxnSpPr>
      <xdr:spPr>
        <a:xfrm>
          <a:off x="3998595" y="3208020"/>
          <a:ext cx="1981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13</xdr:row>
      <xdr:rowOff>38100</xdr:rowOff>
    </xdr:from>
    <xdr:to>
      <xdr:col>12</xdr:col>
      <xdr:colOff>274320</xdr:colOff>
      <xdr:row>13</xdr:row>
      <xdr:rowOff>38100</xdr:rowOff>
    </xdr:to>
    <xdr:cxnSp>
      <xdr:nvCxnSpPr>
        <xdr:cNvPr id="6165" name="Line 30"/>
        <xdr:cNvCxnSpPr/>
      </xdr:nvCxnSpPr>
      <xdr:spPr>
        <a:xfrm>
          <a:off x="3998595" y="3272790"/>
          <a:ext cx="1981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289560</xdr:colOff>
      <xdr:row>11</xdr:row>
      <xdr:rowOff>121920</xdr:rowOff>
    </xdr:from>
    <xdr:to>
      <xdr:col>12</xdr:col>
      <xdr:colOff>289560</xdr:colOff>
      <xdr:row>13</xdr:row>
      <xdr:rowOff>38100</xdr:rowOff>
    </xdr:to>
    <xdr:cxnSp>
      <xdr:nvCxnSpPr>
        <xdr:cNvPr id="6166" name="Line 31"/>
        <xdr:cNvCxnSpPr/>
      </xdr:nvCxnSpPr>
      <xdr:spPr>
        <a:xfrm flipH="1" flipV="1">
          <a:off x="4211955" y="2937510"/>
          <a:ext cx="0" cy="335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11</xdr:row>
      <xdr:rowOff>137160</xdr:rowOff>
    </xdr:from>
    <xdr:to>
      <xdr:col>12</xdr:col>
      <xdr:colOff>76200</xdr:colOff>
      <xdr:row>12</xdr:row>
      <xdr:rowOff>175260</xdr:rowOff>
    </xdr:to>
    <xdr:cxnSp>
      <xdr:nvCxnSpPr>
        <xdr:cNvPr id="6167" name="Line 32"/>
        <xdr:cNvCxnSpPr/>
      </xdr:nvCxnSpPr>
      <xdr:spPr>
        <a:xfrm flipV="1">
          <a:off x="3998595" y="2952750"/>
          <a:ext cx="0" cy="2476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12</xdr:row>
      <xdr:rowOff>45720</xdr:rowOff>
    </xdr:from>
    <xdr:to>
      <xdr:col>12</xdr:col>
      <xdr:colOff>76200</xdr:colOff>
      <xdr:row>12</xdr:row>
      <xdr:rowOff>45720</xdr:rowOff>
    </xdr:to>
    <xdr:cxnSp>
      <xdr:nvCxnSpPr>
        <xdr:cNvPr id="6168" name="Line 33"/>
        <xdr:cNvCxnSpPr/>
      </xdr:nvCxnSpPr>
      <xdr:spPr>
        <a:xfrm>
          <a:off x="3171825" y="3070860"/>
          <a:ext cx="8267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</xdr:row>
      <xdr:rowOff>45720</xdr:rowOff>
    </xdr:from>
    <xdr:to>
      <xdr:col>12</xdr:col>
      <xdr:colOff>289560</xdr:colOff>
      <xdr:row>12</xdr:row>
      <xdr:rowOff>45720</xdr:rowOff>
    </xdr:to>
    <xdr:cxnSp>
      <xdr:nvCxnSpPr>
        <xdr:cNvPr id="6169" name="Line 36"/>
        <xdr:cNvCxnSpPr/>
      </xdr:nvCxnSpPr>
      <xdr:spPr>
        <a:xfrm>
          <a:off x="3998595" y="3070860"/>
          <a:ext cx="2133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10</xdr:row>
      <xdr:rowOff>144780</xdr:rowOff>
    </xdr:from>
    <xdr:to>
      <xdr:col>3</xdr:col>
      <xdr:colOff>68580</xdr:colOff>
      <xdr:row>13</xdr:row>
      <xdr:rowOff>22860</xdr:rowOff>
    </xdr:to>
    <xdr:cxnSp>
      <xdr:nvCxnSpPr>
        <xdr:cNvPr id="6170" name="Line 38"/>
        <xdr:cNvCxnSpPr/>
      </xdr:nvCxnSpPr>
      <xdr:spPr>
        <a:xfrm rot="20400000">
          <a:off x="1076325" y="2750820"/>
          <a:ext cx="0" cy="5067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10</xdr:row>
      <xdr:rowOff>175260</xdr:rowOff>
    </xdr:from>
    <xdr:to>
      <xdr:col>3</xdr:col>
      <xdr:colOff>7620</xdr:colOff>
      <xdr:row>13</xdr:row>
      <xdr:rowOff>45720</xdr:rowOff>
    </xdr:to>
    <xdr:cxnSp>
      <xdr:nvCxnSpPr>
        <xdr:cNvPr id="6171" name="Line 39"/>
        <xdr:cNvCxnSpPr/>
      </xdr:nvCxnSpPr>
      <xdr:spPr>
        <a:xfrm rot="20400000">
          <a:off x="1015365" y="2781300"/>
          <a:ext cx="0" cy="4991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373380</xdr:colOff>
      <xdr:row>11</xdr:row>
      <xdr:rowOff>121920</xdr:rowOff>
    </xdr:from>
    <xdr:to>
      <xdr:col>3</xdr:col>
      <xdr:colOff>45720</xdr:colOff>
      <xdr:row>11</xdr:row>
      <xdr:rowOff>144780</xdr:rowOff>
    </xdr:to>
    <xdr:cxnSp>
      <xdr:nvCxnSpPr>
        <xdr:cNvPr id="6172" name="Line 40"/>
        <xdr:cNvCxnSpPr/>
      </xdr:nvCxnSpPr>
      <xdr:spPr>
        <a:xfrm flipV="1">
          <a:off x="1038225" y="2937510"/>
          <a:ext cx="15240" cy="228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</xdr:row>
      <xdr:rowOff>45720</xdr:rowOff>
    </xdr:from>
    <xdr:to>
      <xdr:col>2</xdr:col>
      <xdr:colOff>335280</xdr:colOff>
      <xdr:row>11</xdr:row>
      <xdr:rowOff>106680</xdr:rowOff>
    </xdr:to>
    <xdr:cxnSp>
      <xdr:nvCxnSpPr>
        <xdr:cNvPr id="6173" name="Line 47"/>
        <xdr:cNvCxnSpPr/>
      </xdr:nvCxnSpPr>
      <xdr:spPr>
        <a:xfrm flipV="1">
          <a:off x="855345" y="2861310"/>
          <a:ext cx="144780" cy="60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137160</xdr:rowOff>
    </xdr:from>
    <xdr:to>
      <xdr:col>4</xdr:col>
      <xdr:colOff>198120</xdr:colOff>
      <xdr:row>10</xdr:row>
      <xdr:rowOff>144780</xdr:rowOff>
    </xdr:to>
    <xdr:cxnSp>
      <xdr:nvCxnSpPr>
        <xdr:cNvPr id="6174" name="Line 49"/>
        <xdr:cNvCxnSpPr/>
      </xdr:nvCxnSpPr>
      <xdr:spPr>
        <a:xfrm rot="20400000">
          <a:off x="1007745" y="2743200"/>
          <a:ext cx="541020" cy="76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11</xdr:row>
      <xdr:rowOff>30480</xdr:rowOff>
    </xdr:from>
    <xdr:to>
      <xdr:col>3</xdr:col>
      <xdr:colOff>7620</xdr:colOff>
      <xdr:row>11</xdr:row>
      <xdr:rowOff>45720</xdr:rowOff>
    </xdr:to>
    <xdr:cxnSp>
      <xdr:nvCxnSpPr>
        <xdr:cNvPr id="6175" name="Line 50"/>
        <xdr:cNvCxnSpPr/>
      </xdr:nvCxnSpPr>
      <xdr:spPr>
        <a:xfrm flipH="1">
          <a:off x="1007745" y="2846070"/>
          <a:ext cx="7620" cy="152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10</xdr:row>
      <xdr:rowOff>38100</xdr:rowOff>
    </xdr:from>
    <xdr:to>
      <xdr:col>12</xdr:col>
      <xdr:colOff>175260</xdr:colOff>
      <xdr:row>10</xdr:row>
      <xdr:rowOff>38100</xdr:rowOff>
    </xdr:to>
    <xdr:cxnSp>
      <xdr:nvCxnSpPr>
        <xdr:cNvPr id="6176" name="Line 51"/>
        <xdr:cNvCxnSpPr/>
      </xdr:nvCxnSpPr>
      <xdr:spPr>
        <a:xfrm>
          <a:off x="1541145" y="2644140"/>
          <a:ext cx="25565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10</xdr:row>
      <xdr:rowOff>38100</xdr:rowOff>
    </xdr:from>
    <xdr:to>
      <xdr:col>12</xdr:col>
      <xdr:colOff>182880</xdr:colOff>
      <xdr:row>12</xdr:row>
      <xdr:rowOff>45720</xdr:rowOff>
    </xdr:to>
    <xdr:cxnSp>
      <xdr:nvCxnSpPr>
        <xdr:cNvPr id="6177" name="Line 53"/>
        <xdr:cNvCxnSpPr/>
      </xdr:nvCxnSpPr>
      <xdr:spPr>
        <a:xfrm flipV="1">
          <a:off x="4105275" y="2644140"/>
          <a:ext cx="0" cy="426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13</xdr:row>
      <xdr:rowOff>60960</xdr:rowOff>
    </xdr:from>
    <xdr:to>
      <xdr:col>3</xdr:col>
      <xdr:colOff>182880</xdr:colOff>
      <xdr:row>20</xdr:row>
      <xdr:rowOff>0</xdr:rowOff>
    </xdr:to>
    <xdr:cxnSp>
      <xdr:nvCxnSpPr>
        <xdr:cNvPr id="6178" name="Line 55"/>
        <xdr:cNvCxnSpPr/>
      </xdr:nvCxnSpPr>
      <xdr:spPr>
        <a:xfrm rot="20220000" flipH="1">
          <a:off x="1183005" y="3295650"/>
          <a:ext cx="7620" cy="14058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19</xdr:row>
      <xdr:rowOff>137160</xdr:rowOff>
    </xdr:from>
    <xdr:to>
      <xdr:col>9</xdr:col>
      <xdr:colOff>121920</xdr:colOff>
      <xdr:row>19</xdr:row>
      <xdr:rowOff>137160</xdr:rowOff>
    </xdr:to>
    <xdr:cxnSp>
      <xdr:nvCxnSpPr>
        <xdr:cNvPr id="6179" name="Line 56"/>
        <xdr:cNvCxnSpPr/>
      </xdr:nvCxnSpPr>
      <xdr:spPr>
        <a:xfrm rot="1380000">
          <a:off x="2710815" y="4629150"/>
          <a:ext cx="2476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13</xdr:row>
      <xdr:rowOff>106680</xdr:rowOff>
    </xdr:from>
    <xdr:to>
      <xdr:col>10</xdr:col>
      <xdr:colOff>274320</xdr:colOff>
      <xdr:row>13</xdr:row>
      <xdr:rowOff>106680</xdr:rowOff>
    </xdr:to>
    <xdr:cxnSp>
      <xdr:nvCxnSpPr>
        <xdr:cNvPr id="6180" name="Line 57"/>
        <xdr:cNvCxnSpPr/>
      </xdr:nvCxnSpPr>
      <xdr:spPr>
        <a:xfrm rot="1380000">
          <a:off x="3187065" y="3341370"/>
          <a:ext cx="266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182880</xdr:colOff>
      <xdr:row>13</xdr:row>
      <xdr:rowOff>99060</xdr:rowOff>
    </xdr:from>
    <xdr:to>
      <xdr:col>3</xdr:col>
      <xdr:colOff>106680</xdr:colOff>
      <xdr:row>13</xdr:row>
      <xdr:rowOff>106680</xdr:rowOff>
    </xdr:to>
    <xdr:cxnSp>
      <xdr:nvCxnSpPr>
        <xdr:cNvPr id="6181" name="Line 58"/>
        <xdr:cNvCxnSpPr/>
      </xdr:nvCxnSpPr>
      <xdr:spPr>
        <a:xfrm rot="20220000" flipV="1">
          <a:off x="847725" y="3333750"/>
          <a:ext cx="266700" cy="76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19</xdr:row>
      <xdr:rowOff>137160</xdr:rowOff>
    </xdr:from>
    <xdr:to>
      <xdr:col>4</xdr:col>
      <xdr:colOff>266700</xdr:colOff>
      <xdr:row>19</xdr:row>
      <xdr:rowOff>137160</xdr:rowOff>
    </xdr:to>
    <xdr:cxnSp>
      <xdr:nvCxnSpPr>
        <xdr:cNvPr id="6182" name="Line 59"/>
        <xdr:cNvCxnSpPr/>
      </xdr:nvCxnSpPr>
      <xdr:spPr>
        <a:xfrm rot="20220000">
          <a:off x="1350645" y="4629150"/>
          <a:ext cx="266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13</xdr:row>
      <xdr:rowOff>99060</xdr:rowOff>
    </xdr:from>
    <xdr:to>
      <xdr:col>9</xdr:col>
      <xdr:colOff>350520</xdr:colOff>
      <xdr:row>20</xdr:row>
      <xdr:rowOff>22860</xdr:rowOff>
    </xdr:to>
    <xdr:cxnSp>
      <xdr:nvCxnSpPr>
        <xdr:cNvPr id="6183" name="Line 61"/>
        <xdr:cNvCxnSpPr/>
      </xdr:nvCxnSpPr>
      <xdr:spPr>
        <a:xfrm rot="1380000">
          <a:off x="3187065" y="3333750"/>
          <a:ext cx="0" cy="13906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23</xdr:row>
      <xdr:rowOff>60960</xdr:rowOff>
    </xdr:from>
    <xdr:to>
      <xdr:col>9</xdr:col>
      <xdr:colOff>220980</xdr:colOff>
      <xdr:row>23</xdr:row>
      <xdr:rowOff>60960</xdr:rowOff>
    </xdr:to>
    <xdr:cxnSp>
      <xdr:nvCxnSpPr>
        <xdr:cNvPr id="6184" name="Line 62"/>
        <xdr:cNvCxnSpPr/>
      </xdr:nvCxnSpPr>
      <xdr:spPr>
        <a:xfrm>
          <a:off x="1160145" y="5391150"/>
          <a:ext cx="18973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16</xdr:row>
      <xdr:rowOff>121920</xdr:rowOff>
    </xdr:from>
    <xdr:to>
      <xdr:col>3</xdr:col>
      <xdr:colOff>365760</xdr:colOff>
      <xdr:row>23</xdr:row>
      <xdr:rowOff>60960</xdr:rowOff>
    </xdr:to>
    <xdr:sp>
      <xdr:nvSpPr>
        <xdr:cNvPr id="6185" name="Arc 66"/>
        <xdr:cNvSpPr>
          <a:spLocks/>
        </xdr:cNvSpPr>
      </xdr:nvSpPr>
      <xdr:spPr>
        <a:xfrm flipH="1">
          <a:off x="733425" y="3985260"/>
          <a:ext cx="640080" cy="1405890"/>
        </a:xfrm>
        <a:custGeom>
          <a:pathLst>
            <a:path w="21600" h="41422">
              <a:moveTo>
                <a:pt x="5773" y="-1"/>
              </a:moveTo>
              <a:cubicBezTo>
                <a:pt x="15125" y="2593"/>
                <a:pt x="21600" y="11108"/>
                <a:pt x="21600" y="20814"/>
              </a:cubicBezTo>
              <a:cubicBezTo>
                <a:pt x="21600" y="30249"/>
                <a:pt x="15475" y="38593"/>
                <a:pt x="6473" y="41421"/>
              </a:cubicBezTo>
              <a:moveTo>
                <a:pt x="5773" y="-1"/>
              </a:moveTo>
              <a:cubicBezTo>
                <a:pt x="15125" y="2593"/>
                <a:pt x="21600" y="11108"/>
                <a:pt x="21600" y="20814"/>
              </a:cubicBezTo>
              <a:cubicBezTo>
                <a:pt x="21600" y="30249"/>
                <a:pt x="15475" y="38593"/>
                <a:pt x="6473" y="41421"/>
              </a:cubicBezTo>
              <a:lnTo>
                <a:pt x="0" y="20814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</xdr:sp>
    <xdr:clientData/>
  </xdr:twoCellAnchor>
  <xdr:twoCellAnchor>
    <xdr:from>
      <xdr:col>8</xdr:col>
      <xdr:colOff>525780</xdr:colOff>
      <xdr:row>17</xdr:row>
      <xdr:rowOff>0</xdr:rowOff>
    </xdr:from>
    <xdr:to>
      <xdr:col>10</xdr:col>
      <xdr:colOff>365760</xdr:colOff>
      <xdr:row>23</xdr:row>
      <xdr:rowOff>60960</xdr:rowOff>
    </xdr:to>
    <xdr:sp>
      <xdr:nvSpPr>
        <xdr:cNvPr id="6186" name="Arc 67"/>
        <xdr:cNvSpPr>
          <a:spLocks/>
        </xdr:cNvSpPr>
      </xdr:nvSpPr>
      <xdr:spPr>
        <a:xfrm>
          <a:off x="2886075" y="4072890"/>
          <a:ext cx="659130" cy="1318260"/>
        </a:xfrm>
        <a:custGeom>
          <a:pathLst>
            <a:path w="21600" h="39982">
              <a:moveTo>
                <a:pt x="9501" y="0"/>
              </a:moveTo>
              <a:cubicBezTo>
                <a:pt x="16906" y="3627"/>
                <a:pt x="21600" y="11153"/>
                <a:pt x="21600" y="19398"/>
              </a:cubicBezTo>
              <a:cubicBezTo>
                <a:pt x="21600" y="28806"/>
                <a:pt x="15510" y="37132"/>
                <a:pt x="6543" y="39982"/>
              </a:cubicBezTo>
              <a:moveTo>
                <a:pt x="9501" y="0"/>
              </a:moveTo>
              <a:cubicBezTo>
                <a:pt x="16906" y="3627"/>
                <a:pt x="21600" y="11153"/>
                <a:pt x="21600" y="19398"/>
              </a:cubicBezTo>
              <a:cubicBezTo>
                <a:pt x="21600" y="28806"/>
                <a:pt x="15510" y="37132"/>
                <a:pt x="6543" y="39982"/>
              </a:cubicBezTo>
              <a:lnTo>
                <a:pt x="0" y="19398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</xdr:sp>
    <xdr:clientData/>
  </xdr:twoCellAnchor>
  <xdr:twoCellAnchor>
    <xdr:from>
      <xdr:col>4</xdr:col>
      <xdr:colOff>213360</xdr:colOff>
      <xdr:row>15</xdr:row>
      <xdr:rowOff>45720</xdr:rowOff>
    </xdr:from>
    <xdr:to>
      <xdr:col>8</xdr:col>
      <xdr:colOff>274320</xdr:colOff>
      <xdr:row>15</xdr:row>
      <xdr:rowOff>45720</xdr:rowOff>
    </xdr:to>
    <xdr:cxnSp>
      <xdr:nvCxnSpPr>
        <xdr:cNvPr id="6187" name="Line 68"/>
        <xdr:cNvCxnSpPr/>
      </xdr:nvCxnSpPr>
      <xdr:spPr>
        <a:xfrm>
          <a:off x="1564005" y="3699510"/>
          <a:ext cx="10706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</xdr:colOff>
      <xdr:row>15</xdr:row>
      <xdr:rowOff>45720</xdr:rowOff>
    </xdr:from>
    <xdr:to>
      <xdr:col>9</xdr:col>
      <xdr:colOff>60960</xdr:colOff>
      <xdr:row>15</xdr:row>
      <xdr:rowOff>175260</xdr:rowOff>
    </xdr:to>
    <xdr:cxnSp>
      <xdr:nvCxnSpPr>
        <xdr:cNvPr id="6188" name="Line 70"/>
        <xdr:cNvCxnSpPr/>
      </xdr:nvCxnSpPr>
      <xdr:spPr>
        <a:xfrm>
          <a:off x="2634615" y="3699510"/>
          <a:ext cx="262890" cy="1295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15</xdr:row>
      <xdr:rowOff>45720</xdr:rowOff>
    </xdr:from>
    <xdr:to>
      <xdr:col>4</xdr:col>
      <xdr:colOff>213360</xdr:colOff>
      <xdr:row>15</xdr:row>
      <xdr:rowOff>137160</xdr:rowOff>
    </xdr:to>
    <xdr:cxnSp>
      <xdr:nvCxnSpPr>
        <xdr:cNvPr id="6189" name="Line 71"/>
        <xdr:cNvCxnSpPr/>
      </xdr:nvCxnSpPr>
      <xdr:spPr>
        <a:xfrm flipH="1">
          <a:off x="1358265" y="3699510"/>
          <a:ext cx="205740" cy="914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18</xdr:row>
      <xdr:rowOff>38100</xdr:rowOff>
    </xdr:from>
    <xdr:to>
      <xdr:col>5</xdr:col>
      <xdr:colOff>22860</xdr:colOff>
      <xdr:row>19</xdr:row>
      <xdr:rowOff>0</xdr:rowOff>
    </xdr:to>
    <xdr:cxnSp>
      <xdr:nvCxnSpPr>
        <xdr:cNvPr id="6190" name="Line 72"/>
        <xdr:cNvCxnSpPr/>
      </xdr:nvCxnSpPr>
      <xdr:spPr>
        <a:xfrm flipV="1">
          <a:off x="1655445" y="4320540"/>
          <a:ext cx="60960" cy="1714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17</xdr:row>
      <xdr:rowOff>121920</xdr:rowOff>
    </xdr:from>
    <xdr:to>
      <xdr:col>9</xdr:col>
      <xdr:colOff>106680</xdr:colOff>
      <xdr:row>17</xdr:row>
      <xdr:rowOff>121920</xdr:rowOff>
    </xdr:to>
    <xdr:cxnSp>
      <xdr:nvCxnSpPr>
        <xdr:cNvPr id="6191" name="Line 79"/>
        <xdr:cNvCxnSpPr/>
      </xdr:nvCxnSpPr>
      <xdr:spPr>
        <a:xfrm>
          <a:off x="2748915" y="4194810"/>
          <a:ext cx="1943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14</xdr:row>
      <xdr:rowOff>0</xdr:rowOff>
    </xdr:from>
    <xdr:to>
      <xdr:col>10</xdr:col>
      <xdr:colOff>38100</xdr:colOff>
      <xdr:row>17</xdr:row>
      <xdr:rowOff>121920</xdr:rowOff>
    </xdr:to>
    <xdr:cxnSp>
      <xdr:nvCxnSpPr>
        <xdr:cNvPr id="6192" name="Line 80"/>
        <xdr:cNvCxnSpPr/>
      </xdr:nvCxnSpPr>
      <xdr:spPr>
        <a:xfrm flipV="1">
          <a:off x="2950845" y="3444240"/>
          <a:ext cx="266700" cy="7505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373380</xdr:colOff>
      <xdr:row>13</xdr:row>
      <xdr:rowOff>45720</xdr:rowOff>
    </xdr:from>
    <xdr:to>
      <xdr:col>10</xdr:col>
      <xdr:colOff>38100</xdr:colOff>
      <xdr:row>14</xdr:row>
      <xdr:rowOff>0</xdr:rowOff>
    </xdr:to>
    <xdr:cxnSp>
      <xdr:nvCxnSpPr>
        <xdr:cNvPr id="6193" name="Line 81"/>
        <xdr:cNvCxnSpPr/>
      </xdr:nvCxnSpPr>
      <xdr:spPr>
        <a:xfrm>
          <a:off x="3209925" y="3280410"/>
          <a:ext cx="7620" cy="1638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390525</xdr:rowOff>
    </xdr:from>
    <xdr:to>
      <xdr:col>27</xdr:col>
      <xdr:colOff>161925</xdr:colOff>
      <xdr:row>1</xdr:row>
      <xdr:rowOff>123825</xdr:rowOff>
    </xdr:to>
    <xdr:sp>
      <xdr:nvSpPr>
        <xdr:cNvPr id="6228" name="Rectangle 8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932420" y="377190"/>
          <a:ext cx="80962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19</xdr:row>
      <xdr:rowOff>0</xdr:rowOff>
    </xdr:from>
    <xdr:to>
      <xdr:col>7</xdr:col>
      <xdr:colOff>30480</xdr:colOff>
      <xdr:row>23</xdr:row>
      <xdr:rowOff>45720</xdr:rowOff>
    </xdr:to>
    <xdr:sp>
      <xdr:nvSpPr>
        <xdr:cNvPr id="7192" name="Arc 6"/>
        <xdr:cNvSpPr>
          <a:spLocks/>
        </xdr:cNvSpPr>
      </xdr:nvSpPr>
      <xdr:spPr>
        <a:xfrm flipH="1" flipV="1">
          <a:off x="817245" y="4491990"/>
          <a:ext cx="1697355" cy="883920"/>
        </a:xfrm>
        <a:custGeom>
          <a:pathLst>
            <a:path w="43200" h="21601">
              <a:moveTo>
                <a:pt x="0" y="21601"/>
              </a:moveTo>
              <a:cubicBezTo>
                <a:pt x="0" y="21601"/>
                <a:pt x="0" y="21600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600"/>
                <a:pt x="43199" y="21601"/>
                <a:pt x="43199" y="21601"/>
              </a:cubicBezTo>
              <a:moveTo>
                <a:pt x="0" y="21601"/>
              </a:moveTo>
              <a:cubicBezTo>
                <a:pt x="0" y="21601"/>
                <a:pt x="0" y="21600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600"/>
                <a:pt x="43199" y="21601"/>
                <a:pt x="43199" y="21601"/>
              </a:cubicBezTo>
              <a:lnTo>
                <a:pt x="2160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228600</xdr:colOff>
      <xdr:row>13</xdr:row>
      <xdr:rowOff>38100</xdr:rowOff>
    </xdr:from>
    <xdr:to>
      <xdr:col>2</xdr:col>
      <xdr:colOff>228600</xdr:colOff>
      <xdr:row>19</xdr:row>
      <xdr:rowOff>0</xdr:rowOff>
    </xdr:to>
    <xdr:cxnSp>
      <xdr:nvCxnSpPr>
        <xdr:cNvPr id="7193" name="Line 7"/>
        <xdr:cNvCxnSpPr/>
      </xdr:nvCxnSpPr>
      <xdr:spPr>
        <a:xfrm flipV="1">
          <a:off x="817245" y="3272790"/>
          <a:ext cx="0" cy="12192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13</xdr:row>
      <xdr:rowOff>38100</xdr:rowOff>
    </xdr:from>
    <xdr:to>
      <xdr:col>7</xdr:col>
      <xdr:colOff>30480</xdr:colOff>
      <xdr:row>19</xdr:row>
      <xdr:rowOff>7620</xdr:rowOff>
    </xdr:to>
    <xdr:cxnSp>
      <xdr:nvCxnSpPr>
        <xdr:cNvPr id="7194" name="Line 8"/>
        <xdr:cNvCxnSpPr/>
      </xdr:nvCxnSpPr>
      <xdr:spPr>
        <a:xfrm flipV="1">
          <a:off x="2514600" y="3272790"/>
          <a:ext cx="0" cy="12268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19</xdr:row>
      <xdr:rowOff>0</xdr:rowOff>
    </xdr:from>
    <xdr:to>
      <xdr:col>6</xdr:col>
      <xdr:colOff>60960</xdr:colOff>
      <xdr:row>21</xdr:row>
      <xdr:rowOff>182880</xdr:rowOff>
    </xdr:to>
    <xdr:cxnSp>
      <xdr:nvCxnSpPr>
        <xdr:cNvPr id="7195" name="Line 9"/>
        <xdr:cNvCxnSpPr/>
      </xdr:nvCxnSpPr>
      <xdr:spPr>
        <a:xfrm>
          <a:off x="1655445" y="4491990"/>
          <a:ext cx="575310" cy="601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19</xdr:row>
      <xdr:rowOff>0</xdr:rowOff>
    </xdr:from>
    <xdr:to>
      <xdr:col>8</xdr:col>
      <xdr:colOff>22860</xdr:colOff>
      <xdr:row>19</xdr:row>
      <xdr:rowOff>0</xdr:rowOff>
    </xdr:to>
    <xdr:cxnSp>
      <xdr:nvCxnSpPr>
        <xdr:cNvPr id="7196" name="Line 10"/>
        <xdr:cNvCxnSpPr/>
      </xdr:nvCxnSpPr>
      <xdr:spPr>
        <a:xfrm>
          <a:off x="1160145" y="4491990"/>
          <a:ext cx="16611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175260</xdr:rowOff>
    </xdr:from>
    <xdr:to>
      <xdr:col>5</xdr:col>
      <xdr:colOff>38100</xdr:colOff>
      <xdr:row>24</xdr:row>
      <xdr:rowOff>45720</xdr:rowOff>
    </xdr:to>
    <xdr:cxnSp>
      <xdr:nvCxnSpPr>
        <xdr:cNvPr id="7197" name="Line 11"/>
        <xdr:cNvCxnSpPr/>
      </xdr:nvCxnSpPr>
      <xdr:spPr>
        <a:xfrm>
          <a:off x="1655445" y="2781300"/>
          <a:ext cx="0" cy="28041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13</xdr:row>
      <xdr:rowOff>38100</xdr:rowOff>
    </xdr:from>
    <xdr:to>
      <xdr:col>7</xdr:col>
      <xdr:colOff>327660</xdr:colOff>
      <xdr:row>13</xdr:row>
      <xdr:rowOff>38100</xdr:rowOff>
    </xdr:to>
    <xdr:cxnSp>
      <xdr:nvCxnSpPr>
        <xdr:cNvPr id="7198" name="Line 12"/>
        <xdr:cNvCxnSpPr/>
      </xdr:nvCxnSpPr>
      <xdr:spPr>
        <a:xfrm>
          <a:off x="2560320" y="3272790"/>
          <a:ext cx="2514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13</xdr:row>
      <xdr:rowOff>38100</xdr:rowOff>
    </xdr:from>
    <xdr:to>
      <xdr:col>7</xdr:col>
      <xdr:colOff>236220</xdr:colOff>
      <xdr:row>18</xdr:row>
      <xdr:rowOff>198120</xdr:rowOff>
    </xdr:to>
    <xdr:cxnSp>
      <xdr:nvCxnSpPr>
        <xdr:cNvPr id="7199" name="Line 13"/>
        <xdr:cNvCxnSpPr/>
      </xdr:nvCxnSpPr>
      <xdr:spPr>
        <a:xfrm>
          <a:off x="2720340" y="3272790"/>
          <a:ext cx="0" cy="12077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9</xdr:row>
      <xdr:rowOff>160020</xdr:rowOff>
    </xdr:from>
    <xdr:to>
      <xdr:col>2</xdr:col>
      <xdr:colOff>190500</xdr:colOff>
      <xdr:row>13</xdr:row>
      <xdr:rowOff>38100</xdr:rowOff>
    </xdr:to>
    <xdr:cxnSp>
      <xdr:nvCxnSpPr>
        <xdr:cNvPr id="7200" name="Line 14"/>
        <xdr:cNvCxnSpPr/>
      </xdr:nvCxnSpPr>
      <xdr:spPr>
        <a:xfrm flipV="1">
          <a:off x="779145" y="2556510"/>
          <a:ext cx="0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9</xdr:row>
      <xdr:rowOff>152400</xdr:rowOff>
    </xdr:from>
    <xdr:to>
      <xdr:col>7</xdr:col>
      <xdr:colOff>68580</xdr:colOff>
      <xdr:row>13</xdr:row>
      <xdr:rowOff>38100</xdr:rowOff>
    </xdr:to>
    <xdr:cxnSp>
      <xdr:nvCxnSpPr>
        <xdr:cNvPr id="7201" name="Line 15"/>
        <xdr:cNvCxnSpPr/>
      </xdr:nvCxnSpPr>
      <xdr:spPr>
        <a:xfrm flipV="1">
          <a:off x="2552700" y="2548890"/>
          <a:ext cx="0" cy="723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</xdr:row>
      <xdr:rowOff>38100</xdr:rowOff>
    </xdr:from>
    <xdr:to>
      <xdr:col>7</xdr:col>
      <xdr:colOff>68580</xdr:colOff>
      <xdr:row>10</xdr:row>
      <xdr:rowOff>38100</xdr:rowOff>
    </xdr:to>
    <xdr:cxnSp>
      <xdr:nvCxnSpPr>
        <xdr:cNvPr id="7202" name="Line 16"/>
        <xdr:cNvCxnSpPr/>
      </xdr:nvCxnSpPr>
      <xdr:spPr>
        <a:xfrm>
          <a:off x="779145" y="2644140"/>
          <a:ext cx="17735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16</xdr:row>
      <xdr:rowOff>0</xdr:rowOff>
    </xdr:from>
    <xdr:to>
      <xdr:col>2</xdr:col>
      <xdr:colOff>198120</xdr:colOff>
      <xdr:row>16</xdr:row>
      <xdr:rowOff>0</xdr:rowOff>
    </xdr:to>
    <xdr:cxnSp>
      <xdr:nvCxnSpPr>
        <xdr:cNvPr id="7203" name="Line 17"/>
        <xdr:cNvCxnSpPr/>
      </xdr:nvCxnSpPr>
      <xdr:spPr>
        <a:xfrm>
          <a:off x="436245" y="3863340"/>
          <a:ext cx="3505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16</xdr:row>
      <xdr:rowOff>0</xdr:rowOff>
    </xdr:from>
    <xdr:to>
      <xdr:col>4</xdr:col>
      <xdr:colOff>106680</xdr:colOff>
      <xdr:row>16</xdr:row>
      <xdr:rowOff>0</xdr:rowOff>
    </xdr:to>
    <xdr:cxnSp>
      <xdr:nvCxnSpPr>
        <xdr:cNvPr id="7204" name="Line 18"/>
        <xdr:cNvCxnSpPr/>
      </xdr:nvCxnSpPr>
      <xdr:spPr>
        <a:xfrm flipH="1">
          <a:off x="847725" y="3863340"/>
          <a:ext cx="5334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10</xdr:row>
      <xdr:rowOff>182880</xdr:rowOff>
    </xdr:from>
    <xdr:to>
      <xdr:col>2</xdr:col>
      <xdr:colOff>266700</xdr:colOff>
      <xdr:row>13</xdr:row>
      <xdr:rowOff>38100</xdr:rowOff>
    </xdr:to>
    <xdr:cxnSp>
      <xdr:nvCxnSpPr>
        <xdr:cNvPr id="7205" name="Line 19"/>
        <xdr:cNvCxnSpPr/>
      </xdr:nvCxnSpPr>
      <xdr:spPr>
        <a:xfrm flipV="1">
          <a:off x="855345" y="2788920"/>
          <a:ext cx="0" cy="4838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</xdr:row>
      <xdr:rowOff>182880</xdr:rowOff>
    </xdr:from>
    <xdr:to>
      <xdr:col>2</xdr:col>
      <xdr:colOff>266700</xdr:colOff>
      <xdr:row>10</xdr:row>
      <xdr:rowOff>182880</xdr:rowOff>
    </xdr:to>
    <xdr:cxnSp>
      <xdr:nvCxnSpPr>
        <xdr:cNvPr id="7206" name="Line 20"/>
        <xdr:cNvCxnSpPr/>
      </xdr:nvCxnSpPr>
      <xdr:spPr>
        <a:xfrm flipH="1">
          <a:off x="779145" y="2788920"/>
          <a:ext cx="762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10</xdr:row>
      <xdr:rowOff>152400</xdr:rowOff>
    </xdr:from>
    <xdr:to>
      <xdr:col>6</xdr:col>
      <xdr:colOff>342900</xdr:colOff>
      <xdr:row>13</xdr:row>
      <xdr:rowOff>38100</xdr:rowOff>
    </xdr:to>
    <xdr:cxnSp>
      <xdr:nvCxnSpPr>
        <xdr:cNvPr id="7207" name="Line 21"/>
        <xdr:cNvCxnSpPr/>
      </xdr:nvCxnSpPr>
      <xdr:spPr>
        <a:xfrm flipV="1">
          <a:off x="2512695" y="2758440"/>
          <a:ext cx="0" cy="5143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10</xdr:row>
      <xdr:rowOff>152400</xdr:rowOff>
    </xdr:from>
    <xdr:to>
      <xdr:col>7</xdr:col>
      <xdr:colOff>335280</xdr:colOff>
      <xdr:row>10</xdr:row>
      <xdr:rowOff>152400</xdr:rowOff>
    </xdr:to>
    <xdr:cxnSp>
      <xdr:nvCxnSpPr>
        <xdr:cNvPr id="7208" name="Line 22"/>
        <xdr:cNvCxnSpPr/>
      </xdr:nvCxnSpPr>
      <xdr:spPr>
        <a:xfrm>
          <a:off x="2512695" y="2758440"/>
          <a:ext cx="3067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10</xdr:row>
      <xdr:rowOff>152400</xdr:rowOff>
    </xdr:from>
    <xdr:to>
      <xdr:col>7</xdr:col>
      <xdr:colOff>236220</xdr:colOff>
      <xdr:row>13</xdr:row>
      <xdr:rowOff>38100</xdr:rowOff>
    </xdr:to>
    <xdr:cxnSp>
      <xdr:nvCxnSpPr>
        <xdr:cNvPr id="7209" name="Line 24"/>
        <xdr:cNvCxnSpPr/>
      </xdr:nvCxnSpPr>
      <xdr:spPr>
        <a:xfrm flipV="1">
          <a:off x="2720340" y="2758440"/>
          <a:ext cx="0" cy="5143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12</xdr:row>
      <xdr:rowOff>0</xdr:rowOff>
    </xdr:from>
    <xdr:to>
      <xdr:col>8</xdr:col>
      <xdr:colOff>464820</xdr:colOff>
      <xdr:row>12</xdr:row>
      <xdr:rowOff>0</xdr:rowOff>
    </xdr:to>
    <xdr:cxnSp>
      <xdr:nvCxnSpPr>
        <xdr:cNvPr id="7210" name="Line 26"/>
        <xdr:cNvCxnSpPr/>
      </xdr:nvCxnSpPr>
      <xdr:spPr>
        <a:xfrm>
          <a:off x="2720340" y="3025140"/>
          <a:ext cx="5429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400050</xdr:colOff>
      <xdr:row>0</xdr:row>
      <xdr:rowOff>390525</xdr:rowOff>
    </xdr:from>
    <xdr:to>
      <xdr:col>23</xdr:col>
      <xdr:colOff>352425</xdr:colOff>
      <xdr:row>1</xdr:row>
      <xdr:rowOff>123825</xdr:rowOff>
    </xdr:to>
    <xdr:sp>
      <xdr:nvSpPr>
        <xdr:cNvPr id="2" name="Rectangle 3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122920" y="377190"/>
          <a:ext cx="79057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15</xdr:row>
      <xdr:rowOff>137160</xdr:rowOff>
    </xdr:from>
    <xdr:to>
      <xdr:col>6</xdr:col>
      <xdr:colOff>175260</xdr:colOff>
      <xdr:row>19</xdr:row>
      <xdr:rowOff>182880</xdr:rowOff>
    </xdr:to>
    <xdr:sp>
      <xdr:nvSpPr>
        <xdr:cNvPr id="69633" name="Arc 4"/>
        <xdr:cNvSpPr>
          <a:spLocks/>
        </xdr:cNvSpPr>
      </xdr:nvSpPr>
      <xdr:spPr>
        <a:xfrm flipV="1">
          <a:off x="935355" y="3790950"/>
          <a:ext cx="1514475" cy="883920"/>
        </a:xfrm>
        <a:custGeom>
          <a:pathLst>
            <a:path w="43195" h="21600">
              <a:moveTo>
                <a:pt x="0" y="21600"/>
              </a:moveTo>
              <a:cubicBezTo>
                <a:pt x="0" y="9670"/>
                <a:pt x="9670" y="0"/>
                <a:pt x="21600" y="0"/>
              </a:cubicBezTo>
              <a:cubicBezTo>
                <a:pt x="33351" y="0"/>
                <a:pt x="42947" y="9394"/>
                <a:pt x="43195" y="21143"/>
              </a:cubicBezTo>
              <a:moveTo>
                <a:pt x="0" y="21600"/>
              </a:moveTo>
              <a:cubicBezTo>
                <a:pt x="0" y="9670"/>
                <a:pt x="9670" y="0"/>
                <a:pt x="21600" y="0"/>
              </a:cubicBezTo>
              <a:cubicBezTo>
                <a:pt x="33351" y="0"/>
                <a:pt x="42947" y="9394"/>
                <a:pt x="43195" y="21143"/>
              </a:cubicBezTo>
              <a:lnTo>
                <a:pt x="2160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175260</xdr:colOff>
      <xdr:row>15</xdr:row>
      <xdr:rowOff>83820</xdr:rowOff>
    </xdr:from>
    <xdr:to>
      <xdr:col>6</xdr:col>
      <xdr:colOff>228600</xdr:colOff>
      <xdr:row>15</xdr:row>
      <xdr:rowOff>152400</xdr:rowOff>
    </xdr:to>
    <xdr:sp>
      <xdr:nvSpPr>
        <xdr:cNvPr id="69634" name="Arc 6"/>
        <xdr:cNvSpPr>
          <a:spLocks/>
        </xdr:cNvSpPr>
      </xdr:nvSpPr>
      <xdr:spPr>
        <a:xfrm flipH="1">
          <a:off x="2449830" y="3737610"/>
          <a:ext cx="53340" cy="685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350520</xdr:colOff>
      <xdr:row>15</xdr:row>
      <xdr:rowOff>76200</xdr:rowOff>
    </xdr:from>
    <xdr:to>
      <xdr:col>3</xdr:col>
      <xdr:colOff>22860</xdr:colOff>
      <xdr:row>15</xdr:row>
      <xdr:rowOff>137160</xdr:rowOff>
    </xdr:to>
    <xdr:sp>
      <xdr:nvSpPr>
        <xdr:cNvPr id="69635" name="Arc 7"/>
        <xdr:cNvSpPr>
          <a:spLocks/>
        </xdr:cNvSpPr>
      </xdr:nvSpPr>
      <xdr:spPr>
        <a:xfrm>
          <a:off x="920115" y="3729990"/>
          <a:ext cx="15240" cy="6096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381000</xdr:colOff>
      <xdr:row>15</xdr:row>
      <xdr:rowOff>76200</xdr:rowOff>
    </xdr:from>
    <xdr:to>
      <xdr:col>2</xdr:col>
      <xdr:colOff>350520</xdr:colOff>
      <xdr:row>15</xdr:row>
      <xdr:rowOff>76200</xdr:rowOff>
    </xdr:to>
    <xdr:cxnSp>
      <xdr:nvCxnSpPr>
        <xdr:cNvPr id="69636" name="Line 8"/>
        <xdr:cNvCxnSpPr/>
      </xdr:nvCxnSpPr>
      <xdr:spPr>
        <a:xfrm flipH="1">
          <a:off x="607695" y="3729990"/>
          <a:ext cx="31242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15</xdr:row>
      <xdr:rowOff>83820</xdr:rowOff>
    </xdr:from>
    <xdr:to>
      <xdr:col>7</xdr:col>
      <xdr:colOff>236220</xdr:colOff>
      <xdr:row>15</xdr:row>
      <xdr:rowOff>83820</xdr:rowOff>
    </xdr:to>
    <xdr:cxnSp>
      <xdr:nvCxnSpPr>
        <xdr:cNvPr id="69637" name="Line 9"/>
        <xdr:cNvCxnSpPr/>
      </xdr:nvCxnSpPr>
      <xdr:spPr>
        <a:xfrm>
          <a:off x="2503170" y="3737610"/>
          <a:ext cx="32194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15</xdr:row>
      <xdr:rowOff>60960</xdr:rowOff>
    </xdr:from>
    <xdr:to>
      <xdr:col>5</xdr:col>
      <xdr:colOff>99060</xdr:colOff>
      <xdr:row>18</xdr:row>
      <xdr:rowOff>121920</xdr:rowOff>
    </xdr:to>
    <xdr:cxnSp>
      <xdr:nvCxnSpPr>
        <xdr:cNvPr id="69638" name="Line 10"/>
        <xdr:cNvCxnSpPr/>
      </xdr:nvCxnSpPr>
      <xdr:spPr>
        <a:xfrm flipV="1">
          <a:off x="1224915" y="3714750"/>
          <a:ext cx="472440" cy="6896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14</xdr:row>
      <xdr:rowOff>45720</xdr:rowOff>
    </xdr:from>
    <xdr:to>
      <xdr:col>6</xdr:col>
      <xdr:colOff>121920</xdr:colOff>
      <xdr:row>14</xdr:row>
      <xdr:rowOff>45720</xdr:rowOff>
    </xdr:to>
    <xdr:cxnSp>
      <xdr:nvCxnSpPr>
        <xdr:cNvPr id="69639" name="Line 11"/>
        <xdr:cNvCxnSpPr/>
      </xdr:nvCxnSpPr>
      <xdr:spPr>
        <a:xfrm>
          <a:off x="973455" y="3489960"/>
          <a:ext cx="14230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13</xdr:row>
      <xdr:rowOff>152400</xdr:rowOff>
    </xdr:from>
    <xdr:to>
      <xdr:col>6</xdr:col>
      <xdr:colOff>137160</xdr:colOff>
      <xdr:row>15</xdr:row>
      <xdr:rowOff>114300</xdr:rowOff>
    </xdr:to>
    <xdr:cxnSp>
      <xdr:nvCxnSpPr>
        <xdr:cNvPr id="69640" name="Line 12"/>
        <xdr:cNvCxnSpPr/>
      </xdr:nvCxnSpPr>
      <xdr:spPr>
        <a:xfrm flipV="1">
          <a:off x="2411730" y="3387090"/>
          <a:ext cx="0" cy="381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13</xdr:row>
      <xdr:rowOff>144780</xdr:rowOff>
    </xdr:from>
    <xdr:to>
      <xdr:col>3</xdr:col>
      <xdr:colOff>60960</xdr:colOff>
      <xdr:row>15</xdr:row>
      <xdr:rowOff>83820</xdr:rowOff>
    </xdr:to>
    <xdr:cxnSp>
      <xdr:nvCxnSpPr>
        <xdr:cNvPr id="69641" name="Line 13"/>
        <xdr:cNvCxnSpPr/>
      </xdr:nvCxnSpPr>
      <xdr:spPr>
        <a:xfrm flipV="1">
          <a:off x="973455" y="3379470"/>
          <a:ext cx="0" cy="3581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11</xdr:row>
      <xdr:rowOff>137160</xdr:rowOff>
    </xdr:from>
    <xdr:to>
      <xdr:col>7</xdr:col>
      <xdr:colOff>228600</xdr:colOff>
      <xdr:row>15</xdr:row>
      <xdr:rowOff>38100</xdr:rowOff>
    </xdr:to>
    <xdr:cxnSp>
      <xdr:nvCxnSpPr>
        <xdr:cNvPr id="69642" name="Line 14"/>
        <xdr:cNvCxnSpPr/>
      </xdr:nvCxnSpPr>
      <xdr:spPr>
        <a:xfrm flipV="1">
          <a:off x="2817495" y="2952750"/>
          <a:ext cx="0" cy="7391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12</xdr:row>
      <xdr:rowOff>38100</xdr:rowOff>
    </xdr:from>
    <xdr:to>
      <xdr:col>7</xdr:col>
      <xdr:colOff>228600</xdr:colOff>
      <xdr:row>12</xdr:row>
      <xdr:rowOff>38100</xdr:rowOff>
    </xdr:to>
    <xdr:cxnSp>
      <xdr:nvCxnSpPr>
        <xdr:cNvPr id="69643" name="Line 15"/>
        <xdr:cNvCxnSpPr/>
      </xdr:nvCxnSpPr>
      <xdr:spPr>
        <a:xfrm>
          <a:off x="607695" y="3063240"/>
          <a:ext cx="2209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11</xdr:row>
      <xdr:rowOff>114300</xdr:rowOff>
    </xdr:from>
    <xdr:to>
      <xdr:col>1</xdr:col>
      <xdr:colOff>381000</xdr:colOff>
      <xdr:row>15</xdr:row>
      <xdr:rowOff>30480</xdr:rowOff>
    </xdr:to>
    <xdr:cxnSp>
      <xdr:nvCxnSpPr>
        <xdr:cNvPr id="69644" name="Line 16"/>
        <xdr:cNvCxnSpPr/>
      </xdr:nvCxnSpPr>
      <xdr:spPr>
        <a:xfrm flipV="1">
          <a:off x="607695" y="2929890"/>
          <a:ext cx="0" cy="754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15</xdr:row>
      <xdr:rowOff>60960</xdr:rowOff>
    </xdr:from>
    <xdr:to>
      <xdr:col>6</xdr:col>
      <xdr:colOff>152400</xdr:colOff>
      <xdr:row>15</xdr:row>
      <xdr:rowOff>60960</xdr:rowOff>
    </xdr:to>
    <xdr:cxnSp>
      <xdr:nvCxnSpPr>
        <xdr:cNvPr id="69645" name="Line 17"/>
        <xdr:cNvCxnSpPr/>
      </xdr:nvCxnSpPr>
      <xdr:spPr>
        <a:xfrm>
          <a:off x="958215" y="3714750"/>
          <a:ext cx="14687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15</xdr:row>
      <xdr:rowOff>38100</xdr:rowOff>
    </xdr:from>
    <xdr:to>
      <xdr:col>1</xdr:col>
      <xdr:colOff>350520</xdr:colOff>
      <xdr:row>15</xdr:row>
      <xdr:rowOff>38100</xdr:rowOff>
    </xdr:to>
    <xdr:cxnSp>
      <xdr:nvCxnSpPr>
        <xdr:cNvPr id="69646" name="Line 18"/>
        <xdr:cNvCxnSpPr/>
      </xdr:nvCxnSpPr>
      <xdr:spPr>
        <a:xfrm flipH="1">
          <a:off x="325755" y="3691890"/>
          <a:ext cx="2514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15</xdr:row>
      <xdr:rowOff>114300</xdr:rowOff>
    </xdr:from>
    <xdr:to>
      <xdr:col>1</xdr:col>
      <xdr:colOff>350520</xdr:colOff>
      <xdr:row>15</xdr:row>
      <xdr:rowOff>114300</xdr:rowOff>
    </xdr:to>
    <xdr:cxnSp>
      <xdr:nvCxnSpPr>
        <xdr:cNvPr id="69647" name="Line 20"/>
        <xdr:cNvCxnSpPr/>
      </xdr:nvCxnSpPr>
      <xdr:spPr>
        <a:xfrm flipH="1">
          <a:off x="325755" y="3768090"/>
          <a:ext cx="2514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15</xdr:row>
      <xdr:rowOff>121920</xdr:rowOff>
    </xdr:from>
    <xdr:to>
      <xdr:col>8</xdr:col>
      <xdr:colOff>160020</xdr:colOff>
      <xdr:row>15</xdr:row>
      <xdr:rowOff>121920</xdr:rowOff>
    </xdr:to>
    <xdr:cxnSp>
      <xdr:nvCxnSpPr>
        <xdr:cNvPr id="69648" name="Line 21"/>
        <xdr:cNvCxnSpPr/>
      </xdr:nvCxnSpPr>
      <xdr:spPr>
        <a:xfrm flipH="1">
          <a:off x="2825115" y="3775710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15</xdr:row>
      <xdr:rowOff>45720</xdr:rowOff>
    </xdr:from>
    <xdr:to>
      <xdr:col>8</xdr:col>
      <xdr:colOff>160020</xdr:colOff>
      <xdr:row>15</xdr:row>
      <xdr:rowOff>45720</xdr:rowOff>
    </xdr:to>
    <xdr:cxnSp>
      <xdr:nvCxnSpPr>
        <xdr:cNvPr id="69649" name="Line 22"/>
        <xdr:cNvCxnSpPr/>
      </xdr:nvCxnSpPr>
      <xdr:spPr>
        <a:xfrm flipH="1">
          <a:off x="2825115" y="3699510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15</xdr:row>
      <xdr:rowOff>38100</xdr:rowOff>
    </xdr:from>
    <xdr:to>
      <xdr:col>1</xdr:col>
      <xdr:colOff>99060</xdr:colOff>
      <xdr:row>15</xdr:row>
      <xdr:rowOff>114300</xdr:rowOff>
    </xdr:to>
    <xdr:cxnSp>
      <xdr:nvCxnSpPr>
        <xdr:cNvPr id="69650" name="Line 23"/>
        <xdr:cNvCxnSpPr/>
      </xdr:nvCxnSpPr>
      <xdr:spPr>
        <a:xfrm>
          <a:off x="325755" y="3691890"/>
          <a:ext cx="0" cy="76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15</xdr:row>
      <xdr:rowOff>45720</xdr:rowOff>
    </xdr:from>
    <xdr:to>
      <xdr:col>8</xdr:col>
      <xdr:colOff>160020</xdr:colOff>
      <xdr:row>15</xdr:row>
      <xdr:rowOff>121920</xdr:rowOff>
    </xdr:to>
    <xdr:cxnSp>
      <xdr:nvCxnSpPr>
        <xdr:cNvPr id="69651" name="Line 24"/>
        <xdr:cNvCxnSpPr/>
      </xdr:nvCxnSpPr>
      <xdr:spPr>
        <a:xfrm>
          <a:off x="3129915" y="3699510"/>
          <a:ext cx="0" cy="76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13</xdr:row>
      <xdr:rowOff>198120</xdr:rowOff>
    </xdr:from>
    <xdr:to>
      <xdr:col>8</xdr:col>
      <xdr:colOff>160020</xdr:colOff>
      <xdr:row>15</xdr:row>
      <xdr:rowOff>38100</xdr:rowOff>
    </xdr:to>
    <xdr:cxnSp>
      <xdr:nvCxnSpPr>
        <xdr:cNvPr id="69652" name="Line 25"/>
        <xdr:cNvCxnSpPr/>
      </xdr:nvCxnSpPr>
      <xdr:spPr>
        <a:xfrm flipH="1" flipV="1">
          <a:off x="3129915" y="3432810"/>
          <a:ext cx="0" cy="2590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</xdr:row>
      <xdr:rowOff>38100</xdr:rowOff>
    </xdr:from>
    <xdr:to>
      <xdr:col>8</xdr:col>
      <xdr:colOff>160020</xdr:colOff>
      <xdr:row>14</xdr:row>
      <xdr:rowOff>38100</xdr:rowOff>
    </xdr:to>
    <xdr:cxnSp>
      <xdr:nvCxnSpPr>
        <xdr:cNvPr id="69653" name="Line 26"/>
        <xdr:cNvCxnSpPr/>
      </xdr:nvCxnSpPr>
      <xdr:spPr>
        <a:xfrm>
          <a:off x="2817495" y="3482340"/>
          <a:ext cx="3124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14</xdr:row>
      <xdr:rowOff>38100</xdr:rowOff>
    </xdr:from>
    <xdr:to>
      <xdr:col>9</xdr:col>
      <xdr:colOff>381000</xdr:colOff>
      <xdr:row>14</xdr:row>
      <xdr:rowOff>38100</xdr:rowOff>
    </xdr:to>
    <xdr:cxnSp>
      <xdr:nvCxnSpPr>
        <xdr:cNvPr id="69654" name="Line 27"/>
        <xdr:cNvCxnSpPr/>
      </xdr:nvCxnSpPr>
      <xdr:spPr>
        <a:xfrm>
          <a:off x="3129915" y="3482340"/>
          <a:ext cx="6496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13</xdr:row>
      <xdr:rowOff>152400</xdr:rowOff>
    </xdr:from>
    <xdr:to>
      <xdr:col>6</xdr:col>
      <xdr:colOff>327660</xdr:colOff>
      <xdr:row>15</xdr:row>
      <xdr:rowOff>45720</xdr:rowOff>
    </xdr:to>
    <xdr:cxnSp>
      <xdr:nvCxnSpPr>
        <xdr:cNvPr id="69655" name="Line 28"/>
        <xdr:cNvCxnSpPr/>
      </xdr:nvCxnSpPr>
      <xdr:spPr>
        <a:xfrm>
          <a:off x="2602230" y="3387090"/>
          <a:ext cx="0" cy="3124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15</xdr:row>
      <xdr:rowOff>121920</xdr:rowOff>
    </xdr:from>
    <xdr:to>
      <xdr:col>6</xdr:col>
      <xdr:colOff>327660</xdr:colOff>
      <xdr:row>19</xdr:row>
      <xdr:rowOff>7620</xdr:rowOff>
    </xdr:to>
    <xdr:cxnSp>
      <xdr:nvCxnSpPr>
        <xdr:cNvPr id="69656" name="Line 29"/>
        <xdr:cNvCxnSpPr/>
      </xdr:nvCxnSpPr>
      <xdr:spPr>
        <a:xfrm>
          <a:off x="2602230" y="3775710"/>
          <a:ext cx="0" cy="723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15</xdr:row>
      <xdr:rowOff>121920</xdr:rowOff>
    </xdr:from>
    <xdr:to>
      <xdr:col>2</xdr:col>
      <xdr:colOff>365760</xdr:colOff>
      <xdr:row>16</xdr:row>
      <xdr:rowOff>7620</xdr:rowOff>
    </xdr:to>
    <xdr:cxnSp>
      <xdr:nvCxnSpPr>
        <xdr:cNvPr id="69657" name="Line 30"/>
        <xdr:cNvCxnSpPr/>
      </xdr:nvCxnSpPr>
      <xdr:spPr>
        <a:xfrm flipH="1">
          <a:off x="836295" y="3775710"/>
          <a:ext cx="99060" cy="952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14</xdr:row>
      <xdr:rowOff>152400</xdr:rowOff>
    </xdr:from>
    <xdr:to>
      <xdr:col>5</xdr:col>
      <xdr:colOff>99060</xdr:colOff>
      <xdr:row>20</xdr:row>
      <xdr:rowOff>152400</xdr:rowOff>
    </xdr:to>
    <xdr:cxnSp>
      <xdr:nvCxnSpPr>
        <xdr:cNvPr id="69658" name="Line 31"/>
        <xdr:cNvCxnSpPr/>
      </xdr:nvCxnSpPr>
      <xdr:spPr>
        <a:xfrm>
          <a:off x="1697355" y="3596640"/>
          <a:ext cx="0" cy="12573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447675</xdr:colOff>
      <xdr:row>0</xdr:row>
      <xdr:rowOff>485775</xdr:rowOff>
    </xdr:from>
    <xdr:to>
      <xdr:col>23</xdr:col>
      <xdr:colOff>400050</xdr:colOff>
      <xdr:row>1</xdr:row>
      <xdr:rowOff>219075</xdr:rowOff>
    </xdr:to>
    <xdr:sp>
      <xdr:nvSpPr>
        <xdr:cNvPr id="11297" name="Rectangle 3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208645" y="472440"/>
          <a:ext cx="79057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16</xdr:row>
      <xdr:rowOff>30480</xdr:rowOff>
    </xdr:from>
    <xdr:to>
      <xdr:col>6</xdr:col>
      <xdr:colOff>60960</xdr:colOff>
      <xdr:row>18</xdr:row>
      <xdr:rowOff>76200</xdr:rowOff>
    </xdr:to>
    <xdr:sp>
      <xdr:nvSpPr>
        <xdr:cNvPr id="70657" name="Arc 1"/>
        <xdr:cNvSpPr>
          <a:spLocks/>
        </xdr:cNvSpPr>
      </xdr:nvSpPr>
      <xdr:spPr>
        <a:xfrm flipV="1">
          <a:off x="948690" y="3893820"/>
          <a:ext cx="1482090" cy="464820"/>
        </a:xfrm>
        <a:custGeom>
          <a:pathLst>
            <a:path w="41443" h="21601"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lnTo>
                <a:pt x="20758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297180</xdr:colOff>
      <xdr:row>16</xdr:row>
      <xdr:rowOff>114300</xdr:rowOff>
    </xdr:from>
    <xdr:to>
      <xdr:col>2</xdr:col>
      <xdr:colOff>350520</xdr:colOff>
      <xdr:row>16</xdr:row>
      <xdr:rowOff>175260</xdr:rowOff>
    </xdr:to>
    <xdr:sp>
      <xdr:nvSpPr>
        <xdr:cNvPr id="70658" name="Arc 2"/>
        <xdr:cNvSpPr>
          <a:spLocks/>
        </xdr:cNvSpPr>
      </xdr:nvSpPr>
      <xdr:spPr>
        <a:xfrm>
          <a:off x="895350" y="3977640"/>
          <a:ext cx="53340" cy="6096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60960</xdr:colOff>
      <xdr:row>16</xdr:row>
      <xdr:rowOff>114300</xdr:rowOff>
    </xdr:from>
    <xdr:to>
      <xdr:col>6</xdr:col>
      <xdr:colOff>114300</xdr:colOff>
      <xdr:row>16</xdr:row>
      <xdr:rowOff>182880</xdr:rowOff>
    </xdr:to>
    <xdr:sp>
      <xdr:nvSpPr>
        <xdr:cNvPr id="70659" name="Arc 3"/>
        <xdr:cNvSpPr>
          <a:spLocks/>
        </xdr:cNvSpPr>
      </xdr:nvSpPr>
      <xdr:spPr>
        <a:xfrm flipH="1">
          <a:off x="2430780" y="3977640"/>
          <a:ext cx="53340" cy="685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327660</xdr:colOff>
      <xdr:row>16</xdr:row>
      <xdr:rowOff>114300</xdr:rowOff>
    </xdr:from>
    <xdr:to>
      <xdr:col>2</xdr:col>
      <xdr:colOff>297180</xdr:colOff>
      <xdr:row>16</xdr:row>
      <xdr:rowOff>114300</xdr:rowOff>
    </xdr:to>
    <xdr:cxnSp>
      <xdr:nvCxnSpPr>
        <xdr:cNvPr id="70660" name="Line 4"/>
        <xdr:cNvCxnSpPr/>
      </xdr:nvCxnSpPr>
      <xdr:spPr>
        <a:xfrm flipH="1">
          <a:off x="582930" y="3977640"/>
          <a:ext cx="31242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16</xdr:row>
      <xdr:rowOff>114300</xdr:rowOff>
    </xdr:from>
    <xdr:to>
      <xdr:col>7</xdr:col>
      <xdr:colOff>121920</xdr:colOff>
      <xdr:row>16</xdr:row>
      <xdr:rowOff>114300</xdr:rowOff>
    </xdr:to>
    <xdr:cxnSp>
      <xdr:nvCxnSpPr>
        <xdr:cNvPr id="70661" name="Line 5"/>
        <xdr:cNvCxnSpPr/>
      </xdr:nvCxnSpPr>
      <xdr:spPr>
        <a:xfrm flipH="1">
          <a:off x="2484120" y="3977640"/>
          <a:ext cx="32194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11</xdr:row>
      <xdr:rowOff>38100</xdr:rowOff>
    </xdr:from>
    <xdr:to>
      <xdr:col>4</xdr:col>
      <xdr:colOff>365760</xdr:colOff>
      <xdr:row>17</xdr:row>
      <xdr:rowOff>76200</xdr:rowOff>
    </xdr:to>
    <xdr:cxnSp>
      <xdr:nvCxnSpPr>
        <xdr:cNvPr id="70662" name="Line 8"/>
        <xdr:cNvCxnSpPr/>
      </xdr:nvCxnSpPr>
      <xdr:spPr>
        <a:xfrm flipV="1">
          <a:off x="1078230" y="2853690"/>
          <a:ext cx="571500" cy="12954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11</xdr:row>
      <xdr:rowOff>45720</xdr:rowOff>
    </xdr:from>
    <xdr:to>
      <xdr:col>5</xdr:col>
      <xdr:colOff>518160</xdr:colOff>
      <xdr:row>11</xdr:row>
      <xdr:rowOff>45720</xdr:rowOff>
    </xdr:to>
    <xdr:cxnSp>
      <xdr:nvCxnSpPr>
        <xdr:cNvPr id="70663" name="Line 9"/>
        <xdr:cNvCxnSpPr/>
      </xdr:nvCxnSpPr>
      <xdr:spPr>
        <a:xfrm>
          <a:off x="1169670" y="2861310"/>
          <a:ext cx="9753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365760</xdr:colOff>
      <xdr:row>10</xdr:row>
      <xdr:rowOff>60960</xdr:rowOff>
    </xdr:from>
    <xdr:to>
      <xdr:col>4</xdr:col>
      <xdr:colOff>365760</xdr:colOff>
      <xdr:row>19</xdr:row>
      <xdr:rowOff>137160</xdr:rowOff>
    </xdr:to>
    <xdr:cxnSp>
      <xdr:nvCxnSpPr>
        <xdr:cNvPr id="70664" name="Line 10"/>
        <xdr:cNvCxnSpPr/>
      </xdr:nvCxnSpPr>
      <xdr:spPr>
        <a:xfrm>
          <a:off x="1649730" y="2667000"/>
          <a:ext cx="0" cy="19621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</xdr:colOff>
      <xdr:row>16</xdr:row>
      <xdr:rowOff>152400</xdr:rowOff>
    </xdr:from>
    <xdr:to>
      <xdr:col>2</xdr:col>
      <xdr:colOff>304800</xdr:colOff>
      <xdr:row>17</xdr:row>
      <xdr:rowOff>45720</xdr:rowOff>
    </xdr:to>
    <xdr:cxnSp>
      <xdr:nvCxnSpPr>
        <xdr:cNvPr id="70665" name="Line 11"/>
        <xdr:cNvCxnSpPr/>
      </xdr:nvCxnSpPr>
      <xdr:spPr>
        <a:xfrm flipH="1">
          <a:off x="819150" y="4015740"/>
          <a:ext cx="83820" cy="1028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13</xdr:row>
      <xdr:rowOff>144780</xdr:rowOff>
    </xdr:from>
    <xdr:to>
      <xdr:col>1</xdr:col>
      <xdr:colOff>327660</xdr:colOff>
      <xdr:row>16</xdr:row>
      <xdr:rowOff>76200</xdr:rowOff>
    </xdr:to>
    <xdr:cxnSp>
      <xdr:nvCxnSpPr>
        <xdr:cNvPr id="70666" name="Line 12"/>
        <xdr:cNvCxnSpPr/>
      </xdr:nvCxnSpPr>
      <xdr:spPr>
        <a:xfrm flipV="1">
          <a:off x="582930" y="3379470"/>
          <a:ext cx="0" cy="5600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13</xdr:row>
      <xdr:rowOff>137160</xdr:rowOff>
    </xdr:from>
    <xdr:to>
      <xdr:col>7</xdr:col>
      <xdr:colOff>121920</xdr:colOff>
      <xdr:row>16</xdr:row>
      <xdr:rowOff>76200</xdr:rowOff>
    </xdr:to>
    <xdr:cxnSp>
      <xdr:nvCxnSpPr>
        <xdr:cNvPr id="70667" name="Line 13"/>
        <xdr:cNvCxnSpPr/>
      </xdr:nvCxnSpPr>
      <xdr:spPr>
        <a:xfrm flipV="1">
          <a:off x="2806065" y="3371850"/>
          <a:ext cx="0" cy="5676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13</xdr:row>
      <xdr:rowOff>198120</xdr:rowOff>
    </xdr:from>
    <xdr:to>
      <xdr:col>7</xdr:col>
      <xdr:colOff>114300</xdr:colOff>
      <xdr:row>13</xdr:row>
      <xdr:rowOff>198120</xdr:rowOff>
    </xdr:to>
    <xdr:cxnSp>
      <xdr:nvCxnSpPr>
        <xdr:cNvPr id="70668" name="Line 14"/>
        <xdr:cNvCxnSpPr/>
      </xdr:nvCxnSpPr>
      <xdr:spPr>
        <a:xfrm>
          <a:off x="582930" y="3432810"/>
          <a:ext cx="22155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83820</xdr:rowOff>
    </xdr:from>
    <xdr:to>
      <xdr:col>1</xdr:col>
      <xdr:colOff>327660</xdr:colOff>
      <xdr:row>16</xdr:row>
      <xdr:rowOff>83820</xdr:rowOff>
    </xdr:to>
    <xdr:cxnSp>
      <xdr:nvCxnSpPr>
        <xdr:cNvPr id="70669" name="Line 15"/>
        <xdr:cNvCxnSpPr/>
      </xdr:nvCxnSpPr>
      <xdr:spPr>
        <a:xfrm flipH="1">
          <a:off x="293370" y="3947160"/>
          <a:ext cx="2895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16</xdr:row>
      <xdr:rowOff>76200</xdr:rowOff>
    </xdr:from>
    <xdr:to>
      <xdr:col>8</xdr:col>
      <xdr:colOff>45720</xdr:colOff>
      <xdr:row>16</xdr:row>
      <xdr:rowOff>76200</xdr:rowOff>
    </xdr:to>
    <xdr:cxnSp>
      <xdr:nvCxnSpPr>
        <xdr:cNvPr id="70670" name="Line 16"/>
        <xdr:cNvCxnSpPr/>
      </xdr:nvCxnSpPr>
      <xdr:spPr>
        <a:xfrm flipH="1">
          <a:off x="2806065" y="3939540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16</xdr:row>
      <xdr:rowOff>152400</xdr:rowOff>
    </xdr:from>
    <xdr:to>
      <xdr:col>8</xdr:col>
      <xdr:colOff>45720</xdr:colOff>
      <xdr:row>16</xdr:row>
      <xdr:rowOff>152400</xdr:rowOff>
    </xdr:to>
    <xdr:cxnSp>
      <xdr:nvCxnSpPr>
        <xdr:cNvPr id="70671" name="Line 17"/>
        <xdr:cNvCxnSpPr/>
      </xdr:nvCxnSpPr>
      <xdr:spPr>
        <a:xfrm flipH="1">
          <a:off x="2806065" y="4015740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152400</xdr:rowOff>
    </xdr:from>
    <xdr:to>
      <xdr:col>1</xdr:col>
      <xdr:colOff>327660</xdr:colOff>
      <xdr:row>16</xdr:row>
      <xdr:rowOff>152400</xdr:rowOff>
    </xdr:to>
    <xdr:cxnSp>
      <xdr:nvCxnSpPr>
        <xdr:cNvPr id="70672" name="Line 18"/>
        <xdr:cNvCxnSpPr/>
      </xdr:nvCxnSpPr>
      <xdr:spPr>
        <a:xfrm flipH="1">
          <a:off x="293370" y="4015740"/>
          <a:ext cx="2895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83820</xdr:rowOff>
    </xdr:from>
    <xdr:to>
      <xdr:col>1</xdr:col>
      <xdr:colOff>38100</xdr:colOff>
      <xdr:row>16</xdr:row>
      <xdr:rowOff>152400</xdr:rowOff>
    </xdr:to>
    <xdr:cxnSp>
      <xdr:nvCxnSpPr>
        <xdr:cNvPr id="70673" name="Line 19"/>
        <xdr:cNvCxnSpPr/>
      </xdr:nvCxnSpPr>
      <xdr:spPr>
        <a:xfrm>
          <a:off x="293370" y="3947160"/>
          <a:ext cx="0" cy="685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16</xdr:row>
      <xdr:rowOff>76200</xdr:rowOff>
    </xdr:from>
    <xdr:to>
      <xdr:col>8</xdr:col>
      <xdr:colOff>45720</xdr:colOff>
      <xdr:row>16</xdr:row>
      <xdr:rowOff>152400</xdr:rowOff>
    </xdr:to>
    <xdr:cxnSp>
      <xdr:nvCxnSpPr>
        <xdr:cNvPr id="70674" name="Line 20"/>
        <xdr:cNvCxnSpPr/>
      </xdr:nvCxnSpPr>
      <xdr:spPr>
        <a:xfrm flipV="1">
          <a:off x="3110865" y="3939540"/>
          <a:ext cx="0" cy="76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14</xdr:row>
      <xdr:rowOff>198120</xdr:rowOff>
    </xdr:from>
    <xdr:to>
      <xdr:col>8</xdr:col>
      <xdr:colOff>45720</xdr:colOff>
      <xdr:row>16</xdr:row>
      <xdr:rowOff>76200</xdr:rowOff>
    </xdr:to>
    <xdr:cxnSp>
      <xdr:nvCxnSpPr>
        <xdr:cNvPr id="70675" name="Line 21"/>
        <xdr:cNvCxnSpPr/>
      </xdr:nvCxnSpPr>
      <xdr:spPr>
        <a:xfrm flipV="1">
          <a:off x="3110865" y="3642360"/>
          <a:ext cx="0" cy="2971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15</xdr:row>
      <xdr:rowOff>22860</xdr:rowOff>
    </xdr:from>
    <xdr:to>
      <xdr:col>8</xdr:col>
      <xdr:colOff>45720</xdr:colOff>
      <xdr:row>15</xdr:row>
      <xdr:rowOff>22860</xdr:rowOff>
    </xdr:to>
    <xdr:cxnSp>
      <xdr:nvCxnSpPr>
        <xdr:cNvPr id="70676" name="Line 22"/>
        <xdr:cNvCxnSpPr/>
      </xdr:nvCxnSpPr>
      <xdr:spPr>
        <a:xfrm>
          <a:off x="2806065" y="3676650"/>
          <a:ext cx="304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15</xdr:row>
      <xdr:rowOff>22860</xdr:rowOff>
    </xdr:from>
    <xdr:to>
      <xdr:col>10</xdr:col>
      <xdr:colOff>7620</xdr:colOff>
      <xdr:row>15</xdr:row>
      <xdr:rowOff>22860</xdr:rowOff>
    </xdr:to>
    <xdr:cxnSp>
      <xdr:nvCxnSpPr>
        <xdr:cNvPr id="70677" name="Line 23"/>
        <xdr:cNvCxnSpPr/>
      </xdr:nvCxnSpPr>
      <xdr:spPr>
        <a:xfrm>
          <a:off x="3110865" y="3676650"/>
          <a:ext cx="8191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16</xdr:row>
      <xdr:rowOff>152400</xdr:rowOff>
    </xdr:from>
    <xdr:to>
      <xdr:col>6</xdr:col>
      <xdr:colOff>335280</xdr:colOff>
      <xdr:row>21</xdr:row>
      <xdr:rowOff>0</xdr:rowOff>
    </xdr:to>
    <xdr:cxnSp>
      <xdr:nvCxnSpPr>
        <xdr:cNvPr id="70678" name="Line 24"/>
        <xdr:cNvCxnSpPr/>
      </xdr:nvCxnSpPr>
      <xdr:spPr>
        <a:xfrm>
          <a:off x="2705100" y="4015740"/>
          <a:ext cx="0" cy="8953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15</xdr:row>
      <xdr:rowOff>121920</xdr:rowOff>
    </xdr:from>
    <xdr:to>
      <xdr:col>6</xdr:col>
      <xdr:colOff>335280</xdr:colOff>
      <xdr:row>16</xdr:row>
      <xdr:rowOff>76200</xdr:rowOff>
    </xdr:to>
    <xdr:cxnSp>
      <xdr:nvCxnSpPr>
        <xdr:cNvPr id="70679" name="Line 25"/>
        <xdr:cNvCxnSpPr/>
      </xdr:nvCxnSpPr>
      <xdr:spPr>
        <a:xfrm flipV="1">
          <a:off x="2705100" y="3775710"/>
          <a:ext cx="0" cy="1638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18</xdr:row>
      <xdr:rowOff>114300</xdr:rowOff>
    </xdr:from>
    <xdr:to>
      <xdr:col>8</xdr:col>
      <xdr:colOff>220980</xdr:colOff>
      <xdr:row>18</xdr:row>
      <xdr:rowOff>114300</xdr:rowOff>
    </xdr:to>
    <xdr:cxnSp>
      <xdr:nvCxnSpPr>
        <xdr:cNvPr id="70680" name="Line 26"/>
        <xdr:cNvCxnSpPr/>
      </xdr:nvCxnSpPr>
      <xdr:spPr>
        <a:xfrm>
          <a:off x="1672590" y="4396740"/>
          <a:ext cx="16135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16</xdr:row>
      <xdr:rowOff>76200</xdr:rowOff>
    </xdr:from>
    <xdr:to>
      <xdr:col>8</xdr:col>
      <xdr:colOff>220980</xdr:colOff>
      <xdr:row>16</xdr:row>
      <xdr:rowOff>76200</xdr:rowOff>
    </xdr:to>
    <xdr:cxnSp>
      <xdr:nvCxnSpPr>
        <xdr:cNvPr id="70681" name="Line 27"/>
        <xdr:cNvCxnSpPr/>
      </xdr:nvCxnSpPr>
      <xdr:spPr>
        <a:xfrm>
          <a:off x="3126105" y="3939540"/>
          <a:ext cx="1600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16</xdr:row>
      <xdr:rowOff>83820</xdr:rowOff>
    </xdr:from>
    <xdr:to>
      <xdr:col>8</xdr:col>
      <xdr:colOff>152400</xdr:colOff>
      <xdr:row>18</xdr:row>
      <xdr:rowOff>114300</xdr:rowOff>
    </xdr:to>
    <xdr:cxnSp>
      <xdr:nvCxnSpPr>
        <xdr:cNvPr id="70682" name="Line 28"/>
        <xdr:cNvCxnSpPr/>
      </xdr:nvCxnSpPr>
      <xdr:spPr>
        <a:xfrm flipH="1">
          <a:off x="3217545" y="3947160"/>
          <a:ext cx="0" cy="4495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16</xdr:row>
      <xdr:rowOff>76200</xdr:rowOff>
    </xdr:from>
    <xdr:to>
      <xdr:col>6</xdr:col>
      <xdr:colOff>68580</xdr:colOff>
      <xdr:row>16</xdr:row>
      <xdr:rowOff>76200</xdr:rowOff>
    </xdr:to>
    <xdr:cxnSp>
      <xdr:nvCxnSpPr>
        <xdr:cNvPr id="70683" name="Line 30"/>
        <xdr:cNvCxnSpPr/>
      </xdr:nvCxnSpPr>
      <xdr:spPr>
        <a:xfrm>
          <a:off x="941070" y="3939540"/>
          <a:ext cx="149733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228600</xdr:colOff>
      <xdr:row>0</xdr:row>
      <xdr:rowOff>381000</xdr:rowOff>
    </xdr:from>
    <xdr:to>
      <xdr:col>23</xdr:col>
      <xdr:colOff>238125</xdr:colOff>
      <xdr:row>1</xdr:row>
      <xdr:rowOff>114300</xdr:rowOff>
    </xdr:to>
    <xdr:sp>
      <xdr:nvSpPr>
        <xdr:cNvPr id="12321" name="Rectangle 3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008620" y="367665"/>
          <a:ext cx="79057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17</xdr:row>
      <xdr:rowOff>198120</xdr:rowOff>
    </xdr:from>
    <xdr:to>
      <xdr:col>5</xdr:col>
      <xdr:colOff>76200</xdr:colOff>
      <xdr:row>20</xdr:row>
      <xdr:rowOff>38100</xdr:rowOff>
    </xdr:to>
    <xdr:sp>
      <xdr:nvSpPr>
        <xdr:cNvPr id="71681" name="Arc 1"/>
        <xdr:cNvSpPr>
          <a:spLocks/>
        </xdr:cNvSpPr>
      </xdr:nvSpPr>
      <xdr:spPr>
        <a:xfrm flipV="1">
          <a:off x="828675" y="4271010"/>
          <a:ext cx="1169670" cy="468630"/>
        </a:xfrm>
        <a:custGeom>
          <a:pathLst>
            <a:path w="41443" h="21601"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lnTo>
                <a:pt x="20758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342900</xdr:colOff>
      <xdr:row>13</xdr:row>
      <xdr:rowOff>60960</xdr:rowOff>
    </xdr:from>
    <xdr:to>
      <xdr:col>1</xdr:col>
      <xdr:colOff>342900</xdr:colOff>
      <xdr:row>18</xdr:row>
      <xdr:rowOff>144780</xdr:rowOff>
    </xdr:to>
    <xdr:cxnSp>
      <xdr:nvCxnSpPr>
        <xdr:cNvPr id="71682" name="Line 2"/>
        <xdr:cNvCxnSpPr/>
      </xdr:nvCxnSpPr>
      <xdr:spPr>
        <a:xfrm flipV="1">
          <a:off x="836295" y="3295650"/>
          <a:ext cx="0" cy="113157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60960</xdr:rowOff>
    </xdr:from>
    <xdr:to>
      <xdr:col>5</xdr:col>
      <xdr:colOff>76200</xdr:colOff>
      <xdr:row>18</xdr:row>
      <xdr:rowOff>144780</xdr:rowOff>
    </xdr:to>
    <xdr:cxnSp>
      <xdr:nvCxnSpPr>
        <xdr:cNvPr id="71683" name="Line 3"/>
        <xdr:cNvCxnSpPr/>
      </xdr:nvCxnSpPr>
      <xdr:spPr>
        <a:xfrm flipV="1">
          <a:off x="1998345" y="3295650"/>
          <a:ext cx="0" cy="113157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18</xdr:row>
      <xdr:rowOff>121920</xdr:rowOff>
    </xdr:from>
    <xdr:to>
      <xdr:col>6</xdr:col>
      <xdr:colOff>45720</xdr:colOff>
      <xdr:row>18</xdr:row>
      <xdr:rowOff>121920</xdr:rowOff>
    </xdr:to>
    <xdr:cxnSp>
      <xdr:nvCxnSpPr>
        <xdr:cNvPr id="71684" name="Line 4"/>
        <xdr:cNvCxnSpPr/>
      </xdr:nvCxnSpPr>
      <xdr:spPr>
        <a:xfrm>
          <a:off x="2036445" y="4404360"/>
          <a:ext cx="24574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373380</xdr:colOff>
      <xdr:row>20</xdr:row>
      <xdr:rowOff>76200</xdr:rowOff>
    </xdr:from>
    <xdr:to>
      <xdr:col>6</xdr:col>
      <xdr:colOff>60960</xdr:colOff>
      <xdr:row>20</xdr:row>
      <xdr:rowOff>76200</xdr:rowOff>
    </xdr:to>
    <xdr:cxnSp>
      <xdr:nvCxnSpPr>
        <xdr:cNvPr id="71685" name="Line 5"/>
        <xdr:cNvCxnSpPr/>
      </xdr:nvCxnSpPr>
      <xdr:spPr>
        <a:xfrm>
          <a:off x="1552575" y="4777740"/>
          <a:ext cx="7448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18</xdr:row>
      <xdr:rowOff>121920</xdr:rowOff>
    </xdr:from>
    <xdr:to>
      <xdr:col>5</xdr:col>
      <xdr:colOff>327660</xdr:colOff>
      <xdr:row>20</xdr:row>
      <xdr:rowOff>76200</xdr:rowOff>
    </xdr:to>
    <xdr:cxnSp>
      <xdr:nvCxnSpPr>
        <xdr:cNvPr id="71686" name="Line 6"/>
        <xdr:cNvCxnSpPr/>
      </xdr:nvCxnSpPr>
      <xdr:spPr>
        <a:xfrm flipH="1">
          <a:off x="2249805" y="4404360"/>
          <a:ext cx="0" cy="373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13</xdr:row>
      <xdr:rowOff>60960</xdr:rowOff>
    </xdr:from>
    <xdr:to>
      <xdr:col>6</xdr:col>
      <xdr:colOff>38100</xdr:colOff>
      <xdr:row>13</xdr:row>
      <xdr:rowOff>60960</xdr:rowOff>
    </xdr:to>
    <xdr:cxnSp>
      <xdr:nvCxnSpPr>
        <xdr:cNvPr id="71687" name="Line 7"/>
        <xdr:cNvCxnSpPr/>
      </xdr:nvCxnSpPr>
      <xdr:spPr>
        <a:xfrm>
          <a:off x="2044065" y="3295650"/>
          <a:ext cx="2305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13</xdr:row>
      <xdr:rowOff>60960</xdr:rowOff>
    </xdr:from>
    <xdr:to>
      <xdr:col>5</xdr:col>
      <xdr:colOff>327660</xdr:colOff>
      <xdr:row>18</xdr:row>
      <xdr:rowOff>121920</xdr:rowOff>
    </xdr:to>
    <xdr:cxnSp>
      <xdr:nvCxnSpPr>
        <xdr:cNvPr id="71688" name="Line 8"/>
        <xdr:cNvCxnSpPr/>
      </xdr:nvCxnSpPr>
      <xdr:spPr>
        <a:xfrm>
          <a:off x="2249805" y="3295650"/>
          <a:ext cx="0" cy="1108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11</xdr:row>
      <xdr:rowOff>152400</xdr:rowOff>
    </xdr:from>
    <xdr:to>
      <xdr:col>5</xdr:col>
      <xdr:colOff>30480</xdr:colOff>
      <xdr:row>11</xdr:row>
      <xdr:rowOff>152400</xdr:rowOff>
    </xdr:to>
    <xdr:cxnSp>
      <xdr:nvCxnSpPr>
        <xdr:cNvPr id="71689" name="Line 9"/>
        <xdr:cNvCxnSpPr/>
      </xdr:nvCxnSpPr>
      <xdr:spPr>
        <a:xfrm>
          <a:off x="874395" y="2967990"/>
          <a:ext cx="107823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11</xdr:row>
      <xdr:rowOff>152400</xdr:rowOff>
    </xdr:from>
    <xdr:to>
      <xdr:col>5</xdr:col>
      <xdr:colOff>327660</xdr:colOff>
      <xdr:row>13</xdr:row>
      <xdr:rowOff>45720</xdr:rowOff>
    </xdr:to>
    <xdr:cxnSp>
      <xdr:nvCxnSpPr>
        <xdr:cNvPr id="71690" name="Line 11"/>
        <xdr:cNvCxnSpPr/>
      </xdr:nvCxnSpPr>
      <xdr:spPr>
        <a:xfrm flipV="1">
          <a:off x="2249805" y="2967990"/>
          <a:ext cx="0" cy="3124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11</xdr:row>
      <xdr:rowOff>152400</xdr:rowOff>
    </xdr:from>
    <xdr:to>
      <xdr:col>5</xdr:col>
      <xdr:colOff>38100</xdr:colOff>
      <xdr:row>13</xdr:row>
      <xdr:rowOff>60960</xdr:rowOff>
    </xdr:to>
    <xdr:cxnSp>
      <xdr:nvCxnSpPr>
        <xdr:cNvPr id="71691" name="Line 12"/>
        <xdr:cNvCxnSpPr/>
      </xdr:nvCxnSpPr>
      <xdr:spPr>
        <a:xfrm flipV="1">
          <a:off x="1960245" y="2967990"/>
          <a:ext cx="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11</xdr:row>
      <xdr:rowOff>152400</xdr:rowOff>
    </xdr:from>
    <xdr:to>
      <xdr:col>5</xdr:col>
      <xdr:colOff>114300</xdr:colOff>
      <xdr:row>13</xdr:row>
      <xdr:rowOff>60960</xdr:rowOff>
    </xdr:to>
    <xdr:cxnSp>
      <xdr:nvCxnSpPr>
        <xdr:cNvPr id="71692" name="Line 13"/>
        <xdr:cNvCxnSpPr/>
      </xdr:nvCxnSpPr>
      <xdr:spPr>
        <a:xfrm flipV="1">
          <a:off x="2036445" y="2967990"/>
          <a:ext cx="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11</xdr:row>
      <xdr:rowOff>152400</xdr:rowOff>
    </xdr:from>
    <xdr:to>
      <xdr:col>5</xdr:col>
      <xdr:colOff>114300</xdr:colOff>
      <xdr:row>11</xdr:row>
      <xdr:rowOff>152400</xdr:rowOff>
    </xdr:to>
    <xdr:cxnSp>
      <xdr:nvCxnSpPr>
        <xdr:cNvPr id="71693" name="Line 14"/>
        <xdr:cNvCxnSpPr/>
      </xdr:nvCxnSpPr>
      <xdr:spPr>
        <a:xfrm>
          <a:off x="1960245" y="2967990"/>
          <a:ext cx="762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11</xdr:row>
      <xdr:rowOff>152400</xdr:rowOff>
    </xdr:from>
    <xdr:to>
      <xdr:col>1</xdr:col>
      <xdr:colOff>304800</xdr:colOff>
      <xdr:row>13</xdr:row>
      <xdr:rowOff>60960</xdr:rowOff>
    </xdr:to>
    <xdr:cxnSp>
      <xdr:nvCxnSpPr>
        <xdr:cNvPr id="71694" name="Line 15"/>
        <xdr:cNvCxnSpPr/>
      </xdr:nvCxnSpPr>
      <xdr:spPr>
        <a:xfrm flipV="1">
          <a:off x="798195" y="2967990"/>
          <a:ext cx="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11</xdr:row>
      <xdr:rowOff>152400</xdr:rowOff>
    </xdr:from>
    <xdr:to>
      <xdr:col>1</xdr:col>
      <xdr:colOff>381000</xdr:colOff>
      <xdr:row>13</xdr:row>
      <xdr:rowOff>60960</xdr:rowOff>
    </xdr:to>
    <xdr:cxnSp>
      <xdr:nvCxnSpPr>
        <xdr:cNvPr id="71695" name="Line 16"/>
        <xdr:cNvCxnSpPr/>
      </xdr:nvCxnSpPr>
      <xdr:spPr>
        <a:xfrm flipV="1">
          <a:off x="874395" y="2967990"/>
          <a:ext cx="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11</xdr:row>
      <xdr:rowOff>152400</xdr:rowOff>
    </xdr:from>
    <xdr:to>
      <xdr:col>1</xdr:col>
      <xdr:colOff>350520</xdr:colOff>
      <xdr:row>11</xdr:row>
      <xdr:rowOff>152400</xdr:rowOff>
    </xdr:to>
    <xdr:cxnSp>
      <xdr:nvCxnSpPr>
        <xdr:cNvPr id="71696" name="Line 17"/>
        <xdr:cNvCxnSpPr/>
      </xdr:nvCxnSpPr>
      <xdr:spPr>
        <a:xfrm>
          <a:off x="798195" y="2967990"/>
          <a:ext cx="457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11</xdr:row>
      <xdr:rowOff>152400</xdr:rowOff>
    </xdr:from>
    <xdr:to>
      <xdr:col>6</xdr:col>
      <xdr:colOff>45720</xdr:colOff>
      <xdr:row>11</xdr:row>
      <xdr:rowOff>152400</xdr:rowOff>
    </xdr:to>
    <xdr:cxnSp>
      <xdr:nvCxnSpPr>
        <xdr:cNvPr id="71697" name="Line 18"/>
        <xdr:cNvCxnSpPr/>
      </xdr:nvCxnSpPr>
      <xdr:spPr>
        <a:xfrm>
          <a:off x="2044065" y="2967990"/>
          <a:ext cx="2381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18</xdr:row>
      <xdr:rowOff>7620</xdr:rowOff>
    </xdr:from>
    <xdr:to>
      <xdr:col>2</xdr:col>
      <xdr:colOff>114300</xdr:colOff>
      <xdr:row>18</xdr:row>
      <xdr:rowOff>121920</xdr:rowOff>
    </xdr:to>
    <xdr:cxnSp>
      <xdr:nvCxnSpPr>
        <xdr:cNvPr id="71698" name="Line 19"/>
        <xdr:cNvCxnSpPr/>
      </xdr:nvCxnSpPr>
      <xdr:spPr>
        <a:xfrm flipV="1">
          <a:off x="874395" y="4290060"/>
          <a:ext cx="76200" cy="1143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14</xdr:row>
      <xdr:rowOff>0</xdr:rowOff>
    </xdr:from>
    <xdr:to>
      <xdr:col>1</xdr:col>
      <xdr:colOff>304800</xdr:colOff>
      <xdr:row>14</xdr:row>
      <xdr:rowOff>0</xdr:rowOff>
    </xdr:to>
    <xdr:cxnSp>
      <xdr:nvCxnSpPr>
        <xdr:cNvPr id="71699" name="Line 20"/>
        <xdr:cNvCxnSpPr/>
      </xdr:nvCxnSpPr>
      <xdr:spPr>
        <a:xfrm>
          <a:off x="554355" y="3444240"/>
          <a:ext cx="2438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14</xdr:row>
      <xdr:rowOff>0</xdr:rowOff>
    </xdr:from>
    <xdr:to>
      <xdr:col>2</xdr:col>
      <xdr:colOff>350520</xdr:colOff>
      <xdr:row>14</xdr:row>
      <xdr:rowOff>0</xdr:rowOff>
    </xdr:to>
    <xdr:cxnSp>
      <xdr:nvCxnSpPr>
        <xdr:cNvPr id="71700" name="Line 21"/>
        <xdr:cNvCxnSpPr/>
      </xdr:nvCxnSpPr>
      <xdr:spPr>
        <a:xfrm>
          <a:off x="874395" y="3444240"/>
          <a:ext cx="3124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</xdr:row>
      <xdr:rowOff>137160</xdr:rowOff>
    </xdr:from>
    <xdr:to>
      <xdr:col>1</xdr:col>
      <xdr:colOff>304800</xdr:colOff>
      <xdr:row>11</xdr:row>
      <xdr:rowOff>144780</xdr:rowOff>
    </xdr:to>
    <xdr:cxnSp>
      <xdr:nvCxnSpPr>
        <xdr:cNvPr id="71701" name="Line 22"/>
        <xdr:cNvCxnSpPr/>
      </xdr:nvCxnSpPr>
      <xdr:spPr>
        <a:xfrm flipV="1">
          <a:off x="798195" y="2533650"/>
          <a:ext cx="0" cy="426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9</xdr:row>
      <xdr:rowOff>121920</xdr:rowOff>
    </xdr:from>
    <xdr:to>
      <xdr:col>5</xdr:col>
      <xdr:colOff>114300</xdr:colOff>
      <xdr:row>11</xdr:row>
      <xdr:rowOff>144780</xdr:rowOff>
    </xdr:to>
    <xdr:cxnSp>
      <xdr:nvCxnSpPr>
        <xdr:cNvPr id="71702" name="Line 23"/>
        <xdr:cNvCxnSpPr/>
      </xdr:nvCxnSpPr>
      <xdr:spPr>
        <a:xfrm flipV="1">
          <a:off x="2036445" y="2518410"/>
          <a:ext cx="0" cy="441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</xdr:row>
      <xdr:rowOff>198120</xdr:rowOff>
    </xdr:from>
    <xdr:to>
      <xdr:col>5</xdr:col>
      <xdr:colOff>114300</xdr:colOff>
      <xdr:row>9</xdr:row>
      <xdr:rowOff>198120</xdr:rowOff>
    </xdr:to>
    <xdr:cxnSp>
      <xdr:nvCxnSpPr>
        <xdr:cNvPr id="71703" name="Line 24"/>
        <xdr:cNvCxnSpPr/>
      </xdr:nvCxnSpPr>
      <xdr:spPr>
        <a:xfrm>
          <a:off x="798195" y="2594610"/>
          <a:ext cx="12382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18</xdr:row>
      <xdr:rowOff>121920</xdr:rowOff>
    </xdr:from>
    <xdr:to>
      <xdr:col>5</xdr:col>
      <xdr:colOff>38100</xdr:colOff>
      <xdr:row>18</xdr:row>
      <xdr:rowOff>121920</xdr:rowOff>
    </xdr:to>
    <xdr:cxnSp>
      <xdr:nvCxnSpPr>
        <xdr:cNvPr id="71704" name="Line 25"/>
        <xdr:cNvCxnSpPr/>
      </xdr:nvCxnSpPr>
      <xdr:spPr>
        <a:xfrm>
          <a:off x="874395" y="4404360"/>
          <a:ext cx="108585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15</xdr:row>
      <xdr:rowOff>175260</xdr:rowOff>
    </xdr:from>
    <xdr:to>
      <xdr:col>4</xdr:col>
      <xdr:colOff>190500</xdr:colOff>
      <xdr:row>19</xdr:row>
      <xdr:rowOff>99060</xdr:rowOff>
    </xdr:to>
    <xdr:cxnSp>
      <xdr:nvCxnSpPr>
        <xdr:cNvPr id="71705" name="Line 26"/>
        <xdr:cNvCxnSpPr/>
      </xdr:nvCxnSpPr>
      <xdr:spPr>
        <a:xfrm flipH="1" flipV="1">
          <a:off x="1430655" y="3829050"/>
          <a:ext cx="367665" cy="762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15</xdr:row>
      <xdr:rowOff>175260</xdr:rowOff>
    </xdr:from>
    <xdr:to>
      <xdr:col>3</xdr:col>
      <xdr:colOff>441960</xdr:colOff>
      <xdr:row>15</xdr:row>
      <xdr:rowOff>175260</xdr:rowOff>
    </xdr:to>
    <xdr:cxnSp>
      <xdr:nvCxnSpPr>
        <xdr:cNvPr id="71706" name="Line 27"/>
        <xdr:cNvCxnSpPr/>
      </xdr:nvCxnSpPr>
      <xdr:spPr>
        <a:xfrm>
          <a:off x="1263015" y="3829050"/>
          <a:ext cx="3581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11</xdr:row>
      <xdr:rowOff>68580</xdr:rowOff>
    </xdr:from>
    <xdr:to>
      <xdr:col>3</xdr:col>
      <xdr:colOff>251460</xdr:colOff>
      <xdr:row>13</xdr:row>
      <xdr:rowOff>7620</xdr:rowOff>
    </xdr:to>
    <xdr:cxnSp>
      <xdr:nvCxnSpPr>
        <xdr:cNvPr id="71707" name="Line 29"/>
        <xdr:cNvCxnSpPr/>
      </xdr:nvCxnSpPr>
      <xdr:spPr>
        <a:xfrm>
          <a:off x="1430655" y="2884170"/>
          <a:ext cx="0" cy="3581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15</xdr:row>
      <xdr:rowOff>30480</xdr:rowOff>
    </xdr:from>
    <xdr:to>
      <xdr:col>3</xdr:col>
      <xdr:colOff>251460</xdr:colOff>
      <xdr:row>20</xdr:row>
      <xdr:rowOff>198120</xdr:rowOff>
    </xdr:to>
    <xdr:cxnSp>
      <xdr:nvCxnSpPr>
        <xdr:cNvPr id="71708" name="Line 30"/>
        <xdr:cNvCxnSpPr/>
      </xdr:nvCxnSpPr>
      <xdr:spPr>
        <a:xfrm>
          <a:off x="1430655" y="3684270"/>
          <a:ext cx="0" cy="12153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0</xdr:row>
      <xdr:rowOff>419100</xdr:rowOff>
    </xdr:from>
    <xdr:to>
      <xdr:col>21</xdr:col>
      <xdr:colOff>457200</xdr:colOff>
      <xdr:row>1</xdr:row>
      <xdr:rowOff>152400</xdr:rowOff>
    </xdr:to>
    <xdr:sp>
      <xdr:nvSpPr>
        <xdr:cNvPr id="13344" name="Rectangle 3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208645" y="405765"/>
          <a:ext cx="84772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15</xdr:row>
      <xdr:rowOff>175260</xdr:rowOff>
    </xdr:from>
    <xdr:to>
      <xdr:col>5</xdr:col>
      <xdr:colOff>381000</xdr:colOff>
      <xdr:row>18</xdr:row>
      <xdr:rowOff>22860</xdr:rowOff>
    </xdr:to>
    <xdr:sp>
      <xdr:nvSpPr>
        <xdr:cNvPr id="14361" name="Arc 1"/>
        <xdr:cNvSpPr>
          <a:spLocks/>
        </xdr:cNvSpPr>
      </xdr:nvSpPr>
      <xdr:spPr>
        <a:xfrm flipV="1">
          <a:off x="577215" y="3829050"/>
          <a:ext cx="1573530" cy="476250"/>
        </a:xfrm>
        <a:custGeom>
          <a:pathLst>
            <a:path w="41443" h="21601"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lnTo>
                <a:pt x="20758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350520</xdr:colOff>
      <xdr:row>15</xdr:row>
      <xdr:rowOff>76200</xdr:rowOff>
    </xdr:from>
    <xdr:to>
      <xdr:col>6</xdr:col>
      <xdr:colOff>99060</xdr:colOff>
      <xdr:row>16</xdr:row>
      <xdr:rowOff>83820</xdr:rowOff>
    </xdr:to>
    <xdr:cxnSp>
      <xdr:nvCxnSpPr>
        <xdr:cNvPr id="14362" name="Line 4"/>
        <xdr:cNvCxnSpPr/>
      </xdr:nvCxnSpPr>
      <xdr:spPr>
        <a:xfrm flipV="1">
          <a:off x="2120265" y="3729990"/>
          <a:ext cx="91440" cy="2171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15</xdr:row>
      <xdr:rowOff>106680</xdr:rowOff>
    </xdr:from>
    <xdr:to>
      <xdr:col>6</xdr:col>
      <xdr:colOff>152400</xdr:colOff>
      <xdr:row>16</xdr:row>
      <xdr:rowOff>114300</xdr:rowOff>
    </xdr:to>
    <xdr:cxnSp>
      <xdr:nvCxnSpPr>
        <xdr:cNvPr id="14363" name="Line 6"/>
        <xdr:cNvCxnSpPr/>
      </xdr:nvCxnSpPr>
      <xdr:spPr>
        <a:xfrm flipV="1">
          <a:off x="2135505" y="3760470"/>
          <a:ext cx="129540" cy="2171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15</xdr:row>
      <xdr:rowOff>76200</xdr:rowOff>
    </xdr:from>
    <xdr:to>
      <xdr:col>6</xdr:col>
      <xdr:colOff>152400</xdr:colOff>
      <xdr:row>15</xdr:row>
      <xdr:rowOff>106680</xdr:rowOff>
    </xdr:to>
    <xdr:cxnSp>
      <xdr:nvCxnSpPr>
        <xdr:cNvPr id="14364" name="Line 7"/>
        <xdr:cNvCxnSpPr/>
      </xdr:nvCxnSpPr>
      <xdr:spPr>
        <a:xfrm>
          <a:off x="2211705" y="3729990"/>
          <a:ext cx="53340" cy="304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15</xdr:row>
      <xdr:rowOff>83820</xdr:rowOff>
    </xdr:from>
    <xdr:to>
      <xdr:col>2</xdr:col>
      <xdr:colOff>38100</xdr:colOff>
      <xdr:row>16</xdr:row>
      <xdr:rowOff>76200</xdr:rowOff>
    </xdr:to>
    <xdr:cxnSp>
      <xdr:nvCxnSpPr>
        <xdr:cNvPr id="14365" name="Line 8"/>
        <xdr:cNvCxnSpPr/>
      </xdr:nvCxnSpPr>
      <xdr:spPr>
        <a:xfrm flipH="1" flipV="1">
          <a:off x="539115" y="3737610"/>
          <a:ext cx="68580" cy="2019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15</xdr:row>
      <xdr:rowOff>83820</xdr:rowOff>
    </xdr:from>
    <xdr:to>
      <xdr:col>1</xdr:col>
      <xdr:colOff>312420</xdr:colOff>
      <xdr:row>15</xdr:row>
      <xdr:rowOff>121920</xdr:rowOff>
    </xdr:to>
    <xdr:cxnSp>
      <xdr:nvCxnSpPr>
        <xdr:cNvPr id="14366" name="Line 12"/>
        <xdr:cNvCxnSpPr/>
      </xdr:nvCxnSpPr>
      <xdr:spPr>
        <a:xfrm flipV="1">
          <a:off x="485775" y="3737610"/>
          <a:ext cx="53340" cy="381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15</xdr:row>
      <xdr:rowOff>121920</xdr:rowOff>
    </xdr:from>
    <xdr:to>
      <xdr:col>1</xdr:col>
      <xdr:colOff>373380</xdr:colOff>
      <xdr:row>16</xdr:row>
      <xdr:rowOff>114300</xdr:rowOff>
    </xdr:to>
    <xdr:cxnSp>
      <xdr:nvCxnSpPr>
        <xdr:cNvPr id="14367" name="Line 13"/>
        <xdr:cNvCxnSpPr/>
      </xdr:nvCxnSpPr>
      <xdr:spPr>
        <a:xfrm flipH="1" flipV="1">
          <a:off x="485775" y="3775710"/>
          <a:ext cx="114300" cy="2019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18</xdr:row>
      <xdr:rowOff>60960</xdr:rowOff>
    </xdr:from>
    <xdr:to>
      <xdr:col>7</xdr:col>
      <xdr:colOff>0</xdr:colOff>
      <xdr:row>18</xdr:row>
      <xdr:rowOff>60960</xdr:rowOff>
    </xdr:to>
    <xdr:cxnSp>
      <xdr:nvCxnSpPr>
        <xdr:cNvPr id="14368" name="Line 14"/>
        <xdr:cNvCxnSpPr/>
      </xdr:nvCxnSpPr>
      <xdr:spPr>
        <a:xfrm>
          <a:off x="1487805" y="4343400"/>
          <a:ext cx="9677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16</xdr:row>
      <xdr:rowOff>106680</xdr:rowOff>
    </xdr:from>
    <xdr:to>
      <xdr:col>7</xdr:col>
      <xdr:colOff>0</xdr:colOff>
      <xdr:row>16</xdr:row>
      <xdr:rowOff>106680</xdr:rowOff>
    </xdr:to>
    <xdr:cxnSp>
      <xdr:nvCxnSpPr>
        <xdr:cNvPr id="14369" name="Line 15"/>
        <xdr:cNvCxnSpPr/>
      </xdr:nvCxnSpPr>
      <xdr:spPr>
        <a:xfrm>
          <a:off x="2135505" y="3970020"/>
          <a:ext cx="3200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15</xdr:row>
      <xdr:rowOff>106680</xdr:rowOff>
    </xdr:from>
    <xdr:to>
      <xdr:col>7</xdr:col>
      <xdr:colOff>0</xdr:colOff>
      <xdr:row>15</xdr:row>
      <xdr:rowOff>106680</xdr:rowOff>
    </xdr:to>
    <xdr:cxnSp>
      <xdr:nvCxnSpPr>
        <xdr:cNvPr id="14370" name="Line 16"/>
        <xdr:cNvCxnSpPr/>
      </xdr:nvCxnSpPr>
      <xdr:spPr>
        <a:xfrm>
          <a:off x="2265045" y="3760470"/>
          <a:ext cx="1905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16</xdr:row>
      <xdr:rowOff>106680</xdr:rowOff>
    </xdr:from>
    <xdr:to>
      <xdr:col>6</xdr:col>
      <xdr:colOff>327660</xdr:colOff>
      <xdr:row>18</xdr:row>
      <xdr:rowOff>60960</xdr:rowOff>
    </xdr:to>
    <xdr:cxnSp>
      <xdr:nvCxnSpPr>
        <xdr:cNvPr id="14371" name="Line 17"/>
        <xdr:cNvCxnSpPr/>
      </xdr:nvCxnSpPr>
      <xdr:spPr>
        <a:xfrm>
          <a:off x="2440305" y="3970020"/>
          <a:ext cx="0" cy="373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15</xdr:row>
      <xdr:rowOff>106680</xdr:rowOff>
    </xdr:from>
    <xdr:to>
      <xdr:col>6</xdr:col>
      <xdr:colOff>327660</xdr:colOff>
      <xdr:row>16</xdr:row>
      <xdr:rowOff>106680</xdr:rowOff>
    </xdr:to>
    <xdr:cxnSp>
      <xdr:nvCxnSpPr>
        <xdr:cNvPr id="14372" name="Line 18"/>
        <xdr:cNvCxnSpPr/>
      </xdr:nvCxnSpPr>
      <xdr:spPr>
        <a:xfrm flipV="1">
          <a:off x="2440305" y="3760470"/>
          <a:ext cx="0" cy="2095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15</xdr:row>
      <xdr:rowOff>22860</xdr:rowOff>
    </xdr:from>
    <xdr:to>
      <xdr:col>9</xdr:col>
      <xdr:colOff>0</xdr:colOff>
      <xdr:row>15</xdr:row>
      <xdr:rowOff>22860</xdr:rowOff>
    </xdr:to>
    <xdr:cxnSp>
      <xdr:nvCxnSpPr>
        <xdr:cNvPr id="14373" name="Line 20"/>
        <xdr:cNvCxnSpPr/>
      </xdr:nvCxnSpPr>
      <xdr:spPr>
        <a:xfrm>
          <a:off x="2379345" y="3676650"/>
          <a:ext cx="7334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15</xdr:row>
      <xdr:rowOff>83820</xdr:rowOff>
    </xdr:from>
    <xdr:to>
      <xdr:col>6</xdr:col>
      <xdr:colOff>76200</xdr:colOff>
      <xdr:row>15</xdr:row>
      <xdr:rowOff>83820</xdr:rowOff>
    </xdr:to>
    <xdr:cxnSp>
      <xdr:nvCxnSpPr>
        <xdr:cNvPr id="14374" name="Line 21"/>
        <xdr:cNvCxnSpPr/>
      </xdr:nvCxnSpPr>
      <xdr:spPr>
        <a:xfrm>
          <a:off x="554355" y="3737610"/>
          <a:ext cx="163449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38100</xdr:rowOff>
    </xdr:from>
    <xdr:to>
      <xdr:col>4</xdr:col>
      <xdr:colOff>0</xdr:colOff>
      <xdr:row>20</xdr:row>
      <xdr:rowOff>7620</xdr:rowOff>
    </xdr:to>
    <xdr:cxnSp>
      <xdr:nvCxnSpPr>
        <xdr:cNvPr id="14375" name="Line 22"/>
        <xdr:cNvCxnSpPr/>
      </xdr:nvCxnSpPr>
      <xdr:spPr>
        <a:xfrm>
          <a:off x="1426845" y="2853690"/>
          <a:ext cx="0" cy="18554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12</xdr:row>
      <xdr:rowOff>0</xdr:rowOff>
    </xdr:from>
    <xdr:to>
      <xdr:col>4</xdr:col>
      <xdr:colOff>0</xdr:colOff>
      <xdr:row>17</xdr:row>
      <xdr:rowOff>38100</xdr:rowOff>
    </xdr:to>
    <xdr:cxnSp>
      <xdr:nvCxnSpPr>
        <xdr:cNvPr id="14376" name="Line 23"/>
        <xdr:cNvCxnSpPr/>
      </xdr:nvCxnSpPr>
      <xdr:spPr>
        <a:xfrm flipH="1">
          <a:off x="767715" y="3025140"/>
          <a:ext cx="659130" cy="10858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121920</xdr:colOff>
      <xdr:row>12</xdr:row>
      <xdr:rowOff>0</xdr:rowOff>
    </xdr:from>
    <xdr:to>
      <xdr:col>4</xdr:col>
      <xdr:colOff>266700</xdr:colOff>
      <xdr:row>12</xdr:row>
      <xdr:rowOff>0</xdr:rowOff>
    </xdr:to>
    <xdr:cxnSp>
      <xdr:nvCxnSpPr>
        <xdr:cNvPr id="14377" name="Line 25"/>
        <xdr:cNvCxnSpPr/>
      </xdr:nvCxnSpPr>
      <xdr:spPr>
        <a:xfrm>
          <a:off x="1205865" y="3025140"/>
          <a:ext cx="4876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19</xdr:row>
      <xdr:rowOff>30480</xdr:rowOff>
    </xdr:from>
    <xdr:to>
      <xdr:col>3</xdr:col>
      <xdr:colOff>106680</xdr:colOff>
      <xdr:row>19</xdr:row>
      <xdr:rowOff>30480</xdr:rowOff>
    </xdr:to>
    <xdr:cxnSp>
      <xdr:nvCxnSpPr>
        <xdr:cNvPr id="14378" name="Line 26"/>
        <xdr:cNvCxnSpPr/>
      </xdr:nvCxnSpPr>
      <xdr:spPr>
        <a:xfrm>
          <a:off x="249555" y="4522470"/>
          <a:ext cx="9410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16</xdr:row>
      <xdr:rowOff>175260</xdr:rowOff>
    </xdr:from>
    <xdr:to>
      <xdr:col>3</xdr:col>
      <xdr:colOff>182880</xdr:colOff>
      <xdr:row>17</xdr:row>
      <xdr:rowOff>175260</xdr:rowOff>
    </xdr:to>
    <xdr:cxnSp>
      <xdr:nvCxnSpPr>
        <xdr:cNvPr id="14379" name="Line 27"/>
        <xdr:cNvCxnSpPr/>
      </xdr:nvCxnSpPr>
      <xdr:spPr>
        <a:xfrm flipH="1">
          <a:off x="1228725" y="4038600"/>
          <a:ext cx="38100" cy="2095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18</xdr:row>
      <xdr:rowOff>38100</xdr:rowOff>
    </xdr:from>
    <xdr:to>
      <xdr:col>3</xdr:col>
      <xdr:colOff>137160</xdr:colOff>
      <xdr:row>19</xdr:row>
      <xdr:rowOff>30480</xdr:rowOff>
    </xdr:to>
    <xdr:cxnSp>
      <xdr:nvCxnSpPr>
        <xdr:cNvPr id="14380" name="Line 28"/>
        <xdr:cNvCxnSpPr/>
      </xdr:nvCxnSpPr>
      <xdr:spPr>
        <a:xfrm flipH="1">
          <a:off x="1190625" y="4320540"/>
          <a:ext cx="30480" cy="2019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16</xdr:row>
      <xdr:rowOff>0</xdr:rowOff>
    </xdr:from>
    <xdr:to>
      <xdr:col>7</xdr:col>
      <xdr:colOff>304800</xdr:colOff>
      <xdr:row>16</xdr:row>
      <xdr:rowOff>0</xdr:rowOff>
    </xdr:to>
    <xdr:cxnSp>
      <xdr:nvCxnSpPr>
        <xdr:cNvPr id="14381" name="Line 29"/>
        <xdr:cNvCxnSpPr/>
      </xdr:nvCxnSpPr>
      <xdr:spPr>
        <a:xfrm>
          <a:off x="2440305" y="3863340"/>
          <a:ext cx="3200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15</xdr:row>
      <xdr:rowOff>22860</xdr:rowOff>
    </xdr:from>
    <xdr:to>
      <xdr:col>7</xdr:col>
      <xdr:colOff>304800</xdr:colOff>
      <xdr:row>16</xdr:row>
      <xdr:rowOff>0</xdr:rowOff>
    </xdr:to>
    <xdr:cxnSp>
      <xdr:nvCxnSpPr>
        <xdr:cNvPr id="14382" name="Line 30"/>
        <xdr:cNvCxnSpPr/>
      </xdr:nvCxnSpPr>
      <xdr:spPr>
        <a:xfrm>
          <a:off x="2760345" y="3676650"/>
          <a:ext cx="0" cy="1866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0</xdr:row>
      <xdr:rowOff>381000</xdr:rowOff>
    </xdr:from>
    <xdr:to>
      <xdr:col>22</xdr:col>
      <xdr:colOff>342900</xdr:colOff>
      <xdr:row>1</xdr:row>
      <xdr:rowOff>114300</xdr:rowOff>
    </xdr:to>
    <xdr:sp>
      <xdr:nvSpPr>
        <xdr:cNvPr id="2" name="Rectangle 36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084820" y="367665"/>
          <a:ext cx="79057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14</xdr:row>
      <xdr:rowOff>160020</xdr:rowOff>
    </xdr:from>
    <xdr:to>
      <xdr:col>6</xdr:col>
      <xdr:colOff>350520</xdr:colOff>
      <xdr:row>14</xdr:row>
      <xdr:rowOff>160020</xdr:rowOff>
    </xdr:to>
    <xdr:cxnSp>
      <xdr:nvCxnSpPr>
        <xdr:cNvPr id="72705" name="Line 2"/>
        <xdr:cNvCxnSpPr/>
      </xdr:nvCxnSpPr>
      <xdr:spPr>
        <a:xfrm flipV="1">
          <a:off x="457200" y="3505200"/>
          <a:ext cx="265366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18</xdr:row>
      <xdr:rowOff>121920</xdr:rowOff>
    </xdr:from>
    <xdr:to>
      <xdr:col>1</xdr:col>
      <xdr:colOff>487680</xdr:colOff>
      <xdr:row>20</xdr:row>
      <xdr:rowOff>60960</xdr:rowOff>
    </xdr:to>
    <xdr:sp>
      <xdr:nvSpPr>
        <xdr:cNvPr id="72706" name="Arc 7"/>
        <xdr:cNvSpPr>
          <a:spLocks/>
        </xdr:cNvSpPr>
      </xdr:nvSpPr>
      <xdr:spPr>
        <a:xfrm flipH="1" flipV="1">
          <a:off x="434340" y="4290060"/>
          <a:ext cx="365760" cy="350520"/>
        </a:xfrm>
        <a:custGeom>
          <a:pathLst>
            <a:path w="21591" h="21595"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lnTo>
                <a:pt x="0" y="21594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335280</xdr:colOff>
      <xdr:row>18</xdr:row>
      <xdr:rowOff>137160</xdr:rowOff>
    </xdr:from>
    <xdr:to>
      <xdr:col>4</xdr:col>
      <xdr:colOff>678180</xdr:colOff>
      <xdr:row>20</xdr:row>
      <xdr:rowOff>60960</xdr:rowOff>
    </xdr:to>
    <xdr:sp>
      <xdr:nvSpPr>
        <xdr:cNvPr id="72707" name="Arc 8"/>
        <xdr:cNvSpPr>
          <a:spLocks/>
        </xdr:cNvSpPr>
      </xdr:nvSpPr>
      <xdr:spPr>
        <a:xfrm flipV="1">
          <a:off x="1952625" y="4305300"/>
          <a:ext cx="342900" cy="3352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121920</xdr:colOff>
      <xdr:row>14</xdr:row>
      <xdr:rowOff>160020</xdr:rowOff>
    </xdr:from>
    <xdr:to>
      <xdr:col>1</xdr:col>
      <xdr:colOff>121920</xdr:colOff>
      <xdr:row>18</xdr:row>
      <xdr:rowOff>137160</xdr:rowOff>
    </xdr:to>
    <xdr:cxnSp>
      <xdr:nvCxnSpPr>
        <xdr:cNvPr id="72708" name="Line 9"/>
        <xdr:cNvCxnSpPr/>
      </xdr:nvCxnSpPr>
      <xdr:spPr>
        <a:xfrm flipV="1">
          <a:off x="434340" y="3505200"/>
          <a:ext cx="0" cy="8001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678180</xdr:colOff>
      <xdr:row>14</xdr:row>
      <xdr:rowOff>160020</xdr:rowOff>
    </xdr:from>
    <xdr:to>
      <xdr:col>4</xdr:col>
      <xdr:colOff>678180</xdr:colOff>
      <xdr:row>18</xdr:row>
      <xdr:rowOff>144780</xdr:rowOff>
    </xdr:to>
    <xdr:cxnSp>
      <xdr:nvCxnSpPr>
        <xdr:cNvPr id="72709" name="Line 10"/>
        <xdr:cNvCxnSpPr/>
      </xdr:nvCxnSpPr>
      <xdr:spPr>
        <a:xfrm flipV="1">
          <a:off x="2295525" y="3505200"/>
          <a:ext cx="0" cy="8077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9</xdr:row>
      <xdr:rowOff>144780</xdr:rowOff>
    </xdr:from>
    <xdr:to>
      <xdr:col>1</xdr:col>
      <xdr:colOff>114300</xdr:colOff>
      <xdr:row>13</xdr:row>
      <xdr:rowOff>121920</xdr:rowOff>
    </xdr:to>
    <xdr:cxnSp>
      <xdr:nvCxnSpPr>
        <xdr:cNvPr id="72710" name="Line 12"/>
        <xdr:cNvCxnSpPr/>
      </xdr:nvCxnSpPr>
      <xdr:spPr>
        <a:xfrm>
          <a:off x="426720" y="2461260"/>
          <a:ext cx="0" cy="8001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9</xdr:row>
      <xdr:rowOff>114300</xdr:rowOff>
    </xdr:from>
    <xdr:to>
      <xdr:col>4</xdr:col>
      <xdr:colOff>723900</xdr:colOff>
      <xdr:row>13</xdr:row>
      <xdr:rowOff>114300</xdr:rowOff>
    </xdr:to>
    <xdr:cxnSp>
      <xdr:nvCxnSpPr>
        <xdr:cNvPr id="72711" name="Line 13"/>
        <xdr:cNvCxnSpPr/>
      </xdr:nvCxnSpPr>
      <xdr:spPr>
        <a:xfrm>
          <a:off x="2341245" y="2430780"/>
          <a:ext cx="0" cy="822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13</xdr:row>
      <xdr:rowOff>7620</xdr:rowOff>
    </xdr:from>
    <xdr:to>
      <xdr:col>4</xdr:col>
      <xdr:colOff>723900</xdr:colOff>
      <xdr:row>13</xdr:row>
      <xdr:rowOff>7620</xdr:rowOff>
    </xdr:to>
    <xdr:cxnSp>
      <xdr:nvCxnSpPr>
        <xdr:cNvPr id="72712" name="Line 14"/>
        <xdr:cNvCxnSpPr/>
      </xdr:nvCxnSpPr>
      <xdr:spPr>
        <a:xfrm>
          <a:off x="426720" y="3147060"/>
          <a:ext cx="19145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4</xdr:row>
      <xdr:rowOff>83820</xdr:rowOff>
    </xdr:from>
    <xdr:to>
      <xdr:col>4</xdr:col>
      <xdr:colOff>685800</xdr:colOff>
      <xdr:row>11</xdr:row>
      <xdr:rowOff>76200</xdr:rowOff>
    </xdr:to>
    <xdr:sp>
      <xdr:nvSpPr>
        <xdr:cNvPr id="72713" name="AutoShape 16"/>
        <xdr:cNvSpPr>
          <a:spLocks/>
        </xdr:cNvSpPr>
      </xdr:nvSpPr>
      <xdr:spPr>
        <a:xfrm>
          <a:off x="457200" y="1371600"/>
          <a:ext cx="1845945" cy="1432560"/>
        </a:xfrm>
        <a:prstGeom prst="roundRect">
          <a:avLst>
            <a:gd name="adj" fmla="val 19588"/>
          </a:avLst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480060</xdr:colOff>
      <xdr:row>20</xdr:row>
      <xdr:rowOff>60960</xdr:rowOff>
    </xdr:from>
    <xdr:to>
      <xdr:col>4</xdr:col>
      <xdr:colOff>335280</xdr:colOff>
      <xdr:row>20</xdr:row>
      <xdr:rowOff>60960</xdr:rowOff>
    </xdr:to>
    <xdr:cxnSp>
      <xdr:nvCxnSpPr>
        <xdr:cNvPr id="72714" name="Line 18"/>
        <xdr:cNvCxnSpPr/>
      </xdr:nvCxnSpPr>
      <xdr:spPr>
        <a:xfrm>
          <a:off x="792480" y="4640580"/>
          <a:ext cx="116014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11</xdr:row>
      <xdr:rowOff>99060</xdr:rowOff>
    </xdr:from>
    <xdr:to>
      <xdr:col>5</xdr:col>
      <xdr:colOff>411480</xdr:colOff>
      <xdr:row>11</xdr:row>
      <xdr:rowOff>99060</xdr:rowOff>
    </xdr:to>
    <xdr:cxnSp>
      <xdr:nvCxnSpPr>
        <xdr:cNvPr id="72715" name="Line 19"/>
        <xdr:cNvCxnSpPr/>
      </xdr:nvCxnSpPr>
      <xdr:spPr>
        <a:xfrm>
          <a:off x="1998345" y="2827020"/>
          <a:ext cx="7067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4</xdr:row>
      <xdr:rowOff>45720</xdr:rowOff>
    </xdr:from>
    <xdr:to>
      <xdr:col>5</xdr:col>
      <xdr:colOff>480060</xdr:colOff>
      <xdr:row>4</xdr:row>
      <xdr:rowOff>45720</xdr:rowOff>
    </xdr:to>
    <xdr:cxnSp>
      <xdr:nvCxnSpPr>
        <xdr:cNvPr id="72716" name="Line 20"/>
        <xdr:cNvCxnSpPr/>
      </xdr:nvCxnSpPr>
      <xdr:spPr>
        <a:xfrm>
          <a:off x="1922145" y="1333500"/>
          <a:ext cx="8515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45720</xdr:rowOff>
    </xdr:from>
    <xdr:to>
      <xdr:col>5</xdr:col>
      <xdr:colOff>266700</xdr:colOff>
      <xdr:row>7</xdr:row>
      <xdr:rowOff>0</xdr:rowOff>
    </xdr:to>
    <xdr:cxnSp>
      <xdr:nvCxnSpPr>
        <xdr:cNvPr id="72717" name="Line 22"/>
        <xdr:cNvCxnSpPr/>
      </xdr:nvCxnSpPr>
      <xdr:spPr>
        <a:xfrm>
          <a:off x="2560320" y="1333500"/>
          <a:ext cx="0" cy="5715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0</xdr:rowOff>
    </xdr:from>
    <xdr:to>
      <xdr:col>5</xdr:col>
      <xdr:colOff>266700</xdr:colOff>
      <xdr:row>11</xdr:row>
      <xdr:rowOff>99060</xdr:rowOff>
    </xdr:to>
    <xdr:cxnSp>
      <xdr:nvCxnSpPr>
        <xdr:cNvPr id="72718" name="Line 23"/>
        <xdr:cNvCxnSpPr/>
      </xdr:nvCxnSpPr>
      <xdr:spPr>
        <a:xfrm>
          <a:off x="2560320" y="2110740"/>
          <a:ext cx="0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9</xdr:row>
      <xdr:rowOff>114300</xdr:rowOff>
    </xdr:from>
    <xdr:to>
      <xdr:col>1</xdr:col>
      <xdr:colOff>518160</xdr:colOff>
      <xdr:row>10</xdr:row>
      <xdr:rowOff>198120</xdr:rowOff>
    </xdr:to>
    <xdr:cxnSp>
      <xdr:nvCxnSpPr>
        <xdr:cNvPr id="72719" name="Line 24"/>
        <xdr:cNvCxnSpPr/>
      </xdr:nvCxnSpPr>
      <xdr:spPr>
        <a:xfrm flipV="1">
          <a:off x="586740" y="2430780"/>
          <a:ext cx="24384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525780</xdr:colOff>
      <xdr:row>9</xdr:row>
      <xdr:rowOff>121920</xdr:rowOff>
    </xdr:from>
    <xdr:to>
      <xdr:col>2</xdr:col>
      <xdr:colOff>0</xdr:colOff>
      <xdr:row>9</xdr:row>
      <xdr:rowOff>121920</xdr:rowOff>
    </xdr:to>
    <xdr:cxnSp>
      <xdr:nvCxnSpPr>
        <xdr:cNvPr id="72720" name="Line 25"/>
        <xdr:cNvCxnSpPr/>
      </xdr:nvCxnSpPr>
      <xdr:spPr>
        <a:xfrm>
          <a:off x="838200" y="2438400"/>
          <a:ext cx="1504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18</xdr:row>
      <xdr:rowOff>137160</xdr:rowOff>
    </xdr:from>
    <xdr:to>
      <xdr:col>5</xdr:col>
      <xdr:colOff>350520</xdr:colOff>
      <xdr:row>18</xdr:row>
      <xdr:rowOff>137160</xdr:rowOff>
    </xdr:to>
    <xdr:cxnSp>
      <xdr:nvCxnSpPr>
        <xdr:cNvPr id="72721" name="Line 28"/>
        <xdr:cNvCxnSpPr/>
      </xdr:nvCxnSpPr>
      <xdr:spPr>
        <a:xfrm>
          <a:off x="1891665" y="4305300"/>
          <a:ext cx="7524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14</xdr:row>
      <xdr:rowOff>160020</xdr:rowOff>
    </xdr:from>
    <xdr:to>
      <xdr:col>5</xdr:col>
      <xdr:colOff>266700</xdr:colOff>
      <xdr:row>15</xdr:row>
      <xdr:rowOff>198120</xdr:rowOff>
    </xdr:to>
    <xdr:cxnSp>
      <xdr:nvCxnSpPr>
        <xdr:cNvPr id="72722" name="Line 30"/>
        <xdr:cNvCxnSpPr/>
      </xdr:nvCxnSpPr>
      <xdr:spPr>
        <a:xfrm>
          <a:off x="2560320" y="3505200"/>
          <a:ext cx="0" cy="2438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17</xdr:row>
      <xdr:rowOff>0</xdr:rowOff>
    </xdr:from>
    <xdr:to>
      <xdr:col>5</xdr:col>
      <xdr:colOff>266700</xdr:colOff>
      <xdr:row>18</xdr:row>
      <xdr:rowOff>137160</xdr:rowOff>
    </xdr:to>
    <xdr:cxnSp>
      <xdr:nvCxnSpPr>
        <xdr:cNvPr id="72723" name="Line 31"/>
        <xdr:cNvCxnSpPr/>
      </xdr:nvCxnSpPr>
      <xdr:spPr>
        <a:xfrm>
          <a:off x="2560320" y="3962400"/>
          <a:ext cx="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18</xdr:row>
      <xdr:rowOff>121920</xdr:rowOff>
    </xdr:from>
    <xdr:to>
      <xdr:col>1</xdr:col>
      <xdr:colOff>693420</xdr:colOff>
      <xdr:row>18</xdr:row>
      <xdr:rowOff>121920</xdr:rowOff>
    </xdr:to>
    <xdr:cxnSp>
      <xdr:nvCxnSpPr>
        <xdr:cNvPr id="72724" name="Line 34"/>
        <xdr:cNvCxnSpPr/>
      </xdr:nvCxnSpPr>
      <xdr:spPr>
        <a:xfrm flipV="1">
          <a:off x="320040" y="4290060"/>
          <a:ext cx="685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18</xdr:row>
      <xdr:rowOff>83820</xdr:rowOff>
    </xdr:from>
    <xdr:to>
      <xdr:col>1</xdr:col>
      <xdr:colOff>480060</xdr:colOff>
      <xdr:row>22</xdr:row>
      <xdr:rowOff>99060</xdr:rowOff>
    </xdr:to>
    <xdr:cxnSp>
      <xdr:nvCxnSpPr>
        <xdr:cNvPr id="72725" name="Line 37"/>
        <xdr:cNvCxnSpPr/>
      </xdr:nvCxnSpPr>
      <xdr:spPr>
        <a:xfrm>
          <a:off x="792480" y="4251960"/>
          <a:ext cx="0" cy="838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335280</xdr:colOff>
      <xdr:row>18</xdr:row>
      <xdr:rowOff>83820</xdr:rowOff>
    </xdr:from>
    <xdr:to>
      <xdr:col>4</xdr:col>
      <xdr:colOff>335280</xdr:colOff>
      <xdr:row>22</xdr:row>
      <xdr:rowOff>68580</xdr:rowOff>
    </xdr:to>
    <xdr:cxnSp>
      <xdr:nvCxnSpPr>
        <xdr:cNvPr id="72726" name="Line 38"/>
        <xdr:cNvCxnSpPr/>
      </xdr:nvCxnSpPr>
      <xdr:spPr>
        <a:xfrm>
          <a:off x="1952625" y="4251960"/>
          <a:ext cx="0" cy="807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20</xdr:row>
      <xdr:rowOff>99060</xdr:rowOff>
    </xdr:from>
    <xdr:to>
      <xdr:col>6</xdr:col>
      <xdr:colOff>335280</xdr:colOff>
      <xdr:row>20</xdr:row>
      <xdr:rowOff>99060</xdr:rowOff>
    </xdr:to>
    <xdr:cxnSp>
      <xdr:nvCxnSpPr>
        <xdr:cNvPr id="72727" name="Line 39"/>
        <xdr:cNvCxnSpPr/>
      </xdr:nvCxnSpPr>
      <xdr:spPr>
        <a:xfrm>
          <a:off x="1998345" y="4678680"/>
          <a:ext cx="10972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152400</xdr:rowOff>
    </xdr:from>
    <xdr:to>
      <xdr:col>6</xdr:col>
      <xdr:colOff>266700</xdr:colOff>
      <xdr:row>18</xdr:row>
      <xdr:rowOff>0</xdr:rowOff>
    </xdr:to>
    <xdr:cxnSp>
      <xdr:nvCxnSpPr>
        <xdr:cNvPr id="72728" name="Line 41"/>
        <xdr:cNvCxnSpPr/>
      </xdr:nvCxnSpPr>
      <xdr:spPr>
        <a:xfrm>
          <a:off x="3027045" y="3497580"/>
          <a:ext cx="0" cy="670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19</xdr:row>
      <xdr:rowOff>0</xdr:rowOff>
    </xdr:from>
    <xdr:to>
      <xdr:col>6</xdr:col>
      <xdr:colOff>266700</xdr:colOff>
      <xdr:row>20</xdr:row>
      <xdr:rowOff>83820</xdr:rowOff>
    </xdr:to>
    <xdr:cxnSp>
      <xdr:nvCxnSpPr>
        <xdr:cNvPr id="72729" name="Line 42"/>
        <xdr:cNvCxnSpPr/>
      </xdr:nvCxnSpPr>
      <xdr:spPr>
        <a:xfrm>
          <a:off x="3027045" y="4373880"/>
          <a:ext cx="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18</xdr:row>
      <xdr:rowOff>121920</xdr:rowOff>
    </xdr:from>
    <xdr:to>
      <xdr:col>1</xdr:col>
      <xdr:colOff>464820</xdr:colOff>
      <xdr:row>19</xdr:row>
      <xdr:rowOff>137160</xdr:rowOff>
    </xdr:to>
    <xdr:cxnSp>
      <xdr:nvCxnSpPr>
        <xdr:cNvPr id="72730" name="Line 43"/>
        <xdr:cNvCxnSpPr/>
      </xdr:nvCxnSpPr>
      <xdr:spPr>
        <a:xfrm flipV="1">
          <a:off x="563880" y="4290060"/>
          <a:ext cx="21336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426720</xdr:colOff>
      <xdr:row>4</xdr:row>
      <xdr:rowOff>45720</xdr:rowOff>
    </xdr:from>
    <xdr:to>
      <xdr:col>16</xdr:col>
      <xdr:colOff>220980</xdr:colOff>
      <xdr:row>4</xdr:row>
      <xdr:rowOff>45720</xdr:rowOff>
    </xdr:to>
    <xdr:cxnSp>
      <xdr:nvCxnSpPr>
        <xdr:cNvPr id="72731" name="Line 47"/>
        <xdr:cNvCxnSpPr/>
      </xdr:nvCxnSpPr>
      <xdr:spPr>
        <a:xfrm>
          <a:off x="5644515" y="1333500"/>
          <a:ext cx="2489835" cy="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8</xdr:row>
      <xdr:rowOff>0</xdr:rowOff>
    </xdr:from>
    <xdr:to>
      <xdr:col>12</xdr:col>
      <xdr:colOff>137160</xdr:colOff>
      <xdr:row>8</xdr:row>
      <xdr:rowOff>0</xdr:rowOff>
    </xdr:to>
    <xdr:cxnSp>
      <xdr:nvCxnSpPr>
        <xdr:cNvPr id="72732" name="Line 48"/>
        <xdr:cNvCxnSpPr/>
      </xdr:nvCxnSpPr>
      <xdr:spPr>
        <a:xfrm>
          <a:off x="5059680" y="2110740"/>
          <a:ext cx="895350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19</xdr:row>
      <xdr:rowOff>182880</xdr:rowOff>
    </xdr:from>
    <xdr:to>
      <xdr:col>16</xdr:col>
      <xdr:colOff>228600</xdr:colOff>
      <xdr:row>19</xdr:row>
      <xdr:rowOff>182880</xdr:rowOff>
    </xdr:to>
    <xdr:cxnSp>
      <xdr:nvCxnSpPr>
        <xdr:cNvPr id="72733" name="Line 50"/>
        <xdr:cNvCxnSpPr/>
      </xdr:nvCxnSpPr>
      <xdr:spPr>
        <a:xfrm>
          <a:off x="5667375" y="4556760"/>
          <a:ext cx="2474595" cy="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4</xdr:row>
      <xdr:rowOff>160020</xdr:rowOff>
    </xdr:from>
    <xdr:to>
      <xdr:col>11</xdr:col>
      <xdr:colOff>441960</xdr:colOff>
      <xdr:row>19</xdr:row>
      <xdr:rowOff>45720</xdr:rowOff>
    </xdr:to>
    <xdr:cxnSp>
      <xdr:nvCxnSpPr>
        <xdr:cNvPr id="72734" name="Line 51"/>
        <xdr:cNvCxnSpPr/>
      </xdr:nvCxnSpPr>
      <xdr:spPr>
        <a:xfrm>
          <a:off x="5659755" y="1447800"/>
          <a:ext cx="0" cy="297180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15</xdr:row>
      <xdr:rowOff>38100</xdr:rowOff>
    </xdr:from>
    <xdr:to>
      <xdr:col>16</xdr:col>
      <xdr:colOff>220980</xdr:colOff>
      <xdr:row>19</xdr:row>
      <xdr:rowOff>38100</xdr:rowOff>
    </xdr:to>
    <xdr:cxnSp>
      <xdr:nvCxnSpPr>
        <xdr:cNvPr id="72735" name="Line 52"/>
        <xdr:cNvCxnSpPr/>
      </xdr:nvCxnSpPr>
      <xdr:spPr>
        <a:xfrm flipH="1">
          <a:off x="8134350" y="3589020"/>
          <a:ext cx="0" cy="82296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8</xdr:row>
      <xdr:rowOff>0</xdr:rowOff>
    </xdr:from>
    <xdr:to>
      <xdr:col>10</xdr:col>
      <xdr:colOff>312420</xdr:colOff>
      <xdr:row>16</xdr:row>
      <xdr:rowOff>0</xdr:rowOff>
    </xdr:to>
    <xdr:cxnSp>
      <xdr:nvCxnSpPr>
        <xdr:cNvPr id="72736" name="Line 53"/>
        <xdr:cNvCxnSpPr/>
      </xdr:nvCxnSpPr>
      <xdr:spPr>
        <a:xfrm>
          <a:off x="4930140" y="2110740"/>
          <a:ext cx="0" cy="164592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327660</xdr:colOff>
      <xdr:row>8</xdr:row>
      <xdr:rowOff>0</xdr:rowOff>
    </xdr:from>
    <xdr:to>
      <xdr:col>17</xdr:col>
      <xdr:colOff>327660</xdr:colOff>
      <xdr:row>16</xdr:row>
      <xdr:rowOff>0</xdr:rowOff>
    </xdr:to>
    <xdr:cxnSp>
      <xdr:nvCxnSpPr>
        <xdr:cNvPr id="72737" name="Line 54"/>
        <xdr:cNvCxnSpPr/>
      </xdr:nvCxnSpPr>
      <xdr:spPr>
        <a:xfrm>
          <a:off x="8841105" y="2110740"/>
          <a:ext cx="0" cy="164592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4</xdr:row>
      <xdr:rowOff>175260</xdr:rowOff>
    </xdr:from>
    <xdr:to>
      <xdr:col>11</xdr:col>
      <xdr:colOff>441960</xdr:colOff>
      <xdr:row>8</xdr:row>
      <xdr:rowOff>0</xdr:rowOff>
    </xdr:to>
    <xdr:sp>
      <xdr:nvSpPr>
        <xdr:cNvPr id="72738" name="Arc 56"/>
        <xdr:cNvSpPr>
          <a:spLocks/>
        </xdr:cNvSpPr>
      </xdr:nvSpPr>
      <xdr:spPr>
        <a:xfrm flipH="1">
          <a:off x="5059680" y="1463040"/>
          <a:ext cx="600075" cy="64770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217170</xdr:colOff>
      <xdr:row>4</xdr:row>
      <xdr:rowOff>152400</xdr:rowOff>
    </xdr:from>
    <xdr:to>
      <xdr:col>17</xdr:col>
      <xdr:colOff>194310</xdr:colOff>
      <xdr:row>8</xdr:row>
      <xdr:rowOff>0</xdr:rowOff>
    </xdr:to>
    <xdr:sp>
      <xdr:nvSpPr>
        <xdr:cNvPr id="72739" name="Arc 57"/>
        <xdr:cNvSpPr>
          <a:spLocks/>
        </xdr:cNvSpPr>
      </xdr:nvSpPr>
      <xdr:spPr>
        <a:xfrm rot="5400000" flipH="1">
          <a:off x="8083550" y="1487170"/>
          <a:ext cx="670560" cy="577215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220980</xdr:colOff>
      <xdr:row>16</xdr:row>
      <xdr:rowOff>0</xdr:rowOff>
    </xdr:from>
    <xdr:to>
      <xdr:col>17</xdr:col>
      <xdr:colOff>220980</xdr:colOff>
      <xdr:row>19</xdr:row>
      <xdr:rowOff>38100</xdr:rowOff>
    </xdr:to>
    <xdr:sp>
      <xdr:nvSpPr>
        <xdr:cNvPr id="72740" name="Arc 58"/>
        <xdr:cNvSpPr>
          <a:spLocks/>
        </xdr:cNvSpPr>
      </xdr:nvSpPr>
      <xdr:spPr>
        <a:xfrm rot="10800000" flipH="1">
          <a:off x="8134350" y="3756660"/>
          <a:ext cx="600075" cy="6553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445770</xdr:colOff>
      <xdr:row>16</xdr:row>
      <xdr:rowOff>0</xdr:rowOff>
    </xdr:from>
    <xdr:to>
      <xdr:col>11</xdr:col>
      <xdr:colOff>422910</xdr:colOff>
      <xdr:row>19</xdr:row>
      <xdr:rowOff>60960</xdr:rowOff>
    </xdr:to>
    <xdr:sp>
      <xdr:nvSpPr>
        <xdr:cNvPr id="72741" name="Arc 59"/>
        <xdr:cNvSpPr>
          <a:spLocks/>
        </xdr:cNvSpPr>
      </xdr:nvSpPr>
      <xdr:spPr>
        <a:xfrm rot="16200000" flipH="1">
          <a:off x="5012690" y="3807460"/>
          <a:ext cx="678180" cy="577215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441960</xdr:colOff>
      <xdr:row>4</xdr:row>
      <xdr:rowOff>45720</xdr:rowOff>
    </xdr:from>
    <xdr:to>
      <xdr:col>11</xdr:col>
      <xdr:colOff>441960</xdr:colOff>
      <xdr:row>4</xdr:row>
      <xdr:rowOff>160020</xdr:rowOff>
    </xdr:to>
    <xdr:cxnSp>
      <xdr:nvCxnSpPr>
        <xdr:cNvPr id="72742" name="Line 60"/>
        <xdr:cNvCxnSpPr/>
      </xdr:nvCxnSpPr>
      <xdr:spPr>
        <a:xfrm flipV="1">
          <a:off x="5659755" y="1333500"/>
          <a:ext cx="0" cy="11430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8</xdr:row>
      <xdr:rowOff>0</xdr:rowOff>
    </xdr:from>
    <xdr:to>
      <xdr:col>10</xdr:col>
      <xdr:colOff>441960</xdr:colOff>
      <xdr:row>8</xdr:row>
      <xdr:rowOff>0</xdr:rowOff>
    </xdr:to>
    <xdr:cxnSp>
      <xdr:nvCxnSpPr>
        <xdr:cNvPr id="72743" name="Line 61"/>
        <xdr:cNvCxnSpPr/>
      </xdr:nvCxnSpPr>
      <xdr:spPr>
        <a:xfrm flipH="1">
          <a:off x="4930140" y="2110740"/>
          <a:ext cx="129540" cy="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16</xdr:row>
      <xdr:rowOff>0</xdr:rowOff>
    </xdr:from>
    <xdr:to>
      <xdr:col>10</xdr:col>
      <xdr:colOff>449580</xdr:colOff>
      <xdr:row>16</xdr:row>
      <xdr:rowOff>0</xdr:rowOff>
    </xdr:to>
    <xdr:cxnSp>
      <xdr:nvCxnSpPr>
        <xdr:cNvPr id="72744" name="Line 62"/>
        <xdr:cNvCxnSpPr/>
      </xdr:nvCxnSpPr>
      <xdr:spPr>
        <a:xfrm flipH="1">
          <a:off x="4930140" y="3756660"/>
          <a:ext cx="137160" cy="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19</xdr:row>
      <xdr:rowOff>60960</xdr:rowOff>
    </xdr:from>
    <xdr:to>
      <xdr:col>11</xdr:col>
      <xdr:colOff>441960</xdr:colOff>
      <xdr:row>19</xdr:row>
      <xdr:rowOff>182880</xdr:rowOff>
    </xdr:to>
    <xdr:cxnSp>
      <xdr:nvCxnSpPr>
        <xdr:cNvPr id="72745" name="Line 63"/>
        <xdr:cNvCxnSpPr/>
      </xdr:nvCxnSpPr>
      <xdr:spPr>
        <a:xfrm>
          <a:off x="5659755" y="4434840"/>
          <a:ext cx="0" cy="12192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4</xdr:row>
      <xdr:rowOff>45720</xdr:rowOff>
    </xdr:from>
    <xdr:to>
      <xdr:col>16</xdr:col>
      <xdr:colOff>220980</xdr:colOff>
      <xdr:row>4</xdr:row>
      <xdr:rowOff>160020</xdr:rowOff>
    </xdr:to>
    <xdr:cxnSp>
      <xdr:nvCxnSpPr>
        <xdr:cNvPr id="72746" name="Line 64"/>
        <xdr:cNvCxnSpPr/>
      </xdr:nvCxnSpPr>
      <xdr:spPr>
        <a:xfrm flipV="1">
          <a:off x="8134350" y="1333500"/>
          <a:ext cx="0" cy="11430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198120</xdr:colOff>
      <xdr:row>8</xdr:row>
      <xdr:rowOff>0</xdr:rowOff>
    </xdr:from>
    <xdr:to>
      <xdr:col>17</xdr:col>
      <xdr:colOff>327660</xdr:colOff>
      <xdr:row>8</xdr:row>
      <xdr:rowOff>0</xdr:rowOff>
    </xdr:to>
    <xdr:cxnSp>
      <xdr:nvCxnSpPr>
        <xdr:cNvPr id="72747" name="Line 65"/>
        <xdr:cNvCxnSpPr/>
      </xdr:nvCxnSpPr>
      <xdr:spPr>
        <a:xfrm>
          <a:off x="8711565" y="2110740"/>
          <a:ext cx="129540" cy="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220980</xdr:colOff>
      <xdr:row>16</xdr:row>
      <xdr:rowOff>0</xdr:rowOff>
    </xdr:from>
    <xdr:to>
      <xdr:col>17</xdr:col>
      <xdr:colOff>327660</xdr:colOff>
      <xdr:row>16</xdr:row>
      <xdr:rowOff>0</xdr:rowOff>
    </xdr:to>
    <xdr:cxnSp>
      <xdr:nvCxnSpPr>
        <xdr:cNvPr id="72748" name="Line 66"/>
        <xdr:cNvCxnSpPr/>
      </xdr:nvCxnSpPr>
      <xdr:spPr>
        <a:xfrm>
          <a:off x="8734425" y="3756660"/>
          <a:ext cx="106680" cy="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19</xdr:row>
      <xdr:rowOff>38100</xdr:rowOff>
    </xdr:from>
    <xdr:to>
      <xdr:col>16</xdr:col>
      <xdr:colOff>220980</xdr:colOff>
      <xdr:row>19</xdr:row>
      <xdr:rowOff>182880</xdr:rowOff>
    </xdr:to>
    <xdr:cxnSp>
      <xdr:nvCxnSpPr>
        <xdr:cNvPr id="72749" name="Line 67"/>
        <xdr:cNvCxnSpPr/>
      </xdr:nvCxnSpPr>
      <xdr:spPr>
        <a:xfrm>
          <a:off x="8134350" y="4411980"/>
          <a:ext cx="0" cy="14478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15</xdr:row>
      <xdr:rowOff>198120</xdr:rowOff>
    </xdr:from>
    <xdr:to>
      <xdr:col>10</xdr:col>
      <xdr:colOff>312420</xdr:colOff>
      <xdr:row>23</xdr:row>
      <xdr:rowOff>30480</xdr:rowOff>
    </xdr:to>
    <xdr:cxnSp>
      <xdr:nvCxnSpPr>
        <xdr:cNvPr id="72750" name="Line 68"/>
        <xdr:cNvCxnSpPr/>
      </xdr:nvCxnSpPr>
      <xdr:spPr>
        <a:xfrm>
          <a:off x="4930140" y="3749040"/>
          <a:ext cx="0" cy="1478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19</xdr:row>
      <xdr:rowOff>182880</xdr:rowOff>
    </xdr:from>
    <xdr:to>
      <xdr:col>11</xdr:col>
      <xdr:colOff>441960</xdr:colOff>
      <xdr:row>21</xdr:row>
      <xdr:rowOff>198120</xdr:rowOff>
    </xdr:to>
    <xdr:cxnSp>
      <xdr:nvCxnSpPr>
        <xdr:cNvPr id="72751" name="Line 69"/>
        <xdr:cNvCxnSpPr/>
      </xdr:nvCxnSpPr>
      <xdr:spPr>
        <a:xfrm>
          <a:off x="5659755" y="4556760"/>
          <a:ext cx="0" cy="426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21</xdr:row>
      <xdr:rowOff>114300</xdr:rowOff>
    </xdr:from>
    <xdr:to>
      <xdr:col>11</xdr:col>
      <xdr:colOff>426720</xdr:colOff>
      <xdr:row>21</xdr:row>
      <xdr:rowOff>114300</xdr:rowOff>
    </xdr:to>
    <xdr:cxnSp>
      <xdr:nvCxnSpPr>
        <xdr:cNvPr id="72752" name="Line 70"/>
        <xdr:cNvCxnSpPr/>
      </xdr:nvCxnSpPr>
      <xdr:spPr>
        <a:xfrm>
          <a:off x="4930140" y="4899660"/>
          <a:ext cx="7143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22</xdr:row>
      <xdr:rowOff>121920</xdr:rowOff>
    </xdr:from>
    <xdr:to>
      <xdr:col>14</xdr:col>
      <xdr:colOff>121920</xdr:colOff>
      <xdr:row>22</xdr:row>
      <xdr:rowOff>121920</xdr:rowOff>
    </xdr:to>
    <xdr:cxnSp>
      <xdr:nvCxnSpPr>
        <xdr:cNvPr id="72753" name="Line 71"/>
        <xdr:cNvCxnSpPr/>
      </xdr:nvCxnSpPr>
      <xdr:spPr>
        <a:xfrm>
          <a:off x="4930140" y="5113020"/>
          <a:ext cx="23050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</xdr:row>
      <xdr:rowOff>114300</xdr:rowOff>
    </xdr:from>
    <xdr:to>
      <xdr:col>17</xdr:col>
      <xdr:colOff>342900</xdr:colOff>
      <xdr:row>22</xdr:row>
      <xdr:rowOff>114300</xdr:rowOff>
    </xdr:to>
    <xdr:cxnSp>
      <xdr:nvCxnSpPr>
        <xdr:cNvPr id="72754" name="Line 72"/>
        <xdr:cNvCxnSpPr/>
      </xdr:nvCxnSpPr>
      <xdr:spPr>
        <a:xfrm>
          <a:off x="7913370" y="5105400"/>
          <a:ext cx="9429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335280</xdr:colOff>
      <xdr:row>16</xdr:row>
      <xdr:rowOff>0</xdr:rowOff>
    </xdr:from>
    <xdr:to>
      <xdr:col>17</xdr:col>
      <xdr:colOff>335280</xdr:colOff>
      <xdr:row>23</xdr:row>
      <xdr:rowOff>0</xdr:rowOff>
    </xdr:to>
    <xdr:cxnSp>
      <xdr:nvCxnSpPr>
        <xdr:cNvPr id="72755" name="Line 73"/>
        <xdr:cNvCxnSpPr/>
      </xdr:nvCxnSpPr>
      <xdr:spPr>
        <a:xfrm>
          <a:off x="8848725" y="3756660"/>
          <a:ext cx="0" cy="14401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21</xdr:row>
      <xdr:rowOff>114300</xdr:rowOff>
    </xdr:from>
    <xdr:to>
      <xdr:col>12</xdr:col>
      <xdr:colOff>685800</xdr:colOff>
      <xdr:row>21</xdr:row>
      <xdr:rowOff>114300</xdr:rowOff>
    </xdr:to>
    <xdr:cxnSp>
      <xdr:nvCxnSpPr>
        <xdr:cNvPr id="72756" name="Line 74"/>
        <xdr:cNvCxnSpPr/>
      </xdr:nvCxnSpPr>
      <xdr:spPr>
        <a:xfrm>
          <a:off x="5659755" y="4899660"/>
          <a:ext cx="8439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4</xdr:row>
      <xdr:rowOff>45720</xdr:rowOff>
    </xdr:from>
    <xdr:to>
      <xdr:col>11</xdr:col>
      <xdr:colOff>426720</xdr:colOff>
      <xdr:row>4</xdr:row>
      <xdr:rowOff>45720</xdr:rowOff>
    </xdr:to>
    <xdr:cxnSp>
      <xdr:nvCxnSpPr>
        <xdr:cNvPr id="72757" name="Line 79"/>
        <xdr:cNvCxnSpPr/>
      </xdr:nvCxnSpPr>
      <xdr:spPr>
        <a:xfrm flipH="1">
          <a:off x="3558540" y="1333500"/>
          <a:ext cx="20859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8</xdr:row>
      <xdr:rowOff>0</xdr:rowOff>
    </xdr:from>
    <xdr:to>
      <xdr:col>10</xdr:col>
      <xdr:colOff>304800</xdr:colOff>
      <xdr:row>8</xdr:row>
      <xdr:rowOff>0</xdr:rowOff>
    </xdr:to>
    <xdr:cxnSp>
      <xdr:nvCxnSpPr>
        <xdr:cNvPr id="72758" name="Line 80"/>
        <xdr:cNvCxnSpPr/>
      </xdr:nvCxnSpPr>
      <xdr:spPr>
        <a:xfrm flipH="1">
          <a:off x="4110990" y="2110740"/>
          <a:ext cx="8115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16</xdr:row>
      <xdr:rowOff>0</xdr:rowOff>
    </xdr:from>
    <xdr:to>
      <xdr:col>10</xdr:col>
      <xdr:colOff>297180</xdr:colOff>
      <xdr:row>16</xdr:row>
      <xdr:rowOff>0</xdr:rowOff>
    </xdr:to>
    <xdr:cxnSp>
      <xdr:nvCxnSpPr>
        <xdr:cNvPr id="72759" name="Line 81"/>
        <xdr:cNvCxnSpPr/>
      </xdr:nvCxnSpPr>
      <xdr:spPr>
        <a:xfrm flipH="1">
          <a:off x="4126230" y="3756660"/>
          <a:ext cx="7886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19</xdr:row>
      <xdr:rowOff>175260</xdr:rowOff>
    </xdr:from>
    <xdr:to>
      <xdr:col>11</xdr:col>
      <xdr:colOff>426720</xdr:colOff>
      <xdr:row>19</xdr:row>
      <xdr:rowOff>175260</xdr:rowOff>
    </xdr:to>
    <xdr:cxnSp>
      <xdr:nvCxnSpPr>
        <xdr:cNvPr id="72760" name="Line 82"/>
        <xdr:cNvCxnSpPr/>
      </xdr:nvCxnSpPr>
      <xdr:spPr>
        <a:xfrm flipH="1">
          <a:off x="3619500" y="4549140"/>
          <a:ext cx="20250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</xdr:row>
      <xdr:rowOff>213360</xdr:rowOff>
    </xdr:from>
    <xdr:to>
      <xdr:col>8</xdr:col>
      <xdr:colOff>266700</xdr:colOff>
      <xdr:row>19</xdr:row>
      <xdr:rowOff>175260</xdr:rowOff>
    </xdr:to>
    <xdr:cxnSp>
      <xdr:nvCxnSpPr>
        <xdr:cNvPr id="72761" name="Line 86"/>
        <xdr:cNvCxnSpPr/>
      </xdr:nvCxnSpPr>
      <xdr:spPr>
        <a:xfrm>
          <a:off x="3703320" y="3147060"/>
          <a:ext cx="0" cy="14020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4</xdr:row>
      <xdr:rowOff>45720</xdr:rowOff>
    </xdr:from>
    <xdr:to>
      <xdr:col>8</xdr:col>
      <xdr:colOff>266700</xdr:colOff>
      <xdr:row>11</xdr:row>
      <xdr:rowOff>213360</xdr:rowOff>
    </xdr:to>
    <xdr:cxnSp>
      <xdr:nvCxnSpPr>
        <xdr:cNvPr id="72762" name="Line 87"/>
        <xdr:cNvCxnSpPr/>
      </xdr:nvCxnSpPr>
      <xdr:spPr>
        <a:xfrm flipV="1">
          <a:off x="3703320" y="1333500"/>
          <a:ext cx="0" cy="1607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4</xdr:row>
      <xdr:rowOff>45720</xdr:rowOff>
    </xdr:from>
    <xdr:to>
      <xdr:col>9</xdr:col>
      <xdr:colOff>259080</xdr:colOff>
      <xdr:row>5</xdr:row>
      <xdr:rowOff>213360</xdr:rowOff>
    </xdr:to>
    <xdr:cxnSp>
      <xdr:nvCxnSpPr>
        <xdr:cNvPr id="72763" name="Line 88"/>
        <xdr:cNvCxnSpPr/>
      </xdr:nvCxnSpPr>
      <xdr:spPr>
        <a:xfrm>
          <a:off x="4286250" y="1333500"/>
          <a:ext cx="0" cy="373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6</xdr:row>
      <xdr:rowOff>213360</xdr:rowOff>
    </xdr:from>
    <xdr:to>
      <xdr:col>9</xdr:col>
      <xdr:colOff>259080</xdr:colOff>
      <xdr:row>8</xdr:row>
      <xdr:rowOff>0</xdr:rowOff>
    </xdr:to>
    <xdr:cxnSp>
      <xdr:nvCxnSpPr>
        <xdr:cNvPr id="72764" name="Line 89"/>
        <xdr:cNvCxnSpPr/>
      </xdr:nvCxnSpPr>
      <xdr:spPr>
        <a:xfrm>
          <a:off x="4286250" y="1912620"/>
          <a:ext cx="0" cy="1981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8</xdr:row>
      <xdr:rowOff>0</xdr:rowOff>
    </xdr:from>
    <xdr:to>
      <xdr:col>9</xdr:col>
      <xdr:colOff>259080</xdr:colOff>
      <xdr:row>10</xdr:row>
      <xdr:rowOff>0</xdr:rowOff>
    </xdr:to>
    <xdr:cxnSp>
      <xdr:nvCxnSpPr>
        <xdr:cNvPr id="72765" name="Line 90"/>
        <xdr:cNvCxnSpPr/>
      </xdr:nvCxnSpPr>
      <xdr:spPr>
        <a:xfrm>
          <a:off x="4286250" y="2110740"/>
          <a:ext cx="0" cy="4114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11</xdr:row>
      <xdr:rowOff>0</xdr:rowOff>
    </xdr:from>
    <xdr:to>
      <xdr:col>9</xdr:col>
      <xdr:colOff>259080</xdr:colOff>
      <xdr:row>16</xdr:row>
      <xdr:rowOff>0</xdr:rowOff>
    </xdr:to>
    <xdr:cxnSp>
      <xdr:nvCxnSpPr>
        <xdr:cNvPr id="72766" name="Line 91"/>
        <xdr:cNvCxnSpPr/>
      </xdr:nvCxnSpPr>
      <xdr:spPr>
        <a:xfrm>
          <a:off x="4286250" y="2727960"/>
          <a:ext cx="0" cy="10287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114300</xdr:rowOff>
    </xdr:from>
    <xdr:to>
      <xdr:col>10</xdr:col>
      <xdr:colOff>312420</xdr:colOff>
      <xdr:row>21</xdr:row>
      <xdr:rowOff>114300</xdr:rowOff>
    </xdr:to>
    <xdr:cxnSp>
      <xdr:nvCxnSpPr>
        <xdr:cNvPr id="72767" name="Line 93"/>
        <xdr:cNvCxnSpPr/>
      </xdr:nvCxnSpPr>
      <xdr:spPr>
        <a:xfrm>
          <a:off x="4617720" y="4899660"/>
          <a:ext cx="3124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19</xdr:row>
      <xdr:rowOff>190500</xdr:rowOff>
    </xdr:from>
    <xdr:to>
      <xdr:col>16</xdr:col>
      <xdr:colOff>228600</xdr:colOff>
      <xdr:row>21</xdr:row>
      <xdr:rowOff>190500</xdr:rowOff>
    </xdr:to>
    <xdr:cxnSp>
      <xdr:nvCxnSpPr>
        <xdr:cNvPr id="72768" name="Line 94"/>
        <xdr:cNvCxnSpPr/>
      </xdr:nvCxnSpPr>
      <xdr:spPr>
        <a:xfrm flipH="1">
          <a:off x="8141970" y="4564380"/>
          <a:ext cx="0" cy="4114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99060</xdr:rowOff>
    </xdr:from>
    <xdr:to>
      <xdr:col>16</xdr:col>
      <xdr:colOff>228600</xdr:colOff>
      <xdr:row>21</xdr:row>
      <xdr:rowOff>99060</xdr:rowOff>
    </xdr:to>
    <xdr:cxnSp>
      <xdr:nvCxnSpPr>
        <xdr:cNvPr id="72769" name="Line 95"/>
        <xdr:cNvCxnSpPr/>
      </xdr:nvCxnSpPr>
      <xdr:spPr>
        <a:xfrm>
          <a:off x="7113270" y="4884420"/>
          <a:ext cx="1028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22</xdr:row>
      <xdr:rowOff>7620</xdr:rowOff>
    </xdr:from>
    <xdr:to>
      <xdr:col>4</xdr:col>
      <xdr:colOff>335280</xdr:colOff>
      <xdr:row>22</xdr:row>
      <xdr:rowOff>7620</xdr:rowOff>
    </xdr:to>
    <xdr:cxnSp>
      <xdr:nvCxnSpPr>
        <xdr:cNvPr id="72770" name="Line 96"/>
        <xdr:cNvCxnSpPr/>
      </xdr:nvCxnSpPr>
      <xdr:spPr>
        <a:xfrm>
          <a:off x="792480" y="4998720"/>
          <a:ext cx="116014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640080</xdr:colOff>
      <xdr:row>15</xdr:row>
      <xdr:rowOff>0</xdr:rowOff>
    </xdr:from>
    <xdr:to>
      <xdr:col>12</xdr:col>
      <xdr:colOff>22860</xdr:colOff>
      <xdr:row>18</xdr:row>
      <xdr:rowOff>45720</xdr:rowOff>
    </xdr:to>
    <xdr:cxnSp>
      <xdr:nvCxnSpPr>
        <xdr:cNvPr id="72771" name="Line 97"/>
        <xdr:cNvCxnSpPr/>
      </xdr:nvCxnSpPr>
      <xdr:spPr>
        <a:xfrm flipV="1">
          <a:off x="5257800" y="3550920"/>
          <a:ext cx="582930" cy="6629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7</xdr:row>
      <xdr:rowOff>106680</xdr:rowOff>
    </xdr:from>
    <xdr:to>
      <xdr:col>1</xdr:col>
      <xdr:colOff>693420</xdr:colOff>
      <xdr:row>7</xdr:row>
      <xdr:rowOff>106680</xdr:rowOff>
    </xdr:to>
    <xdr:cxnSp>
      <xdr:nvCxnSpPr>
        <xdr:cNvPr id="72772" name="Line 98"/>
        <xdr:cNvCxnSpPr/>
      </xdr:nvCxnSpPr>
      <xdr:spPr>
        <a:xfrm flipH="1">
          <a:off x="495300" y="2011680"/>
          <a:ext cx="5105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350520</xdr:colOff>
      <xdr:row>7</xdr:row>
      <xdr:rowOff>106680</xdr:rowOff>
    </xdr:from>
    <xdr:to>
      <xdr:col>1</xdr:col>
      <xdr:colOff>106680</xdr:colOff>
      <xdr:row>7</xdr:row>
      <xdr:rowOff>106680</xdr:rowOff>
    </xdr:to>
    <xdr:cxnSp>
      <xdr:nvCxnSpPr>
        <xdr:cNvPr id="72773" name="Line 99"/>
        <xdr:cNvCxnSpPr/>
      </xdr:nvCxnSpPr>
      <xdr:spPr>
        <a:xfrm>
          <a:off x="329565" y="2011680"/>
          <a:ext cx="895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160020</xdr:colOff>
      <xdr:row>6</xdr:row>
      <xdr:rowOff>175260</xdr:rowOff>
    </xdr:from>
    <xdr:to>
      <xdr:col>16</xdr:col>
      <xdr:colOff>495300</xdr:colOff>
      <xdr:row>17</xdr:row>
      <xdr:rowOff>60960</xdr:rowOff>
    </xdr:to>
    <xdr:sp>
      <xdr:nvSpPr>
        <xdr:cNvPr id="72774" name="AutoShape 100"/>
        <xdr:cNvSpPr>
          <a:spLocks/>
        </xdr:cNvSpPr>
      </xdr:nvSpPr>
      <xdr:spPr>
        <a:xfrm>
          <a:off x="5377815" y="1874520"/>
          <a:ext cx="3030855" cy="2148840"/>
        </a:xfrm>
        <a:prstGeom prst="roundRect">
          <a:avLst>
            <a:gd name="adj" fmla="val 11764"/>
          </a:avLst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220980</xdr:colOff>
      <xdr:row>7</xdr:row>
      <xdr:rowOff>0</xdr:rowOff>
    </xdr:from>
    <xdr:to>
      <xdr:col>16</xdr:col>
      <xdr:colOff>449580</xdr:colOff>
      <xdr:row>17</xdr:row>
      <xdr:rowOff>7620</xdr:rowOff>
    </xdr:to>
    <xdr:sp>
      <xdr:nvSpPr>
        <xdr:cNvPr id="72775" name="AutoShape 101"/>
        <xdr:cNvSpPr>
          <a:spLocks/>
        </xdr:cNvSpPr>
      </xdr:nvSpPr>
      <xdr:spPr>
        <a:xfrm>
          <a:off x="5438775" y="1905000"/>
          <a:ext cx="2924175" cy="2065020"/>
        </a:xfrm>
        <a:prstGeom prst="roundRect">
          <a:avLst>
            <a:gd name="adj" fmla="val 10204"/>
          </a:avLst>
        </a:prstGeom>
        <a:noFill/>
        <a:ln w="12700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228600</xdr:colOff>
      <xdr:row>7</xdr:row>
      <xdr:rowOff>7620</xdr:rowOff>
    </xdr:from>
    <xdr:to>
      <xdr:col>11</xdr:col>
      <xdr:colOff>647700</xdr:colOff>
      <xdr:row>8</xdr:row>
      <xdr:rowOff>198120</xdr:rowOff>
    </xdr:to>
    <xdr:sp>
      <xdr:nvSpPr>
        <xdr:cNvPr id="72776" name="Oval 102"/>
        <xdr:cNvSpPr>
          <a:spLocks/>
        </xdr:cNvSpPr>
      </xdr:nvSpPr>
      <xdr:spPr>
        <a:xfrm>
          <a:off x="5446395" y="1912620"/>
          <a:ext cx="419100" cy="396240"/>
        </a:xfrm>
        <a:prstGeom prst="ellipse"/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22860</xdr:colOff>
      <xdr:row>8</xdr:row>
      <xdr:rowOff>0</xdr:rowOff>
    </xdr:from>
    <xdr:to>
      <xdr:col>17</xdr:col>
      <xdr:colOff>198120</xdr:colOff>
      <xdr:row>8</xdr:row>
      <xdr:rowOff>0</xdr:rowOff>
    </xdr:to>
    <xdr:cxnSp>
      <xdr:nvCxnSpPr>
        <xdr:cNvPr id="72777" name="Line 103"/>
        <xdr:cNvCxnSpPr/>
      </xdr:nvCxnSpPr>
      <xdr:spPr>
        <a:xfrm flipH="1">
          <a:off x="7936230" y="2110740"/>
          <a:ext cx="77533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4</xdr:row>
      <xdr:rowOff>160020</xdr:rowOff>
    </xdr:from>
    <xdr:to>
      <xdr:col>16</xdr:col>
      <xdr:colOff>220980</xdr:colOff>
      <xdr:row>8</xdr:row>
      <xdr:rowOff>160020</xdr:rowOff>
    </xdr:to>
    <xdr:cxnSp>
      <xdr:nvCxnSpPr>
        <xdr:cNvPr id="72778" name="Line 105"/>
        <xdr:cNvCxnSpPr/>
      </xdr:nvCxnSpPr>
      <xdr:spPr>
        <a:xfrm flipH="1">
          <a:off x="8134350" y="1447800"/>
          <a:ext cx="0" cy="82296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731520</xdr:colOff>
      <xdr:row>16</xdr:row>
      <xdr:rowOff>7620</xdr:rowOff>
    </xdr:from>
    <xdr:to>
      <xdr:col>17</xdr:col>
      <xdr:colOff>198120</xdr:colOff>
      <xdr:row>16</xdr:row>
      <xdr:rowOff>7620</xdr:rowOff>
    </xdr:to>
    <xdr:cxnSp>
      <xdr:nvCxnSpPr>
        <xdr:cNvPr id="72779" name="Line 106"/>
        <xdr:cNvCxnSpPr/>
      </xdr:nvCxnSpPr>
      <xdr:spPr>
        <a:xfrm flipH="1">
          <a:off x="7959090" y="3764280"/>
          <a:ext cx="75247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464820</xdr:colOff>
      <xdr:row>16</xdr:row>
      <xdr:rowOff>22860</xdr:rowOff>
    </xdr:from>
    <xdr:to>
      <xdr:col>11</xdr:col>
      <xdr:colOff>647700</xdr:colOff>
      <xdr:row>16</xdr:row>
      <xdr:rowOff>22860</xdr:rowOff>
    </xdr:to>
    <xdr:cxnSp>
      <xdr:nvCxnSpPr>
        <xdr:cNvPr id="72780" name="Line 107"/>
        <xdr:cNvCxnSpPr/>
      </xdr:nvCxnSpPr>
      <xdr:spPr>
        <a:xfrm flipH="1">
          <a:off x="5082540" y="3779520"/>
          <a:ext cx="78295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0</xdr:row>
      <xdr:rowOff>304800</xdr:rowOff>
    </xdr:from>
    <xdr:to>
      <xdr:col>18</xdr:col>
      <xdr:colOff>276225</xdr:colOff>
      <xdr:row>1</xdr:row>
      <xdr:rowOff>38100</xdr:rowOff>
    </xdr:to>
    <xdr:sp>
      <xdr:nvSpPr>
        <xdr:cNvPr id="21612" name="Rectangle 108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580120" y="291465"/>
          <a:ext cx="819150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274320</xdr:colOff>
      <xdr:row>26</xdr:row>
      <xdr:rowOff>152400</xdr:rowOff>
    </xdr:to>
    <xdr:graphicFrame macro="">
      <xdr:nvGraphicFramePr>
        <xdr:cNvPr id="61441" name="图表 1"/>
        <xdr:cNvGraphicFramePr/>
      </xdr:nvGraphicFramePr>
      <xdr:xfrm>
        <a:off x="0" y="0"/>
        <a:ext cx="8075295" cy="55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14</xdr:row>
      <xdr:rowOff>160020</xdr:rowOff>
    </xdr:from>
    <xdr:to>
      <xdr:col>6</xdr:col>
      <xdr:colOff>350520</xdr:colOff>
      <xdr:row>14</xdr:row>
      <xdr:rowOff>160020</xdr:rowOff>
    </xdr:to>
    <xdr:cxnSp>
      <xdr:nvCxnSpPr>
        <xdr:cNvPr id="73729" name="Line 1"/>
        <xdr:cNvCxnSpPr/>
      </xdr:nvCxnSpPr>
      <xdr:spPr>
        <a:xfrm flipV="1">
          <a:off x="571500" y="3505200"/>
          <a:ext cx="265366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18</xdr:row>
      <xdr:rowOff>121920</xdr:rowOff>
    </xdr:from>
    <xdr:to>
      <xdr:col>1</xdr:col>
      <xdr:colOff>487680</xdr:colOff>
      <xdr:row>20</xdr:row>
      <xdr:rowOff>60960</xdr:rowOff>
    </xdr:to>
    <xdr:sp>
      <xdr:nvSpPr>
        <xdr:cNvPr id="73730" name="Arc 2"/>
        <xdr:cNvSpPr>
          <a:spLocks/>
        </xdr:cNvSpPr>
      </xdr:nvSpPr>
      <xdr:spPr>
        <a:xfrm flipH="1" flipV="1">
          <a:off x="548640" y="4290060"/>
          <a:ext cx="365760" cy="350520"/>
        </a:xfrm>
        <a:custGeom>
          <a:pathLst>
            <a:path w="21591" h="21595"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lnTo>
                <a:pt x="0" y="21594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335280</xdr:colOff>
      <xdr:row>18</xdr:row>
      <xdr:rowOff>137160</xdr:rowOff>
    </xdr:from>
    <xdr:to>
      <xdr:col>4</xdr:col>
      <xdr:colOff>678180</xdr:colOff>
      <xdr:row>20</xdr:row>
      <xdr:rowOff>60960</xdr:rowOff>
    </xdr:to>
    <xdr:sp>
      <xdr:nvSpPr>
        <xdr:cNvPr id="73731" name="Arc 3"/>
        <xdr:cNvSpPr>
          <a:spLocks/>
        </xdr:cNvSpPr>
      </xdr:nvSpPr>
      <xdr:spPr>
        <a:xfrm flipV="1">
          <a:off x="2066925" y="4305300"/>
          <a:ext cx="342900" cy="3352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121920</xdr:colOff>
      <xdr:row>14</xdr:row>
      <xdr:rowOff>160020</xdr:rowOff>
    </xdr:from>
    <xdr:to>
      <xdr:col>1</xdr:col>
      <xdr:colOff>121920</xdr:colOff>
      <xdr:row>18</xdr:row>
      <xdr:rowOff>137160</xdr:rowOff>
    </xdr:to>
    <xdr:cxnSp>
      <xdr:nvCxnSpPr>
        <xdr:cNvPr id="73732" name="Line 4"/>
        <xdr:cNvCxnSpPr/>
      </xdr:nvCxnSpPr>
      <xdr:spPr>
        <a:xfrm flipV="1">
          <a:off x="548640" y="3505200"/>
          <a:ext cx="0" cy="8001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678180</xdr:colOff>
      <xdr:row>14</xdr:row>
      <xdr:rowOff>160020</xdr:rowOff>
    </xdr:from>
    <xdr:to>
      <xdr:col>4</xdr:col>
      <xdr:colOff>678180</xdr:colOff>
      <xdr:row>18</xdr:row>
      <xdr:rowOff>144780</xdr:rowOff>
    </xdr:to>
    <xdr:cxnSp>
      <xdr:nvCxnSpPr>
        <xdr:cNvPr id="73733" name="Line 5"/>
        <xdr:cNvCxnSpPr/>
      </xdr:nvCxnSpPr>
      <xdr:spPr>
        <a:xfrm flipV="1">
          <a:off x="2409825" y="3505200"/>
          <a:ext cx="0" cy="8077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9</xdr:row>
      <xdr:rowOff>144780</xdr:rowOff>
    </xdr:from>
    <xdr:to>
      <xdr:col>1</xdr:col>
      <xdr:colOff>114300</xdr:colOff>
      <xdr:row>13</xdr:row>
      <xdr:rowOff>121920</xdr:rowOff>
    </xdr:to>
    <xdr:cxnSp>
      <xdr:nvCxnSpPr>
        <xdr:cNvPr id="73734" name="Line 6"/>
        <xdr:cNvCxnSpPr/>
      </xdr:nvCxnSpPr>
      <xdr:spPr>
        <a:xfrm>
          <a:off x="541020" y="2461260"/>
          <a:ext cx="0" cy="8001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9</xdr:row>
      <xdr:rowOff>114300</xdr:rowOff>
    </xdr:from>
    <xdr:to>
      <xdr:col>4</xdr:col>
      <xdr:colOff>723900</xdr:colOff>
      <xdr:row>13</xdr:row>
      <xdr:rowOff>114300</xdr:rowOff>
    </xdr:to>
    <xdr:cxnSp>
      <xdr:nvCxnSpPr>
        <xdr:cNvPr id="73735" name="Line 7"/>
        <xdr:cNvCxnSpPr/>
      </xdr:nvCxnSpPr>
      <xdr:spPr>
        <a:xfrm>
          <a:off x="2455545" y="2430780"/>
          <a:ext cx="0" cy="822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13</xdr:row>
      <xdr:rowOff>7620</xdr:rowOff>
    </xdr:from>
    <xdr:to>
      <xdr:col>4</xdr:col>
      <xdr:colOff>723900</xdr:colOff>
      <xdr:row>13</xdr:row>
      <xdr:rowOff>7620</xdr:rowOff>
    </xdr:to>
    <xdr:cxnSp>
      <xdr:nvCxnSpPr>
        <xdr:cNvPr id="73736" name="Line 8"/>
        <xdr:cNvCxnSpPr/>
      </xdr:nvCxnSpPr>
      <xdr:spPr>
        <a:xfrm>
          <a:off x="541020" y="3147060"/>
          <a:ext cx="19145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4</xdr:row>
      <xdr:rowOff>76200</xdr:rowOff>
    </xdr:from>
    <xdr:to>
      <xdr:col>4</xdr:col>
      <xdr:colOff>685800</xdr:colOff>
      <xdr:row>11</xdr:row>
      <xdr:rowOff>68580</xdr:rowOff>
    </xdr:to>
    <xdr:sp>
      <xdr:nvSpPr>
        <xdr:cNvPr id="73737" name="AutoShape 9"/>
        <xdr:cNvSpPr>
          <a:spLocks/>
        </xdr:cNvSpPr>
      </xdr:nvSpPr>
      <xdr:spPr>
        <a:xfrm>
          <a:off x="571500" y="1363980"/>
          <a:ext cx="1845945" cy="1432560"/>
        </a:xfrm>
        <a:prstGeom prst="roundRect">
          <a:avLst>
            <a:gd name="adj" fmla="val 19588"/>
          </a:avLst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480060</xdr:colOff>
      <xdr:row>20</xdr:row>
      <xdr:rowOff>60960</xdr:rowOff>
    </xdr:from>
    <xdr:to>
      <xdr:col>4</xdr:col>
      <xdr:colOff>335280</xdr:colOff>
      <xdr:row>20</xdr:row>
      <xdr:rowOff>60960</xdr:rowOff>
    </xdr:to>
    <xdr:cxnSp>
      <xdr:nvCxnSpPr>
        <xdr:cNvPr id="73738" name="Line 10"/>
        <xdr:cNvCxnSpPr/>
      </xdr:nvCxnSpPr>
      <xdr:spPr>
        <a:xfrm>
          <a:off x="906780" y="4640580"/>
          <a:ext cx="116014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11</xdr:row>
      <xdr:rowOff>99060</xdr:rowOff>
    </xdr:from>
    <xdr:to>
      <xdr:col>5</xdr:col>
      <xdr:colOff>411480</xdr:colOff>
      <xdr:row>11</xdr:row>
      <xdr:rowOff>99060</xdr:rowOff>
    </xdr:to>
    <xdr:cxnSp>
      <xdr:nvCxnSpPr>
        <xdr:cNvPr id="73739" name="Line 11"/>
        <xdr:cNvCxnSpPr/>
      </xdr:nvCxnSpPr>
      <xdr:spPr>
        <a:xfrm>
          <a:off x="2112645" y="2827020"/>
          <a:ext cx="7067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4</xdr:row>
      <xdr:rowOff>45720</xdr:rowOff>
    </xdr:from>
    <xdr:to>
      <xdr:col>5</xdr:col>
      <xdr:colOff>480060</xdr:colOff>
      <xdr:row>4</xdr:row>
      <xdr:rowOff>45720</xdr:rowOff>
    </xdr:to>
    <xdr:cxnSp>
      <xdr:nvCxnSpPr>
        <xdr:cNvPr id="73740" name="Line 12"/>
        <xdr:cNvCxnSpPr/>
      </xdr:nvCxnSpPr>
      <xdr:spPr>
        <a:xfrm>
          <a:off x="2036445" y="1333500"/>
          <a:ext cx="8515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45720</xdr:rowOff>
    </xdr:from>
    <xdr:to>
      <xdr:col>5</xdr:col>
      <xdr:colOff>266700</xdr:colOff>
      <xdr:row>7</xdr:row>
      <xdr:rowOff>0</xdr:rowOff>
    </xdr:to>
    <xdr:cxnSp>
      <xdr:nvCxnSpPr>
        <xdr:cNvPr id="73741" name="Line 13"/>
        <xdr:cNvCxnSpPr/>
      </xdr:nvCxnSpPr>
      <xdr:spPr>
        <a:xfrm>
          <a:off x="2674620" y="1333500"/>
          <a:ext cx="0" cy="5715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0</xdr:rowOff>
    </xdr:from>
    <xdr:to>
      <xdr:col>5</xdr:col>
      <xdr:colOff>266700</xdr:colOff>
      <xdr:row>11</xdr:row>
      <xdr:rowOff>99060</xdr:rowOff>
    </xdr:to>
    <xdr:cxnSp>
      <xdr:nvCxnSpPr>
        <xdr:cNvPr id="73742" name="Line 14"/>
        <xdr:cNvCxnSpPr/>
      </xdr:nvCxnSpPr>
      <xdr:spPr>
        <a:xfrm>
          <a:off x="2674620" y="2110740"/>
          <a:ext cx="0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9</xdr:row>
      <xdr:rowOff>114300</xdr:rowOff>
    </xdr:from>
    <xdr:to>
      <xdr:col>1</xdr:col>
      <xdr:colOff>518160</xdr:colOff>
      <xdr:row>10</xdr:row>
      <xdr:rowOff>198120</xdr:rowOff>
    </xdr:to>
    <xdr:cxnSp>
      <xdr:nvCxnSpPr>
        <xdr:cNvPr id="73743" name="Line 15"/>
        <xdr:cNvCxnSpPr/>
      </xdr:nvCxnSpPr>
      <xdr:spPr>
        <a:xfrm flipV="1">
          <a:off x="701040" y="2430780"/>
          <a:ext cx="24384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525780</xdr:colOff>
      <xdr:row>9</xdr:row>
      <xdr:rowOff>121920</xdr:rowOff>
    </xdr:from>
    <xdr:to>
      <xdr:col>2</xdr:col>
      <xdr:colOff>0</xdr:colOff>
      <xdr:row>9</xdr:row>
      <xdr:rowOff>121920</xdr:rowOff>
    </xdr:to>
    <xdr:cxnSp>
      <xdr:nvCxnSpPr>
        <xdr:cNvPr id="73744" name="Line 16"/>
        <xdr:cNvCxnSpPr/>
      </xdr:nvCxnSpPr>
      <xdr:spPr>
        <a:xfrm>
          <a:off x="952500" y="2438400"/>
          <a:ext cx="1504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18</xdr:row>
      <xdr:rowOff>137160</xdr:rowOff>
    </xdr:from>
    <xdr:to>
      <xdr:col>5</xdr:col>
      <xdr:colOff>350520</xdr:colOff>
      <xdr:row>18</xdr:row>
      <xdr:rowOff>137160</xdr:rowOff>
    </xdr:to>
    <xdr:cxnSp>
      <xdr:nvCxnSpPr>
        <xdr:cNvPr id="73745" name="Line 17"/>
        <xdr:cNvCxnSpPr/>
      </xdr:nvCxnSpPr>
      <xdr:spPr>
        <a:xfrm>
          <a:off x="2005965" y="4305300"/>
          <a:ext cx="7524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14</xdr:row>
      <xdr:rowOff>160020</xdr:rowOff>
    </xdr:from>
    <xdr:to>
      <xdr:col>5</xdr:col>
      <xdr:colOff>266700</xdr:colOff>
      <xdr:row>15</xdr:row>
      <xdr:rowOff>198120</xdr:rowOff>
    </xdr:to>
    <xdr:cxnSp>
      <xdr:nvCxnSpPr>
        <xdr:cNvPr id="73746" name="Line 18"/>
        <xdr:cNvCxnSpPr/>
      </xdr:nvCxnSpPr>
      <xdr:spPr>
        <a:xfrm>
          <a:off x="2674620" y="3505200"/>
          <a:ext cx="0" cy="2438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17</xdr:row>
      <xdr:rowOff>0</xdr:rowOff>
    </xdr:from>
    <xdr:to>
      <xdr:col>5</xdr:col>
      <xdr:colOff>266700</xdr:colOff>
      <xdr:row>18</xdr:row>
      <xdr:rowOff>137160</xdr:rowOff>
    </xdr:to>
    <xdr:cxnSp>
      <xdr:nvCxnSpPr>
        <xdr:cNvPr id="73747" name="Line 19"/>
        <xdr:cNvCxnSpPr/>
      </xdr:nvCxnSpPr>
      <xdr:spPr>
        <a:xfrm>
          <a:off x="2674620" y="3962400"/>
          <a:ext cx="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18</xdr:row>
      <xdr:rowOff>121920</xdr:rowOff>
    </xdr:from>
    <xdr:to>
      <xdr:col>1</xdr:col>
      <xdr:colOff>693420</xdr:colOff>
      <xdr:row>18</xdr:row>
      <xdr:rowOff>121920</xdr:rowOff>
    </xdr:to>
    <xdr:cxnSp>
      <xdr:nvCxnSpPr>
        <xdr:cNvPr id="73748" name="Line 20"/>
        <xdr:cNvCxnSpPr/>
      </xdr:nvCxnSpPr>
      <xdr:spPr>
        <a:xfrm flipV="1">
          <a:off x="434340" y="4290060"/>
          <a:ext cx="685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18</xdr:row>
      <xdr:rowOff>83820</xdr:rowOff>
    </xdr:from>
    <xdr:to>
      <xdr:col>1</xdr:col>
      <xdr:colOff>480060</xdr:colOff>
      <xdr:row>22</xdr:row>
      <xdr:rowOff>99060</xdr:rowOff>
    </xdr:to>
    <xdr:cxnSp>
      <xdr:nvCxnSpPr>
        <xdr:cNvPr id="73749" name="Line 21"/>
        <xdr:cNvCxnSpPr/>
      </xdr:nvCxnSpPr>
      <xdr:spPr>
        <a:xfrm>
          <a:off x="906780" y="4251960"/>
          <a:ext cx="0" cy="838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335280</xdr:colOff>
      <xdr:row>18</xdr:row>
      <xdr:rowOff>83820</xdr:rowOff>
    </xdr:from>
    <xdr:to>
      <xdr:col>4</xdr:col>
      <xdr:colOff>335280</xdr:colOff>
      <xdr:row>22</xdr:row>
      <xdr:rowOff>68580</xdr:rowOff>
    </xdr:to>
    <xdr:cxnSp>
      <xdr:nvCxnSpPr>
        <xdr:cNvPr id="73750" name="Line 22"/>
        <xdr:cNvCxnSpPr/>
      </xdr:nvCxnSpPr>
      <xdr:spPr>
        <a:xfrm>
          <a:off x="2066925" y="4251960"/>
          <a:ext cx="0" cy="807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20</xdr:row>
      <xdr:rowOff>99060</xdr:rowOff>
    </xdr:from>
    <xdr:to>
      <xdr:col>6</xdr:col>
      <xdr:colOff>335280</xdr:colOff>
      <xdr:row>20</xdr:row>
      <xdr:rowOff>99060</xdr:rowOff>
    </xdr:to>
    <xdr:cxnSp>
      <xdr:nvCxnSpPr>
        <xdr:cNvPr id="73751" name="Line 23"/>
        <xdr:cNvCxnSpPr/>
      </xdr:nvCxnSpPr>
      <xdr:spPr>
        <a:xfrm>
          <a:off x="2112645" y="4678680"/>
          <a:ext cx="10972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152400</xdr:rowOff>
    </xdr:from>
    <xdr:to>
      <xdr:col>6</xdr:col>
      <xdr:colOff>266700</xdr:colOff>
      <xdr:row>18</xdr:row>
      <xdr:rowOff>0</xdr:rowOff>
    </xdr:to>
    <xdr:cxnSp>
      <xdr:nvCxnSpPr>
        <xdr:cNvPr id="73752" name="Line 24"/>
        <xdr:cNvCxnSpPr/>
      </xdr:nvCxnSpPr>
      <xdr:spPr>
        <a:xfrm>
          <a:off x="3141345" y="3497580"/>
          <a:ext cx="0" cy="670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19</xdr:row>
      <xdr:rowOff>0</xdr:rowOff>
    </xdr:from>
    <xdr:to>
      <xdr:col>6</xdr:col>
      <xdr:colOff>266700</xdr:colOff>
      <xdr:row>20</xdr:row>
      <xdr:rowOff>83820</xdr:rowOff>
    </xdr:to>
    <xdr:cxnSp>
      <xdr:nvCxnSpPr>
        <xdr:cNvPr id="73753" name="Line 25"/>
        <xdr:cNvCxnSpPr/>
      </xdr:nvCxnSpPr>
      <xdr:spPr>
        <a:xfrm>
          <a:off x="3141345" y="4373880"/>
          <a:ext cx="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18</xdr:row>
      <xdr:rowOff>121920</xdr:rowOff>
    </xdr:from>
    <xdr:to>
      <xdr:col>1</xdr:col>
      <xdr:colOff>464820</xdr:colOff>
      <xdr:row>19</xdr:row>
      <xdr:rowOff>137160</xdr:rowOff>
    </xdr:to>
    <xdr:cxnSp>
      <xdr:nvCxnSpPr>
        <xdr:cNvPr id="73754" name="Line 26"/>
        <xdr:cNvCxnSpPr/>
      </xdr:nvCxnSpPr>
      <xdr:spPr>
        <a:xfrm flipV="1">
          <a:off x="678180" y="4290060"/>
          <a:ext cx="21336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15</xdr:row>
      <xdr:rowOff>144780</xdr:rowOff>
    </xdr:from>
    <xdr:to>
      <xdr:col>9</xdr:col>
      <xdr:colOff>289560</xdr:colOff>
      <xdr:row>22</xdr:row>
      <xdr:rowOff>0</xdr:rowOff>
    </xdr:to>
    <xdr:cxnSp>
      <xdr:nvCxnSpPr>
        <xdr:cNvPr id="73755" name="Line 47"/>
        <xdr:cNvCxnSpPr/>
      </xdr:nvCxnSpPr>
      <xdr:spPr>
        <a:xfrm>
          <a:off x="4812030" y="3695700"/>
          <a:ext cx="0" cy="12954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21</xdr:row>
      <xdr:rowOff>106680</xdr:rowOff>
    </xdr:from>
    <xdr:to>
      <xdr:col>11</xdr:col>
      <xdr:colOff>685800</xdr:colOff>
      <xdr:row>21</xdr:row>
      <xdr:rowOff>106680</xdr:rowOff>
    </xdr:to>
    <xdr:cxnSp>
      <xdr:nvCxnSpPr>
        <xdr:cNvPr id="73756" name="Line 50"/>
        <xdr:cNvCxnSpPr/>
      </xdr:nvCxnSpPr>
      <xdr:spPr>
        <a:xfrm>
          <a:off x="4812030" y="4892040"/>
          <a:ext cx="159639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106680</xdr:rowOff>
    </xdr:from>
    <xdr:to>
      <xdr:col>15</xdr:col>
      <xdr:colOff>327660</xdr:colOff>
      <xdr:row>21</xdr:row>
      <xdr:rowOff>106680</xdr:rowOff>
    </xdr:to>
    <xdr:cxnSp>
      <xdr:nvCxnSpPr>
        <xdr:cNvPr id="73757" name="Line 51"/>
        <xdr:cNvCxnSpPr/>
      </xdr:nvCxnSpPr>
      <xdr:spPr>
        <a:xfrm>
          <a:off x="6932295" y="4892040"/>
          <a:ext cx="15468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15</xdr:row>
      <xdr:rowOff>152400</xdr:rowOff>
    </xdr:from>
    <xdr:to>
      <xdr:col>15</xdr:col>
      <xdr:colOff>335280</xdr:colOff>
      <xdr:row>22</xdr:row>
      <xdr:rowOff>0</xdr:rowOff>
    </xdr:to>
    <xdr:cxnSp>
      <xdr:nvCxnSpPr>
        <xdr:cNvPr id="73758" name="Line 52"/>
        <xdr:cNvCxnSpPr/>
      </xdr:nvCxnSpPr>
      <xdr:spPr>
        <a:xfrm>
          <a:off x="8486775" y="3703320"/>
          <a:ext cx="0" cy="12877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4</xdr:row>
      <xdr:rowOff>45720</xdr:rowOff>
    </xdr:from>
    <xdr:to>
      <xdr:col>10</xdr:col>
      <xdr:colOff>533400</xdr:colOff>
      <xdr:row>4</xdr:row>
      <xdr:rowOff>45720</xdr:rowOff>
    </xdr:to>
    <xdr:cxnSp>
      <xdr:nvCxnSpPr>
        <xdr:cNvPr id="73759" name="Line 54"/>
        <xdr:cNvCxnSpPr/>
      </xdr:nvCxnSpPr>
      <xdr:spPr>
        <a:xfrm flipH="1">
          <a:off x="4053840" y="1333500"/>
          <a:ext cx="16021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19</xdr:row>
      <xdr:rowOff>190500</xdr:rowOff>
    </xdr:from>
    <xdr:to>
      <xdr:col>10</xdr:col>
      <xdr:colOff>464820</xdr:colOff>
      <xdr:row>19</xdr:row>
      <xdr:rowOff>190500</xdr:rowOff>
    </xdr:to>
    <xdr:cxnSp>
      <xdr:nvCxnSpPr>
        <xdr:cNvPr id="73760" name="Line 57"/>
        <xdr:cNvCxnSpPr/>
      </xdr:nvCxnSpPr>
      <xdr:spPr>
        <a:xfrm flipH="1">
          <a:off x="4114800" y="4564380"/>
          <a:ext cx="147256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12</xdr:row>
      <xdr:rowOff>7620</xdr:rowOff>
    </xdr:from>
    <xdr:to>
      <xdr:col>8</xdr:col>
      <xdr:colOff>335280</xdr:colOff>
      <xdr:row>19</xdr:row>
      <xdr:rowOff>190500</xdr:rowOff>
    </xdr:to>
    <xdr:cxnSp>
      <xdr:nvCxnSpPr>
        <xdr:cNvPr id="73761" name="Line 58"/>
        <xdr:cNvCxnSpPr/>
      </xdr:nvCxnSpPr>
      <xdr:spPr>
        <a:xfrm>
          <a:off x="4267200" y="2941320"/>
          <a:ext cx="0" cy="16230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4</xdr:row>
      <xdr:rowOff>38100</xdr:rowOff>
    </xdr:from>
    <xdr:to>
      <xdr:col>8</xdr:col>
      <xdr:colOff>335280</xdr:colOff>
      <xdr:row>11</xdr:row>
      <xdr:rowOff>0</xdr:rowOff>
    </xdr:to>
    <xdr:cxnSp>
      <xdr:nvCxnSpPr>
        <xdr:cNvPr id="73762" name="Line 59"/>
        <xdr:cNvCxnSpPr/>
      </xdr:nvCxnSpPr>
      <xdr:spPr>
        <a:xfrm flipH="1" flipV="1">
          <a:off x="4267200" y="1325880"/>
          <a:ext cx="0" cy="14020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22</xdr:row>
      <xdr:rowOff>7620</xdr:rowOff>
    </xdr:from>
    <xdr:to>
      <xdr:col>4</xdr:col>
      <xdr:colOff>335280</xdr:colOff>
      <xdr:row>22</xdr:row>
      <xdr:rowOff>7620</xdr:rowOff>
    </xdr:to>
    <xdr:cxnSp>
      <xdr:nvCxnSpPr>
        <xdr:cNvPr id="73763" name="Line 68"/>
        <xdr:cNvCxnSpPr/>
      </xdr:nvCxnSpPr>
      <xdr:spPr>
        <a:xfrm>
          <a:off x="906780" y="4998720"/>
          <a:ext cx="116014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15</xdr:row>
      <xdr:rowOff>0</xdr:rowOff>
    </xdr:from>
    <xdr:to>
      <xdr:col>10</xdr:col>
      <xdr:colOff>632460</xdr:colOff>
      <xdr:row>18</xdr:row>
      <xdr:rowOff>99060</xdr:rowOff>
    </xdr:to>
    <xdr:cxnSp>
      <xdr:nvCxnSpPr>
        <xdr:cNvPr id="73764" name="Line 69"/>
        <xdr:cNvCxnSpPr/>
      </xdr:nvCxnSpPr>
      <xdr:spPr>
        <a:xfrm flipV="1">
          <a:off x="5116830" y="3550920"/>
          <a:ext cx="638175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7</xdr:row>
      <xdr:rowOff>106680</xdr:rowOff>
    </xdr:from>
    <xdr:to>
      <xdr:col>1</xdr:col>
      <xdr:colOff>693420</xdr:colOff>
      <xdr:row>7</xdr:row>
      <xdr:rowOff>106680</xdr:rowOff>
    </xdr:to>
    <xdr:cxnSp>
      <xdr:nvCxnSpPr>
        <xdr:cNvPr id="73765" name="Line 70"/>
        <xdr:cNvCxnSpPr/>
      </xdr:nvCxnSpPr>
      <xdr:spPr>
        <a:xfrm flipH="1">
          <a:off x="609600" y="2011680"/>
          <a:ext cx="5105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350520</xdr:colOff>
      <xdr:row>7</xdr:row>
      <xdr:rowOff>106680</xdr:rowOff>
    </xdr:from>
    <xdr:to>
      <xdr:col>1</xdr:col>
      <xdr:colOff>106680</xdr:colOff>
      <xdr:row>7</xdr:row>
      <xdr:rowOff>106680</xdr:rowOff>
    </xdr:to>
    <xdr:cxnSp>
      <xdr:nvCxnSpPr>
        <xdr:cNvPr id="73766" name="Line 71"/>
        <xdr:cNvCxnSpPr/>
      </xdr:nvCxnSpPr>
      <xdr:spPr>
        <a:xfrm>
          <a:off x="329565" y="2011680"/>
          <a:ext cx="2038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4</xdr:row>
      <xdr:rowOff>45720</xdr:rowOff>
    </xdr:from>
    <xdr:to>
      <xdr:col>15</xdr:col>
      <xdr:colOff>335280</xdr:colOff>
      <xdr:row>19</xdr:row>
      <xdr:rowOff>190500</xdr:rowOff>
    </xdr:to>
    <xdr:sp>
      <xdr:nvSpPr>
        <xdr:cNvPr id="73767" name="AutoShape 72"/>
        <xdr:cNvSpPr>
          <a:spLocks/>
        </xdr:cNvSpPr>
      </xdr:nvSpPr>
      <xdr:spPr>
        <a:xfrm>
          <a:off x="4812030" y="1333500"/>
          <a:ext cx="3674745" cy="3230880"/>
        </a:xfrm>
        <a:prstGeom prst="roundRect">
          <a:avLst>
            <a:gd name="adj" fmla="val 31764"/>
          </a:avLst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388620</xdr:colOff>
      <xdr:row>7</xdr:row>
      <xdr:rowOff>60960</xdr:rowOff>
    </xdr:from>
    <xdr:to>
      <xdr:col>14</xdr:col>
      <xdr:colOff>259080</xdr:colOff>
      <xdr:row>16</xdr:row>
      <xdr:rowOff>114300</xdr:rowOff>
    </xdr:to>
    <xdr:sp>
      <xdr:nvSpPr>
        <xdr:cNvPr id="73768" name="AutoShape 79"/>
        <xdr:cNvSpPr>
          <a:spLocks/>
        </xdr:cNvSpPr>
      </xdr:nvSpPr>
      <xdr:spPr>
        <a:xfrm>
          <a:off x="5511165" y="1965960"/>
          <a:ext cx="2299335" cy="1905000"/>
        </a:xfrm>
        <a:prstGeom prst="roundRect">
          <a:avLst>
            <a:gd name="adj" fmla="val 19588"/>
          </a:avLst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335280</xdr:colOff>
      <xdr:row>7</xdr:row>
      <xdr:rowOff>0</xdr:rowOff>
    </xdr:from>
    <xdr:to>
      <xdr:col>14</xdr:col>
      <xdr:colOff>327660</xdr:colOff>
      <xdr:row>16</xdr:row>
      <xdr:rowOff>160020</xdr:rowOff>
    </xdr:to>
    <xdr:sp>
      <xdr:nvSpPr>
        <xdr:cNvPr id="73769" name="AutoShape 80"/>
        <xdr:cNvSpPr>
          <a:spLocks/>
        </xdr:cNvSpPr>
      </xdr:nvSpPr>
      <xdr:spPr>
        <a:xfrm>
          <a:off x="5457825" y="1905000"/>
          <a:ext cx="2421255" cy="2011680"/>
        </a:xfrm>
        <a:prstGeom prst="roundRect">
          <a:avLst>
            <a:gd name="adj" fmla="val 19588"/>
          </a:avLst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198120</xdr:colOff>
      <xdr:row>15</xdr:row>
      <xdr:rowOff>0</xdr:rowOff>
    </xdr:from>
    <xdr:to>
      <xdr:col>11</xdr:col>
      <xdr:colOff>68580</xdr:colOff>
      <xdr:row>15</xdr:row>
      <xdr:rowOff>0</xdr:rowOff>
    </xdr:to>
    <xdr:cxnSp>
      <xdr:nvCxnSpPr>
        <xdr:cNvPr id="73770" name="Line 81"/>
        <xdr:cNvCxnSpPr/>
      </xdr:nvCxnSpPr>
      <xdr:spPr>
        <a:xfrm>
          <a:off x="4720590" y="3550920"/>
          <a:ext cx="1070610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632460</xdr:colOff>
      <xdr:row>14</xdr:row>
      <xdr:rowOff>106680</xdr:rowOff>
    </xdr:from>
    <xdr:to>
      <xdr:col>10</xdr:col>
      <xdr:colOff>632460</xdr:colOff>
      <xdr:row>20</xdr:row>
      <xdr:rowOff>106680</xdr:rowOff>
    </xdr:to>
    <xdr:cxnSp>
      <xdr:nvCxnSpPr>
        <xdr:cNvPr id="73771" name="Line 82"/>
        <xdr:cNvCxnSpPr/>
      </xdr:nvCxnSpPr>
      <xdr:spPr>
        <a:xfrm>
          <a:off x="5755005" y="3451860"/>
          <a:ext cx="0" cy="123444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0</xdr:row>
      <xdr:rowOff>381000</xdr:rowOff>
    </xdr:from>
    <xdr:to>
      <xdr:col>16</xdr:col>
      <xdr:colOff>171450</xdr:colOff>
      <xdr:row>1</xdr:row>
      <xdr:rowOff>114300</xdr:rowOff>
    </xdr:to>
    <xdr:sp>
      <xdr:nvSpPr>
        <xdr:cNvPr id="29779" name="Rectangle 8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380095" y="367665"/>
          <a:ext cx="79057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26</xdr:row>
      <xdr:rowOff>0</xdr:rowOff>
    </xdr:from>
    <xdr:to>
      <xdr:col>9</xdr:col>
      <xdr:colOff>160020</xdr:colOff>
      <xdr:row>26</xdr:row>
      <xdr:rowOff>0</xdr:rowOff>
    </xdr:to>
    <xdr:cxnSp>
      <xdr:nvCxnSpPr>
        <xdr:cNvPr id="74753" name="Line 1"/>
        <xdr:cNvCxnSpPr/>
      </xdr:nvCxnSpPr>
      <xdr:spPr>
        <a:xfrm>
          <a:off x="2230755" y="5619750"/>
          <a:ext cx="112776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5</xdr:row>
      <xdr:rowOff>175260</xdr:rowOff>
    </xdr:from>
    <xdr:to>
      <xdr:col>8</xdr:col>
      <xdr:colOff>7620</xdr:colOff>
      <xdr:row>5</xdr:row>
      <xdr:rowOff>175260</xdr:rowOff>
    </xdr:to>
    <xdr:cxnSp>
      <xdr:nvCxnSpPr>
        <xdr:cNvPr id="74754" name="Line 2"/>
        <xdr:cNvCxnSpPr/>
      </xdr:nvCxnSpPr>
      <xdr:spPr>
        <a:xfrm>
          <a:off x="2139315" y="1691640"/>
          <a:ext cx="64770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5</xdr:row>
      <xdr:rowOff>7620</xdr:rowOff>
    </xdr:from>
    <xdr:to>
      <xdr:col>8</xdr:col>
      <xdr:colOff>228600</xdr:colOff>
      <xdr:row>5</xdr:row>
      <xdr:rowOff>175260</xdr:rowOff>
    </xdr:to>
    <xdr:sp>
      <xdr:nvSpPr>
        <xdr:cNvPr id="74755" name="Arc 3"/>
        <xdr:cNvSpPr>
          <a:spLocks/>
        </xdr:cNvSpPr>
      </xdr:nvSpPr>
      <xdr:spPr>
        <a:xfrm flipV="1">
          <a:off x="2787015" y="1524000"/>
          <a:ext cx="220980" cy="167640"/>
        </a:xfrm>
        <a:custGeom>
          <a:pathLst>
            <a:path w="20038" h="21600">
              <a:moveTo>
                <a:pt x="-1" y="0"/>
              </a:moveTo>
              <a:cubicBezTo>
                <a:pt x="8815" y="0"/>
                <a:pt x="16745" y="5356"/>
                <a:pt x="20037" y="13533"/>
              </a:cubicBezTo>
              <a:moveTo>
                <a:pt x="-1" y="0"/>
              </a:moveTo>
              <a:cubicBezTo>
                <a:pt x="8815" y="0"/>
                <a:pt x="16745" y="5356"/>
                <a:pt x="20037" y="13533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220980</xdr:colOff>
      <xdr:row>3</xdr:row>
      <xdr:rowOff>144780</xdr:rowOff>
    </xdr:from>
    <xdr:to>
      <xdr:col>8</xdr:col>
      <xdr:colOff>480060</xdr:colOff>
      <xdr:row>5</xdr:row>
      <xdr:rowOff>83820</xdr:rowOff>
    </xdr:to>
    <xdr:cxnSp>
      <xdr:nvCxnSpPr>
        <xdr:cNvPr id="74756" name="Line 4"/>
        <xdr:cNvCxnSpPr/>
      </xdr:nvCxnSpPr>
      <xdr:spPr>
        <a:xfrm flipV="1">
          <a:off x="3000375" y="1245870"/>
          <a:ext cx="259080" cy="35433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6</xdr:row>
      <xdr:rowOff>7620</xdr:rowOff>
    </xdr:from>
    <xdr:to>
      <xdr:col>13</xdr:col>
      <xdr:colOff>289560</xdr:colOff>
      <xdr:row>6</xdr:row>
      <xdr:rowOff>7620</xdr:rowOff>
    </xdr:to>
    <xdr:cxnSp>
      <xdr:nvCxnSpPr>
        <xdr:cNvPr id="74757" name="Line 5"/>
        <xdr:cNvCxnSpPr/>
      </xdr:nvCxnSpPr>
      <xdr:spPr>
        <a:xfrm>
          <a:off x="3996690" y="1729740"/>
          <a:ext cx="89154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5</xdr:row>
      <xdr:rowOff>0</xdr:rowOff>
    </xdr:from>
    <xdr:to>
      <xdr:col>14</xdr:col>
      <xdr:colOff>0</xdr:colOff>
      <xdr:row>6</xdr:row>
      <xdr:rowOff>7620</xdr:rowOff>
    </xdr:to>
    <xdr:sp>
      <xdr:nvSpPr>
        <xdr:cNvPr id="74758" name="Arc 6"/>
        <xdr:cNvSpPr>
          <a:spLocks/>
        </xdr:cNvSpPr>
      </xdr:nvSpPr>
      <xdr:spPr>
        <a:xfrm flipV="1">
          <a:off x="4888230" y="1516380"/>
          <a:ext cx="129540" cy="21336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0</xdr:colOff>
      <xdr:row>3</xdr:row>
      <xdr:rowOff>30480</xdr:rowOff>
    </xdr:from>
    <xdr:to>
      <xdr:col>14</xdr:col>
      <xdr:colOff>0</xdr:colOff>
      <xdr:row>5</xdr:row>
      <xdr:rowOff>0</xdr:rowOff>
    </xdr:to>
    <xdr:cxnSp>
      <xdr:nvCxnSpPr>
        <xdr:cNvPr id="74759" name="Line 7"/>
        <xdr:cNvCxnSpPr/>
      </xdr:nvCxnSpPr>
      <xdr:spPr>
        <a:xfrm flipH="1" flipV="1">
          <a:off x="5017770" y="1131570"/>
          <a:ext cx="0" cy="38481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5</xdr:row>
      <xdr:rowOff>190500</xdr:rowOff>
    </xdr:from>
    <xdr:to>
      <xdr:col>3</xdr:col>
      <xdr:colOff>297180</xdr:colOff>
      <xdr:row>5</xdr:row>
      <xdr:rowOff>190500</xdr:rowOff>
    </xdr:to>
    <xdr:cxnSp>
      <xdr:nvCxnSpPr>
        <xdr:cNvPr id="74760" name="Line 8"/>
        <xdr:cNvCxnSpPr/>
      </xdr:nvCxnSpPr>
      <xdr:spPr>
        <a:xfrm>
          <a:off x="350520" y="1706880"/>
          <a:ext cx="90678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4</xdr:row>
      <xdr:rowOff>83820</xdr:rowOff>
    </xdr:from>
    <xdr:to>
      <xdr:col>4</xdr:col>
      <xdr:colOff>68580</xdr:colOff>
      <xdr:row>5</xdr:row>
      <xdr:rowOff>190500</xdr:rowOff>
    </xdr:to>
    <xdr:sp>
      <xdr:nvSpPr>
        <xdr:cNvPr id="74761" name="Arc 9"/>
        <xdr:cNvSpPr>
          <a:spLocks/>
        </xdr:cNvSpPr>
      </xdr:nvSpPr>
      <xdr:spPr>
        <a:xfrm flipV="1">
          <a:off x="1257300" y="1394460"/>
          <a:ext cx="190500" cy="312420"/>
        </a:xfrm>
        <a:custGeom>
          <a:pathLst>
            <a:path w="21601" h="3328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5741"/>
                <a:pt x="20409" y="29796"/>
                <a:pt x="18169" y="3328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5741"/>
                <a:pt x="20409" y="29796"/>
                <a:pt x="18169" y="3328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312420</xdr:colOff>
      <xdr:row>3</xdr:row>
      <xdr:rowOff>30480</xdr:rowOff>
    </xdr:from>
    <xdr:to>
      <xdr:col>4</xdr:col>
      <xdr:colOff>30480</xdr:colOff>
      <xdr:row>4</xdr:row>
      <xdr:rowOff>83820</xdr:rowOff>
    </xdr:to>
    <xdr:cxnSp>
      <xdr:nvCxnSpPr>
        <xdr:cNvPr id="74762" name="Line 10"/>
        <xdr:cNvCxnSpPr/>
      </xdr:nvCxnSpPr>
      <xdr:spPr>
        <a:xfrm flipH="1" flipV="1">
          <a:off x="1272540" y="1131570"/>
          <a:ext cx="137160" cy="26289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449580</xdr:colOff>
      <xdr:row>16</xdr:row>
      <xdr:rowOff>198120</xdr:rowOff>
    </xdr:from>
    <xdr:to>
      <xdr:col>8</xdr:col>
      <xdr:colOff>76200</xdr:colOff>
      <xdr:row>16</xdr:row>
      <xdr:rowOff>198120</xdr:rowOff>
    </xdr:to>
    <xdr:cxnSp>
      <xdr:nvCxnSpPr>
        <xdr:cNvPr id="74763" name="Line 11"/>
        <xdr:cNvCxnSpPr/>
      </xdr:nvCxnSpPr>
      <xdr:spPr>
        <a:xfrm>
          <a:off x="2390775" y="3813810"/>
          <a:ext cx="46482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16</xdr:row>
      <xdr:rowOff>198120</xdr:rowOff>
    </xdr:from>
    <xdr:to>
      <xdr:col>8</xdr:col>
      <xdr:colOff>152400</xdr:colOff>
      <xdr:row>17</xdr:row>
      <xdr:rowOff>68580</xdr:rowOff>
    </xdr:to>
    <xdr:sp>
      <xdr:nvSpPr>
        <xdr:cNvPr id="74764" name="Arc 13"/>
        <xdr:cNvSpPr>
          <a:spLocks/>
        </xdr:cNvSpPr>
      </xdr:nvSpPr>
      <xdr:spPr>
        <a:xfrm>
          <a:off x="2855595" y="3813810"/>
          <a:ext cx="76200" cy="7620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152400</xdr:colOff>
      <xdr:row>17</xdr:row>
      <xdr:rowOff>68580</xdr:rowOff>
    </xdr:from>
    <xdr:to>
      <xdr:col>8</xdr:col>
      <xdr:colOff>228600</xdr:colOff>
      <xdr:row>17</xdr:row>
      <xdr:rowOff>152400</xdr:rowOff>
    </xdr:to>
    <xdr:sp>
      <xdr:nvSpPr>
        <xdr:cNvPr id="74765" name="Arc 15"/>
        <xdr:cNvSpPr>
          <a:spLocks/>
        </xdr:cNvSpPr>
      </xdr:nvSpPr>
      <xdr:spPr>
        <a:xfrm flipH="1" flipV="1">
          <a:off x="2931795" y="3890010"/>
          <a:ext cx="76200" cy="83820"/>
        </a:xfrm>
        <a:custGeom>
          <a:pathLst>
            <a:path w="21601" h="24279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495"/>
                <a:pt x="21544" y="23390"/>
                <a:pt x="21433" y="24279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495"/>
                <a:pt x="21544" y="23390"/>
                <a:pt x="21433" y="24279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228600</xdr:colOff>
      <xdr:row>17</xdr:row>
      <xdr:rowOff>152400</xdr:rowOff>
    </xdr:from>
    <xdr:to>
      <xdr:col>9</xdr:col>
      <xdr:colOff>190500</xdr:colOff>
      <xdr:row>17</xdr:row>
      <xdr:rowOff>152400</xdr:rowOff>
    </xdr:to>
    <xdr:cxnSp>
      <xdr:nvCxnSpPr>
        <xdr:cNvPr id="74766" name="Line 16"/>
        <xdr:cNvCxnSpPr/>
      </xdr:nvCxnSpPr>
      <xdr:spPr>
        <a:xfrm>
          <a:off x="3007995" y="3973830"/>
          <a:ext cx="38100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18</xdr:row>
      <xdr:rowOff>99060</xdr:rowOff>
    </xdr:from>
    <xdr:to>
      <xdr:col>14</xdr:col>
      <xdr:colOff>83820</xdr:colOff>
      <xdr:row>18</xdr:row>
      <xdr:rowOff>99060</xdr:rowOff>
    </xdr:to>
    <xdr:cxnSp>
      <xdr:nvCxnSpPr>
        <xdr:cNvPr id="74767" name="Line 17"/>
        <xdr:cNvCxnSpPr/>
      </xdr:nvCxnSpPr>
      <xdr:spPr>
        <a:xfrm>
          <a:off x="4088130" y="4126230"/>
          <a:ext cx="101346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17</xdr:row>
      <xdr:rowOff>106680</xdr:rowOff>
    </xdr:from>
    <xdr:to>
      <xdr:col>14</xdr:col>
      <xdr:colOff>190500</xdr:colOff>
      <xdr:row>18</xdr:row>
      <xdr:rowOff>99060</xdr:rowOff>
    </xdr:to>
    <xdr:sp>
      <xdr:nvSpPr>
        <xdr:cNvPr id="74768" name="Arc 18"/>
        <xdr:cNvSpPr>
          <a:spLocks/>
        </xdr:cNvSpPr>
      </xdr:nvSpPr>
      <xdr:spPr>
        <a:xfrm flipV="1">
          <a:off x="5101590" y="3928110"/>
          <a:ext cx="106680" cy="198120"/>
        </a:xfrm>
        <a:custGeom>
          <a:pathLst>
            <a:path w="21601" h="43200">
              <a:moveTo>
                <a:pt x="0" y="0"/>
              </a:moveTo>
              <a:cubicBezTo>
                <a:pt x="11930" y="0"/>
                <a:pt x="21601" y="9670"/>
                <a:pt x="21601" y="21600"/>
              </a:cubicBezTo>
              <a:cubicBezTo>
                <a:pt x="21601" y="33529"/>
                <a:pt x="11930" y="43200"/>
                <a:pt x="1" y="43200"/>
              </a:cubicBezTo>
              <a:cubicBezTo>
                <a:pt x="0" y="43200"/>
                <a:pt x="0" y="43199"/>
                <a:pt x="0" y="43199"/>
              </a:cubicBezTo>
              <a:moveTo>
                <a:pt x="0" y="0"/>
              </a:moveTo>
              <a:cubicBezTo>
                <a:pt x="11930" y="0"/>
                <a:pt x="21601" y="9670"/>
                <a:pt x="21601" y="21600"/>
              </a:cubicBezTo>
              <a:cubicBezTo>
                <a:pt x="21601" y="33529"/>
                <a:pt x="11930" y="43200"/>
                <a:pt x="1" y="43200"/>
              </a:cubicBezTo>
              <a:cubicBezTo>
                <a:pt x="0" y="43200"/>
                <a:pt x="0" y="43199"/>
                <a:pt x="0" y="43199"/>
              </a:cubicBezTo>
              <a:lnTo>
                <a:pt x="1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175260</xdr:colOff>
      <xdr:row>17</xdr:row>
      <xdr:rowOff>106680</xdr:rowOff>
    </xdr:from>
    <xdr:to>
      <xdr:col>14</xdr:col>
      <xdr:colOff>83820</xdr:colOff>
      <xdr:row>17</xdr:row>
      <xdr:rowOff>106680</xdr:rowOff>
    </xdr:to>
    <xdr:cxnSp>
      <xdr:nvCxnSpPr>
        <xdr:cNvPr id="74769" name="Line 19"/>
        <xdr:cNvCxnSpPr/>
      </xdr:nvCxnSpPr>
      <xdr:spPr>
        <a:xfrm flipH="1">
          <a:off x="4773930" y="3928110"/>
          <a:ext cx="32766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18</xdr:row>
      <xdr:rowOff>22860</xdr:rowOff>
    </xdr:from>
    <xdr:to>
      <xdr:col>3</xdr:col>
      <xdr:colOff>441960</xdr:colOff>
      <xdr:row>18</xdr:row>
      <xdr:rowOff>22860</xdr:rowOff>
    </xdr:to>
    <xdr:cxnSp>
      <xdr:nvCxnSpPr>
        <xdr:cNvPr id="74770" name="Line 20"/>
        <xdr:cNvCxnSpPr/>
      </xdr:nvCxnSpPr>
      <xdr:spPr>
        <a:xfrm>
          <a:off x="449580" y="4050030"/>
          <a:ext cx="95250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426720</xdr:colOff>
      <xdr:row>17</xdr:row>
      <xdr:rowOff>144780</xdr:rowOff>
    </xdr:from>
    <xdr:to>
      <xdr:col>3</xdr:col>
      <xdr:colOff>480060</xdr:colOff>
      <xdr:row>18</xdr:row>
      <xdr:rowOff>22860</xdr:rowOff>
    </xdr:to>
    <xdr:sp>
      <xdr:nvSpPr>
        <xdr:cNvPr id="74771" name="Arc 21"/>
        <xdr:cNvSpPr>
          <a:spLocks/>
        </xdr:cNvSpPr>
      </xdr:nvSpPr>
      <xdr:spPr>
        <a:xfrm flipV="1">
          <a:off x="1386840" y="3966210"/>
          <a:ext cx="53340" cy="83820"/>
        </a:xfrm>
        <a:custGeom>
          <a:pathLst>
            <a:path w="24655" h="43200">
              <a:moveTo>
                <a:pt x="3054" y="0"/>
              </a:moveTo>
              <a:cubicBezTo>
                <a:pt x="14984" y="0"/>
                <a:pt x="24655" y="9670"/>
                <a:pt x="24655" y="21600"/>
              </a:cubicBezTo>
              <a:cubicBezTo>
                <a:pt x="24655" y="33529"/>
                <a:pt x="14984" y="43200"/>
                <a:pt x="3055" y="43200"/>
              </a:cubicBezTo>
              <a:cubicBezTo>
                <a:pt x="2032" y="43200"/>
                <a:pt x="1011" y="43127"/>
                <a:pt x="0" y="42982"/>
              </a:cubicBezTo>
              <a:moveTo>
                <a:pt x="3054" y="0"/>
              </a:moveTo>
              <a:cubicBezTo>
                <a:pt x="14984" y="0"/>
                <a:pt x="24655" y="9670"/>
                <a:pt x="24655" y="21600"/>
              </a:cubicBezTo>
              <a:cubicBezTo>
                <a:pt x="24655" y="33529"/>
                <a:pt x="14984" y="43200"/>
                <a:pt x="3055" y="43200"/>
              </a:cubicBezTo>
              <a:cubicBezTo>
                <a:pt x="2032" y="43200"/>
                <a:pt x="1011" y="43127"/>
                <a:pt x="0" y="42982"/>
              </a:cubicBezTo>
              <a:lnTo>
                <a:pt x="3055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175260</xdr:colOff>
      <xdr:row>17</xdr:row>
      <xdr:rowOff>144780</xdr:rowOff>
    </xdr:from>
    <xdr:to>
      <xdr:col>3</xdr:col>
      <xdr:colOff>434340</xdr:colOff>
      <xdr:row>17</xdr:row>
      <xdr:rowOff>144780</xdr:rowOff>
    </xdr:to>
    <xdr:cxnSp>
      <xdr:nvCxnSpPr>
        <xdr:cNvPr id="74772" name="Line 22"/>
        <xdr:cNvCxnSpPr/>
      </xdr:nvCxnSpPr>
      <xdr:spPr>
        <a:xfrm flipH="1">
          <a:off x="1135380" y="3966210"/>
          <a:ext cx="25908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26</xdr:row>
      <xdr:rowOff>38100</xdr:rowOff>
    </xdr:from>
    <xdr:to>
      <xdr:col>3</xdr:col>
      <xdr:colOff>251460</xdr:colOff>
      <xdr:row>26</xdr:row>
      <xdr:rowOff>38100</xdr:rowOff>
    </xdr:to>
    <xdr:cxnSp>
      <xdr:nvCxnSpPr>
        <xdr:cNvPr id="74773" name="Line 23"/>
        <xdr:cNvCxnSpPr/>
      </xdr:nvCxnSpPr>
      <xdr:spPr>
        <a:xfrm>
          <a:off x="373380" y="5657850"/>
          <a:ext cx="83820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24</xdr:row>
      <xdr:rowOff>182880</xdr:rowOff>
    </xdr:from>
    <xdr:to>
      <xdr:col>3</xdr:col>
      <xdr:colOff>381000</xdr:colOff>
      <xdr:row>26</xdr:row>
      <xdr:rowOff>38100</xdr:rowOff>
    </xdr:to>
    <xdr:sp>
      <xdr:nvSpPr>
        <xdr:cNvPr id="74774" name="Arc 24"/>
        <xdr:cNvSpPr>
          <a:spLocks/>
        </xdr:cNvSpPr>
      </xdr:nvSpPr>
      <xdr:spPr>
        <a:xfrm flipV="1">
          <a:off x="1066800" y="5391150"/>
          <a:ext cx="274320" cy="266700"/>
        </a:xfrm>
        <a:custGeom>
          <a:pathLst>
            <a:path w="43201" h="43200">
              <a:moveTo>
                <a:pt x="21599" y="0"/>
              </a:moveTo>
              <a:cubicBezTo>
                <a:pt x="33529" y="0"/>
                <a:pt x="43200" y="9670"/>
                <a:pt x="43200" y="21600"/>
              </a:cubicBezTo>
              <a:cubicBezTo>
                <a:pt x="43200" y="33529"/>
                <a:pt x="33529" y="43200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-1" y="17259"/>
                <a:pt x="1307" y="13018"/>
                <a:pt x="3753" y="9432"/>
              </a:cubicBezTo>
              <a:moveTo>
                <a:pt x="21599" y="0"/>
              </a:moveTo>
              <a:cubicBezTo>
                <a:pt x="33529" y="0"/>
                <a:pt x="43200" y="9670"/>
                <a:pt x="43200" y="21600"/>
              </a:cubicBezTo>
              <a:cubicBezTo>
                <a:pt x="43200" y="33529"/>
                <a:pt x="33529" y="43200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-1" y="17259"/>
                <a:pt x="1307" y="13018"/>
                <a:pt x="3753" y="9432"/>
              </a:cubicBezTo>
              <a:lnTo>
                <a:pt x="2160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289560</xdr:colOff>
      <xdr:row>24</xdr:row>
      <xdr:rowOff>160020</xdr:rowOff>
    </xdr:from>
    <xdr:to>
      <xdr:col>6</xdr:col>
      <xdr:colOff>289560</xdr:colOff>
      <xdr:row>25</xdr:row>
      <xdr:rowOff>175260</xdr:rowOff>
    </xdr:to>
    <xdr:cxnSp>
      <xdr:nvCxnSpPr>
        <xdr:cNvPr id="74775" name="Line 25"/>
        <xdr:cNvCxnSpPr/>
      </xdr:nvCxnSpPr>
      <xdr:spPr>
        <a:xfrm flipV="1">
          <a:off x="2230755" y="5368290"/>
          <a:ext cx="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24</xdr:row>
      <xdr:rowOff>160020</xdr:rowOff>
    </xdr:from>
    <xdr:to>
      <xdr:col>9</xdr:col>
      <xdr:colOff>152400</xdr:colOff>
      <xdr:row>25</xdr:row>
      <xdr:rowOff>175260</xdr:rowOff>
    </xdr:to>
    <xdr:cxnSp>
      <xdr:nvCxnSpPr>
        <xdr:cNvPr id="74776" name="Line 26"/>
        <xdr:cNvCxnSpPr/>
      </xdr:nvCxnSpPr>
      <xdr:spPr>
        <a:xfrm flipV="1">
          <a:off x="3350895" y="5368290"/>
          <a:ext cx="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25</xdr:row>
      <xdr:rowOff>30480</xdr:rowOff>
    </xdr:from>
    <xdr:to>
      <xdr:col>9</xdr:col>
      <xdr:colOff>144780</xdr:colOff>
      <xdr:row>25</xdr:row>
      <xdr:rowOff>30480</xdr:rowOff>
    </xdr:to>
    <xdr:cxnSp>
      <xdr:nvCxnSpPr>
        <xdr:cNvPr id="74777" name="Line 27"/>
        <xdr:cNvCxnSpPr/>
      </xdr:nvCxnSpPr>
      <xdr:spPr>
        <a:xfrm>
          <a:off x="2230755" y="5444490"/>
          <a:ext cx="11125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25</xdr:row>
      <xdr:rowOff>175260</xdr:rowOff>
    </xdr:from>
    <xdr:to>
      <xdr:col>9</xdr:col>
      <xdr:colOff>381000</xdr:colOff>
      <xdr:row>25</xdr:row>
      <xdr:rowOff>175260</xdr:rowOff>
    </xdr:to>
    <xdr:cxnSp>
      <xdr:nvCxnSpPr>
        <xdr:cNvPr id="74778" name="Line 28"/>
        <xdr:cNvCxnSpPr/>
      </xdr:nvCxnSpPr>
      <xdr:spPr>
        <a:xfrm>
          <a:off x="3358515" y="5589270"/>
          <a:ext cx="2209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26</xdr:row>
      <xdr:rowOff>38100</xdr:rowOff>
    </xdr:from>
    <xdr:to>
      <xdr:col>9</xdr:col>
      <xdr:colOff>381000</xdr:colOff>
      <xdr:row>26</xdr:row>
      <xdr:rowOff>38100</xdr:rowOff>
    </xdr:to>
    <xdr:cxnSp>
      <xdr:nvCxnSpPr>
        <xdr:cNvPr id="74779" name="Line 29"/>
        <xdr:cNvCxnSpPr/>
      </xdr:nvCxnSpPr>
      <xdr:spPr>
        <a:xfrm>
          <a:off x="3358515" y="5657850"/>
          <a:ext cx="2209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25</xdr:row>
      <xdr:rowOff>175260</xdr:rowOff>
    </xdr:from>
    <xdr:to>
      <xdr:col>9</xdr:col>
      <xdr:colOff>304800</xdr:colOff>
      <xdr:row>26</xdr:row>
      <xdr:rowOff>38100</xdr:rowOff>
    </xdr:to>
    <xdr:cxnSp>
      <xdr:nvCxnSpPr>
        <xdr:cNvPr id="74780" name="Line 31"/>
        <xdr:cNvCxnSpPr/>
      </xdr:nvCxnSpPr>
      <xdr:spPr>
        <a:xfrm>
          <a:off x="3503295" y="5589270"/>
          <a:ext cx="0" cy="685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26</xdr:row>
      <xdr:rowOff>0</xdr:rowOff>
    </xdr:from>
    <xdr:to>
      <xdr:col>11</xdr:col>
      <xdr:colOff>441960</xdr:colOff>
      <xdr:row>26</xdr:row>
      <xdr:rowOff>0</xdr:rowOff>
    </xdr:to>
    <xdr:cxnSp>
      <xdr:nvCxnSpPr>
        <xdr:cNvPr id="74781" name="Line 33"/>
        <xdr:cNvCxnSpPr/>
      </xdr:nvCxnSpPr>
      <xdr:spPr>
        <a:xfrm>
          <a:off x="3503295" y="5619750"/>
          <a:ext cx="6991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24</xdr:row>
      <xdr:rowOff>30480</xdr:rowOff>
    </xdr:from>
    <xdr:to>
      <xdr:col>1</xdr:col>
      <xdr:colOff>251460</xdr:colOff>
      <xdr:row>26</xdr:row>
      <xdr:rowOff>0</xdr:rowOff>
    </xdr:to>
    <xdr:cxnSp>
      <xdr:nvCxnSpPr>
        <xdr:cNvPr id="74782" name="Line 35"/>
        <xdr:cNvCxnSpPr/>
      </xdr:nvCxnSpPr>
      <xdr:spPr>
        <a:xfrm flipV="1">
          <a:off x="373380" y="5238750"/>
          <a:ext cx="0" cy="381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24</xdr:row>
      <xdr:rowOff>22860</xdr:rowOff>
    </xdr:from>
    <xdr:to>
      <xdr:col>3</xdr:col>
      <xdr:colOff>251460</xdr:colOff>
      <xdr:row>25</xdr:row>
      <xdr:rowOff>99060</xdr:rowOff>
    </xdr:to>
    <xdr:cxnSp>
      <xdr:nvCxnSpPr>
        <xdr:cNvPr id="74783" name="Line 36"/>
        <xdr:cNvCxnSpPr/>
      </xdr:nvCxnSpPr>
      <xdr:spPr>
        <a:xfrm flipH="1" flipV="1">
          <a:off x="1211580" y="5231130"/>
          <a:ext cx="0" cy="2819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24</xdr:row>
      <xdr:rowOff>83820</xdr:rowOff>
    </xdr:from>
    <xdr:to>
      <xdr:col>2</xdr:col>
      <xdr:colOff>190500</xdr:colOff>
      <xdr:row>24</xdr:row>
      <xdr:rowOff>83820</xdr:rowOff>
    </xdr:to>
    <xdr:cxnSp>
      <xdr:nvCxnSpPr>
        <xdr:cNvPr id="74784" name="Line 37"/>
        <xdr:cNvCxnSpPr/>
      </xdr:nvCxnSpPr>
      <xdr:spPr>
        <a:xfrm flipH="1">
          <a:off x="373380" y="5292090"/>
          <a:ext cx="3581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25</xdr:row>
      <xdr:rowOff>106680</xdr:rowOff>
    </xdr:from>
    <xdr:to>
      <xdr:col>3</xdr:col>
      <xdr:colOff>426720</xdr:colOff>
      <xdr:row>25</xdr:row>
      <xdr:rowOff>106680</xdr:rowOff>
    </xdr:to>
    <xdr:cxnSp>
      <xdr:nvCxnSpPr>
        <xdr:cNvPr id="74785" name="Line 38"/>
        <xdr:cNvCxnSpPr/>
      </xdr:nvCxnSpPr>
      <xdr:spPr>
        <a:xfrm flipV="1">
          <a:off x="1211580" y="5520690"/>
          <a:ext cx="1752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25</xdr:row>
      <xdr:rowOff>106680</xdr:rowOff>
    </xdr:from>
    <xdr:to>
      <xdr:col>4</xdr:col>
      <xdr:colOff>137160</xdr:colOff>
      <xdr:row>25</xdr:row>
      <xdr:rowOff>106680</xdr:rowOff>
    </xdr:to>
    <xdr:cxnSp>
      <xdr:nvCxnSpPr>
        <xdr:cNvPr id="74786" name="Line 39"/>
        <xdr:cNvCxnSpPr/>
      </xdr:nvCxnSpPr>
      <xdr:spPr>
        <a:xfrm flipV="1">
          <a:off x="1379220" y="5520690"/>
          <a:ext cx="1371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15</xdr:row>
      <xdr:rowOff>121920</xdr:rowOff>
    </xdr:from>
    <xdr:to>
      <xdr:col>4</xdr:col>
      <xdr:colOff>38100</xdr:colOff>
      <xdr:row>17</xdr:row>
      <xdr:rowOff>182880</xdr:rowOff>
    </xdr:to>
    <xdr:cxnSp>
      <xdr:nvCxnSpPr>
        <xdr:cNvPr id="74787" name="Line 40"/>
        <xdr:cNvCxnSpPr/>
      </xdr:nvCxnSpPr>
      <xdr:spPr>
        <a:xfrm flipV="1">
          <a:off x="1417320" y="3531870"/>
          <a:ext cx="0" cy="4724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16</xdr:row>
      <xdr:rowOff>68580</xdr:rowOff>
    </xdr:from>
    <xdr:to>
      <xdr:col>3</xdr:col>
      <xdr:colOff>175260</xdr:colOff>
      <xdr:row>17</xdr:row>
      <xdr:rowOff>106680</xdr:rowOff>
    </xdr:to>
    <xdr:cxnSp>
      <xdr:nvCxnSpPr>
        <xdr:cNvPr id="74788" name="Line 41"/>
        <xdr:cNvCxnSpPr/>
      </xdr:nvCxnSpPr>
      <xdr:spPr>
        <a:xfrm flipV="1">
          <a:off x="1135380" y="3684270"/>
          <a:ext cx="0" cy="2438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16</xdr:row>
      <xdr:rowOff>190500</xdr:rowOff>
    </xdr:from>
    <xdr:to>
      <xdr:col>4</xdr:col>
      <xdr:colOff>38100</xdr:colOff>
      <xdr:row>16</xdr:row>
      <xdr:rowOff>190500</xdr:rowOff>
    </xdr:to>
    <xdr:cxnSp>
      <xdr:nvCxnSpPr>
        <xdr:cNvPr id="74789" name="Line 42"/>
        <xdr:cNvCxnSpPr/>
      </xdr:nvCxnSpPr>
      <xdr:spPr>
        <a:xfrm>
          <a:off x="1135380" y="3806190"/>
          <a:ext cx="2819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335280</xdr:colOff>
      <xdr:row>15</xdr:row>
      <xdr:rowOff>198120</xdr:rowOff>
    </xdr:from>
    <xdr:to>
      <xdr:col>4</xdr:col>
      <xdr:colOff>38100</xdr:colOff>
      <xdr:row>15</xdr:row>
      <xdr:rowOff>198120</xdr:rowOff>
    </xdr:to>
    <xdr:cxnSp>
      <xdr:nvCxnSpPr>
        <xdr:cNvPr id="74790" name="Line 44"/>
        <xdr:cNvCxnSpPr/>
      </xdr:nvCxnSpPr>
      <xdr:spPr>
        <a:xfrm flipH="1">
          <a:off x="457200" y="3608070"/>
          <a:ext cx="9601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15</xdr:row>
      <xdr:rowOff>137160</xdr:rowOff>
    </xdr:from>
    <xdr:to>
      <xdr:col>1</xdr:col>
      <xdr:colOff>327660</xdr:colOff>
      <xdr:row>17</xdr:row>
      <xdr:rowOff>190500</xdr:rowOff>
    </xdr:to>
    <xdr:cxnSp>
      <xdr:nvCxnSpPr>
        <xdr:cNvPr id="74791" name="Line 45"/>
        <xdr:cNvCxnSpPr/>
      </xdr:nvCxnSpPr>
      <xdr:spPr>
        <a:xfrm flipH="1" flipV="1">
          <a:off x="449580" y="3547110"/>
          <a:ext cx="0" cy="464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15</xdr:row>
      <xdr:rowOff>144780</xdr:rowOff>
    </xdr:from>
    <xdr:to>
      <xdr:col>6</xdr:col>
      <xdr:colOff>457200</xdr:colOff>
      <xdr:row>16</xdr:row>
      <xdr:rowOff>152400</xdr:rowOff>
    </xdr:to>
    <xdr:cxnSp>
      <xdr:nvCxnSpPr>
        <xdr:cNvPr id="74792" name="Line 46"/>
        <xdr:cNvCxnSpPr/>
      </xdr:nvCxnSpPr>
      <xdr:spPr>
        <a:xfrm flipV="1">
          <a:off x="2398395" y="3554730"/>
          <a:ext cx="0" cy="2133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16</xdr:row>
      <xdr:rowOff>0</xdr:rowOff>
    </xdr:from>
    <xdr:to>
      <xdr:col>8</xdr:col>
      <xdr:colOff>182880</xdr:colOff>
      <xdr:row>16</xdr:row>
      <xdr:rowOff>0</xdr:rowOff>
    </xdr:to>
    <xdr:cxnSp>
      <xdr:nvCxnSpPr>
        <xdr:cNvPr id="74793" name="Line 47"/>
        <xdr:cNvCxnSpPr/>
      </xdr:nvCxnSpPr>
      <xdr:spPr>
        <a:xfrm>
          <a:off x="2398395" y="3615690"/>
          <a:ext cx="5638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16</xdr:row>
      <xdr:rowOff>0</xdr:rowOff>
    </xdr:from>
    <xdr:to>
      <xdr:col>9</xdr:col>
      <xdr:colOff>182880</xdr:colOff>
      <xdr:row>16</xdr:row>
      <xdr:rowOff>0</xdr:rowOff>
    </xdr:to>
    <xdr:cxnSp>
      <xdr:nvCxnSpPr>
        <xdr:cNvPr id="74794" name="Line 48"/>
        <xdr:cNvCxnSpPr/>
      </xdr:nvCxnSpPr>
      <xdr:spPr>
        <a:xfrm>
          <a:off x="2969895" y="3615690"/>
          <a:ext cx="4114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144780</xdr:rowOff>
    </xdr:from>
    <xdr:to>
      <xdr:col>8</xdr:col>
      <xdr:colOff>190500</xdr:colOff>
      <xdr:row>17</xdr:row>
      <xdr:rowOff>22860</xdr:rowOff>
    </xdr:to>
    <xdr:cxnSp>
      <xdr:nvCxnSpPr>
        <xdr:cNvPr id="74795" name="Line 49"/>
        <xdr:cNvCxnSpPr/>
      </xdr:nvCxnSpPr>
      <xdr:spPr>
        <a:xfrm flipV="1">
          <a:off x="2969895" y="3554730"/>
          <a:ext cx="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15</xdr:row>
      <xdr:rowOff>137160</xdr:rowOff>
    </xdr:from>
    <xdr:to>
      <xdr:col>9</xdr:col>
      <xdr:colOff>190500</xdr:colOff>
      <xdr:row>17</xdr:row>
      <xdr:rowOff>106680</xdr:rowOff>
    </xdr:to>
    <xdr:cxnSp>
      <xdr:nvCxnSpPr>
        <xdr:cNvPr id="74796" name="Line 50"/>
        <xdr:cNvCxnSpPr/>
      </xdr:nvCxnSpPr>
      <xdr:spPr>
        <a:xfrm flipV="1">
          <a:off x="3388995" y="3547110"/>
          <a:ext cx="0" cy="381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17</xdr:row>
      <xdr:rowOff>198120</xdr:rowOff>
    </xdr:from>
    <xdr:to>
      <xdr:col>8</xdr:col>
      <xdr:colOff>175260</xdr:colOff>
      <xdr:row>17</xdr:row>
      <xdr:rowOff>198120</xdr:rowOff>
    </xdr:to>
    <xdr:cxnSp>
      <xdr:nvCxnSpPr>
        <xdr:cNvPr id="74797" name="Line 51"/>
        <xdr:cNvCxnSpPr/>
      </xdr:nvCxnSpPr>
      <xdr:spPr>
        <a:xfrm flipH="1">
          <a:off x="2139315" y="4019550"/>
          <a:ext cx="8153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17</xdr:row>
      <xdr:rowOff>30480</xdr:rowOff>
    </xdr:from>
    <xdr:to>
      <xdr:col>6</xdr:col>
      <xdr:colOff>434340</xdr:colOff>
      <xdr:row>17</xdr:row>
      <xdr:rowOff>30480</xdr:rowOff>
    </xdr:to>
    <xdr:cxnSp>
      <xdr:nvCxnSpPr>
        <xdr:cNvPr id="74798" name="Line 52"/>
        <xdr:cNvCxnSpPr/>
      </xdr:nvCxnSpPr>
      <xdr:spPr>
        <a:xfrm flipH="1">
          <a:off x="2139315" y="3851910"/>
          <a:ext cx="2362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16</xdr:row>
      <xdr:rowOff>7620</xdr:rowOff>
    </xdr:from>
    <xdr:to>
      <xdr:col>6</xdr:col>
      <xdr:colOff>274320</xdr:colOff>
      <xdr:row>17</xdr:row>
      <xdr:rowOff>22860</xdr:rowOff>
    </xdr:to>
    <xdr:cxnSp>
      <xdr:nvCxnSpPr>
        <xdr:cNvPr id="74799" name="Line 53"/>
        <xdr:cNvCxnSpPr/>
      </xdr:nvCxnSpPr>
      <xdr:spPr>
        <a:xfrm>
          <a:off x="2215515" y="3623310"/>
          <a:ext cx="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17</xdr:row>
      <xdr:rowOff>198120</xdr:rowOff>
    </xdr:from>
    <xdr:to>
      <xdr:col>6</xdr:col>
      <xdr:colOff>274320</xdr:colOff>
      <xdr:row>18</xdr:row>
      <xdr:rowOff>152400</xdr:rowOff>
    </xdr:to>
    <xdr:cxnSp>
      <xdr:nvCxnSpPr>
        <xdr:cNvPr id="74800" name="Line 54"/>
        <xdr:cNvCxnSpPr/>
      </xdr:nvCxnSpPr>
      <xdr:spPr>
        <a:xfrm>
          <a:off x="2215515" y="4019550"/>
          <a:ext cx="0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16</xdr:row>
      <xdr:rowOff>106680</xdr:rowOff>
    </xdr:from>
    <xdr:to>
      <xdr:col>13</xdr:col>
      <xdr:colOff>175260</xdr:colOff>
      <xdr:row>17</xdr:row>
      <xdr:rowOff>68580</xdr:rowOff>
    </xdr:to>
    <xdr:cxnSp>
      <xdr:nvCxnSpPr>
        <xdr:cNvPr id="74801" name="Line 58"/>
        <xdr:cNvCxnSpPr/>
      </xdr:nvCxnSpPr>
      <xdr:spPr>
        <a:xfrm flipV="1">
          <a:off x="4773930" y="3722370"/>
          <a:ext cx="0" cy="1676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15</xdr:row>
      <xdr:rowOff>114300</xdr:rowOff>
    </xdr:from>
    <xdr:to>
      <xdr:col>14</xdr:col>
      <xdr:colOff>228600</xdr:colOff>
      <xdr:row>17</xdr:row>
      <xdr:rowOff>198120</xdr:rowOff>
    </xdr:to>
    <xdr:cxnSp>
      <xdr:nvCxnSpPr>
        <xdr:cNvPr id="74802" name="Line 59"/>
        <xdr:cNvCxnSpPr/>
      </xdr:nvCxnSpPr>
      <xdr:spPr>
        <a:xfrm flipV="1">
          <a:off x="5246370" y="3524250"/>
          <a:ext cx="0" cy="4953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16</xdr:row>
      <xdr:rowOff>182880</xdr:rowOff>
    </xdr:from>
    <xdr:to>
      <xdr:col>14</xdr:col>
      <xdr:colOff>228600</xdr:colOff>
      <xdr:row>16</xdr:row>
      <xdr:rowOff>182880</xdr:rowOff>
    </xdr:to>
    <xdr:cxnSp>
      <xdr:nvCxnSpPr>
        <xdr:cNvPr id="74803" name="Line 60"/>
        <xdr:cNvCxnSpPr/>
      </xdr:nvCxnSpPr>
      <xdr:spPr>
        <a:xfrm>
          <a:off x="4773930" y="3798570"/>
          <a:ext cx="4724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15</xdr:row>
      <xdr:rowOff>114300</xdr:rowOff>
    </xdr:from>
    <xdr:to>
      <xdr:col>11</xdr:col>
      <xdr:colOff>327660</xdr:colOff>
      <xdr:row>18</xdr:row>
      <xdr:rowOff>45720</xdr:rowOff>
    </xdr:to>
    <xdr:cxnSp>
      <xdr:nvCxnSpPr>
        <xdr:cNvPr id="74804" name="Line 61"/>
        <xdr:cNvCxnSpPr/>
      </xdr:nvCxnSpPr>
      <xdr:spPr>
        <a:xfrm flipV="1">
          <a:off x="4088130" y="3524250"/>
          <a:ext cx="0" cy="5486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15</xdr:row>
      <xdr:rowOff>190500</xdr:rowOff>
    </xdr:from>
    <xdr:to>
      <xdr:col>14</xdr:col>
      <xdr:colOff>228600</xdr:colOff>
      <xdr:row>15</xdr:row>
      <xdr:rowOff>190500</xdr:rowOff>
    </xdr:to>
    <xdr:cxnSp>
      <xdr:nvCxnSpPr>
        <xdr:cNvPr id="74805" name="Line 62"/>
        <xdr:cNvCxnSpPr/>
      </xdr:nvCxnSpPr>
      <xdr:spPr>
        <a:xfrm>
          <a:off x="4088130" y="3600450"/>
          <a:ext cx="11582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335280</xdr:colOff>
      <xdr:row>17</xdr:row>
      <xdr:rowOff>68580</xdr:rowOff>
    </xdr:from>
    <xdr:to>
      <xdr:col>13</xdr:col>
      <xdr:colOff>175260</xdr:colOff>
      <xdr:row>17</xdr:row>
      <xdr:rowOff>68580</xdr:rowOff>
    </xdr:to>
    <xdr:cxnSp>
      <xdr:nvCxnSpPr>
        <xdr:cNvPr id="74806" name="Line 63"/>
        <xdr:cNvCxnSpPr/>
      </xdr:nvCxnSpPr>
      <xdr:spPr>
        <a:xfrm flipH="1">
          <a:off x="4514850" y="3890010"/>
          <a:ext cx="2590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17</xdr:row>
      <xdr:rowOff>68580</xdr:rowOff>
    </xdr:from>
    <xdr:to>
      <xdr:col>12</xdr:col>
      <xdr:colOff>411480</xdr:colOff>
      <xdr:row>18</xdr:row>
      <xdr:rowOff>60960</xdr:rowOff>
    </xdr:to>
    <xdr:cxnSp>
      <xdr:nvCxnSpPr>
        <xdr:cNvPr id="74807" name="Line 64"/>
        <xdr:cNvCxnSpPr/>
      </xdr:nvCxnSpPr>
      <xdr:spPr>
        <a:xfrm flipV="1">
          <a:off x="4591050" y="3890010"/>
          <a:ext cx="0" cy="1981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16</xdr:row>
      <xdr:rowOff>190500</xdr:rowOff>
    </xdr:from>
    <xdr:to>
      <xdr:col>12</xdr:col>
      <xdr:colOff>411480</xdr:colOff>
      <xdr:row>17</xdr:row>
      <xdr:rowOff>68580</xdr:rowOff>
    </xdr:to>
    <xdr:cxnSp>
      <xdr:nvCxnSpPr>
        <xdr:cNvPr id="74808" name="Line 65"/>
        <xdr:cNvCxnSpPr/>
      </xdr:nvCxnSpPr>
      <xdr:spPr>
        <a:xfrm flipV="1">
          <a:off x="4591050" y="380619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24</xdr:row>
      <xdr:rowOff>83820</xdr:rowOff>
    </xdr:from>
    <xdr:to>
      <xdr:col>3</xdr:col>
      <xdr:colOff>251460</xdr:colOff>
      <xdr:row>24</xdr:row>
      <xdr:rowOff>83820</xdr:rowOff>
    </xdr:to>
    <xdr:cxnSp>
      <xdr:nvCxnSpPr>
        <xdr:cNvPr id="74809" name="Line 66"/>
        <xdr:cNvCxnSpPr/>
      </xdr:nvCxnSpPr>
      <xdr:spPr>
        <a:xfrm>
          <a:off x="876300" y="5292090"/>
          <a:ext cx="3352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17</xdr:row>
      <xdr:rowOff>106680</xdr:rowOff>
    </xdr:from>
    <xdr:to>
      <xdr:col>4</xdr:col>
      <xdr:colOff>335280</xdr:colOff>
      <xdr:row>17</xdr:row>
      <xdr:rowOff>106680</xdr:rowOff>
    </xdr:to>
    <xdr:cxnSp>
      <xdr:nvCxnSpPr>
        <xdr:cNvPr id="74810" name="Line 67"/>
        <xdr:cNvCxnSpPr/>
      </xdr:nvCxnSpPr>
      <xdr:spPr>
        <a:xfrm>
          <a:off x="1440180" y="3928110"/>
          <a:ext cx="2743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18</xdr:row>
      <xdr:rowOff>60960</xdr:rowOff>
    </xdr:from>
    <xdr:to>
      <xdr:col>4</xdr:col>
      <xdr:colOff>342900</xdr:colOff>
      <xdr:row>18</xdr:row>
      <xdr:rowOff>60960</xdr:rowOff>
    </xdr:to>
    <xdr:cxnSp>
      <xdr:nvCxnSpPr>
        <xdr:cNvPr id="74811" name="Line 68"/>
        <xdr:cNvCxnSpPr/>
      </xdr:nvCxnSpPr>
      <xdr:spPr>
        <a:xfrm>
          <a:off x="1440180" y="4088130"/>
          <a:ext cx="2819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16</xdr:row>
      <xdr:rowOff>190500</xdr:rowOff>
    </xdr:from>
    <xdr:to>
      <xdr:col>4</xdr:col>
      <xdr:colOff>259080</xdr:colOff>
      <xdr:row>17</xdr:row>
      <xdr:rowOff>106680</xdr:rowOff>
    </xdr:to>
    <xdr:cxnSp>
      <xdr:nvCxnSpPr>
        <xdr:cNvPr id="74812" name="Line 69"/>
        <xdr:cNvCxnSpPr/>
      </xdr:nvCxnSpPr>
      <xdr:spPr>
        <a:xfrm flipH="1">
          <a:off x="1638300" y="3806190"/>
          <a:ext cx="0" cy="1219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17</xdr:row>
      <xdr:rowOff>106680</xdr:rowOff>
    </xdr:from>
    <xdr:to>
      <xdr:col>4</xdr:col>
      <xdr:colOff>259080</xdr:colOff>
      <xdr:row>18</xdr:row>
      <xdr:rowOff>60960</xdr:rowOff>
    </xdr:to>
    <xdr:cxnSp>
      <xdr:nvCxnSpPr>
        <xdr:cNvPr id="74813" name="Line 71"/>
        <xdr:cNvCxnSpPr/>
      </xdr:nvCxnSpPr>
      <xdr:spPr>
        <a:xfrm>
          <a:off x="1638300" y="3928110"/>
          <a:ext cx="0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160020</xdr:colOff>
      <xdr:row>3</xdr:row>
      <xdr:rowOff>30480</xdr:rowOff>
    </xdr:from>
    <xdr:to>
      <xdr:col>14</xdr:col>
      <xdr:colOff>160020</xdr:colOff>
      <xdr:row>4</xdr:row>
      <xdr:rowOff>198120</xdr:rowOff>
    </xdr:to>
    <xdr:cxnSp>
      <xdr:nvCxnSpPr>
        <xdr:cNvPr id="74814" name="Line 72"/>
        <xdr:cNvCxnSpPr/>
      </xdr:nvCxnSpPr>
      <xdr:spPr>
        <a:xfrm>
          <a:off x="5177790" y="1131570"/>
          <a:ext cx="0" cy="3771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3</xdr:row>
      <xdr:rowOff>30480</xdr:rowOff>
    </xdr:from>
    <xdr:to>
      <xdr:col>14</xdr:col>
      <xdr:colOff>220980</xdr:colOff>
      <xdr:row>3</xdr:row>
      <xdr:rowOff>30480</xdr:rowOff>
    </xdr:to>
    <xdr:cxnSp>
      <xdr:nvCxnSpPr>
        <xdr:cNvPr id="74815" name="Line 73"/>
        <xdr:cNvCxnSpPr/>
      </xdr:nvCxnSpPr>
      <xdr:spPr>
        <a:xfrm>
          <a:off x="5055870" y="1131570"/>
          <a:ext cx="1828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5</xdr:row>
      <xdr:rowOff>0</xdr:rowOff>
    </xdr:from>
    <xdr:to>
      <xdr:col>14</xdr:col>
      <xdr:colOff>236220</xdr:colOff>
      <xdr:row>5</xdr:row>
      <xdr:rowOff>0</xdr:rowOff>
    </xdr:to>
    <xdr:cxnSp>
      <xdr:nvCxnSpPr>
        <xdr:cNvPr id="74816" name="Line 74"/>
        <xdr:cNvCxnSpPr/>
      </xdr:nvCxnSpPr>
      <xdr:spPr>
        <a:xfrm>
          <a:off x="4895850" y="1516380"/>
          <a:ext cx="3581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6</xdr:row>
      <xdr:rowOff>30480</xdr:rowOff>
    </xdr:from>
    <xdr:to>
      <xdr:col>11</xdr:col>
      <xdr:colOff>236220</xdr:colOff>
      <xdr:row>7</xdr:row>
      <xdr:rowOff>45720</xdr:rowOff>
    </xdr:to>
    <xdr:cxnSp>
      <xdr:nvCxnSpPr>
        <xdr:cNvPr id="74817" name="Line 75"/>
        <xdr:cNvCxnSpPr/>
      </xdr:nvCxnSpPr>
      <xdr:spPr>
        <a:xfrm flipH="1" flipV="1">
          <a:off x="3996690" y="1752600"/>
          <a:ext cx="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5</xdr:row>
      <xdr:rowOff>0</xdr:rowOff>
    </xdr:from>
    <xdr:to>
      <xdr:col>13</xdr:col>
      <xdr:colOff>289560</xdr:colOff>
      <xdr:row>7</xdr:row>
      <xdr:rowOff>38100</xdr:rowOff>
    </xdr:to>
    <xdr:cxnSp>
      <xdr:nvCxnSpPr>
        <xdr:cNvPr id="74818" name="Line 76"/>
        <xdr:cNvCxnSpPr/>
      </xdr:nvCxnSpPr>
      <xdr:spPr>
        <a:xfrm flipH="1" flipV="1">
          <a:off x="4888230" y="1516380"/>
          <a:ext cx="0" cy="4495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6</xdr:row>
      <xdr:rowOff>190500</xdr:rowOff>
    </xdr:from>
    <xdr:to>
      <xdr:col>13</xdr:col>
      <xdr:colOff>274320</xdr:colOff>
      <xdr:row>6</xdr:row>
      <xdr:rowOff>190500</xdr:rowOff>
    </xdr:to>
    <xdr:cxnSp>
      <xdr:nvCxnSpPr>
        <xdr:cNvPr id="74819" name="Line 77"/>
        <xdr:cNvCxnSpPr/>
      </xdr:nvCxnSpPr>
      <xdr:spPr>
        <a:xfrm>
          <a:off x="3996690" y="1912620"/>
          <a:ext cx="8763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5</xdr:row>
      <xdr:rowOff>0</xdr:rowOff>
    </xdr:from>
    <xdr:to>
      <xdr:col>13</xdr:col>
      <xdr:colOff>403860</xdr:colOff>
      <xdr:row>5</xdr:row>
      <xdr:rowOff>114300</xdr:rowOff>
    </xdr:to>
    <xdr:cxnSp>
      <xdr:nvCxnSpPr>
        <xdr:cNvPr id="74820" name="Line 78"/>
        <xdr:cNvCxnSpPr/>
      </xdr:nvCxnSpPr>
      <xdr:spPr>
        <a:xfrm flipH="1" flipV="1">
          <a:off x="4895850" y="1516380"/>
          <a:ext cx="106680" cy="1143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6</xdr:row>
      <xdr:rowOff>7620</xdr:rowOff>
    </xdr:from>
    <xdr:to>
      <xdr:col>6</xdr:col>
      <xdr:colOff>198120</xdr:colOff>
      <xdr:row>7</xdr:row>
      <xdr:rowOff>68580</xdr:rowOff>
    </xdr:to>
    <xdr:cxnSp>
      <xdr:nvCxnSpPr>
        <xdr:cNvPr id="74821" name="Line 81"/>
        <xdr:cNvCxnSpPr/>
      </xdr:nvCxnSpPr>
      <xdr:spPr>
        <a:xfrm>
          <a:off x="2139315" y="1729740"/>
          <a:ext cx="0" cy="2667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106680</xdr:rowOff>
    </xdr:from>
    <xdr:to>
      <xdr:col>8</xdr:col>
      <xdr:colOff>0</xdr:colOff>
      <xdr:row>7</xdr:row>
      <xdr:rowOff>76200</xdr:rowOff>
    </xdr:to>
    <xdr:cxnSp>
      <xdr:nvCxnSpPr>
        <xdr:cNvPr id="74822" name="Line 82"/>
        <xdr:cNvCxnSpPr/>
      </xdr:nvCxnSpPr>
      <xdr:spPr>
        <a:xfrm>
          <a:off x="2779395" y="1417320"/>
          <a:ext cx="0" cy="5867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7</xdr:row>
      <xdr:rowOff>0</xdr:rowOff>
    </xdr:from>
    <xdr:to>
      <xdr:col>8</xdr:col>
      <xdr:colOff>0</xdr:colOff>
      <xdr:row>7</xdr:row>
      <xdr:rowOff>0</xdr:rowOff>
    </xdr:to>
    <xdr:cxnSp>
      <xdr:nvCxnSpPr>
        <xdr:cNvPr id="74823" name="Line 83"/>
        <xdr:cNvCxnSpPr/>
      </xdr:nvCxnSpPr>
      <xdr:spPr>
        <a:xfrm>
          <a:off x="2139315" y="1927860"/>
          <a:ext cx="6400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480060</xdr:colOff>
      <xdr:row>4</xdr:row>
      <xdr:rowOff>106680</xdr:rowOff>
    </xdr:from>
    <xdr:to>
      <xdr:col>8</xdr:col>
      <xdr:colOff>411480</xdr:colOff>
      <xdr:row>6</xdr:row>
      <xdr:rowOff>38100</xdr:rowOff>
    </xdr:to>
    <xdr:cxnSp>
      <xdr:nvCxnSpPr>
        <xdr:cNvPr id="74824" name="Line 84"/>
        <xdr:cNvCxnSpPr/>
      </xdr:nvCxnSpPr>
      <xdr:spPr>
        <a:xfrm>
          <a:off x="2840355" y="1417320"/>
          <a:ext cx="35052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3</xdr:row>
      <xdr:rowOff>175260</xdr:rowOff>
    </xdr:from>
    <xdr:to>
      <xdr:col>9</xdr:col>
      <xdr:colOff>175260</xdr:colOff>
      <xdr:row>4</xdr:row>
      <xdr:rowOff>76200</xdr:rowOff>
    </xdr:to>
    <xdr:cxnSp>
      <xdr:nvCxnSpPr>
        <xdr:cNvPr id="74825" name="Line 85"/>
        <xdr:cNvCxnSpPr/>
      </xdr:nvCxnSpPr>
      <xdr:spPr>
        <a:xfrm>
          <a:off x="3221355" y="1276350"/>
          <a:ext cx="152400" cy="1104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4</xdr:row>
      <xdr:rowOff>45720</xdr:rowOff>
    </xdr:from>
    <xdr:to>
      <xdr:col>9</xdr:col>
      <xdr:colOff>137160</xdr:colOff>
      <xdr:row>6</xdr:row>
      <xdr:rowOff>0</xdr:rowOff>
    </xdr:to>
    <xdr:cxnSp>
      <xdr:nvCxnSpPr>
        <xdr:cNvPr id="74826" name="Line 86"/>
        <xdr:cNvCxnSpPr/>
      </xdr:nvCxnSpPr>
      <xdr:spPr>
        <a:xfrm flipH="1">
          <a:off x="3160395" y="1356360"/>
          <a:ext cx="175260" cy="3657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480060</xdr:colOff>
      <xdr:row>5</xdr:row>
      <xdr:rowOff>99060</xdr:rowOff>
    </xdr:from>
    <xdr:to>
      <xdr:col>8</xdr:col>
      <xdr:colOff>373380</xdr:colOff>
      <xdr:row>7</xdr:row>
      <xdr:rowOff>0</xdr:rowOff>
    </xdr:to>
    <xdr:sp>
      <xdr:nvSpPr>
        <xdr:cNvPr id="74827" name="Arc 88"/>
        <xdr:cNvSpPr>
          <a:spLocks/>
        </xdr:cNvSpPr>
      </xdr:nvSpPr>
      <xdr:spPr>
        <a:xfrm flipV="1">
          <a:off x="2840355" y="1615440"/>
          <a:ext cx="312420" cy="312420"/>
        </a:xfrm>
        <a:custGeom>
          <a:pathLst>
            <a:path w="19846" h="21594">
              <a:moveTo>
                <a:pt x="539" y="-1"/>
              </a:moveTo>
              <a:cubicBezTo>
                <a:pt x="8975" y="210"/>
                <a:pt x="16516" y="5314"/>
                <a:pt x="19846" y="13069"/>
              </a:cubicBezTo>
              <a:moveTo>
                <a:pt x="539" y="-1"/>
              </a:moveTo>
              <a:cubicBezTo>
                <a:pt x="8975" y="210"/>
                <a:pt x="16516" y="5314"/>
                <a:pt x="19846" y="13069"/>
              </a:cubicBezTo>
              <a:lnTo>
                <a:pt x="0" y="21593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</xdr:sp>
    <xdr:clientData/>
  </xdr:twoCellAnchor>
  <xdr:twoCellAnchor>
    <xdr:from>
      <xdr:col>8</xdr:col>
      <xdr:colOff>0</xdr:colOff>
      <xdr:row>4</xdr:row>
      <xdr:rowOff>114300</xdr:rowOff>
    </xdr:from>
    <xdr:to>
      <xdr:col>8</xdr:col>
      <xdr:colOff>106680</xdr:colOff>
      <xdr:row>5</xdr:row>
      <xdr:rowOff>114300</xdr:rowOff>
    </xdr:to>
    <xdr:cxnSp>
      <xdr:nvCxnSpPr>
        <xdr:cNvPr id="74828" name="Line 89"/>
        <xdr:cNvCxnSpPr/>
      </xdr:nvCxnSpPr>
      <xdr:spPr>
        <a:xfrm flipH="1" flipV="1">
          <a:off x="2779395" y="1424940"/>
          <a:ext cx="106680" cy="2057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6</xdr:row>
      <xdr:rowOff>22860</xdr:rowOff>
    </xdr:from>
    <xdr:to>
      <xdr:col>1</xdr:col>
      <xdr:colOff>228600</xdr:colOff>
      <xdr:row>7</xdr:row>
      <xdr:rowOff>45720</xdr:rowOff>
    </xdr:to>
    <xdr:cxnSp>
      <xdr:nvCxnSpPr>
        <xdr:cNvPr id="74829" name="Line 90"/>
        <xdr:cNvCxnSpPr/>
      </xdr:nvCxnSpPr>
      <xdr:spPr>
        <a:xfrm>
          <a:off x="350520" y="1744980"/>
          <a:ext cx="0" cy="2286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4</xdr:row>
      <xdr:rowOff>198120</xdr:rowOff>
    </xdr:from>
    <xdr:to>
      <xdr:col>3</xdr:col>
      <xdr:colOff>350520</xdr:colOff>
      <xdr:row>7</xdr:row>
      <xdr:rowOff>99060</xdr:rowOff>
    </xdr:to>
    <xdr:cxnSp>
      <xdr:nvCxnSpPr>
        <xdr:cNvPr id="74830" name="Line 91"/>
        <xdr:cNvCxnSpPr/>
      </xdr:nvCxnSpPr>
      <xdr:spPr>
        <a:xfrm>
          <a:off x="1310640" y="1508760"/>
          <a:ext cx="0" cy="5181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7</xdr:row>
      <xdr:rowOff>7620</xdr:rowOff>
    </xdr:from>
    <xdr:to>
      <xdr:col>3</xdr:col>
      <xdr:colOff>342900</xdr:colOff>
      <xdr:row>7</xdr:row>
      <xdr:rowOff>7620</xdr:rowOff>
    </xdr:to>
    <xdr:cxnSp>
      <xdr:nvCxnSpPr>
        <xdr:cNvPr id="74831" name="Line 92"/>
        <xdr:cNvCxnSpPr/>
      </xdr:nvCxnSpPr>
      <xdr:spPr>
        <a:xfrm>
          <a:off x="358140" y="1935480"/>
          <a:ext cx="9448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2</xdr:row>
      <xdr:rowOff>106680</xdr:rowOff>
    </xdr:from>
    <xdr:to>
      <xdr:col>4</xdr:col>
      <xdr:colOff>220980</xdr:colOff>
      <xdr:row>3</xdr:row>
      <xdr:rowOff>152400</xdr:rowOff>
    </xdr:to>
    <xdr:cxnSp>
      <xdr:nvCxnSpPr>
        <xdr:cNvPr id="74832" name="Line 93"/>
        <xdr:cNvCxnSpPr/>
      </xdr:nvCxnSpPr>
      <xdr:spPr>
        <a:xfrm>
          <a:off x="1409700" y="998220"/>
          <a:ext cx="190500" cy="2552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2</xdr:row>
      <xdr:rowOff>76200</xdr:rowOff>
    </xdr:from>
    <xdr:to>
      <xdr:col>4</xdr:col>
      <xdr:colOff>60960</xdr:colOff>
      <xdr:row>3</xdr:row>
      <xdr:rowOff>7620</xdr:rowOff>
    </xdr:to>
    <xdr:cxnSp>
      <xdr:nvCxnSpPr>
        <xdr:cNvPr id="74833" name="Line 94"/>
        <xdr:cNvCxnSpPr/>
      </xdr:nvCxnSpPr>
      <xdr:spPr>
        <a:xfrm flipV="1">
          <a:off x="1310640" y="967740"/>
          <a:ext cx="129540" cy="1409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3</xdr:row>
      <xdr:rowOff>137160</xdr:rowOff>
    </xdr:from>
    <xdr:to>
      <xdr:col>4</xdr:col>
      <xdr:colOff>259080</xdr:colOff>
      <xdr:row>4</xdr:row>
      <xdr:rowOff>198120</xdr:rowOff>
    </xdr:to>
    <xdr:cxnSp>
      <xdr:nvCxnSpPr>
        <xdr:cNvPr id="74834" name="Line 95"/>
        <xdr:cNvCxnSpPr/>
      </xdr:nvCxnSpPr>
      <xdr:spPr>
        <a:xfrm flipV="1">
          <a:off x="1310640" y="1238250"/>
          <a:ext cx="327660" cy="2705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4</xdr:row>
      <xdr:rowOff>198120</xdr:rowOff>
    </xdr:from>
    <xdr:to>
      <xdr:col>3</xdr:col>
      <xdr:colOff>464820</xdr:colOff>
      <xdr:row>5</xdr:row>
      <xdr:rowOff>76200</xdr:rowOff>
    </xdr:to>
    <xdr:cxnSp>
      <xdr:nvCxnSpPr>
        <xdr:cNvPr id="74835" name="Line 96"/>
        <xdr:cNvCxnSpPr/>
      </xdr:nvCxnSpPr>
      <xdr:spPr>
        <a:xfrm flipH="1" flipV="1">
          <a:off x="1325880" y="1508760"/>
          <a:ext cx="9906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2</xdr:row>
      <xdr:rowOff>99060</xdr:rowOff>
    </xdr:from>
    <xdr:to>
      <xdr:col>3</xdr:col>
      <xdr:colOff>274320</xdr:colOff>
      <xdr:row>5</xdr:row>
      <xdr:rowOff>152400</xdr:rowOff>
    </xdr:to>
    <xdr:sp>
      <xdr:nvSpPr>
        <xdr:cNvPr id="74836" name="Arc 97"/>
        <xdr:cNvSpPr>
          <a:spLocks/>
        </xdr:cNvSpPr>
      </xdr:nvSpPr>
      <xdr:spPr>
        <a:xfrm flipH="1">
          <a:off x="868680" y="990600"/>
          <a:ext cx="365760" cy="678180"/>
        </a:xfrm>
        <a:custGeom>
          <a:pathLst>
            <a:path w="21597" h="20647">
              <a:moveTo>
                <a:pt x="6348" y="-1"/>
              </a:moveTo>
              <a:cubicBezTo>
                <a:pt x="15300" y="2752"/>
                <a:pt x="21459" y="10961"/>
                <a:pt x="21597" y="20327"/>
              </a:cubicBezTo>
              <a:moveTo>
                <a:pt x="6348" y="-1"/>
              </a:moveTo>
              <a:cubicBezTo>
                <a:pt x="15300" y="2752"/>
                <a:pt x="21459" y="10961"/>
                <a:pt x="21597" y="20327"/>
              </a:cubicBezTo>
              <a:lnTo>
                <a:pt x="0" y="20646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</xdr:sp>
    <xdr:clientData/>
  </xdr:twoCellAnchor>
  <xdr:twoCellAnchor>
    <xdr:from>
      <xdr:col>3</xdr:col>
      <xdr:colOff>121920</xdr:colOff>
      <xdr:row>2</xdr:row>
      <xdr:rowOff>68580</xdr:rowOff>
    </xdr:from>
    <xdr:to>
      <xdr:col>3</xdr:col>
      <xdr:colOff>289560</xdr:colOff>
      <xdr:row>3</xdr:row>
      <xdr:rowOff>45720</xdr:rowOff>
    </xdr:to>
    <xdr:cxnSp>
      <xdr:nvCxnSpPr>
        <xdr:cNvPr id="74837" name="Line 98"/>
        <xdr:cNvCxnSpPr/>
      </xdr:nvCxnSpPr>
      <xdr:spPr>
        <a:xfrm flipH="1" flipV="1">
          <a:off x="1082040" y="960120"/>
          <a:ext cx="167640" cy="1866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295275</xdr:colOff>
      <xdr:row>0</xdr:row>
      <xdr:rowOff>285750</xdr:rowOff>
    </xdr:from>
    <xdr:to>
      <xdr:col>23</xdr:col>
      <xdr:colOff>152400</xdr:colOff>
      <xdr:row>1</xdr:row>
      <xdr:rowOff>19050</xdr:rowOff>
    </xdr:to>
    <xdr:sp>
      <xdr:nvSpPr>
        <xdr:cNvPr id="9316" name="Rectangle 100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799070" y="272415"/>
          <a:ext cx="77152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30</xdr:row>
      <xdr:rowOff>7620</xdr:rowOff>
    </xdr:from>
    <xdr:to>
      <xdr:col>8</xdr:col>
      <xdr:colOff>480060</xdr:colOff>
      <xdr:row>30</xdr:row>
      <xdr:rowOff>7620</xdr:rowOff>
    </xdr:to>
    <xdr:cxnSp>
      <xdr:nvCxnSpPr>
        <xdr:cNvPr id="8197" name="Line 1"/>
        <xdr:cNvCxnSpPr/>
      </xdr:nvCxnSpPr>
      <xdr:spPr>
        <a:xfrm>
          <a:off x="855345" y="7098030"/>
          <a:ext cx="457581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25</xdr:row>
      <xdr:rowOff>182880</xdr:rowOff>
    </xdr:from>
    <xdr:to>
      <xdr:col>6</xdr:col>
      <xdr:colOff>388620</xdr:colOff>
      <xdr:row>25</xdr:row>
      <xdr:rowOff>182880</xdr:rowOff>
    </xdr:to>
    <xdr:cxnSp>
      <xdr:nvCxnSpPr>
        <xdr:cNvPr id="8198" name="Line 2"/>
        <xdr:cNvCxnSpPr/>
      </xdr:nvCxnSpPr>
      <xdr:spPr>
        <a:xfrm>
          <a:off x="2520315" y="6250305"/>
          <a:ext cx="131445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388620</xdr:colOff>
      <xdr:row>24</xdr:row>
      <xdr:rowOff>38100</xdr:rowOff>
    </xdr:from>
    <xdr:to>
      <xdr:col>7</xdr:col>
      <xdr:colOff>198120</xdr:colOff>
      <xdr:row>25</xdr:row>
      <xdr:rowOff>182880</xdr:rowOff>
    </xdr:to>
    <xdr:sp>
      <xdr:nvSpPr>
        <xdr:cNvPr id="8199" name="Arc 5"/>
        <xdr:cNvSpPr>
          <a:spLocks/>
        </xdr:cNvSpPr>
      </xdr:nvSpPr>
      <xdr:spPr>
        <a:xfrm flipV="1">
          <a:off x="3834765" y="5899785"/>
          <a:ext cx="323850" cy="350520"/>
        </a:xfrm>
        <a:custGeom>
          <a:pathLst>
            <a:path w="21572" h="21600">
              <a:moveTo>
                <a:pt x="-1" y="0"/>
              </a:moveTo>
              <a:cubicBezTo>
                <a:pt x="11499" y="0"/>
                <a:pt x="20982" y="9009"/>
                <a:pt x="21571" y="20493"/>
              </a:cubicBezTo>
              <a:moveTo>
                <a:pt x="-1" y="0"/>
              </a:moveTo>
              <a:cubicBezTo>
                <a:pt x="11499" y="0"/>
                <a:pt x="20982" y="9009"/>
                <a:pt x="21571" y="20493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266700</xdr:colOff>
      <xdr:row>24</xdr:row>
      <xdr:rowOff>76200</xdr:rowOff>
    </xdr:from>
    <xdr:to>
      <xdr:col>4</xdr:col>
      <xdr:colOff>594360</xdr:colOff>
      <xdr:row>25</xdr:row>
      <xdr:rowOff>182880</xdr:rowOff>
    </xdr:to>
    <xdr:sp>
      <xdr:nvSpPr>
        <xdr:cNvPr id="8200" name="Arc 7"/>
        <xdr:cNvSpPr>
          <a:spLocks/>
        </xdr:cNvSpPr>
      </xdr:nvSpPr>
      <xdr:spPr>
        <a:xfrm flipH="1" flipV="1">
          <a:off x="2207895" y="5937885"/>
          <a:ext cx="327660" cy="3124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266700</xdr:colOff>
      <xdr:row>20</xdr:row>
      <xdr:rowOff>60960</xdr:rowOff>
    </xdr:from>
    <xdr:to>
      <xdr:col>4</xdr:col>
      <xdr:colOff>266700</xdr:colOff>
      <xdr:row>24</xdr:row>
      <xdr:rowOff>76200</xdr:rowOff>
    </xdr:to>
    <xdr:cxnSp>
      <xdr:nvCxnSpPr>
        <xdr:cNvPr id="8201" name="Line 8"/>
        <xdr:cNvCxnSpPr/>
      </xdr:nvCxnSpPr>
      <xdr:spPr>
        <a:xfrm flipV="1">
          <a:off x="2207895" y="5067300"/>
          <a:ext cx="0" cy="870585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20</xdr:row>
      <xdr:rowOff>68580</xdr:rowOff>
    </xdr:from>
    <xdr:to>
      <xdr:col>7</xdr:col>
      <xdr:colOff>198120</xdr:colOff>
      <xdr:row>24</xdr:row>
      <xdr:rowOff>68580</xdr:rowOff>
    </xdr:to>
    <xdr:cxnSp>
      <xdr:nvCxnSpPr>
        <xdr:cNvPr id="8202" name="Line 9"/>
        <xdr:cNvCxnSpPr/>
      </xdr:nvCxnSpPr>
      <xdr:spPr>
        <a:xfrm flipV="1">
          <a:off x="4158615" y="5074920"/>
          <a:ext cx="0" cy="855345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26</xdr:row>
      <xdr:rowOff>121920</xdr:rowOff>
    </xdr:from>
    <xdr:to>
      <xdr:col>7</xdr:col>
      <xdr:colOff>137160</xdr:colOff>
      <xdr:row>26</xdr:row>
      <xdr:rowOff>121920</xdr:rowOff>
    </xdr:to>
    <xdr:cxnSp>
      <xdr:nvCxnSpPr>
        <xdr:cNvPr id="8203" name="Line 10"/>
        <xdr:cNvCxnSpPr/>
      </xdr:nvCxnSpPr>
      <xdr:spPr>
        <a:xfrm>
          <a:off x="2093595" y="6395085"/>
          <a:ext cx="200406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24</xdr:row>
      <xdr:rowOff>0</xdr:rowOff>
    </xdr:from>
    <xdr:to>
      <xdr:col>7</xdr:col>
      <xdr:colOff>723900</xdr:colOff>
      <xdr:row>26</xdr:row>
      <xdr:rowOff>121920</xdr:rowOff>
    </xdr:to>
    <xdr:sp>
      <xdr:nvSpPr>
        <xdr:cNvPr id="8204" name="Arc 11"/>
        <xdr:cNvSpPr>
          <a:spLocks/>
        </xdr:cNvSpPr>
      </xdr:nvSpPr>
      <xdr:spPr>
        <a:xfrm flipV="1">
          <a:off x="4082415" y="5861685"/>
          <a:ext cx="601980" cy="53340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175260</xdr:colOff>
      <xdr:row>24</xdr:row>
      <xdr:rowOff>0</xdr:rowOff>
    </xdr:from>
    <xdr:to>
      <xdr:col>4</xdr:col>
      <xdr:colOff>152400</xdr:colOff>
      <xdr:row>26</xdr:row>
      <xdr:rowOff>121920</xdr:rowOff>
    </xdr:to>
    <xdr:sp>
      <xdr:nvSpPr>
        <xdr:cNvPr id="8205" name="Arc 13"/>
        <xdr:cNvSpPr>
          <a:spLocks/>
        </xdr:cNvSpPr>
      </xdr:nvSpPr>
      <xdr:spPr>
        <a:xfrm flipH="1" flipV="1">
          <a:off x="1602105" y="5861685"/>
          <a:ext cx="491490" cy="53340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175260</xdr:colOff>
      <xdr:row>23</xdr:row>
      <xdr:rowOff>7620</xdr:rowOff>
    </xdr:from>
    <xdr:to>
      <xdr:col>3</xdr:col>
      <xdr:colOff>175260</xdr:colOff>
      <xdr:row>24</xdr:row>
      <xdr:rowOff>0</xdr:rowOff>
    </xdr:to>
    <xdr:cxnSp>
      <xdr:nvCxnSpPr>
        <xdr:cNvPr id="8206" name="Line 14"/>
        <xdr:cNvCxnSpPr/>
      </xdr:nvCxnSpPr>
      <xdr:spPr>
        <a:xfrm flipV="1">
          <a:off x="1602105" y="5663565"/>
          <a:ext cx="0" cy="1981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23</xdr:row>
      <xdr:rowOff>22860</xdr:rowOff>
    </xdr:from>
    <xdr:to>
      <xdr:col>7</xdr:col>
      <xdr:colOff>723900</xdr:colOff>
      <xdr:row>24</xdr:row>
      <xdr:rowOff>0</xdr:rowOff>
    </xdr:to>
    <xdr:cxnSp>
      <xdr:nvCxnSpPr>
        <xdr:cNvPr id="8207" name="Line 15"/>
        <xdr:cNvCxnSpPr/>
      </xdr:nvCxnSpPr>
      <xdr:spPr>
        <a:xfrm flipV="1">
          <a:off x="4684395" y="5678805"/>
          <a:ext cx="0" cy="18288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28</xdr:row>
      <xdr:rowOff>190500</xdr:rowOff>
    </xdr:from>
    <xdr:to>
      <xdr:col>1</xdr:col>
      <xdr:colOff>723900</xdr:colOff>
      <xdr:row>29</xdr:row>
      <xdr:rowOff>190500</xdr:rowOff>
    </xdr:to>
    <xdr:cxnSp>
      <xdr:nvCxnSpPr>
        <xdr:cNvPr id="8208" name="Line 16"/>
        <xdr:cNvCxnSpPr/>
      </xdr:nvCxnSpPr>
      <xdr:spPr>
        <a:xfrm flipV="1">
          <a:off x="855345" y="6869430"/>
          <a:ext cx="0" cy="2057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464820</xdr:colOff>
      <xdr:row>28</xdr:row>
      <xdr:rowOff>175260</xdr:rowOff>
    </xdr:from>
    <xdr:to>
      <xdr:col>8</xdr:col>
      <xdr:colOff>464820</xdr:colOff>
      <xdr:row>29</xdr:row>
      <xdr:rowOff>182880</xdr:rowOff>
    </xdr:to>
    <xdr:cxnSp>
      <xdr:nvCxnSpPr>
        <xdr:cNvPr id="8209" name="Line 17"/>
        <xdr:cNvCxnSpPr/>
      </xdr:nvCxnSpPr>
      <xdr:spPr>
        <a:xfrm flipV="1">
          <a:off x="5415915" y="6854190"/>
          <a:ext cx="0" cy="2133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29</xdr:row>
      <xdr:rowOff>45720</xdr:rowOff>
    </xdr:from>
    <xdr:to>
      <xdr:col>8</xdr:col>
      <xdr:colOff>464820</xdr:colOff>
      <xdr:row>29</xdr:row>
      <xdr:rowOff>45720</xdr:rowOff>
    </xdr:to>
    <xdr:cxnSp>
      <xdr:nvCxnSpPr>
        <xdr:cNvPr id="8210" name="Line 18"/>
        <xdr:cNvCxnSpPr/>
      </xdr:nvCxnSpPr>
      <xdr:spPr>
        <a:xfrm>
          <a:off x="855345" y="6930390"/>
          <a:ext cx="45605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16</xdr:row>
      <xdr:rowOff>144780</xdr:rowOff>
    </xdr:from>
    <xdr:to>
      <xdr:col>4</xdr:col>
      <xdr:colOff>228600</xdr:colOff>
      <xdr:row>20</xdr:row>
      <xdr:rowOff>60960</xdr:rowOff>
    </xdr:to>
    <xdr:cxnSp>
      <xdr:nvCxnSpPr>
        <xdr:cNvPr id="8211" name="Line 20"/>
        <xdr:cNvCxnSpPr/>
      </xdr:nvCxnSpPr>
      <xdr:spPr>
        <a:xfrm flipV="1">
          <a:off x="2169795" y="4314825"/>
          <a:ext cx="0" cy="75247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16</xdr:row>
      <xdr:rowOff>144780</xdr:rowOff>
    </xdr:from>
    <xdr:to>
      <xdr:col>7</xdr:col>
      <xdr:colOff>236220</xdr:colOff>
      <xdr:row>20</xdr:row>
      <xdr:rowOff>45720</xdr:rowOff>
    </xdr:to>
    <xdr:cxnSp>
      <xdr:nvCxnSpPr>
        <xdr:cNvPr id="8212" name="Line 21"/>
        <xdr:cNvCxnSpPr/>
      </xdr:nvCxnSpPr>
      <xdr:spPr>
        <a:xfrm flipH="1" flipV="1">
          <a:off x="4196715" y="4314825"/>
          <a:ext cx="0" cy="73723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236220</xdr:colOff>
      <xdr:row>17</xdr:row>
      <xdr:rowOff>0</xdr:rowOff>
    </xdr:from>
    <xdr:to>
      <xdr:col>7</xdr:col>
      <xdr:colOff>228600</xdr:colOff>
      <xdr:row>17</xdr:row>
      <xdr:rowOff>0</xdr:rowOff>
    </xdr:to>
    <xdr:cxnSp>
      <xdr:nvCxnSpPr>
        <xdr:cNvPr id="8213" name="Line 22"/>
        <xdr:cNvCxnSpPr/>
      </xdr:nvCxnSpPr>
      <xdr:spPr>
        <a:xfrm>
          <a:off x="2177415" y="4375785"/>
          <a:ext cx="20116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15</xdr:row>
      <xdr:rowOff>144780</xdr:rowOff>
    </xdr:from>
    <xdr:to>
      <xdr:col>3</xdr:col>
      <xdr:colOff>137160</xdr:colOff>
      <xdr:row>23</xdr:row>
      <xdr:rowOff>7620</xdr:rowOff>
    </xdr:to>
    <xdr:cxnSp>
      <xdr:nvCxnSpPr>
        <xdr:cNvPr id="8214" name="Line 23"/>
        <xdr:cNvCxnSpPr/>
      </xdr:nvCxnSpPr>
      <xdr:spPr>
        <a:xfrm flipV="1">
          <a:off x="1564005" y="4109085"/>
          <a:ext cx="0" cy="15544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754380</xdr:colOff>
      <xdr:row>15</xdr:row>
      <xdr:rowOff>114300</xdr:rowOff>
    </xdr:from>
    <xdr:to>
      <xdr:col>7</xdr:col>
      <xdr:colOff>754380</xdr:colOff>
      <xdr:row>23</xdr:row>
      <xdr:rowOff>30480</xdr:rowOff>
    </xdr:to>
    <xdr:cxnSp>
      <xdr:nvCxnSpPr>
        <xdr:cNvPr id="8215" name="Line 24"/>
        <xdr:cNvCxnSpPr/>
      </xdr:nvCxnSpPr>
      <xdr:spPr>
        <a:xfrm flipV="1">
          <a:off x="4714875" y="4078605"/>
          <a:ext cx="0" cy="1607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16</xdr:row>
      <xdr:rowOff>0</xdr:rowOff>
    </xdr:from>
    <xdr:to>
      <xdr:col>7</xdr:col>
      <xdr:colOff>746760</xdr:colOff>
      <xdr:row>16</xdr:row>
      <xdr:rowOff>0</xdr:rowOff>
    </xdr:to>
    <xdr:cxnSp>
      <xdr:nvCxnSpPr>
        <xdr:cNvPr id="8216" name="Line 28"/>
        <xdr:cNvCxnSpPr/>
      </xdr:nvCxnSpPr>
      <xdr:spPr>
        <a:xfrm>
          <a:off x="1564005" y="4170045"/>
          <a:ext cx="31432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25</xdr:row>
      <xdr:rowOff>45720</xdr:rowOff>
    </xdr:from>
    <xdr:to>
      <xdr:col>6</xdr:col>
      <xdr:colOff>304800</xdr:colOff>
      <xdr:row>25</xdr:row>
      <xdr:rowOff>45720</xdr:rowOff>
    </xdr:to>
    <xdr:cxnSp>
      <xdr:nvCxnSpPr>
        <xdr:cNvPr id="8217" name="Line 29"/>
        <xdr:cNvCxnSpPr/>
      </xdr:nvCxnSpPr>
      <xdr:spPr>
        <a:xfrm>
          <a:off x="2741295" y="6113145"/>
          <a:ext cx="100965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24</xdr:row>
      <xdr:rowOff>83820</xdr:rowOff>
    </xdr:from>
    <xdr:to>
      <xdr:col>6</xdr:col>
      <xdr:colOff>441960</xdr:colOff>
      <xdr:row>25</xdr:row>
      <xdr:rowOff>45720</xdr:rowOff>
    </xdr:to>
    <xdr:sp>
      <xdr:nvSpPr>
        <xdr:cNvPr id="8218" name="Arc 30"/>
        <xdr:cNvSpPr>
          <a:spLocks/>
        </xdr:cNvSpPr>
      </xdr:nvSpPr>
      <xdr:spPr>
        <a:xfrm flipV="1">
          <a:off x="3712845" y="5945505"/>
          <a:ext cx="175260" cy="16764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617220</xdr:colOff>
      <xdr:row>24</xdr:row>
      <xdr:rowOff>68580</xdr:rowOff>
    </xdr:from>
    <xdr:to>
      <xdr:col>4</xdr:col>
      <xdr:colOff>800100</xdr:colOff>
      <xdr:row>25</xdr:row>
      <xdr:rowOff>45720</xdr:rowOff>
    </xdr:to>
    <xdr:sp>
      <xdr:nvSpPr>
        <xdr:cNvPr id="8219" name="Arc 31"/>
        <xdr:cNvSpPr>
          <a:spLocks/>
        </xdr:cNvSpPr>
      </xdr:nvSpPr>
      <xdr:spPr>
        <a:xfrm flipH="1" flipV="1">
          <a:off x="2558415" y="5930265"/>
          <a:ext cx="182880" cy="1828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617220</xdr:colOff>
      <xdr:row>18</xdr:row>
      <xdr:rowOff>114300</xdr:rowOff>
    </xdr:from>
    <xdr:to>
      <xdr:col>4</xdr:col>
      <xdr:colOff>617220</xdr:colOff>
      <xdr:row>24</xdr:row>
      <xdr:rowOff>68580</xdr:rowOff>
    </xdr:to>
    <xdr:cxnSp>
      <xdr:nvCxnSpPr>
        <xdr:cNvPr id="8220" name="Line 32"/>
        <xdr:cNvCxnSpPr/>
      </xdr:nvCxnSpPr>
      <xdr:spPr>
        <a:xfrm flipV="1">
          <a:off x="2558415" y="4709160"/>
          <a:ext cx="0" cy="1221105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18</xdr:row>
      <xdr:rowOff>114300</xdr:rowOff>
    </xdr:from>
    <xdr:to>
      <xdr:col>6</xdr:col>
      <xdr:colOff>441960</xdr:colOff>
      <xdr:row>24</xdr:row>
      <xdr:rowOff>83820</xdr:rowOff>
    </xdr:to>
    <xdr:cxnSp>
      <xdr:nvCxnSpPr>
        <xdr:cNvPr id="8221" name="Line 33"/>
        <xdr:cNvCxnSpPr/>
      </xdr:nvCxnSpPr>
      <xdr:spPr>
        <a:xfrm flipH="1" flipV="1">
          <a:off x="3888105" y="4709160"/>
          <a:ext cx="0" cy="1236345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17</xdr:row>
      <xdr:rowOff>160020</xdr:rowOff>
    </xdr:from>
    <xdr:to>
      <xdr:col>4</xdr:col>
      <xdr:colOff>579120</xdr:colOff>
      <xdr:row>18</xdr:row>
      <xdr:rowOff>106680</xdr:rowOff>
    </xdr:to>
    <xdr:cxnSp>
      <xdr:nvCxnSpPr>
        <xdr:cNvPr id="8222" name="Line 35"/>
        <xdr:cNvCxnSpPr/>
      </xdr:nvCxnSpPr>
      <xdr:spPr>
        <a:xfrm flipV="1">
          <a:off x="2520315" y="4535805"/>
          <a:ext cx="0" cy="16573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480060</xdr:colOff>
      <xdr:row>17</xdr:row>
      <xdr:rowOff>152400</xdr:rowOff>
    </xdr:from>
    <xdr:to>
      <xdr:col>6</xdr:col>
      <xdr:colOff>480060</xdr:colOff>
      <xdr:row>18</xdr:row>
      <xdr:rowOff>106680</xdr:rowOff>
    </xdr:to>
    <xdr:cxnSp>
      <xdr:nvCxnSpPr>
        <xdr:cNvPr id="8223" name="Line 36"/>
        <xdr:cNvCxnSpPr/>
      </xdr:nvCxnSpPr>
      <xdr:spPr>
        <a:xfrm flipV="1">
          <a:off x="3926205" y="4528185"/>
          <a:ext cx="0" cy="17335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18</xdr:row>
      <xdr:rowOff>0</xdr:rowOff>
    </xdr:from>
    <xdr:to>
      <xdr:col>6</xdr:col>
      <xdr:colOff>480060</xdr:colOff>
      <xdr:row>18</xdr:row>
      <xdr:rowOff>0</xdr:rowOff>
    </xdr:to>
    <xdr:cxnSp>
      <xdr:nvCxnSpPr>
        <xdr:cNvPr id="8224" name="Line 37"/>
        <xdr:cNvCxnSpPr/>
      </xdr:nvCxnSpPr>
      <xdr:spPr>
        <a:xfrm>
          <a:off x="2520315" y="4594860"/>
          <a:ext cx="140589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26</xdr:row>
      <xdr:rowOff>160020</xdr:rowOff>
    </xdr:from>
    <xdr:to>
      <xdr:col>8</xdr:col>
      <xdr:colOff>487680</xdr:colOff>
      <xdr:row>26</xdr:row>
      <xdr:rowOff>160020</xdr:rowOff>
    </xdr:to>
    <xdr:cxnSp>
      <xdr:nvCxnSpPr>
        <xdr:cNvPr id="8225" name="Line 38"/>
        <xdr:cNvCxnSpPr/>
      </xdr:nvCxnSpPr>
      <xdr:spPr>
        <a:xfrm>
          <a:off x="4189095" y="6433185"/>
          <a:ext cx="12496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23</xdr:row>
      <xdr:rowOff>22860</xdr:rowOff>
    </xdr:from>
    <xdr:to>
      <xdr:col>8</xdr:col>
      <xdr:colOff>99060</xdr:colOff>
      <xdr:row>23</xdr:row>
      <xdr:rowOff>22860</xdr:rowOff>
    </xdr:to>
    <xdr:cxnSp>
      <xdr:nvCxnSpPr>
        <xdr:cNvPr id="8226" name="Line 39"/>
        <xdr:cNvCxnSpPr/>
      </xdr:nvCxnSpPr>
      <xdr:spPr>
        <a:xfrm>
          <a:off x="4722495" y="5678805"/>
          <a:ext cx="3276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1127760</xdr:colOff>
      <xdr:row>23</xdr:row>
      <xdr:rowOff>22860</xdr:rowOff>
    </xdr:from>
    <xdr:to>
      <xdr:col>7</xdr:col>
      <xdr:colOff>1127760</xdr:colOff>
      <xdr:row>26</xdr:row>
      <xdr:rowOff>160020</xdr:rowOff>
    </xdr:to>
    <xdr:cxnSp>
      <xdr:nvCxnSpPr>
        <xdr:cNvPr id="8227" name="Line 40"/>
        <xdr:cNvCxnSpPr/>
      </xdr:nvCxnSpPr>
      <xdr:spPr>
        <a:xfrm flipV="1">
          <a:off x="5088255" y="5678805"/>
          <a:ext cx="0" cy="754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20</xdr:row>
      <xdr:rowOff>68580</xdr:rowOff>
    </xdr:from>
    <xdr:to>
      <xdr:col>8</xdr:col>
      <xdr:colOff>312420</xdr:colOff>
      <xdr:row>20</xdr:row>
      <xdr:rowOff>68580</xdr:rowOff>
    </xdr:to>
    <xdr:cxnSp>
      <xdr:nvCxnSpPr>
        <xdr:cNvPr id="8228" name="Line 42"/>
        <xdr:cNvCxnSpPr/>
      </xdr:nvCxnSpPr>
      <xdr:spPr>
        <a:xfrm>
          <a:off x="4189095" y="5074920"/>
          <a:ext cx="10744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20</xdr:row>
      <xdr:rowOff>76200</xdr:rowOff>
    </xdr:from>
    <xdr:to>
      <xdr:col>8</xdr:col>
      <xdr:colOff>220980</xdr:colOff>
      <xdr:row>26</xdr:row>
      <xdr:rowOff>160020</xdr:rowOff>
    </xdr:to>
    <xdr:cxnSp>
      <xdr:nvCxnSpPr>
        <xdr:cNvPr id="8229" name="Line 43"/>
        <xdr:cNvCxnSpPr/>
      </xdr:nvCxnSpPr>
      <xdr:spPr>
        <a:xfrm flipV="1">
          <a:off x="5172075" y="5082540"/>
          <a:ext cx="0" cy="135064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480060</xdr:colOff>
      <xdr:row>18</xdr:row>
      <xdr:rowOff>114300</xdr:rowOff>
    </xdr:from>
    <xdr:to>
      <xdr:col>8</xdr:col>
      <xdr:colOff>525780</xdr:colOff>
      <xdr:row>18</xdr:row>
      <xdr:rowOff>114300</xdr:rowOff>
    </xdr:to>
    <xdr:cxnSp>
      <xdr:nvCxnSpPr>
        <xdr:cNvPr id="8230" name="Line 44"/>
        <xdr:cNvCxnSpPr/>
      </xdr:nvCxnSpPr>
      <xdr:spPr>
        <a:xfrm>
          <a:off x="3926205" y="4709160"/>
          <a:ext cx="15506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441960</xdr:colOff>
      <xdr:row>18</xdr:row>
      <xdr:rowOff>114300</xdr:rowOff>
    </xdr:from>
    <xdr:to>
      <xdr:col>8</xdr:col>
      <xdr:colOff>441960</xdr:colOff>
      <xdr:row>26</xdr:row>
      <xdr:rowOff>160020</xdr:rowOff>
    </xdr:to>
    <xdr:cxnSp>
      <xdr:nvCxnSpPr>
        <xdr:cNvPr id="8231" name="Line 45"/>
        <xdr:cNvCxnSpPr/>
      </xdr:nvCxnSpPr>
      <xdr:spPr>
        <a:xfrm>
          <a:off x="5393055" y="4709160"/>
          <a:ext cx="0" cy="172402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24</xdr:row>
      <xdr:rowOff>0</xdr:rowOff>
    </xdr:from>
    <xdr:to>
      <xdr:col>4</xdr:col>
      <xdr:colOff>868680</xdr:colOff>
      <xdr:row>24</xdr:row>
      <xdr:rowOff>182880</xdr:rowOff>
    </xdr:to>
    <xdr:cxnSp>
      <xdr:nvCxnSpPr>
        <xdr:cNvPr id="8232" name="Line 48"/>
        <xdr:cNvCxnSpPr/>
      </xdr:nvCxnSpPr>
      <xdr:spPr>
        <a:xfrm flipH="1">
          <a:off x="2626995" y="5861685"/>
          <a:ext cx="182880" cy="1828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21</xdr:row>
      <xdr:rowOff>144780</xdr:rowOff>
    </xdr:from>
    <xdr:to>
      <xdr:col>3</xdr:col>
      <xdr:colOff>213360</xdr:colOff>
      <xdr:row>23</xdr:row>
      <xdr:rowOff>7620</xdr:rowOff>
    </xdr:to>
    <xdr:cxnSp>
      <xdr:nvCxnSpPr>
        <xdr:cNvPr id="8233" name="Line 50"/>
        <xdr:cNvCxnSpPr/>
      </xdr:nvCxnSpPr>
      <xdr:spPr>
        <a:xfrm flipV="1">
          <a:off x="1640205" y="5356860"/>
          <a:ext cx="0" cy="30670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21</xdr:row>
      <xdr:rowOff>213360</xdr:rowOff>
    </xdr:from>
    <xdr:to>
      <xdr:col>3</xdr:col>
      <xdr:colOff>449580</xdr:colOff>
      <xdr:row>21</xdr:row>
      <xdr:rowOff>213360</xdr:rowOff>
    </xdr:to>
    <xdr:cxnSp>
      <xdr:nvCxnSpPr>
        <xdr:cNvPr id="8234" name="Line 52"/>
        <xdr:cNvCxnSpPr/>
      </xdr:nvCxnSpPr>
      <xdr:spPr>
        <a:xfrm>
          <a:off x="1640205" y="5425440"/>
          <a:ext cx="2362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213360</xdr:rowOff>
    </xdr:from>
    <xdr:to>
      <xdr:col>3</xdr:col>
      <xdr:colOff>137160</xdr:colOff>
      <xdr:row>21</xdr:row>
      <xdr:rowOff>213360</xdr:rowOff>
    </xdr:to>
    <xdr:cxnSp>
      <xdr:nvCxnSpPr>
        <xdr:cNvPr id="8235" name="Line 53"/>
        <xdr:cNvCxnSpPr/>
      </xdr:nvCxnSpPr>
      <xdr:spPr>
        <a:xfrm flipH="1">
          <a:off x="912495" y="5425440"/>
          <a:ext cx="6515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24</xdr:row>
      <xdr:rowOff>0</xdr:rowOff>
    </xdr:from>
    <xdr:to>
      <xdr:col>4</xdr:col>
      <xdr:colOff>0</xdr:colOff>
      <xdr:row>25</xdr:row>
      <xdr:rowOff>68580</xdr:rowOff>
    </xdr:to>
    <xdr:cxnSp>
      <xdr:nvCxnSpPr>
        <xdr:cNvPr id="8236" name="Line 54"/>
        <xdr:cNvCxnSpPr/>
      </xdr:nvCxnSpPr>
      <xdr:spPr>
        <a:xfrm flipH="1">
          <a:off x="1724025" y="5861685"/>
          <a:ext cx="217170" cy="2743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388620</xdr:colOff>
      <xdr:row>24</xdr:row>
      <xdr:rowOff>0</xdr:rowOff>
    </xdr:from>
    <xdr:to>
      <xdr:col>4</xdr:col>
      <xdr:colOff>502920</xdr:colOff>
      <xdr:row>25</xdr:row>
      <xdr:rowOff>45720</xdr:rowOff>
    </xdr:to>
    <xdr:cxnSp>
      <xdr:nvCxnSpPr>
        <xdr:cNvPr id="8237" name="Line 65"/>
        <xdr:cNvCxnSpPr/>
      </xdr:nvCxnSpPr>
      <xdr:spPr>
        <a:xfrm flipV="1">
          <a:off x="2329815" y="5861685"/>
          <a:ext cx="114300" cy="2514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0</xdr:row>
      <xdr:rowOff>180975</xdr:rowOff>
    </xdr:from>
    <xdr:to>
      <xdr:col>15</xdr:col>
      <xdr:colOff>47625</xdr:colOff>
      <xdr:row>0</xdr:row>
      <xdr:rowOff>552450</xdr:rowOff>
    </xdr:to>
    <xdr:sp>
      <xdr:nvSpPr>
        <xdr:cNvPr id="8261" name="Rectangle 69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741920" y="167640"/>
          <a:ext cx="733425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16</xdr:col>
      <xdr:colOff>541020</xdr:colOff>
      <xdr:row>25</xdr:row>
      <xdr:rowOff>198120</xdr:rowOff>
    </xdr:to>
    <xdr:graphicFrame macro="">
      <xdr:nvGraphicFramePr>
        <xdr:cNvPr id="25625" name="Chart 3"/>
        <xdr:cNvGraphicFramePr/>
      </xdr:nvGraphicFramePr>
      <xdr:xfrm>
        <a:off x="3093720" y="626745"/>
        <a:ext cx="7027545" cy="470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365760</xdr:colOff>
      <xdr:row>5</xdr:row>
      <xdr:rowOff>106680</xdr:rowOff>
    </xdr:from>
    <xdr:to>
      <xdr:col>4</xdr:col>
      <xdr:colOff>518160</xdr:colOff>
      <xdr:row>7</xdr:row>
      <xdr:rowOff>114300</xdr:rowOff>
    </xdr:to>
    <xdr:sp>
      <xdr:nvSpPr>
        <xdr:cNvPr id="25626" name="Rectangle 4"/>
        <xdr:cNvSpPr>
          <a:spLocks/>
        </xdr:cNvSpPr>
      </xdr:nvSpPr>
      <xdr:spPr>
        <a:xfrm>
          <a:off x="506730" y="1390650"/>
          <a:ext cx="2495550" cy="41910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175260</xdr:colOff>
      <xdr:row>7</xdr:row>
      <xdr:rowOff>114300</xdr:rowOff>
    </xdr:from>
    <xdr:to>
      <xdr:col>4</xdr:col>
      <xdr:colOff>716280</xdr:colOff>
      <xdr:row>9</xdr:row>
      <xdr:rowOff>30480</xdr:rowOff>
    </xdr:to>
    <xdr:sp>
      <xdr:nvSpPr>
        <xdr:cNvPr id="25627" name="Rectangle 5"/>
        <xdr:cNvSpPr>
          <a:spLocks/>
        </xdr:cNvSpPr>
      </xdr:nvSpPr>
      <xdr:spPr>
        <a:xfrm>
          <a:off x="316230" y="1809750"/>
          <a:ext cx="2884170" cy="32766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746760</xdr:colOff>
      <xdr:row>4</xdr:row>
      <xdr:rowOff>160020</xdr:rowOff>
    </xdr:from>
    <xdr:to>
      <xdr:col>1</xdr:col>
      <xdr:colOff>746760</xdr:colOff>
      <xdr:row>6</xdr:row>
      <xdr:rowOff>121920</xdr:rowOff>
    </xdr:to>
    <xdr:cxnSp>
      <xdr:nvCxnSpPr>
        <xdr:cNvPr id="25628" name="Line 6"/>
        <xdr:cNvCxnSpPr/>
      </xdr:nvCxnSpPr>
      <xdr:spPr>
        <a:xfrm flipH="1" flipV="1">
          <a:off x="887730" y="1238250"/>
          <a:ext cx="0" cy="37338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182880</xdr:colOff>
      <xdr:row>4</xdr:row>
      <xdr:rowOff>160020</xdr:rowOff>
    </xdr:from>
    <xdr:to>
      <xdr:col>4</xdr:col>
      <xdr:colOff>182880</xdr:colOff>
      <xdr:row>6</xdr:row>
      <xdr:rowOff>121920</xdr:rowOff>
    </xdr:to>
    <xdr:cxnSp>
      <xdr:nvCxnSpPr>
        <xdr:cNvPr id="25629" name="Line 7"/>
        <xdr:cNvCxnSpPr/>
      </xdr:nvCxnSpPr>
      <xdr:spPr>
        <a:xfrm flipH="1" flipV="1">
          <a:off x="2667000" y="1238250"/>
          <a:ext cx="0" cy="37338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746760</xdr:colOff>
      <xdr:row>3</xdr:row>
      <xdr:rowOff>152400</xdr:rowOff>
    </xdr:from>
    <xdr:to>
      <xdr:col>1</xdr:col>
      <xdr:colOff>746760</xdr:colOff>
      <xdr:row>4</xdr:row>
      <xdr:rowOff>198120</xdr:rowOff>
    </xdr:to>
    <xdr:cxnSp>
      <xdr:nvCxnSpPr>
        <xdr:cNvPr id="25630" name="Line 8"/>
        <xdr:cNvCxnSpPr/>
      </xdr:nvCxnSpPr>
      <xdr:spPr>
        <a:xfrm flipV="1">
          <a:off x="887730" y="1024890"/>
          <a:ext cx="0" cy="2514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182880</xdr:colOff>
      <xdr:row>3</xdr:row>
      <xdr:rowOff>160020</xdr:rowOff>
    </xdr:from>
    <xdr:to>
      <xdr:col>4</xdr:col>
      <xdr:colOff>182880</xdr:colOff>
      <xdr:row>4</xdr:row>
      <xdr:rowOff>198120</xdr:rowOff>
    </xdr:to>
    <xdr:cxnSp>
      <xdr:nvCxnSpPr>
        <xdr:cNvPr id="25631" name="Line 9"/>
        <xdr:cNvCxnSpPr/>
      </xdr:nvCxnSpPr>
      <xdr:spPr>
        <a:xfrm flipV="1">
          <a:off x="2667000" y="1032510"/>
          <a:ext cx="0" cy="2438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746760</xdr:colOff>
      <xdr:row>4</xdr:row>
      <xdr:rowOff>0</xdr:rowOff>
    </xdr:from>
    <xdr:to>
      <xdr:col>4</xdr:col>
      <xdr:colOff>160020</xdr:colOff>
      <xdr:row>4</xdr:row>
      <xdr:rowOff>0</xdr:rowOff>
    </xdr:to>
    <xdr:cxnSp>
      <xdr:nvCxnSpPr>
        <xdr:cNvPr id="25632" name="Line 10"/>
        <xdr:cNvCxnSpPr/>
      </xdr:nvCxnSpPr>
      <xdr:spPr>
        <a:xfrm>
          <a:off x="887730" y="1078230"/>
          <a:ext cx="17564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</xdr:colOff>
      <xdr:row>8</xdr:row>
      <xdr:rowOff>106680</xdr:rowOff>
    </xdr:from>
    <xdr:to>
      <xdr:col>2</xdr:col>
      <xdr:colOff>754380</xdr:colOff>
      <xdr:row>8</xdr:row>
      <xdr:rowOff>106680</xdr:rowOff>
    </xdr:to>
    <xdr:cxnSp>
      <xdr:nvCxnSpPr>
        <xdr:cNvPr id="25633" name="Line 11"/>
        <xdr:cNvCxnSpPr/>
      </xdr:nvCxnSpPr>
      <xdr:spPr>
        <a:xfrm>
          <a:off x="316230" y="2007870"/>
          <a:ext cx="13601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8</xdr:row>
      <xdr:rowOff>106680</xdr:rowOff>
    </xdr:from>
    <xdr:to>
      <xdr:col>4</xdr:col>
      <xdr:colOff>716280</xdr:colOff>
      <xdr:row>8</xdr:row>
      <xdr:rowOff>106680</xdr:rowOff>
    </xdr:to>
    <xdr:cxnSp>
      <xdr:nvCxnSpPr>
        <xdr:cNvPr id="25634" name="Line 12"/>
        <xdr:cNvCxnSpPr/>
      </xdr:nvCxnSpPr>
      <xdr:spPr>
        <a:xfrm>
          <a:off x="1863090" y="2007870"/>
          <a:ext cx="13373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9</xdr:row>
      <xdr:rowOff>30480</xdr:rowOff>
    </xdr:from>
    <xdr:to>
      <xdr:col>1</xdr:col>
      <xdr:colOff>411480</xdr:colOff>
      <xdr:row>9</xdr:row>
      <xdr:rowOff>236220</xdr:rowOff>
    </xdr:to>
    <xdr:cxnSp>
      <xdr:nvCxnSpPr>
        <xdr:cNvPr id="25635" name="Line 13"/>
        <xdr:cNvCxnSpPr/>
      </xdr:nvCxnSpPr>
      <xdr:spPr>
        <a:xfrm flipH="1" flipV="1">
          <a:off x="544830" y="2137410"/>
          <a:ext cx="7620" cy="2057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9</xdr:row>
      <xdr:rowOff>30480</xdr:rowOff>
    </xdr:from>
    <xdr:to>
      <xdr:col>2</xdr:col>
      <xdr:colOff>403860</xdr:colOff>
      <xdr:row>9</xdr:row>
      <xdr:rowOff>236220</xdr:rowOff>
    </xdr:to>
    <xdr:cxnSp>
      <xdr:nvCxnSpPr>
        <xdr:cNvPr id="25636" name="Line 14"/>
        <xdr:cNvCxnSpPr/>
      </xdr:nvCxnSpPr>
      <xdr:spPr>
        <a:xfrm flipH="1" flipV="1">
          <a:off x="1325880" y="2137410"/>
          <a:ext cx="0" cy="2057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9</xdr:row>
      <xdr:rowOff>30480</xdr:rowOff>
    </xdr:from>
    <xdr:to>
      <xdr:col>3</xdr:col>
      <xdr:colOff>838200</xdr:colOff>
      <xdr:row>11</xdr:row>
      <xdr:rowOff>0</xdr:rowOff>
    </xdr:to>
    <xdr:cxnSp>
      <xdr:nvCxnSpPr>
        <xdr:cNvPr id="25637" name="Line 15"/>
        <xdr:cNvCxnSpPr/>
      </xdr:nvCxnSpPr>
      <xdr:spPr>
        <a:xfrm flipH="1" flipV="1">
          <a:off x="2541270" y="2137410"/>
          <a:ext cx="0" cy="4229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403860</xdr:colOff>
      <xdr:row>9</xdr:row>
      <xdr:rowOff>30480</xdr:rowOff>
    </xdr:from>
    <xdr:to>
      <xdr:col>4</xdr:col>
      <xdr:colOff>403860</xdr:colOff>
      <xdr:row>9</xdr:row>
      <xdr:rowOff>236220</xdr:rowOff>
    </xdr:to>
    <xdr:cxnSp>
      <xdr:nvCxnSpPr>
        <xdr:cNvPr id="25638" name="Line 16"/>
        <xdr:cNvCxnSpPr/>
      </xdr:nvCxnSpPr>
      <xdr:spPr>
        <a:xfrm flipH="1" flipV="1">
          <a:off x="2887980" y="2137410"/>
          <a:ext cx="0" cy="2057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335280</xdr:colOff>
      <xdr:row>9</xdr:row>
      <xdr:rowOff>30480</xdr:rowOff>
    </xdr:from>
    <xdr:to>
      <xdr:col>3</xdr:col>
      <xdr:colOff>335280</xdr:colOff>
      <xdr:row>11</xdr:row>
      <xdr:rowOff>0</xdr:rowOff>
    </xdr:to>
    <xdr:cxnSp>
      <xdr:nvCxnSpPr>
        <xdr:cNvPr id="25639" name="Line 17"/>
        <xdr:cNvCxnSpPr/>
      </xdr:nvCxnSpPr>
      <xdr:spPr>
        <a:xfrm flipH="1" flipV="1">
          <a:off x="2038350" y="2137410"/>
          <a:ext cx="0" cy="4229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9</xdr:row>
      <xdr:rowOff>22860</xdr:rowOff>
    </xdr:from>
    <xdr:to>
      <xdr:col>2</xdr:col>
      <xdr:colOff>30480</xdr:colOff>
      <xdr:row>10</xdr:row>
      <xdr:rowOff>198120</xdr:rowOff>
    </xdr:to>
    <xdr:cxnSp>
      <xdr:nvCxnSpPr>
        <xdr:cNvPr id="25640" name="Line 18"/>
        <xdr:cNvCxnSpPr/>
      </xdr:nvCxnSpPr>
      <xdr:spPr>
        <a:xfrm flipH="1" flipV="1">
          <a:off x="952500" y="2129790"/>
          <a:ext cx="0" cy="4229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449580</xdr:colOff>
      <xdr:row>9</xdr:row>
      <xdr:rowOff>213360</xdr:rowOff>
    </xdr:from>
    <xdr:to>
      <xdr:col>3</xdr:col>
      <xdr:colOff>297180</xdr:colOff>
      <xdr:row>9</xdr:row>
      <xdr:rowOff>213360</xdr:rowOff>
    </xdr:to>
    <xdr:cxnSp>
      <xdr:nvCxnSpPr>
        <xdr:cNvPr id="25641" name="Line 19"/>
        <xdr:cNvCxnSpPr/>
      </xdr:nvCxnSpPr>
      <xdr:spPr>
        <a:xfrm>
          <a:off x="1371600" y="2320290"/>
          <a:ext cx="6286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0</xdr:row>
      <xdr:rowOff>295275</xdr:rowOff>
    </xdr:from>
    <xdr:to>
      <xdr:col>16</xdr:col>
      <xdr:colOff>447675</xdr:colOff>
      <xdr:row>2</xdr:row>
      <xdr:rowOff>66675</xdr:rowOff>
    </xdr:to>
    <xdr:sp>
      <xdr:nvSpPr>
        <xdr:cNvPr id="25622" name="Rectangle 2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056245" y="281940"/>
          <a:ext cx="828675" cy="38100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30480</xdr:rowOff>
    </xdr:from>
    <xdr:to>
      <xdr:col>12</xdr:col>
      <xdr:colOff>899160</xdr:colOff>
      <xdr:row>25</xdr:row>
      <xdr:rowOff>198120</xdr:rowOff>
    </xdr:to>
    <xdr:graphicFrame macro="">
      <xdr:nvGraphicFramePr>
        <xdr:cNvPr id="15363" name="Chart 4"/>
        <xdr:cNvGraphicFramePr/>
      </xdr:nvGraphicFramePr>
      <xdr:xfrm>
        <a:off x="3579495" y="634365"/>
        <a:ext cx="4499610" cy="46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5</xdr:row>
      <xdr:rowOff>76200</xdr:rowOff>
    </xdr:from>
    <xdr:to>
      <xdr:col>4</xdr:col>
      <xdr:colOff>579120</xdr:colOff>
      <xdr:row>7</xdr:row>
      <xdr:rowOff>137160</xdr:rowOff>
    </xdr:to>
    <xdr:sp>
      <xdr:nvSpPr>
        <xdr:cNvPr id="15364" name="Rectangle 5"/>
        <xdr:cNvSpPr>
          <a:spLocks/>
        </xdr:cNvSpPr>
      </xdr:nvSpPr>
      <xdr:spPr>
        <a:xfrm>
          <a:off x="483870" y="1788795"/>
          <a:ext cx="2579370" cy="47244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213360</xdr:colOff>
      <xdr:row>7</xdr:row>
      <xdr:rowOff>144780</xdr:rowOff>
    </xdr:from>
    <xdr:to>
      <xdr:col>4</xdr:col>
      <xdr:colOff>708660</xdr:colOff>
      <xdr:row>8</xdr:row>
      <xdr:rowOff>182880</xdr:rowOff>
    </xdr:to>
    <xdr:sp>
      <xdr:nvSpPr>
        <xdr:cNvPr id="15365" name="Rectangle 6"/>
        <xdr:cNvSpPr>
          <a:spLocks/>
        </xdr:cNvSpPr>
      </xdr:nvSpPr>
      <xdr:spPr>
        <a:xfrm>
          <a:off x="354330" y="2268855"/>
          <a:ext cx="2838450" cy="24384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800100</xdr:colOff>
      <xdr:row>4</xdr:row>
      <xdr:rowOff>144780</xdr:rowOff>
    </xdr:from>
    <xdr:to>
      <xdr:col>1</xdr:col>
      <xdr:colOff>800100</xdr:colOff>
      <xdr:row>6</xdr:row>
      <xdr:rowOff>83820</xdr:rowOff>
    </xdr:to>
    <xdr:cxnSp>
      <xdr:nvCxnSpPr>
        <xdr:cNvPr id="15366" name="Line 7"/>
        <xdr:cNvCxnSpPr/>
      </xdr:nvCxnSpPr>
      <xdr:spPr>
        <a:xfrm>
          <a:off x="941070" y="1651635"/>
          <a:ext cx="0" cy="3505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4</xdr:row>
      <xdr:rowOff>99060</xdr:rowOff>
    </xdr:from>
    <xdr:to>
      <xdr:col>4</xdr:col>
      <xdr:colOff>114300</xdr:colOff>
      <xdr:row>6</xdr:row>
      <xdr:rowOff>99060</xdr:rowOff>
    </xdr:to>
    <xdr:cxnSp>
      <xdr:nvCxnSpPr>
        <xdr:cNvPr id="15367" name="Line 8"/>
        <xdr:cNvCxnSpPr/>
      </xdr:nvCxnSpPr>
      <xdr:spPr>
        <a:xfrm>
          <a:off x="2598420" y="1605915"/>
          <a:ext cx="0" cy="41148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8</xdr:row>
      <xdr:rowOff>182880</xdr:rowOff>
    </xdr:from>
    <xdr:to>
      <xdr:col>2</xdr:col>
      <xdr:colOff>457200</xdr:colOff>
      <xdr:row>10</xdr:row>
      <xdr:rowOff>7620</xdr:rowOff>
    </xdr:to>
    <xdr:cxnSp>
      <xdr:nvCxnSpPr>
        <xdr:cNvPr id="15368" name="Line 9"/>
        <xdr:cNvCxnSpPr/>
      </xdr:nvCxnSpPr>
      <xdr:spPr>
        <a:xfrm flipH="1">
          <a:off x="1379220" y="2512695"/>
          <a:ext cx="0" cy="2781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8</xdr:row>
      <xdr:rowOff>182880</xdr:rowOff>
    </xdr:from>
    <xdr:to>
      <xdr:col>2</xdr:col>
      <xdr:colOff>60960</xdr:colOff>
      <xdr:row>10</xdr:row>
      <xdr:rowOff>182880</xdr:rowOff>
    </xdr:to>
    <xdr:cxnSp>
      <xdr:nvCxnSpPr>
        <xdr:cNvPr id="15369" name="Line 10"/>
        <xdr:cNvCxnSpPr/>
      </xdr:nvCxnSpPr>
      <xdr:spPr>
        <a:xfrm>
          <a:off x="982980" y="2512695"/>
          <a:ext cx="0" cy="4533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8</xdr:row>
      <xdr:rowOff>182880</xdr:rowOff>
    </xdr:from>
    <xdr:to>
      <xdr:col>3</xdr:col>
      <xdr:colOff>213360</xdr:colOff>
      <xdr:row>10</xdr:row>
      <xdr:rowOff>175260</xdr:rowOff>
    </xdr:to>
    <xdr:cxnSp>
      <xdr:nvCxnSpPr>
        <xdr:cNvPr id="15370" name="Line 11"/>
        <xdr:cNvCxnSpPr/>
      </xdr:nvCxnSpPr>
      <xdr:spPr>
        <a:xfrm>
          <a:off x="1916430" y="2512695"/>
          <a:ext cx="0" cy="4457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8</xdr:row>
      <xdr:rowOff>190500</xdr:rowOff>
    </xdr:from>
    <xdr:to>
      <xdr:col>4</xdr:col>
      <xdr:colOff>121920</xdr:colOff>
      <xdr:row>11</xdr:row>
      <xdr:rowOff>30480</xdr:rowOff>
    </xdr:to>
    <xdr:cxnSp>
      <xdr:nvCxnSpPr>
        <xdr:cNvPr id="15371" name="Line 13"/>
        <xdr:cNvCxnSpPr/>
      </xdr:nvCxnSpPr>
      <xdr:spPr>
        <a:xfrm>
          <a:off x="2606040" y="2520315"/>
          <a:ext cx="0" cy="4991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8</xdr:row>
      <xdr:rowOff>190500</xdr:rowOff>
    </xdr:from>
    <xdr:to>
      <xdr:col>4</xdr:col>
      <xdr:colOff>502920</xdr:colOff>
      <xdr:row>10</xdr:row>
      <xdr:rowOff>30480</xdr:rowOff>
    </xdr:to>
    <xdr:cxnSp>
      <xdr:nvCxnSpPr>
        <xdr:cNvPr id="15372" name="Line 14"/>
        <xdr:cNvCxnSpPr/>
      </xdr:nvCxnSpPr>
      <xdr:spPr>
        <a:xfrm>
          <a:off x="2987040" y="2520315"/>
          <a:ext cx="0" cy="2933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8</xdr:row>
      <xdr:rowOff>182880</xdr:rowOff>
    </xdr:from>
    <xdr:to>
      <xdr:col>1</xdr:col>
      <xdr:colOff>464820</xdr:colOff>
      <xdr:row>9</xdr:row>
      <xdr:rowOff>198120</xdr:rowOff>
    </xdr:to>
    <xdr:cxnSp>
      <xdr:nvCxnSpPr>
        <xdr:cNvPr id="15373" name="Line 15"/>
        <xdr:cNvCxnSpPr/>
      </xdr:nvCxnSpPr>
      <xdr:spPr>
        <a:xfrm flipH="1">
          <a:off x="598170" y="2512695"/>
          <a:ext cx="7620" cy="220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9</xdr:row>
      <xdr:rowOff>198120</xdr:rowOff>
    </xdr:from>
    <xdr:to>
      <xdr:col>3</xdr:col>
      <xdr:colOff>144780</xdr:colOff>
      <xdr:row>9</xdr:row>
      <xdr:rowOff>213360</xdr:rowOff>
    </xdr:to>
    <xdr:cxnSp>
      <xdr:nvCxnSpPr>
        <xdr:cNvPr id="15374" name="Line 16"/>
        <xdr:cNvCxnSpPr/>
      </xdr:nvCxnSpPr>
      <xdr:spPr>
        <a:xfrm flipV="1">
          <a:off x="1417320" y="2733675"/>
          <a:ext cx="430530" cy="15240"/>
        </a:xfrm>
        <a:prstGeom prst="line"/>
        <a:noFill/>
        <a:ln w="19050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792480</xdr:colOff>
      <xdr:row>4</xdr:row>
      <xdr:rowOff>7620</xdr:rowOff>
    </xdr:from>
    <xdr:to>
      <xdr:col>4</xdr:col>
      <xdr:colOff>114300</xdr:colOff>
      <xdr:row>4</xdr:row>
      <xdr:rowOff>7620</xdr:rowOff>
    </xdr:to>
    <xdr:cxnSp>
      <xdr:nvCxnSpPr>
        <xdr:cNvPr id="15375" name="Line 17"/>
        <xdr:cNvCxnSpPr/>
      </xdr:nvCxnSpPr>
      <xdr:spPr>
        <a:xfrm>
          <a:off x="933450" y="1514475"/>
          <a:ext cx="16649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800100</xdr:colOff>
      <xdr:row>3</xdr:row>
      <xdr:rowOff>175260</xdr:rowOff>
    </xdr:from>
    <xdr:to>
      <xdr:col>1</xdr:col>
      <xdr:colOff>800100</xdr:colOff>
      <xdr:row>5</xdr:row>
      <xdr:rowOff>45720</xdr:rowOff>
    </xdr:to>
    <xdr:cxnSp>
      <xdr:nvCxnSpPr>
        <xdr:cNvPr id="15376" name="Line 18"/>
        <xdr:cNvCxnSpPr/>
      </xdr:nvCxnSpPr>
      <xdr:spPr>
        <a:xfrm>
          <a:off x="941070" y="1476375"/>
          <a:ext cx="0" cy="2819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3</xdr:row>
      <xdr:rowOff>175260</xdr:rowOff>
    </xdr:from>
    <xdr:to>
      <xdr:col>4</xdr:col>
      <xdr:colOff>114300</xdr:colOff>
      <xdr:row>5</xdr:row>
      <xdr:rowOff>38100</xdr:rowOff>
    </xdr:to>
    <xdr:cxnSp>
      <xdr:nvCxnSpPr>
        <xdr:cNvPr id="15377" name="Line 19"/>
        <xdr:cNvCxnSpPr/>
      </xdr:nvCxnSpPr>
      <xdr:spPr>
        <a:xfrm>
          <a:off x="2598420" y="1476375"/>
          <a:ext cx="0" cy="2743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8</xdr:row>
      <xdr:rowOff>99060</xdr:rowOff>
    </xdr:from>
    <xdr:to>
      <xdr:col>2</xdr:col>
      <xdr:colOff>533400</xdr:colOff>
      <xdr:row>8</xdr:row>
      <xdr:rowOff>99060</xdr:rowOff>
    </xdr:to>
    <xdr:cxnSp>
      <xdr:nvCxnSpPr>
        <xdr:cNvPr id="15378" name="Line 24"/>
        <xdr:cNvCxnSpPr/>
      </xdr:nvCxnSpPr>
      <xdr:spPr>
        <a:xfrm>
          <a:off x="361950" y="2428875"/>
          <a:ext cx="10934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8</xdr:row>
      <xdr:rowOff>83820</xdr:rowOff>
    </xdr:from>
    <xdr:to>
      <xdr:col>4</xdr:col>
      <xdr:colOff>693420</xdr:colOff>
      <xdr:row>8</xdr:row>
      <xdr:rowOff>83820</xdr:rowOff>
    </xdr:to>
    <xdr:cxnSp>
      <xdr:nvCxnSpPr>
        <xdr:cNvPr id="15379" name="Line 25"/>
        <xdr:cNvCxnSpPr/>
      </xdr:nvCxnSpPr>
      <xdr:spPr>
        <a:xfrm>
          <a:off x="1764030" y="2413635"/>
          <a:ext cx="14135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198120</xdr:rowOff>
    </xdr:from>
    <xdr:to>
      <xdr:col>3</xdr:col>
      <xdr:colOff>0</xdr:colOff>
      <xdr:row>9</xdr:row>
      <xdr:rowOff>83820</xdr:rowOff>
    </xdr:to>
    <xdr:cxnSp>
      <xdr:nvCxnSpPr>
        <xdr:cNvPr id="15380" name="Line 27"/>
        <xdr:cNvCxnSpPr/>
      </xdr:nvCxnSpPr>
      <xdr:spPr>
        <a:xfrm>
          <a:off x="1703070" y="1704975"/>
          <a:ext cx="0" cy="91440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0</xdr:row>
      <xdr:rowOff>581025</xdr:rowOff>
    </xdr:from>
    <xdr:to>
      <xdr:col>12</xdr:col>
      <xdr:colOff>381000</xdr:colOff>
      <xdr:row>1</xdr:row>
      <xdr:rowOff>190500</xdr:rowOff>
    </xdr:to>
    <xdr:sp>
      <xdr:nvSpPr>
        <xdr:cNvPr id="15388" name="Rectangle 28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7770495" y="567690"/>
          <a:ext cx="790575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30480</xdr:rowOff>
    </xdr:from>
    <xdr:to>
      <xdr:col>12</xdr:col>
      <xdr:colOff>906780</xdr:colOff>
      <xdr:row>25</xdr:row>
      <xdr:rowOff>198120</xdr:rowOff>
    </xdr:to>
    <xdr:graphicFrame macro="">
      <xdr:nvGraphicFramePr>
        <xdr:cNvPr id="17423" name="Chart 1"/>
        <xdr:cNvGraphicFramePr/>
      </xdr:nvGraphicFramePr>
      <xdr:xfrm>
        <a:off x="3579495" y="634365"/>
        <a:ext cx="4507230" cy="46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5</xdr:row>
      <xdr:rowOff>7620</xdr:rowOff>
    </xdr:from>
    <xdr:to>
      <xdr:col>3</xdr:col>
      <xdr:colOff>868680</xdr:colOff>
      <xdr:row>7</xdr:row>
      <xdr:rowOff>182880</xdr:rowOff>
    </xdr:to>
    <xdr:sp>
      <xdr:nvSpPr>
        <xdr:cNvPr id="17424" name="Rectangle 2"/>
        <xdr:cNvSpPr>
          <a:spLocks/>
        </xdr:cNvSpPr>
      </xdr:nvSpPr>
      <xdr:spPr>
        <a:xfrm>
          <a:off x="944880" y="1567815"/>
          <a:ext cx="1626870" cy="586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563880</xdr:colOff>
      <xdr:row>7</xdr:row>
      <xdr:rowOff>190500</xdr:rowOff>
    </xdr:from>
    <xdr:to>
      <xdr:col>4</xdr:col>
      <xdr:colOff>342900</xdr:colOff>
      <xdr:row>9</xdr:row>
      <xdr:rowOff>83820</xdr:rowOff>
    </xdr:to>
    <xdr:sp>
      <xdr:nvSpPr>
        <xdr:cNvPr id="17425" name="Rectangle 3"/>
        <xdr:cNvSpPr>
          <a:spLocks/>
        </xdr:cNvSpPr>
      </xdr:nvSpPr>
      <xdr:spPr>
        <a:xfrm>
          <a:off x="704850" y="2162175"/>
          <a:ext cx="2122170" cy="30480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571500</xdr:colOff>
      <xdr:row>9</xdr:row>
      <xdr:rowOff>0</xdr:rowOff>
    </xdr:from>
    <xdr:to>
      <xdr:col>4</xdr:col>
      <xdr:colOff>342900</xdr:colOff>
      <xdr:row>9</xdr:row>
      <xdr:rowOff>0</xdr:rowOff>
    </xdr:to>
    <xdr:cxnSp>
      <xdr:nvCxnSpPr>
        <xdr:cNvPr id="17426" name="Line 4"/>
        <xdr:cNvCxnSpPr/>
      </xdr:nvCxnSpPr>
      <xdr:spPr>
        <a:xfrm>
          <a:off x="712470" y="2383155"/>
          <a:ext cx="21145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4</xdr:row>
      <xdr:rowOff>0</xdr:rowOff>
    </xdr:from>
    <xdr:to>
      <xdr:col>3</xdr:col>
      <xdr:colOff>7620</xdr:colOff>
      <xdr:row>6</xdr:row>
      <xdr:rowOff>121920</xdr:rowOff>
    </xdr:to>
    <xdr:cxnSp>
      <xdr:nvCxnSpPr>
        <xdr:cNvPr id="17427" name="Line 5"/>
        <xdr:cNvCxnSpPr/>
      </xdr:nvCxnSpPr>
      <xdr:spPr>
        <a:xfrm flipH="1">
          <a:off x="1710690" y="1354455"/>
          <a:ext cx="0" cy="5334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822960</xdr:colOff>
      <xdr:row>9</xdr:row>
      <xdr:rowOff>76200</xdr:rowOff>
    </xdr:from>
    <xdr:to>
      <xdr:col>1</xdr:col>
      <xdr:colOff>822960</xdr:colOff>
      <xdr:row>10</xdr:row>
      <xdr:rowOff>22860</xdr:rowOff>
    </xdr:to>
    <xdr:cxnSp>
      <xdr:nvCxnSpPr>
        <xdr:cNvPr id="17428" name="Line 6"/>
        <xdr:cNvCxnSpPr/>
      </xdr:nvCxnSpPr>
      <xdr:spPr>
        <a:xfrm>
          <a:off x="963930" y="2459355"/>
          <a:ext cx="0" cy="1943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9</xdr:row>
      <xdr:rowOff>76200</xdr:rowOff>
    </xdr:from>
    <xdr:to>
      <xdr:col>2</xdr:col>
      <xdr:colOff>266700</xdr:colOff>
      <xdr:row>10</xdr:row>
      <xdr:rowOff>182880</xdr:rowOff>
    </xdr:to>
    <xdr:cxnSp>
      <xdr:nvCxnSpPr>
        <xdr:cNvPr id="17429" name="Line 7"/>
        <xdr:cNvCxnSpPr/>
      </xdr:nvCxnSpPr>
      <xdr:spPr>
        <a:xfrm flipV="1">
          <a:off x="1188720" y="2459355"/>
          <a:ext cx="0" cy="3543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9</xdr:row>
      <xdr:rowOff>76200</xdr:rowOff>
    </xdr:from>
    <xdr:to>
      <xdr:col>2</xdr:col>
      <xdr:colOff>601980</xdr:colOff>
      <xdr:row>10</xdr:row>
      <xdr:rowOff>7620</xdr:rowOff>
    </xdr:to>
    <xdr:cxnSp>
      <xdr:nvCxnSpPr>
        <xdr:cNvPr id="17430" name="Line 8"/>
        <xdr:cNvCxnSpPr/>
      </xdr:nvCxnSpPr>
      <xdr:spPr>
        <a:xfrm flipV="1">
          <a:off x="1524000" y="2459355"/>
          <a:ext cx="0" cy="1790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220980</xdr:colOff>
      <xdr:row>9</xdr:row>
      <xdr:rowOff>76200</xdr:rowOff>
    </xdr:from>
    <xdr:to>
      <xdr:col>3</xdr:col>
      <xdr:colOff>220980</xdr:colOff>
      <xdr:row>10</xdr:row>
      <xdr:rowOff>175260</xdr:rowOff>
    </xdr:to>
    <xdr:cxnSp>
      <xdr:nvCxnSpPr>
        <xdr:cNvPr id="17431" name="Line 9"/>
        <xdr:cNvCxnSpPr/>
      </xdr:nvCxnSpPr>
      <xdr:spPr>
        <a:xfrm flipV="1">
          <a:off x="1924050" y="2459355"/>
          <a:ext cx="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9</xdr:row>
      <xdr:rowOff>68580</xdr:rowOff>
    </xdr:from>
    <xdr:to>
      <xdr:col>3</xdr:col>
      <xdr:colOff>601980</xdr:colOff>
      <xdr:row>10</xdr:row>
      <xdr:rowOff>198120</xdr:rowOff>
    </xdr:to>
    <xdr:cxnSp>
      <xdr:nvCxnSpPr>
        <xdr:cNvPr id="17432" name="Line 10"/>
        <xdr:cNvCxnSpPr/>
      </xdr:nvCxnSpPr>
      <xdr:spPr>
        <a:xfrm flipV="1">
          <a:off x="2305050" y="2451735"/>
          <a:ext cx="0" cy="3771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</xdr:colOff>
      <xdr:row>9</xdr:row>
      <xdr:rowOff>76200</xdr:rowOff>
    </xdr:from>
    <xdr:to>
      <xdr:col>4</xdr:col>
      <xdr:colOff>68580</xdr:colOff>
      <xdr:row>10</xdr:row>
      <xdr:rowOff>7620</xdr:rowOff>
    </xdr:to>
    <xdr:cxnSp>
      <xdr:nvCxnSpPr>
        <xdr:cNvPr id="17433" name="Line 11"/>
        <xdr:cNvCxnSpPr/>
      </xdr:nvCxnSpPr>
      <xdr:spPr>
        <a:xfrm flipV="1">
          <a:off x="2552700" y="2459355"/>
          <a:ext cx="0" cy="1790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640080</xdr:colOff>
      <xdr:row>10</xdr:row>
      <xdr:rowOff>7620</xdr:rowOff>
    </xdr:from>
    <xdr:to>
      <xdr:col>3</xdr:col>
      <xdr:colOff>220980</xdr:colOff>
      <xdr:row>10</xdr:row>
      <xdr:rowOff>7620</xdr:rowOff>
    </xdr:to>
    <xdr:cxnSp>
      <xdr:nvCxnSpPr>
        <xdr:cNvPr id="17434" name="Line 12"/>
        <xdr:cNvCxnSpPr/>
      </xdr:nvCxnSpPr>
      <xdr:spPr>
        <a:xfrm>
          <a:off x="1562100" y="2638425"/>
          <a:ext cx="3619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800100</xdr:colOff>
      <xdr:row>1</xdr:row>
      <xdr:rowOff>19050</xdr:rowOff>
    </xdr:from>
    <xdr:to>
      <xdr:col>12</xdr:col>
      <xdr:colOff>790575</xdr:colOff>
      <xdr:row>2</xdr:row>
      <xdr:rowOff>123825</xdr:rowOff>
    </xdr:to>
    <xdr:sp>
      <xdr:nvSpPr>
        <xdr:cNvPr id="2" name="Rectangle 1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180070" y="615315"/>
          <a:ext cx="790575" cy="38100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17</xdr:col>
      <xdr:colOff>518160</xdr:colOff>
      <xdr:row>25</xdr:row>
      <xdr:rowOff>198120</xdr:rowOff>
    </xdr:to>
    <xdr:graphicFrame macro="">
      <xdr:nvGraphicFramePr>
        <xdr:cNvPr id="18436" name="Chart 2"/>
        <xdr:cNvGraphicFramePr/>
      </xdr:nvGraphicFramePr>
      <xdr:xfrm>
        <a:off x="3093720" y="626745"/>
        <a:ext cx="7604760" cy="470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716280</xdr:colOff>
      <xdr:row>7</xdr:row>
      <xdr:rowOff>160020</xdr:rowOff>
    </xdr:from>
    <xdr:to>
      <xdr:col>4</xdr:col>
      <xdr:colOff>190500</xdr:colOff>
      <xdr:row>9</xdr:row>
      <xdr:rowOff>60960</xdr:rowOff>
    </xdr:to>
    <xdr:sp>
      <xdr:nvSpPr>
        <xdr:cNvPr id="18437" name="Rectangle 4"/>
        <xdr:cNvSpPr>
          <a:spLocks/>
        </xdr:cNvSpPr>
      </xdr:nvSpPr>
      <xdr:spPr>
        <a:xfrm>
          <a:off x="857250" y="2169795"/>
          <a:ext cx="1817370" cy="31242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99060</xdr:colOff>
      <xdr:row>4</xdr:row>
      <xdr:rowOff>144780</xdr:rowOff>
    </xdr:from>
    <xdr:to>
      <xdr:col>3</xdr:col>
      <xdr:colOff>784860</xdr:colOff>
      <xdr:row>7</xdr:row>
      <xdr:rowOff>152400</xdr:rowOff>
    </xdr:to>
    <xdr:sp>
      <xdr:nvSpPr>
        <xdr:cNvPr id="18438" name="Rectangle 5"/>
        <xdr:cNvSpPr>
          <a:spLocks/>
        </xdr:cNvSpPr>
      </xdr:nvSpPr>
      <xdr:spPr>
        <a:xfrm>
          <a:off x="1021080" y="1537335"/>
          <a:ext cx="1466850" cy="62484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716280</xdr:colOff>
      <xdr:row>8</xdr:row>
      <xdr:rowOff>182880</xdr:rowOff>
    </xdr:from>
    <xdr:to>
      <xdr:col>4</xdr:col>
      <xdr:colOff>182880</xdr:colOff>
      <xdr:row>8</xdr:row>
      <xdr:rowOff>182880</xdr:rowOff>
    </xdr:to>
    <xdr:cxnSp>
      <xdr:nvCxnSpPr>
        <xdr:cNvPr id="18439" name="Line 6"/>
        <xdr:cNvCxnSpPr/>
      </xdr:nvCxnSpPr>
      <xdr:spPr>
        <a:xfrm>
          <a:off x="857250" y="2398395"/>
          <a:ext cx="18097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144780</xdr:rowOff>
    </xdr:from>
    <xdr:to>
      <xdr:col>3</xdr:col>
      <xdr:colOff>0</xdr:colOff>
      <xdr:row>6</xdr:row>
      <xdr:rowOff>45720</xdr:rowOff>
    </xdr:to>
    <xdr:cxnSp>
      <xdr:nvCxnSpPr>
        <xdr:cNvPr id="18440" name="Line 7"/>
        <xdr:cNvCxnSpPr/>
      </xdr:nvCxnSpPr>
      <xdr:spPr>
        <a:xfrm>
          <a:off x="1703070" y="1331595"/>
          <a:ext cx="0" cy="51816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868680</xdr:colOff>
      <xdr:row>9</xdr:row>
      <xdr:rowOff>60960</xdr:rowOff>
    </xdr:from>
    <xdr:to>
      <xdr:col>1</xdr:col>
      <xdr:colOff>868680</xdr:colOff>
      <xdr:row>10</xdr:row>
      <xdr:rowOff>0</xdr:rowOff>
    </xdr:to>
    <xdr:cxnSp>
      <xdr:nvCxnSpPr>
        <xdr:cNvPr id="18441" name="Line 8"/>
        <xdr:cNvCxnSpPr/>
      </xdr:nvCxnSpPr>
      <xdr:spPr>
        <a:xfrm flipV="1">
          <a:off x="1009650" y="2482215"/>
          <a:ext cx="0" cy="18669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213360</xdr:colOff>
      <xdr:row>9</xdr:row>
      <xdr:rowOff>60960</xdr:rowOff>
    </xdr:from>
    <xdr:to>
      <xdr:col>2</xdr:col>
      <xdr:colOff>213360</xdr:colOff>
      <xdr:row>10</xdr:row>
      <xdr:rowOff>152400</xdr:rowOff>
    </xdr:to>
    <xdr:cxnSp>
      <xdr:nvCxnSpPr>
        <xdr:cNvPr id="18442" name="Line 11"/>
        <xdr:cNvCxnSpPr/>
      </xdr:nvCxnSpPr>
      <xdr:spPr>
        <a:xfrm flipV="1">
          <a:off x="1135380" y="2482215"/>
          <a:ext cx="0" cy="33909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487680</xdr:colOff>
      <xdr:row>9</xdr:row>
      <xdr:rowOff>60960</xdr:rowOff>
    </xdr:from>
    <xdr:to>
      <xdr:col>2</xdr:col>
      <xdr:colOff>487680</xdr:colOff>
      <xdr:row>10</xdr:row>
      <xdr:rowOff>22860</xdr:rowOff>
    </xdr:to>
    <xdr:cxnSp>
      <xdr:nvCxnSpPr>
        <xdr:cNvPr id="18443" name="Line 12"/>
        <xdr:cNvCxnSpPr/>
      </xdr:nvCxnSpPr>
      <xdr:spPr>
        <a:xfrm flipV="1">
          <a:off x="1409700" y="2482215"/>
          <a:ext cx="0" cy="20955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60960</xdr:rowOff>
    </xdr:from>
    <xdr:to>
      <xdr:col>3</xdr:col>
      <xdr:colOff>114300</xdr:colOff>
      <xdr:row>11</xdr:row>
      <xdr:rowOff>0</xdr:rowOff>
    </xdr:to>
    <xdr:cxnSp>
      <xdr:nvCxnSpPr>
        <xdr:cNvPr id="18444" name="Line 13"/>
        <xdr:cNvCxnSpPr/>
      </xdr:nvCxnSpPr>
      <xdr:spPr>
        <a:xfrm flipV="1">
          <a:off x="1817370" y="2482215"/>
          <a:ext cx="0" cy="39243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441960</xdr:colOff>
      <xdr:row>9</xdr:row>
      <xdr:rowOff>60960</xdr:rowOff>
    </xdr:from>
    <xdr:to>
      <xdr:col>3</xdr:col>
      <xdr:colOff>441960</xdr:colOff>
      <xdr:row>10</xdr:row>
      <xdr:rowOff>175260</xdr:rowOff>
    </xdr:to>
    <xdr:cxnSp>
      <xdr:nvCxnSpPr>
        <xdr:cNvPr id="18445" name="Line 14"/>
        <xdr:cNvCxnSpPr/>
      </xdr:nvCxnSpPr>
      <xdr:spPr>
        <a:xfrm flipV="1">
          <a:off x="2145030" y="2482215"/>
          <a:ext cx="0" cy="36195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792480</xdr:colOff>
      <xdr:row>9</xdr:row>
      <xdr:rowOff>60960</xdr:rowOff>
    </xdr:from>
    <xdr:to>
      <xdr:col>3</xdr:col>
      <xdr:colOff>792480</xdr:colOff>
      <xdr:row>10</xdr:row>
      <xdr:rowOff>38100</xdr:rowOff>
    </xdr:to>
    <xdr:cxnSp>
      <xdr:nvCxnSpPr>
        <xdr:cNvPr id="18446" name="Line 15"/>
        <xdr:cNvCxnSpPr/>
      </xdr:nvCxnSpPr>
      <xdr:spPr>
        <a:xfrm flipV="1">
          <a:off x="2495550" y="2482215"/>
          <a:ext cx="0" cy="22479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10</xdr:row>
      <xdr:rowOff>0</xdr:rowOff>
    </xdr:from>
    <xdr:to>
      <xdr:col>3</xdr:col>
      <xdr:colOff>68580</xdr:colOff>
      <xdr:row>10</xdr:row>
      <xdr:rowOff>0</xdr:rowOff>
    </xdr:to>
    <xdr:cxnSp>
      <xdr:nvCxnSpPr>
        <xdr:cNvPr id="18447" name="Line 16"/>
        <xdr:cNvCxnSpPr/>
      </xdr:nvCxnSpPr>
      <xdr:spPr>
        <a:xfrm>
          <a:off x="1447800" y="2668905"/>
          <a:ext cx="3238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0</xdr:row>
      <xdr:rowOff>438150</xdr:rowOff>
    </xdr:from>
    <xdr:to>
      <xdr:col>17</xdr:col>
      <xdr:colOff>180975</xdr:colOff>
      <xdr:row>1</xdr:row>
      <xdr:rowOff>161925</xdr:rowOff>
    </xdr:to>
    <xdr:sp>
      <xdr:nvSpPr>
        <xdr:cNvPr id="18450" name="Rectangle 18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7922895" y="424815"/>
          <a:ext cx="771525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17</xdr:col>
      <xdr:colOff>525780</xdr:colOff>
      <xdr:row>25</xdr:row>
      <xdr:rowOff>213360</xdr:rowOff>
    </xdr:to>
    <xdr:graphicFrame macro="">
      <xdr:nvGraphicFramePr>
        <xdr:cNvPr id="20494" name="Chart 1"/>
        <xdr:cNvGraphicFramePr/>
      </xdr:nvGraphicFramePr>
      <xdr:xfrm>
        <a:off x="3093720" y="626745"/>
        <a:ext cx="7612380" cy="4716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563880</xdr:colOff>
      <xdr:row>7</xdr:row>
      <xdr:rowOff>152400</xdr:rowOff>
    </xdr:from>
    <xdr:to>
      <xdr:col>4</xdr:col>
      <xdr:colOff>335280</xdr:colOff>
      <xdr:row>9</xdr:row>
      <xdr:rowOff>60960</xdr:rowOff>
    </xdr:to>
    <xdr:sp>
      <xdr:nvSpPr>
        <xdr:cNvPr id="20495" name="Rectangle 3"/>
        <xdr:cNvSpPr>
          <a:spLocks/>
        </xdr:cNvSpPr>
      </xdr:nvSpPr>
      <xdr:spPr>
        <a:xfrm>
          <a:off x="704850" y="2266950"/>
          <a:ext cx="2114550" cy="3200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144780</xdr:rowOff>
    </xdr:to>
    <xdr:sp>
      <xdr:nvSpPr>
        <xdr:cNvPr id="20496" name="Rectangle 4"/>
        <xdr:cNvSpPr>
          <a:spLocks/>
        </xdr:cNvSpPr>
      </xdr:nvSpPr>
      <xdr:spPr>
        <a:xfrm>
          <a:off x="922020" y="1703070"/>
          <a:ext cx="1562100" cy="55626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7620</xdr:colOff>
      <xdr:row>3</xdr:row>
      <xdr:rowOff>160020</xdr:rowOff>
    </xdr:from>
    <xdr:to>
      <xdr:col>3</xdr:col>
      <xdr:colOff>7620</xdr:colOff>
      <xdr:row>6</xdr:row>
      <xdr:rowOff>60960</xdr:rowOff>
    </xdr:to>
    <xdr:cxnSp>
      <xdr:nvCxnSpPr>
        <xdr:cNvPr id="20497" name="Line 5"/>
        <xdr:cNvCxnSpPr/>
      </xdr:nvCxnSpPr>
      <xdr:spPr>
        <a:xfrm>
          <a:off x="1710690" y="1451610"/>
          <a:ext cx="0" cy="51816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8</xdr:row>
      <xdr:rowOff>190500</xdr:rowOff>
    </xdr:from>
    <xdr:to>
      <xdr:col>4</xdr:col>
      <xdr:colOff>335280</xdr:colOff>
      <xdr:row>8</xdr:row>
      <xdr:rowOff>190500</xdr:rowOff>
    </xdr:to>
    <xdr:cxnSp>
      <xdr:nvCxnSpPr>
        <xdr:cNvPr id="20498" name="Line 6"/>
        <xdr:cNvCxnSpPr/>
      </xdr:nvCxnSpPr>
      <xdr:spPr>
        <a:xfrm>
          <a:off x="712470" y="2510790"/>
          <a:ext cx="21069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9</xdr:row>
      <xdr:rowOff>45720</xdr:rowOff>
    </xdr:from>
    <xdr:to>
      <xdr:col>1</xdr:col>
      <xdr:colOff>784860</xdr:colOff>
      <xdr:row>10</xdr:row>
      <xdr:rowOff>7620</xdr:rowOff>
    </xdr:to>
    <xdr:cxnSp>
      <xdr:nvCxnSpPr>
        <xdr:cNvPr id="20499" name="Line 7"/>
        <xdr:cNvCxnSpPr/>
      </xdr:nvCxnSpPr>
      <xdr:spPr>
        <a:xfrm flipV="1">
          <a:off x="925830" y="2571750"/>
          <a:ext cx="0" cy="2095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9</xdr:row>
      <xdr:rowOff>60960</xdr:rowOff>
    </xdr:from>
    <xdr:to>
      <xdr:col>2</xdr:col>
      <xdr:colOff>251460</xdr:colOff>
      <xdr:row>10</xdr:row>
      <xdr:rowOff>198120</xdr:rowOff>
    </xdr:to>
    <xdr:cxnSp>
      <xdr:nvCxnSpPr>
        <xdr:cNvPr id="20500" name="Line 8"/>
        <xdr:cNvCxnSpPr/>
      </xdr:nvCxnSpPr>
      <xdr:spPr>
        <a:xfrm flipV="1">
          <a:off x="1173480" y="2586990"/>
          <a:ext cx="0" cy="3848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640080</xdr:colOff>
      <xdr:row>9</xdr:row>
      <xdr:rowOff>45720</xdr:rowOff>
    </xdr:from>
    <xdr:to>
      <xdr:col>2</xdr:col>
      <xdr:colOff>640080</xdr:colOff>
      <xdr:row>10</xdr:row>
      <xdr:rowOff>30480</xdr:rowOff>
    </xdr:to>
    <xdr:cxnSp>
      <xdr:nvCxnSpPr>
        <xdr:cNvPr id="20501" name="Line 9"/>
        <xdr:cNvCxnSpPr/>
      </xdr:nvCxnSpPr>
      <xdr:spPr>
        <a:xfrm flipV="1">
          <a:off x="1562100" y="2571750"/>
          <a:ext cx="0" cy="2324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9</xdr:row>
      <xdr:rowOff>60960</xdr:rowOff>
    </xdr:from>
    <xdr:to>
      <xdr:col>3</xdr:col>
      <xdr:colOff>342900</xdr:colOff>
      <xdr:row>10</xdr:row>
      <xdr:rowOff>198120</xdr:rowOff>
    </xdr:to>
    <xdr:cxnSp>
      <xdr:nvCxnSpPr>
        <xdr:cNvPr id="20502" name="Line 10"/>
        <xdr:cNvCxnSpPr/>
      </xdr:nvCxnSpPr>
      <xdr:spPr>
        <a:xfrm flipV="1">
          <a:off x="2045970" y="2586990"/>
          <a:ext cx="0" cy="3848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9</xdr:row>
      <xdr:rowOff>45720</xdr:rowOff>
    </xdr:from>
    <xdr:to>
      <xdr:col>4</xdr:col>
      <xdr:colOff>30480</xdr:colOff>
      <xdr:row>10</xdr:row>
      <xdr:rowOff>7620</xdr:rowOff>
    </xdr:to>
    <xdr:cxnSp>
      <xdr:nvCxnSpPr>
        <xdr:cNvPr id="20503" name="Line 11"/>
        <xdr:cNvCxnSpPr/>
      </xdr:nvCxnSpPr>
      <xdr:spPr>
        <a:xfrm flipV="1">
          <a:off x="2514600" y="2571750"/>
          <a:ext cx="0" cy="2095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655320</xdr:colOff>
      <xdr:row>9</xdr:row>
      <xdr:rowOff>236220</xdr:rowOff>
    </xdr:from>
    <xdr:to>
      <xdr:col>3</xdr:col>
      <xdr:colOff>312420</xdr:colOff>
      <xdr:row>9</xdr:row>
      <xdr:rowOff>236220</xdr:rowOff>
    </xdr:to>
    <xdr:cxnSp>
      <xdr:nvCxnSpPr>
        <xdr:cNvPr id="20504" name="Line 12"/>
        <xdr:cNvCxnSpPr/>
      </xdr:nvCxnSpPr>
      <xdr:spPr>
        <a:xfrm>
          <a:off x="1577340" y="2762250"/>
          <a:ext cx="438150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0</xdr:row>
      <xdr:rowOff>723900</xdr:rowOff>
    </xdr:from>
    <xdr:to>
      <xdr:col>17</xdr:col>
      <xdr:colOff>476250</xdr:colOff>
      <xdr:row>2</xdr:row>
      <xdr:rowOff>76200</xdr:rowOff>
    </xdr:to>
    <xdr:sp>
      <xdr:nvSpPr>
        <xdr:cNvPr id="2" name="Rectangle 14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151495" y="710565"/>
          <a:ext cx="838200" cy="38100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22860</xdr:rowOff>
    </xdr:from>
    <xdr:to>
      <xdr:col>23</xdr:col>
      <xdr:colOff>0</xdr:colOff>
      <xdr:row>22</xdr:row>
      <xdr:rowOff>213360</xdr:rowOff>
    </xdr:to>
    <xdr:graphicFrame macro="">
      <xdr:nvGraphicFramePr>
        <xdr:cNvPr id="57454" name="Chart 1"/>
        <xdr:cNvGraphicFramePr/>
      </xdr:nvGraphicFramePr>
      <xdr:xfrm>
        <a:off x="1779270" y="421005"/>
        <a:ext cx="12001500" cy="4305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34</xdr:row>
      <xdr:rowOff>0</xdr:rowOff>
    </xdr:from>
    <xdr:to>
      <xdr:col>8</xdr:col>
      <xdr:colOff>457200</xdr:colOff>
      <xdr:row>35</xdr:row>
      <xdr:rowOff>0</xdr:rowOff>
    </xdr:to>
    <xdr:sp>
      <xdr:nvSpPr>
        <xdr:cNvPr id="57455" name="Rectangle 17"/>
        <xdr:cNvSpPr>
          <a:spLocks/>
        </xdr:cNvSpPr>
      </xdr:nvSpPr>
      <xdr:spPr>
        <a:xfrm>
          <a:off x="352425" y="8465820"/>
          <a:ext cx="3198495" cy="314325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35</xdr:row>
      <xdr:rowOff>0</xdr:rowOff>
    </xdr:from>
    <xdr:to>
      <xdr:col>8</xdr:col>
      <xdr:colOff>38100</xdr:colOff>
      <xdr:row>36</xdr:row>
      <xdr:rowOff>0</xdr:rowOff>
    </xdr:to>
    <xdr:sp>
      <xdr:nvSpPr>
        <xdr:cNvPr id="57456" name="Rectangle 18"/>
        <xdr:cNvSpPr>
          <a:spLocks/>
        </xdr:cNvSpPr>
      </xdr:nvSpPr>
      <xdr:spPr>
        <a:xfrm>
          <a:off x="716280" y="8780145"/>
          <a:ext cx="241554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36</xdr:row>
      <xdr:rowOff>0</xdr:rowOff>
    </xdr:from>
    <xdr:to>
      <xdr:col>8</xdr:col>
      <xdr:colOff>38100</xdr:colOff>
      <xdr:row>37</xdr:row>
      <xdr:rowOff>0</xdr:rowOff>
    </xdr:to>
    <xdr:sp>
      <xdr:nvSpPr>
        <xdr:cNvPr id="57457" name="Rectangle 19"/>
        <xdr:cNvSpPr>
          <a:spLocks/>
        </xdr:cNvSpPr>
      </xdr:nvSpPr>
      <xdr:spPr>
        <a:xfrm>
          <a:off x="716280" y="8985885"/>
          <a:ext cx="241554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38</xdr:row>
      <xdr:rowOff>0</xdr:rowOff>
    </xdr:from>
    <xdr:to>
      <xdr:col>8</xdr:col>
      <xdr:colOff>38100</xdr:colOff>
      <xdr:row>39</xdr:row>
      <xdr:rowOff>0</xdr:rowOff>
    </xdr:to>
    <xdr:sp>
      <xdr:nvSpPr>
        <xdr:cNvPr id="57458" name="Rectangle 20"/>
        <xdr:cNvSpPr>
          <a:spLocks/>
        </xdr:cNvSpPr>
      </xdr:nvSpPr>
      <xdr:spPr>
        <a:xfrm>
          <a:off x="716280" y="9397365"/>
          <a:ext cx="241554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40</xdr:row>
      <xdr:rowOff>0</xdr:rowOff>
    </xdr:from>
    <xdr:to>
      <xdr:col>8</xdr:col>
      <xdr:colOff>38100</xdr:colOff>
      <xdr:row>41</xdr:row>
      <xdr:rowOff>0</xdr:rowOff>
    </xdr:to>
    <xdr:sp>
      <xdr:nvSpPr>
        <xdr:cNvPr id="57459" name="Rectangle 21"/>
        <xdr:cNvSpPr>
          <a:spLocks/>
        </xdr:cNvSpPr>
      </xdr:nvSpPr>
      <xdr:spPr>
        <a:xfrm>
          <a:off x="716280" y="9660255"/>
          <a:ext cx="241554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41</xdr:row>
      <xdr:rowOff>0</xdr:rowOff>
    </xdr:from>
    <xdr:to>
      <xdr:col>8</xdr:col>
      <xdr:colOff>38100</xdr:colOff>
      <xdr:row>42</xdr:row>
      <xdr:rowOff>0</xdr:rowOff>
    </xdr:to>
    <xdr:sp>
      <xdr:nvSpPr>
        <xdr:cNvPr id="57460" name="Rectangle 22"/>
        <xdr:cNvSpPr>
          <a:spLocks/>
        </xdr:cNvSpPr>
      </xdr:nvSpPr>
      <xdr:spPr>
        <a:xfrm>
          <a:off x="716280" y="9865995"/>
          <a:ext cx="241554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388620</xdr:colOff>
      <xdr:row>42</xdr:row>
      <xdr:rowOff>0</xdr:rowOff>
    </xdr:from>
    <xdr:to>
      <xdr:col>8</xdr:col>
      <xdr:colOff>480060</xdr:colOff>
      <xdr:row>43</xdr:row>
      <xdr:rowOff>0</xdr:rowOff>
    </xdr:to>
    <xdr:sp>
      <xdr:nvSpPr>
        <xdr:cNvPr id="57461" name="Rectangle 23"/>
        <xdr:cNvSpPr>
          <a:spLocks/>
        </xdr:cNvSpPr>
      </xdr:nvSpPr>
      <xdr:spPr>
        <a:xfrm>
          <a:off x="367665" y="10071735"/>
          <a:ext cx="3206115" cy="352425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388620</xdr:colOff>
      <xdr:row>43</xdr:row>
      <xdr:rowOff>0</xdr:rowOff>
    </xdr:from>
    <xdr:to>
      <xdr:col>8</xdr:col>
      <xdr:colOff>480060</xdr:colOff>
      <xdr:row>46</xdr:row>
      <xdr:rowOff>0</xdr:rowOff>
    </xdr:to>
    <xdr:sp>
      <xdr:nvSpPr>
        <xdr:cNvPr id="57462" name="Rectangle 24"/>
        <xdr:cNvSpPr>
          <a:spLocks/>
        </xdr:cNvSpPr>
      </xdr:nvSpPr>
      <xdr:spPr>
        <a:xfrm>
          <a:off x="367665" y="10424160"/>
          <a:ext cx="3206115" cy="40005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518160</xdr:colOff>
      <xdr:row>35</xdr:row>
      <xdr:rowOff>0</xdr:rowOff>
    </xdr:from>
    <xdr:to>
      <xdr:col>0</xdr:col>
      <xdr:colOff>723900</xdr:colOff>
      <xdr:row>42</xdr:row>
      <xdr:rowOff>0</xdr:rowOff>
    </xdr:to>
    <xdr:sp>
      <xdr:nvSpPr>
        <xdr:cNvPr id="57463" name="Rectangle 25"/>
        <xdr:cNvSpPr>
          <a:spLocks/>
        </xdr:cNvSpPr>
      </xdr:nvSpPr>
      <xdr:spPr>
        <a:xfrm>
          <a:off x="497205" y="8780145"/>
          <a:ext cx="205740" cy="129159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152400</xdr:colOff>
      <xdr:row>35</xdr:row>
      <xdr:rowOff>0</xdr:rowOff>
    </xdr:from>
    <xdr:to>
      <xdr:col>8</xdr:col>
      <xdr:colOff>365760</xdr:colOff>
      <xdr:row>42</xdr:row>
      <xdr:rowOff>0</xdr:rowOff>
    </xdr:to>
    <xdr:sp>
      <xdr:nvSpPr>
        <xdr:cNvPr id="57464" name="Rectangle 26"/>
        <xdr:cNvSpPr>
          <a:spLocks/>
        </xdr:cNvSpPr>
      </xdr:nvSpPr>
      <xdr:spPr>
        <a:xfrm>
          <a:off x="3246120" y="8780145"/>
          <a:ext cx="213360" cy="129159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632460</xdr:colOff>
      <xdr:row>34</xdr:row>
      <xdr:rowOff>0</xdr:rowOff>
    </xdr:from>
    <xdr:to>
      <xdr:col>8</xdr:col>
      <xdr:colOff>632460</xdr:colOff>
      <xdr:row>35</xdr:row>
      <xdr:rowOff>0</xdr:rowOff>
    </xdr:to>
    <xdr:cxnSp>
      <xdr:nvCxnSpPr>
        <xdr:cNvPr id="57465" name="Line 27"/>
        <xdr:cNvCxnSpPr/>
      </xdr:nvCxnSpPr>
      <xdr:spPr>
        <a:xfrm>
          <a:off x="3726180" y="8465820"/>
          <a:ext cx="0" cy="31432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35</xdr:row>
      <xdr:rowOff>7620</xdr:rowOff>
    </xdr:from>
    <xdr:to>
      <xdr:col>8</xdr:col>
      <xdr:colOff>632460</xdr:colOff>
      <xdr:row>42</xdr:row>
      <xdr:rowOff>0</xdr:rowOff>
    </xdr:to>
    <xdr:cxnSp>
      <xdr:nvCxnSpPr>
        <xdr:cNvPr id="57466" name="Line 28"/>
        <xdr:cNvCxnSpPr/>
      </xdr:nvCxnSpPr>
      <xdr:spPr>
        <a:xfrm flipH="1">
          <a:off x="3726180" y="8787765"/>
          <a:ext cx="0" cy="12839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42</xdr:row>
      <xdr:rowOff>7620</xdr:rowOff>
    </xdr:from>
    <xdr:to>
      <xdr:col>8</xdr:col>
      <xdr:colOff>632460</xdr:colOff>
      <xdr:row>43</xdr:row>
      <xdr:rowOff>0</xdr:rowOff>
    </xdr:to>
    <xdr:cxnSp>
      <xdr:nvCxnSpPr>
        <xdr:cNvPr id="57467" name="Line 29"/>
        <xdr:cNvCxnSpPr/>
      </xdr:nvCxnSpPr>
      <xdr:spPr>
        <a:xfrm>
          <a:off x="3726180" y="10079355"/>
          <a:ext cx="0" cy="34480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43</xdr:row>
      <xdr:rowOff>7620</xdr:rowOff>
    </xdr:from>
    <xdr:to>
      <xdr:col>8</xdr:col>
      <xdr:colOff>632460</xdr:colOff>
      <xdr:row>46</xdr:row>
      <xdr:rowOff>7620</xdr:rowOff>
    </xdr:to>
    <xdr:cxnSp>
      <xdr:nvCxnSpPr>
        <xdr:cNvPr id="57468" name="Line 30"/>
        <xdr:cNvCxnSpPr/>
      </xdr:nvCxnSpPr>
      <xdr:spPr>
        <a:xfrm flipH="1">
          <a:off x="3726180" y="10431780"/>
          <a:ext cx="0" cy="4000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34</xdr:row>
      <xdr:rowOff>175260</xdr:rowOff>
    </xdr:from>
    <xdr:to>
      <xdr:col>10</xdr:col>
      <xdr:colOff>7620</xdr:colOff>
      <xdr:row>34</xdr:row>
      <xdr:rowOff>175260</xdr:rowOff>
    </xdr:to>
    <xdr:cxnSp>
      <xdr:nvCxnSpPr>
        <xdr:cNvPr id="57469" name="Line 31"/>
        <xdr:cNvCxnSpPr/>
      </xdr:nvCxnSpPr>
      <xdr:spPr>
        <a:xfrm flipV="1">
          <a:off x="3726180" y="8641080"/>
          <a:ext cx="1276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617220</xdr:colOff>
      <xdr:row>36</xdr:row>
      <xdr:rowOff>106680</xdr:rowOff>
    </xdr:from>
    <xdr:to>
      <xdr:col>10</xdr:col>
      <xdr:colOff>0</xdr:colOff>
      <xdr:row>36</xdr:row>
      <xdr:rowOff>106680</xdr:rowOff>
    </xdr:to>
    <xdr:cxnSp>
      <xdr:nvCxnSpPr>
        <xdr:cNvPr id="57470" name="Line 32"/>
        <xdr:cNvCxnSpPr/>
      </xdr:nvCxnSpPr>
      <xdr:spPr>
        <a:xfrm flipV="1">
          <a:off x="3710940" y="9092565"/>
          <a:ext cx="1352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617220</xdr:colOff>
      <xdr:row>42</xdr:row>
      <xdr:rowOff>182880</xdr:rowOff>
    </xdr:from>
    <xdr:to>
      <xdr:col>10</xdr:col>
      <xdr:colOff>0</xdr:colOff>
      <xdr:row>42</xdr:row>
      <xdr:rowOff>182880</xdr:rowOff>
    </xdr:to>
    <xdr:cxnSp>
      <xdr:nvCxnSpPr>
        <xdr:cNvPr id="57471" name="Line 33"/>
        <xdr:cNvCxnSpPr/>
      </xdr:nvCxnSpPr>
      <xdr:spPr>
        <a:xfrm flipV="1">
          <a:off x="3710940" y="10254615"/>
          <a:ext cx="1352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617220</xdr:colOff>
      <xdr:row>44</xdr:row>
      <xdr:rowOff>106680</xdr:rowOff>
    </xdr:from>
    <xdr:to>
      <xdr:col>10</xdr:col>
      <xdr:colOff>0</xdr:colOff>
      <xdr:row>44</xdr:row>
      <xdr:rowOff>106680</xdr:rowOff>
    </xdr:to>
    <xdr:cxnSp>
      <xdr:nvCxnSpPr>
        <xdr:cNvPr id="57472" name="Line 34"/>
        <xdr:cNvCxnSpPr/>
      </xdr:nvCxnSpPr>
      <xdr:spPr>
        <a:xfrm flipV="1">
          <a:off x="3710940" y="10607040"/>
          <a:ext cx="1352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37</xdr:row>
      <xdr:rowOff>0</xdr:rowOff>
    </xdr:from>
    <xdr:to>
      <xdr:col>2</xdr:col>
      <xdr:colOff>182880</xdr:colOff>
      <xdr:row>38</xdr:row>
      <xdr:rowOff>0</xdr:rowOff>
    </xdr:to>
    <xdr:sp>
      <xdr:nvSpPr>
        <xdr:cNvPr id="57473" name="Rectangle 35"/>
        <xdr:cNvSpPr>
          <a:spLocks/>
        </xdr:cNvSpPr>
      </xdr:nvSpPr>
      <xdr:spPr>
        <a:xfrm>
          <a:off x="866775" y="9191625"/>
          <a:ext cx="152400" cy="205740"/>
        </a:xfrm>
        <a:prstGeom prst="rect"/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533400</xdr:colOff>
      <xdr:row>37</xdr:row>
      <xdr:rowOff>0</xdr:rowOff>
    </xdr:from>
    <xdr:to>
      <xdr:col>6</xdr:col>
      <xdr:colOff>685800</xdr:colOff>
      <xdr:row>38</xdr:row>
      <xdr:rowOff>0</xdr:rowOff>
    </xdr:to>
    <xdr:sp>
      <xdr:nvSpPr>
        <xdr:cNvPr id="57474" name="Rectangle 36"/>
        <xdr:cNvSpPr>
          <a:spLocks/>
        </xdr:cNvSpPr>
      </xdr:nvSpPr>
      <xdr:spPr>
        <a:xfrm>
          <a:off x="2874645" y="9191625"/>
          <a:ext cx="152400" cy="205740"/>
        </a:xfrm>
        <a:prstGeom prst="rect"/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388620</xdr:colOff>
      <xdr:row>48</xdr:row>
      <xdr:rowOff>0</xdr:rowOff>
    </xdr:from>
    <xdr:to>
      <xdr:col>8</xdr:col>
      <xdr:colOff>487680</xdr:colOff>
      <xdr:row>57</xdr:row>
      <xdr:rowOff>0</xdr:rowOff>
    </xdr:to>
    <xdr:sp>
      <xdr:nvSpPr>
        <xdr:cNvPr id="57475" name="Rectangle 37"/>
        <xdr:cNvSpPr>
          <a:spLocks/>
        </xdr:cNvSpPr>
      </xdr:nvSpPr>
      <xdr:spPr>
        <a:xfrm>
          <a:off x="367665" y="11235690"/>
          <a:ext cx="3213735" cy="185166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49</xdr:row>
      <xdr:rowOff>121920</xdr:rowOff>
    </xdr:from>
    <xdr:to>
      <xdr:col>8</xdr:col>
      <xdr:colOff>38100</xdr:colOff>
      <xdr:row>55</xdr:row>
      <xdr:rowOff>106680</xdr:rowOff>
    </xdr:to>
    <xdr:sp>
      <xdr:nvSpPr>
        <xdr:cNvPr id="57476" name="Rectangle 38"/>
        <xdr:cNvSpPr>
          <a:spLocks/>
        </xdr:cNvSpPr>
      </xdr:nvSpPr>
      <xdr:spPr>
        <a:xfrm>
          <a:off x="716280" y="11563350"/>
          <a:ext cx="2415540" cy="121920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dash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502920</xdr:colOff>
      <xdr:row>48</xdr:row>
      <xdr:rowOff>83820</xdr:rowOff>
    </xdr:from>
    <xdr:to>
      <xdr:col>0</xdr:col>
      <xdr:colOff>716280</xdr:colOff>
      <xdr:row>49</xdr:row>
      <xdr:rowOff>99060</xdr:rowOff>
    </xdr:to>
    <xdr:sp>
      <xdr:nvSpPr>
        <xdr:cNvPr id="57477" name="Oval 39"/>
        <xdr:cNvSpPr>
          <a:spLocks/>
        </xdr:cNvSpPr>
      </xdr:nvSpPr>
      <xdr:spPr>
        <a:xfrm>
          <a:off x="481965" y="11319510"/>
          <a:ext cx="21336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502920</xdr:colOff>
      <xdr:row>55</xdr:row>
      <xdr:rowOff>121920</xdr:rowOff>
    </xdr:from>
    <xdr:to>
      <xdr:col>0</xdr:col>
      <xdr:colOff>716280</xdr:colOff>
      <xdr:row>56</xdr:row>
      <xdr:rowOff>137160</xdr:rowOff>
    </xdr:to>
    <xdr:sp>
      <xdr:nvSpPr>
        <xdr:cNvPr id="57478" name="Oval 40"/>
        <xdr:cNvSpPr>
          <a:spLocks/>
        </xdr:cNvSpPr>
      </xdr:nvSpPr>
      <xdr:spPr>
        <a:xfrm>
          <a:off x="481965" y="12797790"/>
          <a:ext cx="21336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175260</xdr:colOff>
      <xdr:row>48</xdr:row>
      <xdr:rowOff>83820</xdr:rowOff>
    </xdr:from>
    <xdr:to>
      <xdr:col>8</xdr:col>
      <xdr:colOff>381000</xdr:colOff>
      <xdr:row>49</xdr:row>
      <xdr:rowOff>99060</xdr:rowOff>
    </xdr:to>
    <xdr:sp>
      <xdr:nvSpPr>
        <xdr:cNvPr id="57479" name="Oval 41"/>
        <xdr:cNvSpPr>
          <a:spLocks/>
        </xdr:cNvSpPr>
      </xdr:nvSpPr>
      <xdr:spPr>
        <a:xfrm>
          <a:off x="3268980" y="11319510"/>
          <a:ext cx="20574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175260</xdr:colOff>
      <xdr:row>55</xdr:row>
      <xdr:rowOff>121920</xdr:rowOff>
    </xdr:from>
    <xdr:to>
      <xdr:col>8</xdr:col>
      <xdr:colOff>381000</xdr:colOff>
      <xdr:row>56</xdr:row>
      <xdr:rowOff>137160</xdr:rowOff>
    </xdr:to>
    <xdr:sp>
      <xdr:nvSpPr>
        <xdr:cNvPr id="57480" name="Oval 42"/>
        <xdr:cNvSpPr>
          <a:spLocks/>
        </xdr:cNvSpPr>
      </xdr:nvSpPr>
      <xdr:spPr>
        <a:xfrm>
          <a:off x="3268980" y="12797790"/>
          <a:ext cx="20574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495300</xdr:colOff>
      <xdr:row>48</xdr:row>
      <xdr:rowOff>0</xdr:rowOff>
    </xdr:from>
    <xdr:to>
      <xdr:col>12</xdr:col>
      <xdr:colOff>495300</xdr:colOff>
      <xdr:row>48</xdr:row>
      <xdr:rowOff>0</xdr:rowOff>
    </xdr:to>
    <xdr:cxnSp>
      <xdr:nvCxnSpPr>
        <xdr:cNvPr id="57481" name="Line 43"/>
        <xdr:cNvCxnSpPr/>
      </xdr:nvCxnSpPr>
      <xdr:spPr>
        <a:xfrm>
          <a:off x="3589020" y="11235690"/>
          <a:ext cx="15049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48</xdr:row>
      <xdr:rowOff>0</xdr:rowOff>
    </xdr:from>
    <xdr:to>
      <xdr:col>12</xdr:col>
      <xdr:colOff>365760</xdr:colOff>
      <xdr:row>52</xdr:row>
      <xdr:rowOff>0</xdr:rowOff>
    </xdr:to>
    <xdr:cxnSp>
      <xdr:nvCxnSpPr>
        <xdr:cNvPr id="57482" name="Line 44"/>
        <xdr:cNvCxnSpPr/>
      </xdr:nvCxnSpPr>
      <xdr:spPr>
        <a:xfrm>
          <a:off x="4964430" y="11235690"/>
          <a:ext cx="0" cy="822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57</xdr:row>
      <xdr:rowOff>0</xdr:rowOff>
    </xdr:from>
    <xdr:to>
      <xdr:col>12</xdr:col>
      <xdr:colOff>480060</xdr:colOff>
      <xdr:row>57</xdr:row>
      <xdr:rowOff>0</xdr:rowOff>
    </xdr:to>
    <xdr:cxnSp>
      <xdr:nvCxnSpPr>
        <xdr:cNvPr id="57483" name="Line 45"/>
        <xdr:cNvCxnSpPr/>
      </xdr:nvCxnSpPr>
      <xdr:spPr>
        <a:xfrm flipV="1">
          <a:off x="3589020" y="13087350"/>
          <a:ext cx="14897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53</xdr:row>
      <xdr:rowOff>0</xdr:rowOff>
    </xdr:from>
    <xdr:to>
      <xdr:col>12</xdr:col>
      <xdr:colOff>365760</xdr:colOff>
      <xdr:row>57</xdr:row>
      <xdr:rowOff>0</xdr:rowOff>
    </xdr:to>
    <xdr:cxnSp>
      <xdr:nvCxnSpPr>
        <xdr:cNvPr id="57484" name="Line 46"/>
        <xdr:cNvCxnSpPr/>
      </xdr:nvCxnSpPr>
      <xdr:spPr>
        <a:xfrm flipV="1">
          <a:off x="4964430" y="12264390"/>
          <a:ext cx="0" cy="822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49</xdr:row>
      <xdr:rowOff>121920</xdr:rowOff>
    </xdr:from>
    <xdr:to>
      <xdr:col>10</xdr:col>
      <xdr:colOff>457200</xdr:colOff>
      <xdr:row>49</xdr:row>
      <xdr:rowOff>121920</xdr:rowOff>
    </xdr:to>
    <xdr:cxnSp>
      <xdr:nvCxnSpPr>
        <xdr:cNvPr id="57485" name="Line 47"/>
        <xdr:cNvCxnSpPr/>
      </xdr:nvCxnSpPr>
      <xdr:spPr>
        <a:xfrm>
          <a:off x="3154680" y="11563350"/>
          <a:ext cx="11487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55</xdr:row>
      <xdr:rowOff>106680</xdr:rowOff>
    </xdr:from>
    <xdr:to>
      <xdr:col>10</xdr:col>
      <xdr:colOff>464820</xdr:colOff>
      <xdr:row>55</xdr:row>
      <xdr:rowOff>106680</xdr:rowOff>
    </xdr:to>
    <xdr:cxnSp>
      <xdr:nvCxnSpPr>
        <xdr:cNvPr id="57486" name="Line 48"/>
        <xdr:cNvCxnSpPr/>
      </xdr:nvCxnSpPr>
      <xdr:spPr>
        <a:xfrm flipV="1">
          <a:off x="3131820" y="12782550"/>
          <a:ext cx="11791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335280</xdr:colOff>
      <xdr:row>52</xdr:row>
      <xdr:rowOff>0</xdr:rowOff>
    </xdr:from>
    <xdr:to>
      <xdr:col>10</xdr:col>
      <xdr:colOff>335280</xdr:colOff>
      <xdr:row>55</xdr:row>
      <xdr:rowOff>99060</xdr:rowOff>
    </xdr:to>
    <xdr:cxnSp>
      <xdr:nvCxnSpPr>
        <xdr:cNvPr id="57487" name="Line 49"/>
        <xdr:cNvCxnSpPr/>
      </xdr:nvCxnSpPr>
      <xdr:spPr>
        <a:xfrm>
          <a:off x="4181475" y="12058650"/>
          <a:ext cx="0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335280</xdr:colOff>
      <xdr:row>49</xdr:row>
      <xdr:rowOff>121920</xdr:rowOff>
    </xdr:from>
    <xdr:to>
      <xdr:col>10</xdr:col>
      <xdr:colOff>335280</xdr:colOff>
      <xdr:row>51</xdr:row>
      <xdr:rowOff>7620</xdr:rowOff>
    </xdr:to>
    <xdr:cxnSp>
      <xdr:nvCxnSpPr>
        <xdr:cNvPr id="57488" name="Line 50"/>
        <xdr:cNvCxnSpPr/>
      </xdr:nvCxnSpPr>
      <xdr:spPr>
        <a:xfrm flipV="1">
          <a:off x="4181475" y="11563350"/>
          <a:ext cx="0" cy="2971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</xdr:colOff>
      <xdr:row>34</xdr:row>
      <xdr:rowOff>0</xdr:rowOff>
    </xdr:from>
    <xdr:to>
      <xdr:col>22</xdr:col>
      <xdr:colOff>464820</xdr:colOff>
      <xdr:row>35</xdr:row>
      <xdr:rowOff>0</xdr:rowOff>
    </xdr:to>
    <xdr:sp>
      <xdr:nvSpPr>
        <xdr:cNvPr id="57489" name="Rectangle 51"/>
        <xdr:cNvSpPr>
          <a:spLocks/>
        </xdr:cNvSpPr>
      </xdr:nvSpPr>
      <xdr:spPr>
        <a:xfrm>
          <a:off x="6082665" y="8465820"/>
          <a:ext cx="2743200" cy="314325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350520</xdr:colOff>
      <xdr:row>56</xdr:row>
      <xdr:rowOff>83820</xdr:rowOff>
    </xdr:from>
    <xdr:to>
      <xdr:col>9</xdr:col>
      <xdr:colOff>152400</xdr:colOff>
      <xdr:row>58</xdr:row>
      <xdr:rowOff>0</xdr:rowOff>
    </xdr:to>
    <xdr:cxnSp>
      <xdr:nvCxnSpPr>
        <xdr:cNvPr id="57490" name="Line 52"/>
        <xdr:cNvCxnSpPr/>
      </xdr:nvCxnSpPr>
      <xdr:spPr>
        <a:xfrm>
          <a:off x="3444240" y="12965430"/>
          <a:ext cx="411480" cy="327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106680</xdr:rowOff>
    </xdr:from>
    <xdr:to>
      <xdr:col>8</xdr:col>
      <xdr:colOff>487680</xdr:colOff>
      <xdr:row>59</xdr:row>
      <xdr:rowOff>106680</xdr:rowOff>
    </xdr:to>
    <xdr:cxnSp>
      <xdr:nvCxnSpPr>
        <xdr:cNvPr id="57491" name="Line 53"/>
        <xdr:cNvCxnSpPr/>
      </xdr:nvCxnSpPr>
      <xdr:spPr>
        <a:xfrm>
          <a:off x="2950845" y="13605510"/>
          <a:ext cx="6305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56</xdr:row>
      <xdr:rowOff>198120</xdr:rowOff>
    </xdr:from>
    <xdr:to>
      <xdr:col>8</xdr:col>
      <xdr:colOff>487680</xdr:colOff>
      <xdr:row>60</xdr:row>
      <xdr:rowOff>99060</xdr:rowOff>
    </xdr:to>
    <xdr:cxnSp>
      <xdr:nvCxnSpPr>
        <xdr:cNvPr id="57492" name="Line 54"/>
        <xdr:cNvCxnSpPr/>
      </xdr:nvCxnSpPr>
      <xdr:spPr>
        <a:xfrm>
          <a:off x="3581400" y="13079730"/>
          <a:ext cx="0" cy="723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388620</xdr:colOff>
      <xdr:row>57</xdr:row>
      <xdr:rowOff>0</xdr:rowOff>
    </xdr:from>
    <xdr:to>
      <xdr:col>0</xdr:col>
      <xdr:colOff>388620</xdr:colOff>
      <xdr:row>60</xdr:row>
      <xdr:rowOff>99060</xdr:rowOff>
    </xdr:to>
    <xdr:cxnSp>
      <xdr:nvCxnSpPr>
        <xdr:cNvPr id="57493" name="Line 55"/>
        <xdr:cNvCxnSpPr/>
      </xdr:nvCxnSpPr>
      <xdr:spPr>
        <a:xfrm>
          <a:off x="367665" y="13087350"/>
          <a:ext cx="0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55</xdr:row>
      <xdr:rowOff>182880</xdr:rowOff>
    </xdr:from>
    <xdr:to>
      <xdr:col>8</xdr:col>
      <xdr:colOff>350520</xdr:colOff>
      <xdr:row>56</xdr:row>
      <xdr:rowOff>83820</xdr:rowOff>
    </xdr:to>
    <xdr:cxnSp>
      <xdr:nvCxnSpPr>
        <xdr:cNvPr id="57494" name="Line 56"/>
        <xdr:cNvCxnSpPr/>
      </xdr:nvCxnSpPr>
      <xdr:spPr>
        <a:xfrm>
          <a:off x="3284220" y="12858750"/>
          <a:ext cx="160020" cy="1066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58</xdr:row>
      <xdr:rowOff>106680</xdr:rowOff>
    </xdr:from>
    <xdr:to>
      <xdr:col>8</xdr:col>
      <xdr:colOff>38100</xdr:colOff>
      <xdr:row>58</xdr:row>
      <xdr:rowOff>106680</xdr:rowOff>
    </xdr:to>
    <xdr:cxnSp>
      <xdr:nvCxnSpPr>
        <xdr:cNvPr id="57495" name="Line 57"/>
        <xdr:cNvCxnSpPr/>
      </xdr:nvCxnSpPr>
      <xdr:spPr>
        <a:xfrm>
          <a:off x="2274570" y="13399770"/>
          <a:ext cx="8572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58</xdr:row>
      <xdr:rowOff>106680</xdr:rowOff>
    </xdr:from>
    <xdr:to>
      <xdr:col>3</xdr:col>
      <xdr:colOff>152400</xdr:colOff>
      <xdr:row>58</xdr:row>
      <xdr:rowOff>106680</xdr:rowOff>
    </xdr:to>
    <xdr:cxnSp>
      <xdr:nvCxnSpPr>
        <xdr:cNvPr id="57496" name="Line 58"/>
        <xdr:cNvCxnSpPr/>
      </xdr:nvCxnSpPr>
      <xdr:spPr>
        <a:xfrm flipH="1">
          <a:off x="716280" y="13399770"/>
          <a:ext cx="8820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388620</xdr:colOff>
      <xdr:row>59</xdr:row>
      <xdr:rowOff>114300</xdr:rowOff>
    </xdr:from>
    <xdr:to>
      <xdr:col>5</xdr:col>
      <xdr:colOff>144780</xdr:colOff>
      <xdr:row>59</xdr:row>
      <xdr:rowOff>114300</xdr:rowOff>
    </xdr:to>
    <xdr:cxnSp>
      <xdr:nvCxnSpPr>
        <xdr:cNvPr id="57497" name="Line 59"/>
        <xdr:cNvCxnSpPr/>
      </xdr:nvCxnSpPr>
      <xdr:spPr>
        <a:xfrm flipH="1">
          <a:off x="367665" y="13613130"/>
          <a:ext cx="197548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495300</xdr:colOff>
      <xdr:row>35</xdr:row>
      <xdr:rowOff>0</xdr:rowOff>
    </xdr:from>
    <xdr:to>
      <xdr:col>21</xdr:col>
      <xdr:colOff>99060</xdr:colOff>
      <xdr:row>36</xdr:row>
      <xdr:rowOff>0</xdr:rowOff>
    </xdr:to>
    <xdr:sp>
      <xdr:nvSpPr>
        <xdr:cNvPr id="57498" name="Rectangle 60"/>
        <xdr:cNvSpPr>
          <a:spLocks/>
        </xdr:cNvSpPr>
      </xdr:nvSpPr>
      <xdr:spPr>
        <a:xfrm>
          <a:off x="6598920" y="8780145"/>
          <a:ext cx="171831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121920</xdr:colOff>
      <xdr:row>43</xdr:row>
      <xdr:rowOff>0</xdr:rowOff>
    </xdr:from>
    <xdr:to>
      <xdr:col>17</xdr:col>
      <xdr:colOff>38100</xdr:colOff>
      <xdr:row>46</xdr:row>
      <xdr:rowOff>0</xdr:rowOff>
    </xdr:to>
    <xdr:sp>
      <xdr:nvSpPr>
        <xdr:cNvPr id="57499" name="Rectangle 61"/>
        <xdr:cNvSpPr>
          <a:spLocks/>
        </xdr:cNvSpPr>
      </xdr:nvSpPr>
      <xdr:spPr>
        <a:xfrm>
          <a:off x="6082665" y="10424160"/>
          <a:ext cx="668655" cy="40005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152400</xdr:colOff>
      <xdr:row>35</xdr:row>
      <xdr:rowOff>0</xdr:rowOff>
    </xdr:from>
    <xdr:to>
      <xdr:col>16</xdr:col>
      <xdr:colOff>365760</xdr:colOff>
      <xdr:row>42</xdr:row>
      <xdr:rowOff>0</xdr:rowOff>
    </xdr:to>
    <xdr:sp>
      <xdr:nvSpPr>
        <xdr:cNvPr id="57500" name="Rectangle 62"/>
        <xdr:cNvSpPr>
          <a:spLocks/>
        </xdr:cNvSpPr>
      </xdr:nvSpPr>
      <xdr:spPr>
        <a:xfrm>
          <a:off x="6256020" y="8780145"/>
          <a:ext cx="213360" cy="129159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22</xdr:col>
      <xdr:colOff>60960</xdr:colOff>
      <xdr:row>35</xdr:row>
      <xdr:rowOff>0</xdr:rowOff>
    </xdr:from>
    <xdr:to>
      <xdr:col>22</xdr:col>
      <xdr:colOff>266700</xdr:colOff>
      <xdr:row>42</xdr:row>
      <xdr:rowOff>0</xdr:rowOff>
    </xdr:to>
    <xdr:sp>
      <xdr:nvSpPr>
        <xdr:cNvPr id="57501" name="Rectangle 63"/>
        <xdr:cNvSpPr>
          <a:spLocks/>
        </xdr:cNvSpPr>
      </xdr:nvSpPr>
      <xdr:spPr>
        <a:xfrm>
          <a:off x="8422005" y="8780145"/>
          <a:ext cx="205740" cy="129159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7620</xdr:colOff>
      <xdr:row>37</xdr:row>
      <xdr:rowOff>0</xdr:rowOff>
    </xdr:from>
    <xdr:to>
      <xdr:col>18</xdr:col>
      <xdr:colOff>0</xdr:colOff>
      <xdr:row>38</xdr:row>
      <xdr:rowOff>7620</xdr:rowOff>
    </xdr:to>
    <xdr:sp>
      <xdr:nvSpPr>
        <xdr:cNvPr id="57502" name="Rectangle 64"/>
        <xdr:cNvSpPr>
          <a:spLocks/>
        </xdr:cNvSpPr>
      </xdr:nvSpPr>
      <xdr:spPr>
        <a:xfrm>
          <a:off x="6720840" y="9191625"/>
          <a:ext cx="135255" cy="213360"/>
        </a:xfrm>
        <a:prstGeom prst="rect"/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20</xdr:col>
      <xdr:colOff>441960</xdr:colOff>
      <xdr:row>37</xdr:row>
      <xdr:rowOff>0</xdr:rowOff>
    </xdr:from>
    <xdr:to>
      <xdr:col>20</xdr:col>
      <xdr:colOff>594360</xdr:colOff>
      <xdr:row>38</xdr:row>
      <xdr:rowOff>7620</xdr:rowOff>
    </xdr:to>
    <xdr:sp>
      <xdr:nvSpPr>
        <xdr:cNvPr id="57503" name="Rectangle 65"/>
        <xdr:cNvSpPr>
          <a:spLocks/>
        </xdr:cNvSpPr>
      </xdr:nvSpPr>
      <xdr:spPr>
        <a:xfrm>
          <a:off x="8050530" y="9191625"/>
          <a:ext cx="152400" cy="213360"/>
        </a:xfrm>
        <a:prstGeom prst="rect"/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36</xdr:row>
      <xdr:rowOff>0</xdr:rowOff>
    </xdr:from>
    <xdr:to>
      <xdr:col>21</xdr:col>
      <xdr:colOff>99060</xdr:colOff>
      <xdr:row>37</xdr:row>
      <xdr:rowOff>0</xdr:rowOff>
    </xdr:to>
    <xdr:sp>
      <xdr:nvSpPr>
        <xdr:cNvPr id="57504" name="Rectangle 66"/>
        <xdr:cNvSpPr>
          <a:spLocks/>
        </xdr:cNvSpPr>
      </xdr:nvSpPr>
      <xdr:spPr>
        <a:xfrm>
          <a:off x="6598920" y="8985885"/>
          <a:ext cx="171831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38</xdr:row>
      <xdr:rowOff>7620</xdr:rowOff>
    </xdr:from>
    <xdr:to>
      <xdr:col>21</xdr:col>
      <xdr:colOff>99060</xdr:colOff>
      <xdr:row>39</xdr:row>
      <xdr:rowOff>7620</xdr:rowOff>
    </xdr:to>
    <xdr:sp>
      <xdr:nvSpPr>
        <xdr:cNvPr id="57505" name="Rectangle 67"/>
        <xdr:cNvSpPr>
          <a:spLocks/>
        </xdr:cNvSpPr>
      </xdr:nvSpPr>
      <xdr:spPr>
        <a:xfrm>
          <a:off x="6598920" y="9404985"/>
          <a:ext cx="171831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40</xdr:row>
      <xdr:rowOff>0</xdr:rowOff>
    </xdr:from>
    <xdr:to>
      <xdr:col>21</xdr:col>
      <xdr:colOff>99060</xdr:colOff>
      <xdr:row>41</xdr:row>
      <xdr:rowOff>0</xdr:rowOff>
    </xdr:to>
    <xdr:sp>
      <xdr:nvSpPr>
        <xdr:cNvPr id="57506" name="Rectangle 68"/>
        <xdr:cNvSpPr>
          <a:spLocks/>
        </xdr:cNvSpPr>
      </xdr:nvSpPr>
      <xdr:spPr>
        <a:xfrm>
          <a:off x="6598920" y="9660255"/>
          <a:ext cx="171831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41</xdr:row>
      <xdr:rowOff>0</xdr:rowOff>
    </xdr:from>
    <xdr:to>
      <xdr:col>21</xdr:col>
      <xdr:colOff>99060</xdr:colOff>
      <xdr:row>42</xdr:row>
      <xdr:rowOff>0</xdr:rowOff>
    </xdr:to>
    <xdr:sp>
      <xdr:nvSpPr>
        <xdr:cNvPr id="57507" name="Rectangle 69"/>
        <xdr:cNvSpPr>
          <a:spLocks/>
        </xdr:cNvSpPr>
      </xdr:nvSpPr>
      <xdr:spPr>
        <a:xfrm>
          <a:off x="6598920" y="9865995"/>
          <a:ext cx="1718310" cy="2057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0</xdr:colOff>
      <xdr:row>44</xdr:row>
      <xdr:rowOff>106680</xdr:rowOff>
    </xdr:from>
    <xdr:to>
      <xdr:col>16</xdr:col>
      <xdr:colOff>114300</xdr:colOff>
      <xdr:row>44</xdr:row>
      <xdr:rowOff>106680</xdr:rowOff>
    </xdr:to>
    <xdr:cxnSp>
      <xdr:nvCxnSpPr>
        <xdr:cNvPr id="57508" name="Line 70"/>
        <xdr:cNvCxnSpPr/>
      </xdr:nvCxnSpPr>
      <xdr:spPr>
        <a:xfrm>
          <a:off x="5960745" y="10607040"/>
          <a:ext cx="2571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lg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42</xdr:row>
      <xdr:rowOff>160020</xdr:rowOff>
    </xdr:from>
    <xdr:to>
      <xdr:col>16</xdr:col>
      <xdr:colOff>106680</xdr:colOff>
      <xdr:row>42</xdr:row>
      <xdr:rowOff>160020</xdr:rowOff>
    </xdr:to>
    <xdr:cxnSp>
      <xdr:nvCxnSpPr>
        <xdr:cNvPr id="57509" name="Line 71"/>
        <xdr:cNvCxnSpPr/>
      </xdr:nvCxnSpPr>
      <xdr:spPr>
        <a:xfrm>
          <a:off x="6036945" y="10231755"/>
          <a:ext cx="1733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lg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38</xdr:row>
      <xdr:rowOff>106680</xdr:rowOff>
    </xdr:from>
    <xdr:to>
      <xdr:col>16</xdr:col>
      <xdr:colOff>259080</xdr:colOff>
      <xdr:row>38</xdr:row>
      <xdr:rowOff>106680</xdr:rowOff>
    </xdr:to>
    <xdr:cxnSp>
      <xdr:nvCxnSpPr>
        <xdr:cNvPr id="57510" name="Line 72"/>
        <xdr:cNvCxnSpPr/>
      </xdr:nvCxnSpPr>
      <xdr:spPr>
        <a:xfrm>
          <a:off x="5960745" y="9504045"/>
          <a:ext cx="4019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lg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40</xdr:row>
      <xdr:rowOff>99060</xdr:rowOff>
    </xdr:from>
    <xdr:to>
      <xdr:col>18</xdr:col>
      <xdr:colOff>137160</xdr:colOff>
      <xdr:row>40</xdr:row>
      <xdr:rowOff>99060</xdr:rowOff>
    </xdr:to>
    <xdr:cxnSp>
      <xdr:nvCxnSpPr>
        <xdr:cNvPr id="57511" name="Line 73"/>
        <xdr:cNvCxnSpPr/>
      </xdr:nvCxnSpPr>
      <xdr:spPr>
        <a:xfrm>
          <a:off x="5960745" y="9759315"/>
          <a:ext cx="10325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35</xdr:row>
      <xdr:rowOff>22860</xdr:rowOff>
    </xdr:from>
    <xdr:to>
      <xdr:col>18</xdr:col>
      <xdr:colOff>152400</xdr:colOff>
      <xdr:row>41</xdr:row>
      <xdr:rowOff>190500</xdr:rowOff>
    </xdr:to>
    <xdr:cxnSp>
      <xdr:nvCxnSpPr>
        <xdr:cNvPr id="57512" name="Line 74"/>
        <xdr:cNvCxnSpPr/>
      </xdr:nvCxnSpPr>
      <xdr:spPr>
        <a:xfrm>
          <a:off x="7008495" y="8803005"/>
          <a:ext cx="0" cy="1253490"/>
        </a:xfrm>
        <a:prstGeom prst="line"/>
        <a:noFill/>
        <a:ln w="76200" cap="flat" cmpd="tri">
          <a:solidFill>
            <a:srgbClr val="969696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</xdr:colOff>
      <xdr:row>42</xdr:row>
      <xdr:rowOff>0</xdr:rowOff>
    </xdr:from>
    <xdr:to>
      <xdr:col>22</xdr:col>
      <xdr:colOff>464820</xdr:colOff>
      <xdr:row>43</xdr:row>
      <xdr:rowOff>0</xdr:rowOff>
    </xdr:to>
    <xdr:sp>
      <xdr:nvSpPr>
        <xdr:cNvPr id="57513" name="Rectangle 75"/>
        <xdr:cNvSpPr>
          <a:spLocks/>
        </xdr:cNvSpPr>
      </xdr:nvSpPr>
      <xdr:spPr>
        <a:xfrm>
          <a:off x="6082665" y="10071735"/>
          <a:ext cx="2743200" cy="352425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20</xdr:col>
      <xdr:colOff>556260</xdr:colOff>
      <xdr:row>43</xdr:row>
      <xdr:rowOff>0</xdr:rowOff>
    </xdr:from>
    <xdr:to>
      <xdr:col>22</xdr:col>
      <xdr:colOff>464820</xdr:colOff>
      <xdr:row>46</xdr:row>
      <xdr:rowOff>0</xdr:rowOff>
    </xdr:to>
    <xdr:sp>
      <xdr:nvSpPr>
        <xdr:cNvPr id="57514" name="Rectangle 76"/>
        <xdr:cNvSpPr>
          <a:spLocks/>
        </xdr:cNvSpPr>
      </xdr:nvSpPr>
      <xdr:spPr>
        <a:xfrm>
          <a:off x="8164830" y="10424160"/>
          <a:ext cx="661035" cy="40005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121920</xdr:colOff>
      <xdr:row>46</xdr:row>
      <xdr:rowOff>0</xdr:rowOff>
    </xdr:from>
    <xdr:to>
      <xdr:col>15</xdr:col>
      <xdr:colOff>121920</xdr:colOff>
      <xdr:row>47</xdr:row>
      <xdr:rowOff>198120</xdr:rowOff>
    </xdr:to>
    <xdr:cxnSp>
      <xdr:nvCxnSpPr>
        <xdr:cNvPr id="57515" name="Line 77"/>
        <xdr:cNvCxnSpPr/>
      </xdr:nvCxnSpPr>
      <xdr:spPr>
        <a:xfrm>
          <a:off x="6082665" y="10824210"/>
          <a:ext cx="0" cy="4038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46</xdr:row>
      <xdr:rowOff>0</xdr:rowOff>
    </xdr:from>
    <xdr:to>
      <xdr:col>17</xdr:col>
      <xdr:colOff>38100</xdr:colOff>
      <xdr:row>48</xdr:row>
      <xdr:rowOff>0</xdr:rowOff>
    </xdr:to>
    <xdr:cxnSp>
      <xdr:nvCxnSpPr>
        <xdr:cNvPr id="57516" name="Line 78"/>
        <xdr:cNvCxnSpPr/>
      </xdr:nvCxnSpPr>
      <xdr:spPr>
        <a:xfrm>
          <a:off x="6751320" y="10824210"/>
          <a:ext cx="0" cy="4114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487680</xdr:colOff>
      <xdr:row>47</xdr:row>
      <xdr:rowOff>121920</xdr:rowOff>
    </xdr:from>
    <xdr:to>
      <xdr:col>15</xdr:col>
      <xdr:colOff>121920</xdr:colOff>
      <xdr:row>47</xdr:row>
      <xdr:rowOff>121920</xdr:rowOff>
    </xdr:to>
    <xdr:cxnSp>
      <xdr:nvCxnSpPr>
        <xdr:cNvPr id="57517" name="Line 79"/>
        <xdr:cNvCxnSpPr/>
      </xdr:nvCxnSpPr>
      <xdr:spPr>
        <a:xfrm>
          <a:off x="5838825" y="11151870"/>
          <a:ext cx="2438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47</xdr:row>
      <xdr:rowOff>121920</xdr:rowOff>
    </xdr:from>
    <xdr:to>
      <xdr:col>18</xdr:col>
      <xdr:colOff>220980</xdr:colOff>
      <xdr:row>47</xdr:row>
      <xdr:rowOff>121920</xdr:rowOff>
    </xdr:to>
    <xdr:cxnSp>
      <xdr:nvCxnSpPr>
        <xdr:cNvPr id="57518" name="Line 80"/>
        <xdr:cNvCxnSpPr/>
      </xdr:nvCxnSpPr>
      <xdr:spPr>
        <a:xfrm flipH="1" flipV="1">
          <a:off x="6751320" y="11151870"/>
          <a:ext cx="3257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55</xdr:row>
      <xdr:rowOff>106680</xdr:rowOff>
    </xdr:from>
    <xdr:to>
      <xdr:col>1</xdr:col>
      <xdr:colOff>22860</xdr:colOff>
      <xdr:row>59</xdr:row>
      <xdr:rowOff>0</xdr:rowOff>
    </xdr:to>
    <xdr:cxnSp>
      <xdr:nvCxnSpPr>
        <xdr:cNvPr id="57519" name="Line 81"/>
        <xdr:cNvCxnSpPr/>
      </xdr:nvCxnSpPr>
      <xdr:spPr>
        <a:xfrm>
          <a:off x="716280" y="12782550"/>
          <a:ext cx="0" cy="7162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55</xdr:row>
      <xdr:rowOff>106680</xdr:rowOff>
    </xdr:from>
    <xdr:to>
      <xdr:col>8</xdr:col>
      <xdr:colOff>38100</xdr:colOff>
      <xdr:row>58</xdr:row>
      <xdr:rowOff>182880</xdr:rowOff>
    </xdr:to>
    <xdr:cxnSp>
      <xdr:nvCxnSpPr>
        <xdr:cNvPr id="57520" name="Line 82"/>
        <xdr:cNvCxnSpPr/>
      </xdr:nvCxnSpPr>
      <xdr:spPr>
        <a:xfrm>
          <a:off x="3131820" y="12782550"/>
          <a:ext cx="0" cy="6934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99060</xdr:colOff>
      <xdr:row>37</xdr:row>
      <xdr:rowOff>137160</xdr:rowOff>
    </xdr:from>
    <xdr:to>
      <xdr:col>15</xdr:col>
      <xdr:colOff>68580</xdr:colOff>
      <xdr:row>46</xdr:row>
      <xdr:rowOff>7620</xdr:rowOff>
    </xdr:to>
    <xdr:sp>
      <xdr:nvSpPr>
        <xdr:cNvPr id="57521" name="Rectangle 83"/>
        <xdr:cNvSpPr>
          <a:spLocks/>
        </xdr:cNvSpPr>
      </xdr:nvSpPr>
      <xdr:spPr>
        <a:xfrm>
          <a:off x="5307330" y="9328785"/>
          <a:ext cx="721995" cy="1503045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335280</xdr:colOff>
      <xdr:row>46</xdr:row>
      <xdr:rowOff>7620</xdr:rowOff>
    </xdr:from>
    <xdr:to>
      <xdr:col>14</xdr:col>
      <xdr:colOff>335280</xdr:colOff>
      <xdr:row>51</xdr:row>
      <xdr:rowOff>7620</xdr:rowOff>
    </xdr:to>
    <xdr:cxnSp>
      <xdr:nvCxnSpPr>
        <xdr:cNvPr id="57522" name="Line 84"/>
        <xdr:cNvCxnSpPr/>
      </xdr:nvCxnSpPr>
      <xdr:spPr>
        <a:xfrm>
          <a:off x="5686425" y="10831830"/>
          <a:ext cx="0" cy="10287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335280</xdr:colOff>
      <xdr:row>51</xdr:row>
      <xdr:rowOff>7620</xdr:rowOff>
    </xdr:from>
    <xdr:to>
      <xdr:col>14</xdr:col>
      <xdr:colOff>579120</xdr:colOff>
      <xdr:row>51</xdr:row>
      <xdr:rowOff>7620</xdr:rowOff>
    </xdr:to>
    <xdr:cxnSp>
      <xdr:nvCxnSpPr>
        <xdr:cNvPr id="57523" name="Line 85"/>
        <xdr:cNvCxnSpPr/>
      </xdr:nvCxnSpPr>
      <xdr:spPr>
        <a:xfrm>
          <a:off x="5686425" y="11860530"/>
          <a:ext cx="24384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50</xdr:row>
      <xdr:rowOff>22860</xdr:rowOff>
    </xdr:from>
    <xdr:to>
      <xdr:col>7</xdr:col>
      <xdr:colOff>106680</xdr:colOff>
      <xdr:row>55</xdr:row>
      <xdr:rowOff>7620</xdr:rowOff>
    </xdr:to>
    <xdr:sp>
      <xdr:nvSpPr>
        <xdr:cNvPr id="57524" name="Rectangle 86"/>
        <xdr:cNvSpPr>
          <a:spLocks/>
        </xdr:cNvSpPr>
      </xdr:nvSpPr>
      <xdr:spPr>
        <a:xfrm>
          <a:off x="792480" y="11670030"/>
          <a:ext cx="2265045" cy="101346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ysDot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685800</xdr:colOff>
      <xdr:row>53</xdr:row>
      <xdr:rowOff>106680</xdr:rowOff>
    </xdr:from>
    <xdr:to>
      <xdr:col>8</xdr:col>
      <xdr:colOff>45720</xdr:colOff>
      <xdr:row>53</xdr:row>
      <xdr:rowOff>106680</xdr:rowOff>
    </xdr:to>
    <xdr:cxnSp>
      <xdr:nvCxnSpPr>
        <xdr:cNvPr id="57525" name="Line 87"/>
        <xdr:cNvCxnSpPr/>
      </xdr:nvCxnSpPr>
      <xdr:spPr>
        <a:xfrm>
          <a:off x="3027045" y="12371070"/>
          <a:ext cx="1123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53</xdr:row>
      <xdr:rowOff>106680</xdr:rowOff>
    </xdr:from>
    <xdr:to>
      <xdr:col>8</xdr:col>
      <xdr:colOff>480060</xdr:colOff>
      <xdr:row>53</xdr:row>
      <xdr:rowOff>106680</xdr:rowOff>
    </xdr:to>
    <xdr:cxnSp>
      <xdr:nvCxnSpPr>
        <xdr:cNvPr id="57526" name="Line 88"/>
        <xdr:cNvCxnSpPr/>
      </xdr:nvCxnSpPr>
      <xdr:spPr>
        <a:xfrm flipH="1">
          <a:off x="3139440" y="12371070"/>
          <a:ext cx="4343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51</xdr:row>
      <xdr:rowOff>106680</xdr:rowOff>
    </xdr:from>
    <xdr:to>
      <xdr:col>7</xdr:col>
      <xdr:colOff>106680</xdr:colOff>
      <xdr:row>51</xdr:row>
      <xdr:rowOff>106680</xdr:rowOff>
    </xdr:to>
    <xdr:cxnSp>
      <xdr:nvCxnSpPr>
        <xdr:cNvPr id="57527" name="Line 89"/>
        <xdr:cNvCxnSpPr/>
      </xdr:nvCxnSpPr>
      <xdr:spPr>
        <a:xfrm>
          <a:off x="3027045" y="11959590"/>
          <a:ext cx="304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51</xdr:row>
      <xdr:rowOff>106680</xdr:rowOff>
    </xdr:from>
    <xdr:to>
      <xdr:col>8</xdr:col>
      <xdr:colOff>304800</xdr:colOff>
      <xdr:row>51</xdr:row>
      <xdr:rowOff>106680</xdr:rowOff>
    </xdr:to>
    <xdr:cxnSp>
      <xdr:nvCxnSpPr>
        <xdr:cNvPr id="57528" name="Line 90"/>
        <xdr:cNvCxnSpPr/>
      </xdr:nvCxnSpPr>
      <xdr:spPr>
        <a:xfrm flipH="1">
          <a:off x="3131820" y="11959590"/>
          <a:ext cx="266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51</xdr:row>
      <xdr:rowOff>106680</xdr:rowOff>
    </xdr:from>
    <xdr:to>
      <xdr:col>8</xdr:col>
      <xdr:colOff>38100</xdr:colOff>
      <xdr:row>51</xdr:row>
      <xdr:rowOff>106680</xdr:rowOff>
    </xdr:to>
    <xdr:cxnSp>
      <xdr:nvCxnSpPr>
        <xdr:cNvPr id="57529" name="Line 91"/>
        <xdr:cNvCxnSpPr/>
      </xdr:nvCxnSpPr>
      <xdr:spPr>
        <a:xfrm>
          <a:off x="3065145" y="11959590"/>
          <a:ext cx="666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49</xdr:row>
      <xdr:rowOff>121920</xdr:rowOff>
    </xdr:from>
    <xdr:to>
      <xdr:col>2</xdr:col>
      <xdr:colOff>327660</xdr:colOff>
      <xdr:row>51</xdr:row>
      <xdr:rowOff>0</xdr:rowOff>
    </xdr:to>
    <xdr:cxnSp>
      <xdr:nvCxnSpPr>
        <xdr:cNvPr id="57530" name="Line 92"/>
        <xdr:cNvCxnSpPr/>
      </xdr:nvCxnSpPr>
      <xdr:spPr>
        <a:xfrm>
          <a:off x="1163955" y="11563350"/>
          <a:ext cx="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48</xdr:row>
      <xdr:rowOff>0</xdr:rowOff>
    </xdr:from>
    <xdr:to>
      <xdr:col>2</xdr:col>
      <xdr:colOff>327660</xdr:colOff>
      <xdr:row>49</xdr:row>
      <xdr:rowOff>137160</xdr:rowOff>
    </xdr:to>
    <xdr:cxnSp>
      <xdr:nvCxnSpPr>
        <xdr:cNvPr id="57531" name="Line 93"/>
        <xdr:cNvCxnSpPr/>
      </xdr:nvCxnSpPr>
      <xdr:spPr>
        <a:xfrm flipV="1">
          <a:off x="1163955" y="11235690"/>
          <a:ext cx="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46</xdr:row>
      <xdr:rowOff>114300</xdr:rowOff>
    </xdr:from>
    <xdr:to>
      <xdr:col>2</xdr:col>
      <xdr:colOff>327660</xdr:colOff>
      <xdr:row>48</xdr:row>
      <xdr:rowOff>0</xdr:rowOff>
    </xdr:to>
    <xdr:cxnSp>
      <xdr:nvCxnSpPr>
        <xdr:cNvPr id="57532" name="Line 94"/>
        <xdr:cNvCxnSpPr/>
      </xdr:nvCxnSpPr>
      <xdr:spPr>
        <a:xfrm flipV="1">
          <a:off x="1163955" y="10938510"/>
          <a:ext cx="0" cy="2971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50</xdr:row>
      <xdr:rowOff>30480</xdr:rowOff>
    </xdr:from>
    <xdr:to>
      <xdr:col>4</xdr:col>
      <xdr:colOff>327660</xdr:colOff>
      <xdr:row>52</xdr:row>
      <xdr:rowOff>7620</xdr:rowOff>
    </xdr:to>
    <xdr:cxnSp>
      <xdr:nvCxnSpPr>
        <xdr:cNvPr id="57533" name="Line 95"/>
        <xdr:cNvCxnSpPr/>
      </xdr:nvCxnSpPr>
      <xdr:spPr>
        <a:xfrm>
          <a:off x="1916430" y="11677650"/>
          <a:ext cx="0" cy="3886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49</xdr:row>
      <xdr:rowOff>114300</xdr:rowOff>
    </xdr:from>
    <xdr:to>
      <xdr:col>4</xdr:col>
      <xdr:colOff>327660</xdr:colOff>
      <xdr:row>50</xdr:row>
      <xdr:rowOff>30480</xdr:rowOff>
    </xdr:to>
    <xdr:cxnSp>
      <xdr:nvCxnSpPr>
        <xdr:cNvPr id="57534" name="Line 96"/>
        <xdr:cNvCxnSpPr/>
      </xdr:nvCxnSpPr>
      <xdr:spPr>
        <a:xfrm flipV="1">
          <a:off x="1916430" y="11555730"/>
          <a:ext cx="0" cy="1219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48</xdr:row>
      <xdr:rowOff>45720</xdr:rowOff>
    </xdr:from>
    <xdr:to>
      <xdr:col>4</xdr:col>
      <xdr:colOff>327660</xdr:colOff>
      <xdr:row>49</xdr:row>
      <xdr:rowOff>121920</xdr:rowOff>
    </xdr:to>
    <xdr:cxnSp>
      <xdr:nvCxnSpPr>
        <xdr:cNvPr id="57535" name="Line 97"/>
        <xdr:cNvCxnSpPr/>
      </xdr:nvCxnSpPr>
      <xdr:spPr>
        <a:xfrm>
          <a:off x="1916430" y="11281410"/>
          <a:ext cx="0" cy="2819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0</xdr:row>
      <xdr:rowOff>438150</xdr:rowOff>
    </xdr:from>
    <xdr:to>
      <xdr:col>23</xdr:col>
      <xdr:colOff>190500</xdr:colOff>
      <xdr:row>1</xdr:row>
      <xdr:rowOff>47625</xdr:rowOff>
    </xdr:to>
    <xdr:sp>
      <xdr:nvSpPr>
        <xdr:cNvPr id="57442" name="Rectangle 98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361045" y="424815"/>
          <a:ext cx="800100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30480</xdr:rowOff>
    </xdr:from>
    <xdr:to>
      <xdr:col>40</xdr:col>
      <xdr:colOff>236220</xdr:colOff>
      <xdr:row>49</xdr:row>
      <xdr:rowOff>0</xdr:rowOff>
    </xdr:to>
    <xdr:graphicFrame macro="">
      <xdr:nvGraphicFramePr>
        <xdr:cNvPr id="59402" name="Chart 3"/>
        <xdr:cNvGraphicFramePr/>
      </xdr:nvGraphicFramePr>
      <xdr:xfrm>
        <a:off x="0" y="1663065"/>
        <a:ext cx="24239220" cy="8404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152400</xdr:colOff>
      <xdr:row>0</xdr:row>
      <xdr:rowOff>333375</xdr:rowOff>
    </xdr:from>
    <xdr:to>
      <xdr:col>41</xdr:col>
      <xdr:colOff>38100</xdr:colOff>
      <xdr:row>1</xdr:row>
      <xdr:rowOff>66675</xdr:rowOff>
    </xdr:to>
    <xdr:sp>
      <xdr:nvSpPr>
        <xdr:cNvPr id="59404" name="Rectangle 1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275320" y="320040"/>
          <a:ext cx="762000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9525</xdr:rowOff>
    </xdr:from>
    <xdr:to>
      <xdr:col>1</xdr:col>
      <xdr:colOff>676275</xdr:colOff>
      <xdr:row>4</xdr:row>
      <xdr:rowOff>161925</xdr:rowOff>
    </xdr:to>
    <xdr:sp>
      <xdr:nvSpPr>
        <xdr:cNvPr id="69633" name="Rectangle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64770" y="6134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冲剪力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4</xdr:row>
      <xdr:rowOff>161925</xdr:rowOff>
    </xdr:from>
    <xdr:to>
      <xdr:col>1</xdr:col>
      <xdr:colOff>676275</xdr:colOff>
      <xdr:row>6</xdr:row>
      <xdr:rowOff>104775</xdr:rowOff>
    </xdr:to>
    <xdr:sp>
      <xdr:nvSpPr>
        <xdr:cNvPr id="69634" name="Rectangle 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64770" y="97155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压印力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6</xdr:row>
      <xdr:rowOff>104775</xdr:rowOff>
    </xdr:from>
    <xdr:to>
      <xdr:col>1</xdr:col>
      <xdr:colOff>676275</xdr:colOff>
      <xdr:row>8</xdr:row>
      <xdr:rowOff>47625</xdr:rowOff>
    </xdr:to>
    <xdr:sp>
      <xdr:nvSpPr>
        <xdr:cNvPr id="69635" name="Rectangle 3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4770" y="132588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V弯曲力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8</xdr:row>
      <xdr:rowOff>9525</xdr:rowOff>
    </xdr:from>
    <xdr:to>
      <xdr:col>1</xdr:col>
      <xdr:colOff>676275</xdr:colOff>
      <xdr:row>9</xdr:row>
      <xdr:rowOff>161925</xdr:rowOff>
    </xdr:to>
    <xdr:sp>
      <xdr:nvSpPr>
        <xdr:cNvPr id="69636" name="Rectangle 4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64770" y="16421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U弯曲力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9</xdr:row>
      <xdr:rowOff>152400</xdr:rowOff>
    </xdr:from>
    <xdr:to>
      <xdr:col>1</xdr:col>
      <xdr:colOff>676275</xdr:colOff>
      <xdr:row>11</xdr:row>
      <xdr:rowOff>95250</xdr:rowOff>
    </xdr:to>
    <xdr:sp>
      <xdr:nvSpPr>
        <xdr:cNvPr id="69637" name="Rectangle 5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4770" y="1990725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模具估重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11</xdr:row>
      <xdr:rowOff>47625</xdr:rowOff>
    </xdr:from>
    <xdr:to>
      <xdr:col>1</xdr:col>
      <xdr:colOff>676275</xdr:colOff>
      <xdr:row>12</xdr:row>
      <xdr:rowOff>200025</xdr:rowOff>
    </xdr:to>
    <xdr:sp>
      <xdr:nvSpPr>
        <xdr:cNvPr id="69638" name="Rectangle 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64770" y="229743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圆形利用率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12</xdr:row>
      <xdr:rowOff>200025</xdr:rowOff>
    </xdr:from>
    <xdr:to>
      <xdr:col>1</xdr:col>
      <xdr:colOff>676275</xdr:colOff>
      <xdr:row>14</xdr:row>
      <xdr:rowOff>142875</xdr:rowOff>
    </xdr:to>
    <xdr:sp>
      <xdr:nvSpPr>
        <xdr:cNvPr id="69639" name="Rectangle 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64770" y="265557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卷料利用率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0</xdr:col>
      <xdr:colOff>85725</xdr:colOff>
      <xdr:row>14</xdr:row>
      <xdr:rowOff>142875</xdr:rowOff>
    </xdr:from>
    <xdr:to>
      <xdr:col>1</xdr:col>
      <xdr:colOff>676275</xdr:colOff>
      <xdr:row>16</xdr:row>
      <xdr:rowOff>85725</xdr:rowOff>
    </xdr:to>
    <xdr:sp>
      <xdr:nvSpPr>
        <xdr:cNvPr id="69640" name="Rectangle 8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64770" y="300990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圆拉伸展开1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3</xdr:row>
      <xdr:rowOff>9525</xdr:rowOff>
    </xdr:from>
    <xdr:to>
      <xdr:col>3</xdr:col>
      <xdr:colOff>676275</xdr:colOff>
      <xdr:row>4</xdr:row>
      <xdr:rowOff>161925</xdr:rowOff>
    </xdr:to>
    <xdr:sp>
      <xdr:nvSpPr>
        <xdr:cNvPr id="69650" name="Rectangle 1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264920" y="6134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圆拉伸展开2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4</xdr:row>
      <xdr:rowOff>161925</xdr:rowOff>
    </xdr:from>
    <xdr:to>
      <xdr:col>3</xdr:col>
      <xdr:colOff>676275</xdr:colOff>
      <xdr:row>6</xdr:row>
      <xdr:rowOff>104775</xdr:rowOff>
    </xdr:to>
    <xdr:sp>
      <xdr:nvSpPr>
        <xdr:cNvPr id="69651" name="Rectangle 19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1264920" y="97155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圆拉伸展开3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6</xdr:row>
      <xdr:rowOff>104775</xdr:rowOff>
    </xdr:from>
    <xdr:to>
      <xdr:col>3</xdr:col>
      <xdr:colOff>676275</xdr:colOff>
      <xdr:row>8</xdr:row>
      <xdr:rowOff>47625</xdr:rowOff>
    </xdr:to>
    <xdr:sp>
      <xdr:nvSpPr>
        <xdr:cNvPr id="69652" name="Rectangle 20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1264920" y="132588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圆拉伸展开4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8</xdr:row>
      <xdr:rowOff>9525</xdr:rowOff>
    </xdr:from>
    <xdr:to>
      <xdr:col>3</xdr:col>
      <xdr:colOff>676275</xdr:colOff>
      <xdr:row>9</xdr:row>
      <xdr:rowOff>161925</xdr:rowOff>
    </xdr:to>
    <xdr:sp>
      <xdr:nvSpPr>
        <xdr:cNvPr id="69653" name="Rectangle 2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1264920" y="16421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圆拉伸展开5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9</xdr:row>
      <xdr:rowOff>152400</xdr:rowOff>
    </xdr:from>
    <xdr:to>
      <xdr:col>3</xdr:col>
      <xdr:colOff>676275</xdr:colOff>
      <xdr:row>11</xdr:row>
      <xdr:rowOff>95250</xdr:rowOff>
    </xdr:to>
    <xdr:sp>
      <xdr:nvSpPr>
        <xdr:cNvPr id="69654" name="Rectangle 2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1264920" y="1990725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圆拉伸展开6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11</xdr:row>
      <xdr:rowOff>47625</xdr:rowOff>
    </xdr:from>
    <xdr:to>
      <xdr:col>3</xdr:col>
      <xdr:colOff>676275</xdr:colOff>
      <xdr:row>12</xdr:row>
      <xdr:rowOff>200025</xdr:rowOff>
    </xdr:to>
    <xdr:sp>
      <xdr:nvSpPr>
        <xdr:cNvPr id="69655" name="Rectangle 23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1264920" y="229743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圆拉伸展开7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12</xdr:row>
      <xdr:rowOff>200025</xdr:rowOff>
    </xdr:from>
    <xdr:to>
      <xdr:col>3</xdr:col>
      <xdr:colOff>676275</xdr:colOff>
      <xdr:row>14</xdr:row>
      <xdr:rowOff>142875</xdr:rowOff>
    </xdr:to>
    <xdr:sp>
      <xdr:nvSpPr>
        <xdr:cNvPr id="69656" name="Rectangle 24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1264920" y="265557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圆拉伸展开8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2</xdr:col>
      <xdr:colOff>85725</xdr:colOff>
      <xdr:row>14</xdr:row>
      <xdr:rowOff>142875</xdr:rowOff>
    </xdr:from>
    <xdr:to>
      <xdr:col>3</xdr:col>
      <xdr:colOff>676275</xdr:colOff>
      <xdr:row>16</xdr:row>
      <xdr:rowOff>85725</xdr:rowOff>
    </xdr:to>
    <xdr:sp>
      <xdr:nvSpPr>
        <xdr:cNvPr id="69657" name="Rectangle 25">
          <a:hlinkClick xmlns:r="http://schemas.openxmlformats.org/officeDocument/2006/relationships" r:id="rId16"/>
        </xdr:cNvPr>
        <xdr:cNvSpPr>
          <a:spLocks/>
        </xdr:cNvSpPr>
      </xdr:nvSpPr>
      <xdr:spPr>
        <a:xfrm>
          <a:off x="1264920" y="300990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方拉伸展开1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5</xdr:col>
      <xdr:colOff>676275</xdr:colOff>
      <xdr:row>4</xdr:row>
      <xdr:rowOff>161925</xdr:rowOff>
    </xdr:to>
    <xdr:sp>
      <xdr:nvSpPr>
        <xdr:cNvPr id="69666" name="Rectangle 34">
          <a:hlinkClick xmlns:r="http://schemas.openxmlformats.org/officeDocument/2006/relationships" r:id="rId17"/>
        </xdr:cNvPr>
        <xdr:cNvSpPr>
          <a:spLocks/>
        </xdr:cNvSpPr>
      </xdr:nvSpPr>
      <xdr:spPr>
        <a:xfrm>
          <a:off x="2465070" y="6134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方拉伸展开2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4</xdr:row>
      <xdr:rowOff>161925</xdr:rowOff>
    </xdr:from>
    <xdr:to>
      <xdr:col>5</xdr:col>
      <xdr:colOff>676275</xdr:colOff>
      <xdr:row>6</xdr:row>
      <xdr:rowOff>104775</xdr:rowOff>
    </xdr:to>
    <xdr:sp>
      <xdr:nvSpPr>
        <xdr:cNvPr id="69667" name="Rectangle 35">
          <a:hlinkClick xmlns:r="http://schemas.openxmlformats.org/officeDocument/2006/relationships" r:id="rId18"/>
        </xdr:cNvPr>
        <xdr:cNvSpPr>
          <a:spLocks/>
        </xdr:cNvSpPr>
      </xdr:nvSpPr>
      <xdr:spPr>
        <a:xfrm>
          <a:off x="2465070" y="97155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弯曲展开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6</xdr:row>
      <xdr:rowOff>104775</xdr:rowOff>
    </xdr:from>
    <xdr:to>
      <xdr:col>5</xdr:col>
      <xdr:colOff>676275</xdr:colOff>
      <xdr:row>8</xdr:row>
      <xdr:rowOff>47625</xdr:rowOff>
    </xdr:to>
    <xdr:sp>
      <xdr:nvSpPr>
        <xdr:cNvPr id="69668" name="Rectangle 36">
          <a:hlinkClick xmlns:r="http://schemas.openxmlformats.org/officeDocument/2006/relationships" r:id="rId19"/>
        </xdr:cNvPr>
        <xdr:cNvSpPr>
          <a:spLocks/>
        </xdr:cNvSpPr>
      </xdr:nvSpPr>
      <xdr:spPr>
        <a:xfrm>
          <a:off x="2465070" y="132588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拉伸率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8</xdr:row>
      <xdr:rowOff>9525</xdr:rowOff>
    </xdr:from>
    <xdr:to>
      <xdr:col>5</xdr:col>
      <xdr:colOff>676275</xdr:colOff>
      <xdr:row>9</xdr:row>
      <xdr:rowOff>161925</xdr:rowOff>
    </xdr:to>
    <xdr:sp>
      <xdr:nvSpPr>
        <xdr:cNvPr id="69669" name="Rectangle 37">
          <a:hlinkClick xmlns:r="http://schemas.openxmlformats.org/officeDocument/2006/relationships" r:id="rId20"/>
        </xdr:cNvPr>
        <xdr:cNvSpPr>
          <a:spLocks/>
        </xdr:cNvSpPr>
      </xdr:nvSpPr>
      <xdr:spPr>
        <a:xfrm>
          <a:off x="2465070" y="16421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STD 偏心負荷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9</xdr:row>
      <xdr:rowOff>152400</xdr:rowOff>
    </xdr:from>
    <xdr:to>
      <xdr:col>5</xdr:col>
      <xdr:colOff>676275</xdr:colOff>
      <xdr:row>11</xdr:row>
      <xdr:rowOff>95250</xdr:rowOff>
    </xdr:to>
    <xdr:sp>
      <xdr:nvSpPr>
        <xdr:cNvPr id="69670" name="Rectangle 38">
          <a:hlinkClick xmlns:r="http://schemas.openxmlformats.org/officeDocument/2006/relationships" r:id="rId21"/>
        </xdr:cNvPr>
        <xdr:cNvSpPr>
          <a:spLocks/>
        </xdr:cNvSpPr>
      </xdr:nvSpPr>
      <xdr:spPr>
        <a:xfrm>
          <a:off x="2465070" y="1990725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G2 偏心負荷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11</xdr:row>
      <xdr:rowOff>47625</xdr:rowOff>
    </xdr:from>
    <xdr:to>
      <xdr:col>5</xdr:col>
      <xdr:colOff>676275</xdr:colOff>
      <xdr:row>12</xdr:row>
      <xdr:rowOff>200025</xdr:rowOff>
    </xdr:to>
    <xdr:sp>
      <xdr:nvSpPr>
        <xdr:cNvPr id="69671" name="Rectangle 39">
          <a:hlinkClick xmlns:r="http://schemas.openxmlformats.org/officeDocument/2006/relationships" r:id="rId22"/>
        </xdr:cNvPr>
        <xdr:cNvSpPr>
          <a:spLocks/>
        </xdr:cNvSpPr>
      </xdr:nvSpPr>
      <xdr:spPr>
        <a:xfrm>
          <a:off x="2465070" y="229743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G1 偏心負荷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12</xdr:row>
      <xdr:rowOff>200025</xdr:rowOff>
    </xdr:from>
    <xdr:to>
      <xdr:col>5</xdr:col>
      <xdr:colOff>676275</xdr:colOff>
      <xdr:row>14</xdr:row>
      <xdr:rowOff>142875</xdr:rowOff>
    </xdr:to>
    <xdr:sp>
      <xdr:nvSpPr>
        <xdr:cNvPr id="69672" name="Rectangle 40">
          <a:hlinkClick xmlns:r="http://schemas.openxmlformats.org/officeDocument/2006/relationships" r:id="rId23"/>
        </xdr:cNvPr>
        <xdr:cNvSpPr>
          <a:spLocks/>
        </xdr:cNvSpPr>
      </xdr:nvSpPr>
      <xdr:spPr>
        <a:xfrm>
          <a:off x="2465070" y="265557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OCP-N 偏心負荷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4</xdr:col>
      <xdr:colOff>85725</xdr:colOff>
      <xdr:row>14</xdr:row>
      <xdr:rowOff>142875</xdr:rowOff>
    </xdr:from>
    <xdr:to>
      <xdr:col>5</xdr:col>
      <xdr:colOff>676275</xdr:colOff>
      <xdr:row>16</xdr:row>
      <xdr:rowOff>85725</xdr:rowOff>
    </xdr:to>
    <xdr:sp>
      <xdr:nvSpPr>
        <xdr:cNvPr id="69673" name="Rectangle 41">
          <a:hlinkClick xmlns:r="http://schemas.openxmlformats.org/officeDocument/2006/relationships" r:id="rId24"/>
        </xdr:cNvPr>
        <xdr:cNvSpPr>
          <a:spLocks/>
        </xdr:cNvSpPr>
      </xdr:nvSpPr>
      <xdr:spPr>
        <a:xfrm>
          <a:off x="2465070" y="300990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新OCP 偏心負荷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6</xdr:col>
      <xdr:colOff>85725</xdr:colOff>
      <xdr:row>3</xdr:row>
      <xdr:rowOff>9525</xdr:rowOff>
    </xdr:from>
    <xdr:to>
      <xdr:col>7</xdr:col>
      <xdr:colOff>676275</xdr:colOff>
      <xdr:row>4</xdr:row>
      <xdr:rowOff>161925</xdr:rowOff>
    </xdr:to>
    <xdr:sp>
      <xdr:nvSpPr>
        <xdr:cNvPr id="69674" name="Rectangle 42">
          <a:hlinkClick xmlns:r="http://schemas.openxmlformats.org/officeDocument/2006/relationships" r:id="rId25"/>
        </xdr:cNvPr>
        <xdr:cNvSpPr>
          <a:spLocks/>
        </xdr:cNvSpPr>
      </xdr:nvSpPr>
      <xdr:spPr>
        <a:xfrm>
          <a:off x="3665220" y="6134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冲压工程规划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6</xdr:col>
      <xdr:colOff>85725</xdr:colOff>
      <xdr:row>4</xdr:row>
      <xdr:rowOff>161925</xdr:rowOff>
    </xdr:from>
    <xdr:to>
      <xdr:col>7</xdr:col>
      <xdr:colOff>676275</xdr:colOff>
      <xdr:row>6</xdr:row>
      <xdr:rowOff>104775</xdr:rowOff>
    </xdr:to>
    <xdr:sp>
      <xdr:nvSpPr>
        <xdr:cNvPr id="69675" name="Rectangle 43">
          <a:hlinkClick xmlns:r="http://schemas.openxmlformats.org/officeDocument/2006/relationships" r:id="rId26"/>
        </xdr:cNvPr>
        <xdr:cNvSpPr>
          <a:spLocks/>
        </xdr:cNvSpPr>
      </xdr:nvSpPr>
      <xdr:spPr>
        <a:xfrm>
          <a:off x="3665220" y="97155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机械手规划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6</xdr:col>
      <xdr:colOff>85725</xdr:colOff>
      <xdr:row>6</xdr:row>
      <xdr:rowOff>104775</xdr:rowOff>
    </xdr:from>
    <xdr:to>
      <xdr:col>7</xdr:col>
      <xdr:colOff>676275</xdr:colOff>
      <xdr:row>8</xdr:row>
      <xdr:rowOff>47625</xdr:rowOff>
    </xdr:to>
    <xdr:sp>
      <xdr:nvSpPr>
        <xdr:cNvPr id="69676" name="Rectangle 44">
          <a:hlinkClick xmlns:r="http://schemas.openxmlformats.org/officeDocument/2006/relationships" r:id="rId27"/>
        </xdr:cNvPr>
        <xdr:cNvSpPr>
          <a:spLocks/>
        </xdr:cNvSpPr>
      </xdr:nvSpPr>
      <xdr:spPr>
        <a:xfrm>
          <a:off x="3665220" y="1325880"/>
          <a:ext cx="1190625" cy="35433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6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密码</a:t>
          </a:r>
          <a:endParaRPr lang="ko-KR" altLang="en-US" sz="16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6</xdr:col>
      <xdr:colOff>85725</xdr:colOff>
      <xdr:row>8</xdr:row>
      <xdr:rowOff>9525</xdr:rowOff>
    </xdr:from>
    <xdr:to>
      <xdr:col>7</xdr:col>
      <xdr:colOff>676275</xdr:colOff>
      <xdr:row>9</xdr:row>
      <xdr:rowOff>161925</xdr:rowOff>
    </xdr:to>
    <xdr:sp>
      <xdr:nvSpPr>
        <xdr:cNvPr id="69677" name="Rectangle 45"/>
        <xdr:cNvSpPr>
          <a:spLocks/>
        </xdr:cNvSpPr>
      </xdr:nvSpPr>
      <xdr:spPr>
        <a:xfrm>
          <a:off x="3665220" y="1642110"/>
          <a:ext cx="1190625" cy="358140"/>
        </a:xfrm>
        <a:prstGeom prst="rect"/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wrap="square" lIns="36830" tIns="22860" rIns="36830" bIns="0" anchor="t" vertOverflow="clip">
          <a:noAutofit/>
        </a:bodyPr>
        <a:p>
          <a:pPr algn="ctr">
            <a:buFontTx/>
            <a:buNone/>
          </a:pPr>
          <a:r>
            <a:rPr lang="ko-KR" altLang="en-US" sz="1400" kern="1200" cap="none" dirty="0" smtClean="0" b="0">
              <a:solidFill>
                <a:srgbClr val="000000"/>
              </a:solidFill>
              <a:latin typeface="方正姚体"/>
              <a:ea typeface="方正姚体"/>
            </a:rPr>
            <a:t>访问鸿鹰</a:t>
          </a:r>
          <a:endParaRPr lang="ko-KR" altLang="en-US" sz="1400" kern="1200" dirty="0" smtClean="0" cap="none" b="0">
            <a:solidFill>
              <a:srgbClr val="000000"/>
            </a:solidFill>
            <a:latin typeface="方正姚体"/>
            <a:ea typeface="方正姚体"/>
          </a:endParaRPr>
        </a:p>
      </xdr:txBody>
    </xdr:sp>
    <xdr:clientData/>
  </xdr:twoCellAnchor>
  <xdr:twoCellAnchor>
    <xdr:from>
      <xdr:col>6</xdr:col>
      <xdr:colOff>83820</xdr:colOff>
      <xdr:row>9</xdr:row>
      <xdr:rowOff>152400</xdr:rowOff>
    </xdr:from>
    <xdr:to>
      <xdr:col>7</xdr:col>
      <xdr:colOff>678180</xdr:colOff>
      <xdr:row>11</xdr:row>
      <xdr:rowOff>99060</xdr:rowOff>
    </xdr:to>
    <xdr:sp>
      <xdr:nvSpPr>
        <xdr:cNvPr id="63517" name="Rectangle 46"/>
        <xdr:cNvSpPr>
          <a:spLocks/>
        </xdr:cNvSpPr>
      </xdr:nvSpPr>
      <xdr:spPr>
        <a:xfrm>
          <a:off x="3663315" y="1990725"/>
          <a:ext cx="1194435" cy="358140"/>
        </a:xfrm>
        <a:prstGeom prst="rect"/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11</xdr:row>
      <xdr:rowOff>45720</xdr:rowOff>
    </xdr:from>
    <xdr:to>
      <xdr:col>7</xdr:col>
      <xdr:colOff>678180</xdr:colOff>
      <xdr:row>12</xdr:row>
      <xdr:rowOff>198120</xdr:rowOff>
    </xdr:to>
    <xdr:sp>
      <xdr:nvSpPr>
        <xdr:cNvPr id="63518" name="Rectangle 47"/>
        <xdr:cNvSpPr>
          <a:spLocks/>
        </xdr:cNvSpPr>
      </xdr:nvSpPr>
      <xdr:spPr>
        <a:xfrm>
          <a:off x="3663315" y="2295525"/>
          <a:ext cx="1194435" cy="358140"/>
        </a:xfrm>
        <a:prstGeom prst="rect"/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12</xdr:row>
      <xdr:rowOff>198120</xdr:rowOff>
    </xdr:from>
    <xdr:to>
      <xdr:col>7</xdr:col>
      <xdr:colOff>678180</xdr:colOff>
      <xdr:row>14</xdr:row>
      <xdr:rowOff>144780</xdr:rowOff>
    </xdr:to>
    <xdr:sp>
      <xdr:nvSpPr>
        <xdr:cNvPr id="63519" name="Rectangle 48"/>
        <xdr:cNvSpPr>
          <a:spLocks/>
        </xdr:cNvSpPr>
      </xdr:nvSpPr>
      <xdr:spPr>
        <a:xfrm>
          <a:off x="3663315" y="2653665"/>
          <a:ext cx="1194435" cy="358140"/>
        </a:xfrm>
        <a:prstGeom prst="rect"/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14</xdr:row>
      <xdr:rowOff>144780</xdr:rowOff>
    </xdr:from>
    <xdr:to>
      <xdr:col>7</xdr:col>
      <xdr:colOff>678180</xdr:colOff>
      <xdr:row>16</xdr:row>
      <xdr:rowOff>83820</xdr:rowOff>
    </xdr:to>
    <xdr:sp>
      <xdr:nvSpPr>
        <xdr:cNvPr id="63520" name="Rectangle 49"/>
        <xdr:cNvSpPr>
          <a:spLocks/>
        </xdr:cNvSpPr>
      </xdr:nvSpPr>
      <xdr:spPr>
        <a:xfrm>
          <a:off x="3663315" y="3011805"/>
          <a:ext cx="1194435" cy="350520"/>
        </a:xfrm>
        <a:prstGeom prst="rect"/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76200</xdr:colOff>
      <xdr:row>0</xdr:row>
      <xdr:rowOff>38100</xdr:rowOff>
    </xdr:from>
    <xdr:to>
      <xdr:col>7</xdr:col>
      <xdr:colOff>676275</xdr:colOff>
      <xdr:row>2</xdr:row>
      <xdr:rowOff>190500</xdr:rowOff>
    </xdr:to>
    <xdr:sp>
      <xdr:nvSpPr>
        <xdr:cNvPr id="69682" name="Rectangle 50"/>
        <xdr:cNvSpPr>
          <a:spLocks/>
        </xdr:cNvSpPr>
      </xdr:nvSpPr>
      <xdr:spPr>
        <a:xfrm>
          <a:off x="55245" y="24765"/>
          <a:ext cx="4800600" cy="563880"/>
        </a:xfrm>
        <a:prstGeom prst="rect"/>
        <a:gradFill rotWithShape="1">
          <a:gsLst>
            <a:gs pos="0">
              <a:srgbClr val="FFCC00"/>
            </a:gs>
            <a:gs pos="100000">
              <a:srgbClr val="0000FF"/>
            </a:gs>
          </a:gsLst>
          <a:path path="shape">
            <a:fillToRect l="50000" t="50000" r="50000" b="50000"/>
          </a:path>
        </a:gradFill>
        <a:ln w="9525" cap="flat" cmpd="sng">
          <a:solidFill>
            <a:srgbClr val="FF6600">
              <a:alpha val="100000"/>
            </a:srgbClr>
          </a:solidFill>
          <a:prstDash val="solid"/>
          <a:miter lim="800000"/>
        </a:ln>
      </xdr:spPr>
      <xdr:txBody>
        <a:bodyPr wrap="square" lIns="64135" tIns="82550" rIns="64135" bIns="0" anchor="t" vertOverflow="clip">
          <a:noAutofit/>
        </a:bodyPr>
        <a:p>
          <a:pPr algn="ctr">
            <a:buFontTx/>
            <a:buNone/>
          </a:pPr>
          <a:r>
            <a:rPr lang="ko-KR" altLang="en-US" sz="3600" kern="1200" cap="none" dirty="0" smtClean="0" b="1">
              <a:solidFill>
                <a:srgbClr val="000000"/>
              </a:solidFill>
              <a:latin typeface="华文仿宋"/>
              <a:ea typeface="华文仿宋"/>
            </a:rPr>
            <a:t>鸿鹰冲模工程计算器</a:t>
          </a:r>
          <a:endParaRPr lang="ko-KR" altLang="en-US" sz="3600" kern="1200" dirty="0" smtClean="0" cap="none" b="1">
            <a:solidFill>
              <a:srgbClr val="000000"/>
            </a:solidFill>
            <a:latin typeface="华文仿宋"/>
            <a:ea typeface="华文仿宋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6</xdr:row>
      <xdr:rowOff>45720</xdr:rowOff>
    </xdr:from>
    <xdr:to>
      <xdr:col>11</xdr:col>
      <xdr:colOff>152400</xdr:colOff>
      <xdr:row>10</xdr:row>
      <xdr:rowOff>137160</xdr:rowOff>
    </xdr:to>
    <xdr:sp>
      <xdr:nvSpPr>
        <xdr:cNvPr id="1082" name="Oval 1"/>
        <xdr:cNvSpPr>
          <a:spLocks/>
        </xdr:cNvSpPr>
      </xdr:nvSpPr>
      <xdr:spPr>
        <a:xfrm>
          <a:off x="3282315" y="1571625"/>
          <a:ext cx="811530" cy="937260"/>
        </a:xfrm>
        <a:prstGeom prst="ellipse"/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121920</xdr:colOff>
      <xdr:row>6</xdr:row>
      <xdr:rowOff>45720</xdr:rowOff>
    </xdr:from>
    <xdr:to>
      <xdr:col>15</xdr:col>
      <xdr:colOff>220980</xdr:colOff>
      <xdr:row>9</xdr:row>
      <xdr:rowOff>213360</xdr:rowOff>
    </xdr:to>
    <xdr:sp>
      <xdr:nvSpPr>
        <xdr:cNvPr id="1083" name="Rectangle 2"/>
        <xdr:cNvSpPr>
          <a:spLocks/>
        </xdr:cNvSpPr>
      </xdr:nvSpPr>
      <xdr:spPr>
        <a:xfrm>
          <a:off x="4349115" y="1571625"/>
          <a:ext cx="956310" cy="798195"/>
        </a:xfrm>
        <a:prstGeom prst="rect"/>
        <a:noFill/>
        <a:ln w="254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160020</xdr:colOff>
      <xdr:row>6</xdr:row>
      <xdr:rowOff>45720</xdr:rowOff>
    </xdr:from>
    <xdr:to>
      <xdr:col>19</xdr:col>
      <xdr:colOff>220980</xdr:colOff>
      <xdr:row>9</xdr:row>
      <xdr:rowOff>45720</xdr:rowOff>
    </xdr:to>
    <xdr:sp>
      <xdr:nvSpPr>
        <xdr:cNvPr id="1084" name="AutoShape 3"/>
        <xdr:cNvSpPr>
          <a:spLocks/>
        </xdr:cNvSpPr>
      </xdr:nvSpPr>
      <xdr:spPr>
        <a:xfrm>
          <a:off x="5530215" y="1571625"/>
          <a:ext cx="918210" cy="63055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142875</xdr:colOff>
      <xdr:row>7</xdr:row>
      <xdr:rowOff>171450</xdr:rowOff>
    </xdr:from>
    <xdr:to>
      <xdr:col>11</xdr:col>
      <xdr:colOff>38100</xdr:colOff>
      <xdr:row>9</xdr:row>
      <xdr:rowOff>66675</xdr:rowOff>
    </xdr:to>
    <xdr:sp>
      <xdr:nvSpPr>
        <xdr:cNvPr id="1039" name="Rectangle 15"/>
        <xdr:cNvSpPr>
          <a:spLocks/>
        </xdr:cNvSpPr>
      </xdr:nvSpPr>
      <xdr:spPr>
        <a:xfrm>
          <a:off x="3512820" y="1906905"/>
          <a:ext cx="466725" cy="316230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000000"/>
              </a:solidFill>
              <a:latin typeface="PMingLiU"/>
              <a:ea typeface="PMingLiU"/>
            </a:rPr>
            <a:t>圓形</a:t>
          </a:r>
          <a:endParaRPr lang="ko-KR" altLang="en-US" sz="1200" kern="1200" dirty="0" smtClean="0" cap="none" b="1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13</xdr:col>
      <xdr:colOff>66675</xdr:colOff>
      <xdr:row>7</xdr:row>
      <xdr:rowOff>104775</xdr:rowOff>
    </xdr:from>
    <xdr:to>
      <xdr:col>15</xdr:col>
      <xdr:colOff>190500</xdr:colOff>
      <xdr:row>9</xdr:row>
      <xdr:rowOff>0</xdr:rowOff>
    </xdr:to>
    <xdr:sp>
      <xdr:nvSpPr>
        <xdr:cNvPr id="1042" name="Rectangle 18"/>
        <xdr:cNvSpPr>
          <a:spLocks/>
        </xdr:cNvSpPr>
      </xdr:nvSpPr>
      <xdr:spPr>
        <a:xfrm>
          <a:off x="4579620" y="1840230"/>
          <a:ext cx="695325" cy="316230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000000"/>
              </a:solidFill>
              <a:latin typeface="PMingLiU"/>
              <a:ea typeface="PMingLiU"/>
            </a:rPr>
            <a:t>四邊形</a:t>
          </a:r>
          <a:endParaRPr lang="ko-KR" altLang="en-US" sz="1200" kern="1200" dirty="0" smtClean="0" cap="none" b="1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16</xdr:col>
      <xdr:colOff>314325</xdr:colOff>
      <xdr:row>7</xdr:row>
      <xdr:rowOff>47625</xdr:rowOff>
    </xdr:from>
    <xdr:to>
      <xdr:col>19</xdr:col>
      <xdr:colOff>133350</xdr:colOff>
      <xdr:row>8</xdr:row>
      <xdr:rowOff>161925</xdr:rowOff>
    </xdr:to>
    <xdr:sp>
      <xdr:nvSpPr>
        <xdr:cNvPr id="1043" name="Rectangle 19"/>
        <xdr:cNvSpPr>
          <a:spLocks/>
        </xdr:cNvSpPr>
      </xdr:nvSpPr>
      <xdr:spPr>
        <a:xfrm>
          <a:off x="5684520" y="1783080"/>
          <a:ext cx="676275" cy="320040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000000"/>
              </a:solidFill>
              <a:latin typeface="PMingLiU"/>
              <a:ea typeface="PMingLiU"/>
            </a:rPr>
            <a:t>四邊圓角</a:t>
          </a:r>
          <a:endParaRPr lang="ko-KR" altLang="en-US" sz="1200" kern="1200" dirty="0" smtClean="0" cap="none" b="1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20</xdr:col>
      <xdr:colOff>304800</xdr:colOff>
      <xdr:row>6</xdr:row>
      <xdr:rowOff>60960</xdr:rowOff>
    </xdr:from>
    <xdr:to>
      <xdr:col>23</xdr:col>
      <xdr:colOff>289560</xdr:colOff>
      <xdr:row>9</xdr:row>
      <xdr:rowOff>38100</xdr:rowOff>
    </xdr:to>
    <xdr:sp>
      <xdr:nvSpPr>
        <xdr:cNvPr id="1088" name="Oval 20"/>
        <xdr:cNvSpPr>
          <a:spLocks/>
        </xdr:cNvSpPr>
      </xdr:nvSpPr>
      <xdr:spPr>
        <a:xfrm>
          <a:off x="6817995" y="1586865"/>
          <a:ext cx="842010" cy="607695"/>
        </a:xfrm>
        <a:prstGeom prst="ellipse"/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24</xdr:col>
      <xdr:colOff>213360</xdr:colOff>
      <xdr:row>5</xdr:row>
      <xdr:rowOff>144780</xdr:rowOff>
    </xdr:from>
    <xdr:to>
      <xdr:col>27</xdr:col>
      <xdr:colOff>259080</xdr:colOff>
      <xdr:row>8</xdr:row>
      <xdr:rowOff>38100</xdr:rowOff>
    </xdr:to>
    <xdr:sp>
      <xdr:nvSpPr>
        <xdr:cNvPr id="1089" name="AutoShape 21"/>
        <xdr:cNvSpPr>
          <a:spLocks/>
        </xdr:cNvSpPr>
      </xdr:nvSpPr>
      <xdr:spPr>
        <a:xfrm flipV="1">
          <a:off x="7869555" y="1464945"/>
          <a:ext cx="902970" cy="514350"/>
        </a:xfrm>
        <a:custGeom>
          <a:pathLst>
            <a:path w="21600" h="21600">
              <a:moveTo>
                <a:pt x="0" y="0"/>
              </a:moveTo>
              <a:lnTo>
                <a:pt x="6872" y="21600"/>
              </a:lnTo>
              <a:lnTo>
                <a:pt x="14728" y="21600"/>
              </a:lnTo>
              <a:lnTo>
                <a:pt x="21600" y="0"/>
              </a:lnTo>
              <a:close/>
            </a:path>
          </a:pathLst>
        </a:custGeom>
        <a:noFill/>
        <a:ln w="254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21</xdr:col>
      <xdr:colOff>219075</xdr:colOff>
      <xdr:row>7</xdr:row>
      <xdr:rowOff>171450</xdr:rowOff>
    </xdr:from>
    <xdr:to>
      <xdr:col>24</xdr:col>
      <xdr:colOff>19050</xdr:colOff>
      <xdr:row>9</xdr:row>
      <xdr:rowOff>57150</xdr:rowOff>
    </xdr:to>
    <xdr:sp>
      <xdr:nvSpPr>
        <xdr:cNvPr id="1046" name="Rectangle 22"/>
        <xdr:cNvSpPr>
          <a:spLocks/>
        </xdr:cNvSpPr>
      </xdr:nvSpPr>
      <xdr:spPr>
        <a:xfrm>
          <a:off x="7018020" y="1906905"/>
          <a:ext cx="657225" cy="30670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000000"/>
              </a:solidFill>
              <a:latin typeface="PMingLiU"/>
              <a:ea typeface="PMingLiU"/>
            </a:rPr>
            <a:t>橢圓形</a:t>
          </a:r>
          <a:endParaRPr lang="ko-KR" altLang="en-US" sz="1200" kern="1200" dirty="0" smtClean="0" cap="none" b="1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25</xdr:col>
      <xdr:colOff>142875</xdr:colOff>
      <xdr:row>5</xdr:row>
      <xdr:rowOff>200025</xdr:rowOff>
    </xdr:from>
    <xdr:to>
      <xdr:col>27</xdr:col>
      <xdr:colOff>66675</xdr:colOff>
      <xdr:row>8</xdr:row>
      <xdr:rowOff>47625</xdr:rowOff>
    </xdr:to>
    <xdr:sp>
      <xdr:nvSpPr>
        <xdr:cNvPr id="1047" name="Rectangle 23"/>
        <xdr:cNvSpPr>
          <a:spLocks/>
        </xdr:cNvSpPr>
      </xdr:nvSpPr>
      <xdr:spPr>
        <a:xfrm>
          <a:off x="8084820" y="1520190"/>
          <a:ext cx="495300" cy="468630"/>
        </a:xfrm>
        <a:prstGeom prst="rect"/>
        <a:noFill/>
        <a:ln w="0" cap="flat" cmpd="sng">
          <a:noFill/>
          <a:prstDash/>
        </a:ln>
      </xdr:spPr>
      <xdr:txBody>
        <a:bodyPr wrap="square" lIns="27305" tIns="27305" rIns="0" bIns="0" anchor="t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000000"/>
              </a:solidFill>
              <a:latin typeface="Times New Roman"/>
              <a:ea typeface="Times New Roman"/>
            </a:rPr>
            <a:t>  </a:t>
          </a:r>
          <a:r>
            <a:rPr lang="ko-KR" altLang="en-US" sz="1000" kern="1200" cap="none" dirty="0" smtClean="0" b="1">
              <a:solidFill>
                <a:srgbClr val="000000"/>
              </a:solidFill>
              <a:latin typeface="PMingLiU"/>
              <a:ea typeface="PMingLiU"/>
            </a:rPr>
            <a:t>梯形
三角形</a:t>
          </a:r>
          <a:endParaRPr lang="ko-KR" altLang="en-US" sz="1000" kern="1200" dirty="0" smtClean="0" cap="none" b="1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22</xdr:col>
      <xdr:colOff>114300</xdr:colOff>
      <xdr:row>5</xdr:row>
      <xdr:rowOff>68580</xdr:rowOff>
    </xdr:from>
    <xdr:to>
      <xdr:col>22</xdr:col>
      <xdr:colOff>114300</xdr:colOff>
      <xdr:row>7</xdr:row>
      <xdr:rowOff>175260</xdr:rowOff>
    </xdr:to>
    <xdr:cxnSp>
      <xdr:nvCxnSpPr>
        <xdr:cNvPr id="1092" name="Line 24"/>
        <xdr:cNvCxnSpPr/>
      </xdr:nvCxnSpPr>
      <xdr:spPr>
        <a:xfrm flipV="1">
          <a:off x="7198995" y="1388745"/>
          <a:ext cx="0" cy="5219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274320</xdr:colOff>
      <xdr:row>5</xdr:row>
      <xdr:rowOff>60960</xdr:rowOff>
    </xdr:from>
    <xdr:to>
      <xdr:col>23</xdr:col>
      <xdr:colOff>274320</xdr:colOff>
      <xdr:row>7</xdr:row>
      <xdr:rowOff>99060</xdr:rowOff>
    </xdr:to>
    <xdr:cxnSp>
      <xdr:nvCxnSpPr>
        <xdr:cNvPr id="1093" name="Line 25"/>
        <xdr:cNvCxnSpPr/>
      </xdr:nvCxnSpPr>
      <xdr:spPr>
        <a:xfrm flipV="1">
          <a:off x="7644765" y="1381125"/>
          <a:ext cx="0" cy="4533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106680</xdr:colOff>
      <xdr:row>5</xdr:row>
      <xdr:rowOff>160020</xdr:rowOff>
    </xdr:from>
    <xdr:to>
      <xdr:col>23</xdr:col>
      <xdr:colOff>289560</xdr:colOff>
      <xdr:row>5</xdr:row>
      <xdr:rowOff>160020</xdr:rowOff>
    </xdr:to>
    <xdr:cxnSp>
      <xdr:nvCxnSpPr>
        <xdr:cNvPr id="1094" name="Line 26"/>
        <xdr:cNvCxnSpPr/>
      </xdr:nvCxnSpPr>
      <xdr:spPr>
        <a:xfrm>
          <a:off x="7191375" y="1480185"/>
          <a:ext cx="4686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257175</xdr:colOff>
      <xdr:row>5</xdr:row>
      <xdr:rowOff>9525</xdr:rowOff>
    </xdr:from>
    <xdr:to>
      <xdr:col>23</xdr:col>
      <xdr:colOff>228600</xdr:colOff>
      <xdr:row>5</xdr:row>
      <xdr:rowOff>152400</xdr:rowOff>
    </xdr:to>
    <xdr:sp>
      <xdr:nvSpPr>
        <xdr:cNvPr id="1051" name="Rectangle 27"/>
        <xdr:cNvSpPr>
          <a:spLocks/>
        </xdr:cNvSpPr>
      </xdr:nvSpPr>
      <xdr:spPr>
        <a:xfrm>
          <a:off x="7341870" y="1329690"/>
          <a:ext cx="257175" cy="14287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長軸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20</xdr:col>
      <xdr:colOff>144780</xdr:colOff>
      <xdr:row>7</xdr:row>
      <xdr:rowOff>160020</xdr:rowOff>
    </xdr:from>
    <xdr:to>
      <xdr:col>22</xdr:col>
      <xdr:colOff>312420</xdr:colOff>
      <xdr:row>7</xdr:row>
      <xdr:rowOff>160020</xdr:rowOff>
    </xdr:to>
    <xdr:cxnSp>
      <xdr:nvCxnSpPr>
        <xdr:cNvPr id="1096" name="Line 28"/>
        <xdr:cNvCxnSpPr/>
      </xdr:nvCxnSpPr>
      <xdr:spPr>
        <a:xfrm flipH="1">
          <a:off x="6657975" y="1895475"/>
          <a:ext cx="7391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160020</xdr:colOff>
      <xdr:row>9</xdr:row>
      <xdr:rowOff>45720</xdr:rowOff>
    </xdr:from>
    <xdr:to>
      <xdr:col>22</xdr:col>
      <xdr:colOff>38100</xdr:colOff>
      <xdr:row>9</xdr:row>
      <xdr:rowOff>45720</xdr:rowOff>
    </xdr:to>
    <xdr:cxnSp>
      <xdr:nvCxnSpPr>
        <xdr:cNvPr id="1097" name="Line 29"/>
        <xdr:cNvCxnSpPr/>
      </xdr:nvCxnSpPr>
      <xdr:spPr>
        <a:xfrm flipH="1">
          <a:off x="6673215" y="2202180"/>
          <a:ext cx="4495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236220</xdr:colOff>
      <xdr:row>7</xdr:row>
      <xdr:rowOff>160020</xdr:rowOff>
    </xdr:from>
    <xdr:to>
      <xdr:col>20</xdr:col>
      <xdr:colOff>236220</xdr:colOff>
      <xdr:row>9</xdr:row>
      <xdr:rowOff>38100</xdr:rowOff>
    </xdr:to>
    <xdr:cxnSp>
      <xdr:nvCxnSpPr>
        <xdr:cNvPr id="1098" name="Line 30"/>
        <xdr:cNvCxnSpPr/>
      </xdr:nvCxnSpPr>
      <xdr:spPr>
        <a:xfrm>
          <a:off x="6749415" y="1895475"/>
          <a:ext cx="0" cy="29908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8</xdr:row>
      <xdr:rowOff>0</xdr:rowOff>
    </xdr:from>
    <xdr:to>
      <xdr:col>20</xdr:col>
      <xdr:colOff>200025</xdr:colOff>
      <xdr:row>9</xdr:row>
      <xdr:rowOff>171450</xdr:rowOff>
    </xdr:to>
    <xdr:sp>
      <xdr:nvSpPr>
        <xdr:cNvPr id="1055" name="Rectangle 31"/>
        <xdr:cNvSpPr>
          <a:spLocks/>
        </xdr:cNvSpPr>
      </xdr:nvSpPr>
      <xdr:spPr>
        <a:xfrm>
          <a:off x="6541770" y="1941195"/>
          <a:ext cx="171450" cy="38671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vert="vert27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短軸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16</xdr:col>
      <xdr:colOff>160020</xdr:colOff>
      <xdr:row>5</xdr:row>
      <xdr:rowOff>68580</xdr:rowOff>
    </xdr:from>
    <xdr:to>
      <xdr:col>16</xdr:col>
      <xdr:colOff>160020</xdr:colOff>
      <xdr:row>6</xdr:row>
      <xdr:rowOff>114300</xdr:rowOff>
    </xdr:to>
    <xdr:cxnSp>
      <xdr:nvCxnSpPr>
        <xdr:cNvPr id="1100" name="Line 32"/>
        <xdr:cNvCxnSpPr/>
      </xdr:nvCxnSpPr>
      <xdr:spPr>
        <a:xfrm flipV="1">
          <a:off x="5530215" y="1388745"/>
          <a:ext cx="0" cy="2514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220980</xdr:colOff>
      <xdr:row>5</xdr:row>
      <xdr:rowOff>38100</xdr:rowOff>
    </xdr:from>
    <xdr:to>
      <xdr:col>19</xdr:col>
      <xdr:colOff>220980</xdr:colOff>
      <xdr:row>6</xdr:row>
      <xdr:rowOff>121920</xdr:rowOff>
    </xdr:to>
    <xdr:cxnSp>
      <xdr:nvCxnSpPr>
        <xdr:cNvPr id="1101" name="Line 33"/>
        <xdr:cNvCxnSpPr/>
      </xdr:nvCxnSpPr>
      <xdr:spPr>
        <a:xfrm flipV="1">
          <a:off x="6448425" y="1358265"/>
          <a:ext cx="0" cy="2895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160020</xdr:colOff>
      <xdr:row>5</xdr:row>
      <xdr:rowOff>114300</xdr:rowOff>
    </xdr:from>
    <xdr:to>
      <xdr:col>19</xdr:col>
      <xdr:colOff>220980</xdr:colOff>
      <xdr:row>5</xdr:row>
      <xdr:rowOff>114300</xdr:rowOff>
    </xdr:to>
    <xdr:cxnSp>
      <xdr:nvCxnSpPr>
        <xdr:cNvPr id="1102" name="Line 34"/>
        <xdr:cNvCxnSpPr/>
      </xdr:nvCxnSpPr>
      <xdr:spPr>
        <a:xfrm>
          <a:off x="5530215" y="1434465"/>
          <a:ext cx="9182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4</xdr:row>
      <xdr:rowOff>161925</xdr:rowOff>
    </xdr:from>
    <xdr:to>
      <xdr:col>18</xdr:col>
      <xdr:colOff>257175</xdr:colOff>
      <xdr:row>5</xdr:row>
      <xdr:rowOff>114300</xdr:rowOff>
    </xdr:to>
    <xdr:sp>
      <xdr:nvSpPr>
        <xdr:cNvPr id="1059" name="Rectangle 35"/>
        <xdr:cNvSpPr>
          <a:spLocks/>
        </xdr:cNvSpPr>
      </xdr:nvSpPr>
      <xdr:spPr>
        <a:xfrm>
          <a:off x="5846445" y="1276350"/>
          <a:ext cx="352425" cy="15811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寬度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12</xdr:col>
      <xdr:colOff>121920</xdr:colOff>
      <xdr:row>5</xdr:row>
      <xdr:rowOff>45720</xdr:rowOff>
    </xdr:from>
    <xdr:to>
      <xdr:col>12</xdr:col>
      <xdr:colOff>121920</xdr:colOff>
      <xdr:row>6</xdr:row>
      <xdr:rowOff>38100</xdr:rowOff>
    </xdr:to>
    <xdr:cxnSp>
      <xdr:nvCxnSpPr>
        <xdr:cNvPr id="1104" name="Line 36"/>
        <xdr:cNvCxnSpPr/>
      </xdr:nvCxnSpPr>
      <xdr:spPr>
        <a:xfrm flipV="1">
          <a:off x="4349115" y="1365885"/>
          <a:ext cx="0" cy="1981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220980</xdr:colOff>
      <xdr:row>5</xdr:row>
      <xdr:rowOff>60960</xdr:rowOff>
    </xdr:from>
    <xdr:to>
      <xdr:col>15</xdr:col>
      <xdr:colOff>220980</xdr:colOff>
      <xdr:row>6</xdr:row>
      <xdr:rowOff>38100</xdr:rowOff>
    </xdr:to>
    <xdr:cxnSp>
      <xdr:nvCxnSpPr>
        <xdr:cNvPr id="1105" name="Line 37"/>
        <xdr:cNvCxnSpPr/>
      </xdr:nvCxnSpPr>
      <xdr:spPr>
        <a:xfrm flipV="1">
          <a:off x="5305425" y="1381125"/>
          <a:ext cx="0" cy="1828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5</xdr:row>
      <xdr:rowOff>114300</xdr:rowOff>
    </xdr:from>
    <xdr:to>
      <xdr:col>15</xdr:col>
      <xdr:colOff>220980</xdr:colOff>
      <xdr:row>5</xdr:row>
      <xdr:rowOff>114300</xdr:rowOff>
    </xdr:to>
    <xdr:cxnSp>
      <xdr:nvCxnSpPr>
        <xdr:cNvPr id="1106" name="Line 38"/>
        <xdr:cNvCxnSpPr/>
      </xdr:nvCxnSpPr>
      <xdr:spPr>
        <a:xfrm>
          <a:off x="4349115" y="1434465"/>
          <a:ext cx="9563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4</xdr:row>
      <xdr:rowOff>152400</xdr:rowOff>
    </xdr:from>
    <xdr:to>
      <xdr:col>14</xdr:col>
      <xdr:colOff>304800</xdr:colOff>
      <xdr:row>5</xdr:row>
      <xdr:rowOff>142875</xdr:rowOff>
    </xdr:to>
    <xdr:sp>
      <xdr:nvSpPr>
        <xdr:cNvPr id="1063" name="Rectangle 39"/>
        <xdr:cNvSpPr>
          <a:spLocks/>
        </xdr:cNvSpPr>
      </xdr:nvSpPr>
      <xdr:spPr>
        <a:xfrm>
          <a:off x="4712970" y="1266825"/>
          <a:ext cx="390525" cy="19621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寬度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8</xdr:col>
      <xdr:colOff>198120</xdr:colOff>
      <xdr:row>5</xdr:row>
      <xdr:rowOff>76200</xdr:rowOff>
    </xdr:from>
    <xdr:to>
      <xdr:col>8</xdr:col>
      <xdr:colOff>198120</xdr:colOff>
      <xdr:row>8</xdr:row>
      <xdr:rowOff>121920</xdr:rowOff>
    </xdr:to>
    <xdr:cxnSp>
      <xdr:nvCxnSpPr>
        <xdr:cNvPr id="1108" name="Line 41"/>
        <xdr:cNvCxnSpPr/>
      </xdr:nvCxnSpPr>
      <xdr:spPr>
        <a:xfrm flipV="1">
          <a:off x="3282315" y="1396365"/>
          <a:ext cx="0" cy="6667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160020</xdr:colOff>
      <xdr:row>5</xdr:row>
      <xdr:rowOff>60960</xdr:rowOff>
    </xdr:from>
    <xdr:to>
      <xdr:col>11</xdr:col>
      <xdr:colOff>160020</xdr:colOff>
      <xdr:row>8</xdr:row>
      <xdr:rowOff>99060</xdr:rowOff>
    </xdr:to>
    <xdr:cxnSp>
      <xdr:nvCxnSpPr>
        <xdr:cNvPr id="1109" name="Line 42"/>
        <xdr:cNvCxnSpPr/>
      </xdr:nvCxnSpPr>
      <xdr:spPr>
        <a:xfrm flipV="1">
          <a:off x="4101465" y="1381125"/>
          <a:ext cx="0" cy="6591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5</xdr:row>
      <xdr:rowOff>144780</xdr:rowOff>
    </xdr:from>
    <xdr:to>
      <xdr:col>11</xdr:col>
      <xdr:colOff>152400</xdr:colOff>
      <xdr:row>5</xdr:row>
      <xdr:rowOff>144780</xdr:rowOff>
    </xdr:to>
    <xdr:cxnSp>
      <xdr:nvCxnSpPr>
        <xdr:cNvPr id="1110" name="Line 43"/>
        <xdr:cNvCxnSpPr/>
      </xdr:nvCxnSpPr>
      <xdr:spPr>
        <a:xfrm>
          <a:off x="3282315" y="1464945"/>
          <a:ext cx="8115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</xdr:row>
      <xdr:rowOff>190500</xdr:rowOff>
    </xdr:from>
    <xdr:to>
      <xdr:col>10</xdr:col>
      <xdr:colOff>304800</xdr:colOff>
      <xdr:row>5</xdr:row>
      <xdr:rowOff>161925</xdr:rowOff>
    </xdr:to>
    <xdr:sp>
      <xdr:nvSpPr>
        <xdr:cNvPr id="1068" name="Rectangle 44"/>
        <xdr:cNvSpPr>
          <a:spLocks/>
        </xdr:cNvSpPr>
      </xdr:nvSpPr>
      <xdr:spPr>
        <a:xfrm>
          <a:off x="3579495" y="1304925"/>
          <a:ext cx="381000" cy="17716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直徑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24</xdr:col>
      <xdr:colOff>213360</xdr:colOff>
      <xdr:row>8</xdr:row>
      <xdr:rowOff>38100</xdr:rowOff>
    </xdr:from>
    <xdr:to>
      <xdr:col>24</xdr:col>
      <xdr:colOff>213360</xdr:colOff>
      <xdr:row>9</xdr:row>
      <xdr:rowOff>76200</xdr:rowOff>
    </xdr:to>
    <xdr:cxnSp>
      <xdr:nvCxnSpPr>
        <xdr:cNvPr id="1112" name="Line 45"/>
        <xdr:cNvCxnSpPr/>
      </xdr:nvCxnSpPr>
      <xdr:spPr>
        <a:xfrm>
          <a:off x="7869555" y="1979295"/>
          <a:ext cx="0" cy="25336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22860</xdr:rowOff>
    </xdr:from>
    <xdr:to>
      <xdr:col>27</xdr:col>
      <xdr:colOff>266700</xdr:colOff>
      <xdr:row>9</xdr:row>
      <xdr:rowOff>68580</xdr:rowOff>
    </xdr:to>
    <xdr:cxnSp>
      <xdr:nvCxnSpPr>
        <xdr:cNvPr id="1113" name="Line 46"/>
        <xdr:cNvCxnSpPr/>
      </xdr:nvCxnSpPr>
      <xdr:spPr>
        <a:xfrm>
          <a:off x="8780145" y="1964055"/>
          <a:ext cx="0" cy="26098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220980</xdr:colOff>
      <xdr:row>9</xdr:row>
      <xdr:rowOff>0</xdr:rowOff>
    </xdr:from>
    <xdr:to>
      <xdr:col>27</xdr:col>
      <xdr:colOff>266700</xdr:colOff>
      <xdr:row>9</xdr:row>
      <xdr:rowOff>0</xdr:rowOff>
    </xdr:to>
    <xdr:cxnSp>
      <xdr:nvCxnSpPr>
        <xdr:cNvPr id="1114" name="Line 47"/>
        <xdr:cNvCxnSpPr/>
      </xdr:nvCxnSpPr>
      <xdr:spPr>
        <a:xfrm flipV="1">
          <a:off x="7877175" y="2156460"/>
          <a:ext cx="9029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266700</xdr:colOff>
      <xdr:row>8</xdr:row>
      <xdr:rowOff>57150</xdr:rowOff>
    </xdr:from>
    <xdr:to>
      <xdr:col>27</xdr:col>
      <xdr:colOff>76200</xdr:colOff>
      <xdr:row>9</xdr:row>
      <xdr:rowOff>38100</xdr:rowOff>
    </xdr:to>
    <xdr:sp>
      <xdr:nvSpPr>
        <xdr:cNvPr id="1072" name="Rectangle 48"/>
        <xdr:cNvSpPr>
          <a:spLocks/>
        </xdr:cNvSpPr>
      </xdr:nvSpPr>
      <xdr:spPr>
        <a:xfrm>
          <a:off x="8208645" y="1998345"/>
          <a:ext cx="381000" cy="196215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長邊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25</xdr:col>
      <xdr:colOff>220980</xdr:colOff>
      <xdr:row>4</xdr:row>
      <xdr:rowOff>144780</xdr:rowOff>
    </xdr:from>
    <xdr:to>
      <xdr:col>25</xdr:col>
      <xdr:colOff>220980</xdr:colOff>
      <xdr:row>5</xdr:row>
      <xdr:rowOff>137160</xdr:rowOff>
    </xdr:to>
    <xdr:cxnSp>
      <xdr:nvCxnSpPr>
        <xdr:cNvPr id="1116" name="Line 49"/>
        <xdr:cNvCxnSpPr/>
      </xdr:nvCxnSpPr>
      <xdr:spPr>
        <a:xfrm flipV="1">
          <a:off x="8162925" y="1259205"/>
          <a:ext cx="0" cy="1981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259080</xdr:colOff>
      <xdr:row>4</xdr:row>
      <xdr:rowOff>144780</xdr:rowOff>
    </xdr:from>
    <xdr:to>
      <xdr:col>26</xdr:col>
      <xdr:colOff>259080</xdr:colOff>
      <xdr:row>5</xdr:row>
      <xdr:rowOff>137160</xdr:rowOff>
    </xdr:to>
    <xdr:cxnSp>
      <xdr:nvCxnSpPr>
        <xdr:cNvPr id="1117" name="Line 50"/>
        <xdr:cNvCxnSpPr/>
      </xdr:nvCxnSpPr>
      <xdr:spPr>
        <a:xfrm flipV="1">
          <a:off x="8486775" y="1259205"/>
          <a:ext cx="0" cy="1981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213360</xdr:colOff>
      <xdr:row>4</xdr:row>
      <xdr:rowOff>198120</xdr:rowOff>
    </xdr:from>
    <xdr:to>
      <xdr:col>26</xdr:col>
      <xdr:colOff>251460</xdr:colOff>
      <xdr:row>4</xdr:row>
      <xdr:rowOff>198120</xdr:rowOff>
    </xdr:to>
    <xdr:cxnSp>
      <xdr:nvCxnSpPr>
        <xdr:cNvPr id="1118" name="Line 51"/>
        <xdr:cNvCxnSpPr/>
      </xdr:nvCxnSpPr>
      <xdr:spPr>
        <a:xfrm flipV="1">
          <a:off x="8155305" y="1312545"/>
          <a:ext cx="3238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276225</xdr:colOff>
      <xdr:row>4</xdr:row>
      <xdr:rowOff>47625</xdr:rowOff>
    </xdr:from>
    <xdr:to>
      <xdr:col>27</xdr:col>
      <xdr:colOff>19050</xdr:colOff>
      <xdr:row>4</xdr:row>
      <xdr:rowOff>200025</xdr:rowOff>
    </xdr:to>
    <xdr:sp>
      <xdr:nvSpPr>
        <xdr:cNvPr id="1076" name="Rectangle 52"/>
        <xdr:cNvSpPr>
          <a:spLocks/>
        </xdr:cNvSpPr>
      </xdr:nvSpPr>
      <xdr:spPr>
        <a:xfrm>
          <a:off x="8218170" y="1162050"/>
          <a:ext cx="314325" cy="152400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短邊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24</xdr:col>
      <xdr:colOff>95250</xdr:colOff>
      <xdr:row>6</xdr:row>
      <xdr:rowOff>66675</xdr:rowOff>
    </xdr:from>
    <xdr:to>
      <xdr:col>24</xdr:col>
      <xdr:colOff>228600</xdr:colOff>
      <xdr:row>7</xdr:row>
      <xdr:rowOff>47625</xdr:rowOff>
    </xdr:to>
    <xdr:sp>
      <xdr:nvSpPr>
        <xdr:cNvPr id="1079" name="Rectangle 55"/>
        <xdr:cNvSpPr>
          <a:spLocks/>
        </xdr:cNvSpPr>
      </xdr:nvSpPr>
      <xdr:spPr>
        <a:xfrm>
          <a:off x="7751445" y="1592580"/>
          <a:ext cx="133350" cy="190500"/>
        </a:xfrm>
        <a:prstGeom prst="rect"/>
        <a:noFill/>
        <a:ln w="0" cap="flat" cmpd="sng">
          <a:noFill/>
          <a:prstDash/>
        </a:ln>
      </xdr:spPr>
      <xdr:txBody>
        <a:bodyPr wrap="square" lIns="27305" tIns="18415" rIns="0" bIns="0" anchor="t" vertOverflow="clip">
          <a:noAutofit/>
        </a:bodyPr>
        <a:p>
          <a:pPr algn="l">
            <a:buFontTx/>
            <a:buNone/>
          </a:pPr>
          <a:r>
            <a:rPr lang="ko-KR" altLang="en-US" sz="800" kern="1200" cap="none" dirty="0" smtClean="0" b="0">
              <a:solidFill>
                <a:srgbClr val="000000"/>
              </a:solidFill>
              <a:latin typeface="PMingLiU"/>
              <a:ea typeface="PMingLiU"/>
            </a:rPr>
            <a:t>高</a:t>
          </a:r>
          <a:endParaRPr lang="ko-KR" altLang="en-US" sz="800" kern="1200" dirty="0" smtClean="0" cap="none" b="0">
            <a:solidFill>
              <a:srgbClr val="000000"/>
            </a:solidFill>
            <a:latin typeface="PMingLiU"/>
            <a:ea typeface="PMingLiU"/>
          </a:endParaRPr>
        </a:p>
      </xdr:txBody>
    </xdr:sp>
    <xdr:clientData/>
  </xdr:twoCellAnchor>
  <xdr:twoCellAnchor>
    <xdr:from>
      <xdr:col>24</xdr:col>
      <xdr:colOff>38100</xdr:colOff>
      <xdr:row>8</xdr:row>
      <xdr:rowOff>45720</xdr:rowOff>
    </xdr:from>
    <xdr:to>
      <xdr:col>24</xdr:col>
      <xdr:colOff>198120</xdr:colOff>
      <xdr:row>8</xdr:row>
      <xdr:rowOff>45720</xdr:rowOff>
    </xdr:to>
    <xdr:cxnSp>
      <xdr:nvCxnSpPr>
        <xdr:cNvPr id="1121" name="Line 60"/>
        <xdr:cNvCxnSpPr/>
      </xdr:nvCxnSpPr>
      <xdr:spPr>
        <a:xfrm flipH="1">
          <a:off x="7694295" y="1986915"/>
          <a:ext cx="1600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5</xdr:row>
      <xdr:rowOff>144780</xdr:rowOff>
    </xdr:from>
    <xdr:to>
      <xdr:col>25</xdr:col>
      <xdr:colOff>190500</xdr:colOff>
      <xdr:row>5</xdr:row>
      <xdr:rowOff>144780</xdr:rowOff>
    </xdr:to>
    <xdr:cxnSp>
      <xdr:nvCxnSpPr>
        <xdr:cNvPr id="1122" name="Line 61"/>
        <xdr:cNvCxnSpPr/>
      </xdr:nvCxnSpPr>
      <xdr:spPr>
        <a:xfrm flipH="1">
          <a:off x="7701915" y="1464945"/>
          <a:ext cx="4305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99060</xdr:colOff>
      <xdr:row>5</xdr:row>
      <xdr:rowOff>144780</xdr:rowOff>
    </xdr:from>
    <xdr:to>
      <xdr:col>24</xdr:col>
      <xdr:colOff>99060</xdr:colOff>
      <xdr:row>8</xdr:row>
      <xdr:rowOff>45720</xdr:rowOff>
    </xdr:to>
    <xdr:cxnSp>
      <xdr:nvCxnSpPr>
        <xdr:cNvPr id="1123" name="Line 62"/>
        <xdr:cNvCxnSpPr/>
      </xdr:nvCxnSpPr>
      <xdr:spPr>
        <a:xfrm flipV="1">
          <a:off x="7755255" y="1464945"/>
          <a:ext cx="0" cy="5219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276225</xdr:rowOff>
    </xdr:from>
    <xdr:to>
      <xdr:col>27</xdr:col>
      <xdr:colOff>276225</xdr:colOff>
      <xdr:row>2</xdr:row>
      <xdr:rowOff>95250</xdr:rowOff>
    </xdr:to>
    <xdr:sp>
      <xdr:nvSpPr>
        <xdr:cNvPr id="1090" name="Rectangle 66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980045" y="262890"/>
          <a:ext cx="809625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</xdr:row>
      <xdr:rowOff>83820</xdr:rowOff>
    </xdr:from>
    <xdr:to>
      <xdr:col>1</xdr:col>
      <xdr:colOff>487680</xdr:colOff>
      <xdr:row>7</xdr:row>
      <xdr:rowOff>106680</xdr:rowOff>
    </xdr:to>
    <xdr:cxnSp>
      <xdr:nvCxnSpPr>
        <xdr:cNvPr id="64513" name="Line 4"/>
        <xdr:cNvCxnSpPr/>
      </xdr:nvCxnSpPr>
      <xdr:spPr>
        <a:xfrm>
          <a:off x="628650" y="1565910"/>
          <a:ext cx="0" cy="6400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487680</xdr:colOff>
      <xdr:row>7</xdr:row>
      <xdr:rowOff>99060</xdr:rowOff>
    </xdr:from>
    <xdr:to>
      <xdr:col>2</xdr:col>
      <xdr:colOff>213360</xdr:colOff>
      <xdr:row>7</xdr:row>
      <xdr:rowOff>99060</xdr:rowOff>
    </xdr:to>
    <xdr:cxnSp>
      <xdr:nvCxnSpPr>
        <xdr:cNvPr id="64514" name="Line 5"/>
        <xdr:cNvCxnSpPr/>
      </xdr:nvCxnSpPr>
      <xdr:spPr>
        <a:xfrm>
          <a:off x="628650" y="2198370"/>
          <a:ext cx="21145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7</xdr:row>
      <xdr:rowOff>99060</xdr:rowOff>
    </xdr:from>
    <xdr:to>
      <xdr:col>2</xdr:col>
      <xdr:colOff>266700</xdr:colOff>
      <xdr:row>7</xdr:row>
      <xdr:rowOff>182880</xdr:rowOff>
    </xdr:to>
    <xdr:cxnSp>
      <xdr:nvCxnSpPr>
        <xdr:cNvPr id="64515" name="Line 6"/>
        <xdr:cNvCxnSpPr/>
      </xdr:nvCxnSpPr>
      <xdr:spPr>
        <a:xfrm>
          <a:off x="824865" y="2198370"/>
          <a:ext cx="68580" cy="838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7</xdr:row>
      <xdr:rowOff>99060</xdr:rowOff>
    </xdr:from>
    <xdr:to>
      <xdr:col>2</xdr:col>
      <xdr:colOff>312420</xdr:colOff>
      <xdr:row>7</xdr:row>
      <xdr:rowOff>182880</xdr:rowOff>
    </xdr:to>
    <xdr:cxnSp>
      <xdr:nvCxnSpPr>
        <xdr:cNvPr id="64516" name="Line 7"/>
        <xdr:cNvCxnSpPr/>
      </xdr:nvCxnSpPr>
      <xdr:spPr>
        <a:xfrm flipV="1">
          <a:off x="885825" y="2198370"/>
          <a:ext cx="53340" cy="838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7</xdr:row>
      <xdr:rowOff>99060</xdr:rowOff>
    </xdr:from>
    <xdr:to>
      <xdr:col>2</xdr:col>
      <xdr:colOff>647700</xdr:colOff>
      <xdr:row>7</xdr:row>
      <xdr:rowOff>99060</xdr:rowOff>
    </xdr:to>
    <xdr:cxnSp>
      <xdr:nvCxnSpPr>
        <xdr:cNvPr id="64517" name="Line 8"/>
        <xdr:cNvCxnSpPr/>
      </xdr:nvCxnSpPr>
      <xdr:spPr>
        <a:xfrm>
          <a:off x="939165" y="2198370"/>
          <a:ext cx="33528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640080</xdr:colOff>
      <xdr:row>7</xdr:row>
      <xdr:rowOff>99060</xdr:rowOff>
    </xdr:from>
    <xdr:to>
      <xdr:col>2</xdr:col>
      <xdr:colOff>647700</xdr:colOff>
      <xdr:row>7</xdr:row>
      <xdr:rowOff>182880</xdr:rowOff>
    </xdr:to>
    <xdr:cxnSp>
      <xdr:nvCxnSpPr>
        <xdr:cNvPr id="64518" name="Line 9"/>
        <xdr:cNvCxnSpPr/>
      </xdr:nvCxnSpPr>
      <xdr:spPr>
        <a:xfrm>
          <a:off x="1266825" y="2198370"/>
          <a:ext cx="7620" cy="838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693420</xdr:colOff>
      <xdr:row>7</xdr:row>
      <xdr:rowOff>99060</xdr:rowOff>
    </xdr:from>
    <xdr:to>
      <xdr:col>3</xdr:col>
      <xdr:colOff>30480</xdr:colOff>
      <xdr:row>7</xdr:row>
      <xdr:rowOff>182880</xdr:rowOff>
    </xdr:to>
    <xdr:cxnSp>
      <xdr:nvCxnSpPr>
        <xdr:cNvPr id="64519" name="Line 10"/>
        <xdr:cNvCxnSpPr/>
      </xdr:nvCxnSpPr>
      <xdr:spPr>
        <a:xfrm flipV="1">
          <a:off x="1285875" y="2198370"/>
          <a:ext cx="34290" cy="838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7</xdr:row>
      <xdr:rowOff>99060</xdr:rowOff>
    </xdr:from>
    <xdr:to>
      <xdr:col>3</xdr:col>
      <xdr:colOff>312420</xdr:colOff>
      <xdr:row>7</xdr:row>
      <xdr:rowOff>99060</xdr:rowOff>
    </xdr:to>
    <xdr:cxnSp>
      <xdr:nvCxnSpPr>
        <xdr:cNvPr id="64520" name="Line 11"/>
        <xdr:cNvCxnSpPr/>
      </xdr:nvCxnSpPr>
      <xdr:spPr>
        <a:xfrm>
          <a:off x="1285875" y="2198370"/>
          <a:ext cx="28194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</xdr:row>
      <xdr:rowOff>106680</xdr:rowOff>
    </xdr:from>
    <xdr:to>
      <xdr:col>3</xdr:col>
      <xdr:colOff>304800</xdr:colOff>
      <xdr:row>7</xdr:row>
      <xdr:rowOff>99060</xdr:rowOff>
    </xdr:to>
    <xdr:cxnSp>
      <xdr:nvCxnSpPr>
        <xdr:cNvPr id="64521" name="Line 12"/>
        <xdr:cNvCxnSpPr/>
      </xdr:nvCxnSpPr>
      <xdr:spPr>
        <a:xfrm flipV="1">
          <a:off x="1560195" y="1588770"/>
          <a:ext cx="0" cy="6096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8</xdr:row>
      <xdr:rowOff>182880</xdr:rowOff>
    </xdr:from>
    <xdr:to>
      <xdr:col>3</xdr:col>
      <xdr:colOff>541020</xdr:colOff>
      <xdr:row>8</xdr:row>
      <xdr:rowOff>182880</xdr:rowOff>
    </xdr:to>
    <xdr:cxnSp>
      <xdr:nvCxnSpPr>
        <xdr:cNvPr id="64522" name="Line 14"/>
        <xdr:cNvCxnSpPr/>
      </xdr:nvCxnSpPr>
      <xdr:spPr>
        <a:xfrm>
          <a:off x="377190" y="2487930"/>
          <a:ext cx="14192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7</xdr:row>
      <xdr:rowOff>137160</xdr:rowOff>
    </xdr:from>
    <xdr:to>
      <xdr:col>1</xdr:col>
      <xdr:colOff>236220</xdr:colOff>
      <xdr:row>8</xdr:row>
      <xdr:rowOff>182880</xdr:rowOff>
    </xdr:to>
    <xdr:cxnSp>
      <xdr:nvCxnSpPr>
        <xdr:cNvPr id="64523" name="Line 15"/>
        <xdr:cNvCxnSpPr/>
      </xdr:nvCxnSpPr>
      <xdr:spPr>
        <a:xfrm flipV="1">
          <a:off x="377190" y="2236470"/>
          <a:ext cx="0" cy="2514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556260</xdr:colOff>
      <xdr:row>7</xdr:row>
      <xdr:rowOff>137160</xdr:rowOff>
    </xdr:from>
    <xdr:to>
      <xdr:col>3</xdr:col>
      <xdr:colOff>556260</xdr:colOff>
      <xdr:row>8</xdr:row>
      <xdr:rowOff>182880</xdr:rowOff>
    </xdr:to>
    <xdr:cxnSp>
      <xdr:nvCxnSpPr>
        <xdr:cNvPr id="64524" name="Line 17"/>
        <xdr:cNvCxnSpPr/>
      </xdr:nvCxnSpPr>
      <xdr:spPr>
        <a:xfrm flipV="1">
          <a:off x="1811655" y="2236470"/>
          <a:ext cx="0" cy="2514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7</xdr:row>
      <xdr:rowOff>137160</xdr:rowOff>
    </xdr:from>
    <xdr:to>
      <xdr:col>2</xdr:col>
      <xdr:colOff>213360</xdr:colOff>
      <xdr:row>7</xdr:row>
      <xdr:rowOff>137160</xdr:rowOff>
    </xdr:to>
    <xdr:cxnSp>
      <xdr:nvCxnSpPr>
        <xdr:cNvPr id="64525" name="Line 18"/>
        <xdr:cNvCxnSpPr/>
      </xdr:nvCxnSpPr>
      <xdr:spPr>
        <a:xfrm>
          <a:off x="377190" y="2236470"/>
          <a:ext cx="4629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7</xdr:row>
      <xdr:rowOff>137160</xdr:rowOff>
    </xdr:from>
    <xdr:to>
      <xdr:col>2</xdr:col>
      <xdr:colOff>647700</xdr:colOff>
      <xdr:row>7</xdr:row>
      <xdr:rowOff>137160</xdr:rowOff>
    </xdr:to>
    <xdr:cxnSp>
      <xdr:nvCxnSpPr>
        <xdr:cNvPr id="64526" name="Line 19"/>
        <xdr:cNvCxnSpPr/>
      </xdr:nvCxnSpPr>
      <xdr:spPr>
        <a:xfrm>
          <a:off x="931545" y="2236470"/>
          <a:ext cx="3429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7</xdr:row>
      <xdr:rowOff>137160</xdr:rowOff>
    </xdr:from>
    <xdr:to>
      <xdr:col>3</xdr:col>
      <xdr:colOff>556260</xdr:colOff>
      <xdr:row>7</xdr:row>
      <xdr:rowOff>137160</xdr:rowOff>
    </xdr:to>
    <xdr:cxnSp>
      <xdr:nvCxnSpPr>
        <xdr:cNvPr id="64527" name="Line 20"/>
        <xdr:cNvCxnSpPr/>
      </xdr:nvCxnSpPr>
      <xdr:spPr>
        <a:xfrm>
          <a:off x="1263015" y="2236470"/>
          <a:ext cx="5486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4</xdr:row>
      <xdr:rowOff>68580</xdr:rowOff>
    </xdr:from>
    <xdr:to>
      <xdr:col>3</xdr:col>
      <xdr:colOff>304800</xdr:colOff>
      <xdr:row>4</xdr:row>
      <xdr:rowOff>182880</xdr:rowOff>
    </xdr:to>
    <xdr:sp>
      <xdr:nvSpPr>
        <xdr:cNvPr id="64528" name="Freeform 21"/>
        <xdr:cNvSpPr>
          <a:spLocks/>
        </xdr:cNvSpPr>
      </xdr:nvSpPr>
      <xdr:spPr>
        <a:xfrm>
          <a:off x="636270" y="1550670"/>
          <a:ext cx="923925" cy="114300"/>
        </a:xfrm>
        <a:custGeom>
          <a:pathLst>
            <a:path w="115" h="12">
              <a:moveTo>
                <a:pt x="0" y="2"/>
              </a:moveTo>
              <a:cubicBezTo>
                <a:pt x="10" y="1"/>
                <a:pt x="20" y="0"/>
                <a:pt x="26" y="0"/>
              </a:cubicBezTo>
              <a:cubicBezTo>
                <a:pt x="32" y="0"/>
                <a:pt x="34" y="1"/>
                <a:pt x="39" y="3"/>
              </a:cubicBezTo>
              <a:cubicBezTo>
                <a:pt x="44" y="5"/>
                <a:pt x="53" y="10"/>
                <a:pt x="58" y="11"/>
              </a:cubicBezTo>
              <a:cubicBezTo>
                <a:pt x="63" y="12"/>
                <a:pt x="66" y="12"/>
                <a:pt x="71" y="12"/>
              </a:cubicBezTo>
              <a:cubicBezTo>
                <a:pt x="76" y="12"/>
                <a:pt x="82" y="10"/>
                <a:pt x="87" y="9"/>
              </a:cubicBezTo>
              <a:cubicBezTo>
                <a:pt x="92" y="8"/>
                <a:pt x="97" y="5"/>
                <a:pt x="102" y="4"/>
              </a:cubicBezTo>
              <a:cubicBezTo>
                <a:pt x="107" y="3"/>
                <a:pt x="113" y="4"/>
                <a:pt x="115" y="4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213360</xdr:colOff>
      <xdr:row>7</xdr:row>
      <xdr:rowOff>137160</xdr:rowOff>
    </xdr:from>
    <xdr:to>
      <xdr:col>2</xdr:col>
      <xdr:colOff>266700</xdr:colOff>
      <xdr:row>7</xdr:row>
      <xdr:rowOff>198120</xdr:rowOff>
    </xdr:to>
    <xdr:cxnSp>
      <xdr:nvCxnSpPr>
        <xdr:cNvPr id="64529" name="Line 22"/>
        <xdr:cNvCxnSpPr/>
      </xdr:nvCxnSpPr>
      <xdr:spPr>
        <a:xfrm>
          <a:off x="840105" y="2236470"/>
          <a:ext cx="53340" cy="60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7</xdr:row>
      <xdr:rowOff>137160</xdr:rowOff>
    </xdr:from>
    <xdr:to>
      <xdr:col>2</xdr:col>
      <xdr:colOff>304800</xdr:colOff>
      <xdr:row>7</xdr:row>
      <xdr:rowOff>190500</xdr:rowOff>
    </xdr:to>
    <xdr:cxnSp>
      <xdr:nvCxnSpPr>
        <xdr:cNvPr id="64530" name="Line 23"/>
        <xdr:cNvCxnSpPr/>
      </xdr:nvCxnSpPr>
      <xdr:spPr>
        <a:xfrm flipV="1">
          <a:off x="893445" y="2236470"/>
          <a:ext cx="38100" cy="533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655320</xdr:colOff>
      <xdr:row>7</xdr:row>
      <xdr:rowOff>137160</xdr:rowOff>
    </xdr:from>
    <xdr:to>
      <xdr:col>2</xdr:col>
      <xdr:colOff>647700</xdr:colOff>
      <xdr:row>7</xdr:row>
      <xdr:rowOff>190500</xdr:rowOff>
    </xdr:to>
    <xdr:cxnSp>
      <xdr:nvCxnSpPr>
        <xdr:cNvPr id="64531" name="Line 24"/>
        <xdr:cNvCxnSpPr/>
      </xdr:nvCxnSpPr>
      <xdr:spPr>
        <a:xfrm>
          <a:off x="1274445" y="2236470"/>
          <a:ext cx="7620" cy="533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708660</xdr:colOff>
      <xdr:row>7</xdr:row>
      <xdr:rowOff>137160</xdr:rowOff>
    </xdr:from>
    <xdr:to>
      <xdr:col>3</xdr:col>
      <xdr:colOff>22860</xdr:colOff>
      <xdr:row>7</xdr:row>
      <xdr:rowOff>190500</xdr:rowOff>
    </xdr:to>
    <xdr:cxnSp>
      <xdr:nvCxnSpPr>
        <xdr:cNvPr id="64532" name="Line 26"/>
        <xdr:cNvCxnSpPr/>
      </xdr:nvCxnSpPr>
      <xdr:spPr>
        <a:xfrm flipV="1">
          <a:off x="1278255" y="2236470"/>
          <a:ext cx="57150" cy="533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</xdr:row>
      <xdr:rowOff>190500</xdr:rowOff>
    </xdr:from>
    <xdr:to>
      <xdr:col>4</xdr:col>
      <xdr:colOff>9525</xdr:colOff>
      <xdr:row>10</xdr:row>
      <xdr:rowOff>47625</xdr:rowOff>
    </xdr:to>
    <xdr:sp>
      <xdr:nvSpPr>
        <xdr:cNvPr id="10269" name="Rectangle 29"/>
        <xdr:cNvSpPr>
          <a:spLocks/>
        </xdr:cNvSpPr>
      </xdr:nvSpPr>
      <xdr:spPr>
        <a:xfrm>
          <a:off x="160020" y="2495550"/>
          <a:ext cx="1733550" cy="268605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11</xdr:col>
      <xdr:colOff>365760</xdr:colOff>
      <xdr:row>7</xdr:row>
      <xdr:rowOff>106680</xdr:rowOff>
    </xdr:from>
    <xdr:to>
      <xdr:col>16</xdr:col>
      <xdr:colOff>83820</xdr:colOff>
      <xdr:row>7</xdr:row>
      <xdr:rowOff>106680</xdr:rowOff>
    </xdr:to>
    <xdr:cxnSp>
      <xdr:nvCxnSpPr>
        <xdr:cNvPr id="64534" name="Line 30"/>
        <xdr:cNvCxnSpPr/>
      </xdr:nvCxnSpPr>
      <xdr:spPr>
        <a:xfrm>
          <a:off x="4850130" y="2205990"/>
          <a:ext cx="168973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4</xdr:row>
      <xdr:rowOff>60960</xdr:rowOff>
    </xdr:from>
    <xdr:to>
      <xdr:col>11</xdr:col>
      <xdr:colOff>365760</xdr:colOff>
      <xdr:row>7</xdr:row>
      <xdr:rowOff>114300</xdr:rowOff>
    </xdr:to>
    <xdr:cxnSp>
      <xdr:nvCxnSpPr>
        <xdr:cNvPr id="64535" name="Line 31"/>
        <xdr:cNvCxnSpPr/>
      </xdr:nvCxnSpPr>
      <xdr:spPr>
        <a:xfrm>
          <a:off x="4850130" y="1543050"/>
          <a:ext cx="0" cy="6705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83820</xdr:colOff>
      <xdr:row>4</xdr:row>
      <xdr:rowOff>106680</xdr:rowOff>
    </xdr:from>
    <xdr:to>
      <xdr:col>16</xdr:col>
      <xdr:colOff>83820</xdr:colOff>
      <xdr:row>7</xdr:row>
      <xdr:rowOff>114300</xdr:rowOff>
    </xdr:to>
    <xdr:cxnSp>
      <xdr:nvCxnSpPr>
        <xdr:cNvPr id="64536" name="Line 32"/>
        <xdr:cNvCxnSpPr/>
      </xdr:nvCxnSpPr>
      <xdr:spPr>
        <a:xfrm flipV="1">
          <a:off x="6539865" y="1588770"/>
          <a:ext cx="0" cy="6248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8</xdr:row>
      <xdr:rowOff>152400</xdr:rowOff>
    </xdr:from>
    <xdr:to>
      <xdr:col>11</xdr:col>
      <xdr:colOff>365760</xdr:colOff>
      <xdr:row>10</xdr:row>
      <xdr:rowOff>83820</xdr:rowOff>
    </xdr:to>
    <xdr:cxnSp>
      <xdr:nvCxnSpPr>
        <xdr:cNvPr id="64537" name="Line 33"/>
        <xdr:cNvCxnSpPr/>
      </xdr:nvCxnSpPr>
      <xdr:spPr>
        <a:xfrm>
          <a:off x="4850130" y="2457450"/>
          <a:ext cx="0" cy="3429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10</xdr:row>
      <xdr:rowOff>76200</xdr:rowOff>
    </xdr:from>
    <xdr:to>
      <xdr:col>16</xdr:col>
      <xdr:colOff>99060</xdr:colOff>
      <xdr:row>10</xdr:row>
      <xdr:rowOff>76200</xdr:rowOff>
    </xdr:to>
    <xdr:cxnSp>
      <xdr:nvCxnSpPr>
        <xdr:cNvPr id="64538" name="Line 34"/>
        <xdr:cNvCxnSpPr/>
      </xdr:nvCxnSpPr>
      <xdr:spPr>
        <a:xfrm>
          <a:off x="4850130" y="2792730"/>
          <a:ext cx="170497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83820</xdr:colOff>
      <xdr:row>8</xdr:row>
      <xdr:rowOff>160020</xdr:rowOff>
    </xdr:from>
    <xdr:to>
      <xdr:col>16</xdr:col>
      <xdr:colOff>83820</xdr:colOff>
      <xdr:row>10</xdr:row>
      <xdr:rowOff>83820</xdr:rowOff>
    </xdr:to>
    <xdr:cxnSp>
      <xdr:nvCxnSpPr>
        <xdr:cNvPr id="64539" name="Line 35"/>
        <xdr:cNvCxnSpPr/>
      </xdr:nvCxnSpPr>
      <xdr:spPr>
        <a:xfrm flipV="1">
          <a:off x="6539865" y="2465070"/>
          <a:ext cx="0" cy="3352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8</xdr:row>
      <xdr:rowOff>160020</xdr:rowOff>
    </xdr:from>
    <xdr:to>
      <xdr:col>12</xdr:col>
      <xdr:colOff>365760</xdr:colOff>
      <xdr:row>8</xdr:row>
      <xdr:rowOff>160020</xdr:rowOff>
    </xdr:to>
    <xdr:cxnSp>
      <xdr:nvCxnSpPr>
        <xdr:cNvPr id="64540" name="Line 38"/>
        <xdr:cNvCxnSpPr/>
      </xdr:nvCxnSpPr>
      <xdr:spPr>
        <a:xfrm>
          <a:off x="4850130" y="2465070"/>
          <a:ext cx="44767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350520</xdr:colOff>
      <xdr:row>8</xdr:row>
      <xdr:rowOff>83820</xdr:rowOff>
    </xdr:from>
    <xdr:to>
      <xdr:col>12</xdr:col>
      <xdr:colOff>350520</xdr:colOff>
      <xdr:row>8</xdr:row>
      <xdr:rowOff>160020</xdr:rowOff>
    </xdr:to>
    <xdr:cxnSp>
      <xdr:nvCxnSpPr>
        <xdr:cNvPr id="64541" name="Line 39"/>
        <xdr:cNvCxnSpPr/>
      </xdr:nvCxnSpPr>
      <xdr:spPr>
        <a:xfrm flipV="1">
          <a:off x="5282565" y="2388870"/>
          <a:ext cx="0" cy="762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8</xdr:row>
      <xdr:rowOff>76200</xdr:rowOff>
    </xdr:from>
    <xdr:to>
      <xdr:col>13</xdr:col>
      <xdr:colOff>76200</xdr:colOff>
      <xdr:row>8</xdr:row>
      <xdr:rowOff>76200</xdr:rowOff>
    </xdr:to>
    <xdr:cxnSp>
      <xdr:nvCxnSpPr>
        <xdr:cNvPr id="64542" name="Line 40"/>
        <xdr:cNvCxnSpPr/>
      </xdr:nvCxnSpPr>
      <xdr:spPr>
        <a:xfrm>
          <a:off x="5297805" y="2381250"/>
          <a:ext cx="24384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8</xdr:row>
      <xdr:rowOff>76200</xdr:rowOff>
    </xdr:from>
    <xdr:to>
      <xdr:col>13</xdr:col>
      <xdr:colOff>68580</xdr:colOff>
      <xdr:row>8</xdr:row>
      <xdr:rowOff>175260</xdr:rowOff>
    </xdr:to>
    <xdr:cxnSp>
      <xdr:nvCxnSpPr>
        <xdr:cNvPr id="64543" name="Line 41"/>
        <xdr:cNvCxnSpPr/>
      </xdr:nvCxnSpPr>
      <xdr:spPr>
        <a:xfrm>
          <a:off x="5534025" y="2381250"/>
          <a:ext cx="0" cy="990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160020</xdr:rowOff>
    </xdr:from>
    <xdr:to>
      <xdr:col>13</xdr:col>
      <xdr:colOff>594360</xdr:colOff>
      <xdr:row>8</xdr:row>
      <xdr:rowOff>160020</xdr:rowOff>
    </xdr:to>
    <xdr:cxnSp>
      <xdr:nvCxnSpPr>
        <xdr:cNvPr id="64544" name="Line 42"/>
        <xdr:cNvCxnSpPr/>
      </xdr:nvCxnSpPr>
      <xdr:spPr>
        <a:xfrm>
          <a:off x="5846445" y="2465070"/>
          <a:ext cx="21336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594360</xdr:colOff>
      <xdr:row>8</xdr:row>
      <xdr:rowOff>76200</xdr:rowOff>
    </xdr:from>
    <xdr:to>
      <xdr:col>13</xdr:col>
      <xdr:colOff>594360</xdr:colOff>
      <xdr:row>8</xdr:row>
      <xdr:rowOff>175260</xdr:rowOff>
    </xdr:to>
    <xdr:cxnSp>
      <xdr:nvCxnSpPr>
        <xdr:cNvPr id="64545" name="Line 43"/>
        <xdr:cNvCxnSpPr/>
      </xdr:nvCxnSpPr>
      <xdr:spPr>
        <a:xfrm flipV="1">
          <a:off x="6059805" y="2381250"/>
          <a:ext cx="0" cy="990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579120</xdr:colOff>
      <xdr:row>8</xdr:row>
      <xdr:rowOff>76200</xdr:rowOff>
    </xdr:from>
    <xdr:to>
      <xdr:col>14</xdr:col>
      <xdr:colOff>213360</xdr:colOff>
      <xdr:row>8</xdr:row>
      <xdr:rowOff>76200</xdr:rowOff>
    </xdr:to>
    <xdr:cxnSp>
      <xdr:nvCxnSpPr>
        <xdr:cNvPr id="64546" name="Line 44"/>
        <xdr:cNvCxnSpPr/>
      </xdr:nvCxnSpPr>
      <xdr:spPr>
        <a:xfrm>
          <a:off x="6044565" y="2381250"/>
          <a:ext cx="23431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213360</xdr:colOff>
      <xdr:row>8</xdr:row>
      <xdr:rowOff>76200</xdr:rowOff>
    </xdr:from>
    <xdr:to>
      <xdr:col>14</xdr:col>
      <xdr:colOff>213360</xdr:colOff>
      <xdr:row>8</xdr:row>
      <xdr:rowOff>175260</xdr:rowOff>
    </xdr:to>
    <xdr:cxnSp>
      <xdr:nvCxnSpPr>
        <xdr:cNvPr id="64547" name="Line 45"/>
        <xdr:cNvCxnSpPr/>
      </xdr:nvCxnSpPr>
      <xdr:spPr>
        <a:xfrm>
          <a:off x="6278880" y="2381250"/>
          <a:ext cx="0" cy="990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8</xdr:row>
      <xdr:rowOff>160020</xdr:rowOff>
    </xdr:from>
    <xdr:to>
      <xdr:col>16</xdr:col>
      <xdr:colOff>99060</xdr:colOff>
      <xdr:row>8</xdr:row>
      <xdr:rowOff>160020</xdr:rowOff>
    </xdr:to>
    <xdr:cxnSp>
      <xdr:nvCxnSpPr>
        <xdr:cNvPr id="64548" name="Line 46"/>
        <xdr:cNvCxnSpPr/>
      </xdr:nvCxnSpPr>
      <xdr:spPr>
        <a:xfrm>
          <a:off x="6286500" y="2465070"/>
          <a:ext cx="26860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236220</xdr:colOff>
      <xdr:row>8</xdr:row>
      <xdr:rowOff>83820</xdr:rowOff>
    </xdr:from>
    <xdr:to>
      <xdr:col>13</xdr:col>
      <xdr:colOff>236220</xdr:colOff>
      <xdr:row>8</xdr:row>
      <xdr:rowOff>175260</xdr:rowOff>
    </xdr:to>
    <xdr:cxnSp>
      <xdr:nvCxnSpPr>
        <xdr:cNvPr id="64549" name="Line 49"/>
        <xdr:cNvCxnSpPr/>
      </xdr:nvCxnSpPr>
      <xdr:spPr>
        <a:xfrm flipV="1">
          <a:off x="5701665" y="2388870"/>
          <a:ext cx="0" cy="914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</xdr:row>
      <xdr:rowOff>76200</xdr:rowOff>
    </xdr:from>
    <xdr:to>
      <xdr:col>13</xdr:col>
      <xdr:colOff>388620</xdr:colOff>
      <xdr:row>8</xdr:row>
      <xdr:rowOff>76200</xdr:rowOff>
    </xdr:to>
    <xdr:cxnSp>
      <xdr:nvCxnSpPr>
        <xdr:cNvPr id="64550" name="Line 50"/>
        <xdr:cNvCxnSpPr/>
      </xdr:nvCxnSpPr>
      <xdr:spPr>
        <a:xfrm>
          <a:off x="5694045" y="2381250"/>
          <a:ext cx="16002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76200</xdr:rowOff>
    </xdr:from>
    <xdr:to>
      <xdr:col>13</xdr:col>
      <xdr:colOff>381000</xdr:colOff>
      <xdr:row>8</xdr:row>
      <xdr:rowOff>175260</xdr:rowOff>
    </xdr:to>
    <xdr:cxnSp>
      <xdr:nvCxnSpPr>
        <xdr:cNvPr id="64551" name="Line 51"/>
        <xdr:cNvCxnSpPr/>
      </xdr:nvCxnSpPr>
      <xdr:spPr>
        <a:xfrm>
          <a:off x="5846445" y="2381250"/>
          <a:ext cx="0" cy="990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8</xdr:row>
      <xdr:rowOff>160020</xdr:rowOff>
    </xdr:from>
    <xdr:to>
      <xdr:col>13</xdr:col>
      <xdr:colOff>236220</xdr:colOff>
      <xdr:row>8</xdr:row>
      <xdr:rowOff>160020</xdr:rowOff>
    </xdr:to>
    <xdr:cxnSp>
      <xdr:nvCxnSpPr>
        <xdr:cNvPr id="64552" name="Line 52"/>
        <xdr:cNvCxnSpPr/>
      </xdr:nvCxnSpPr>
      <xdr:spPr>
        <a:xfrm>
          <a:off x="5526405" y="2465070"/>
          <a:ext cx="17526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7</xdr:row>
      <xdr:rowOff>114300</xdr:rowOff>
    </xdr:from>
    <xdr:to>
      <xdr:col>15</xdr:col>
      <xdr:colOff>22860</xdr:colOff>
      <xdr:row>7</xdr:row>
      <xdr:rowOff>114300</xdr:rowOff>
    </xdr:to>
    <xdr:cxnSp>
      <xdr:nvCxnSpPr>
        <xdr:cNvPr id="64553" name="Line 54"/>
        <xdr:cNvCxnSpPr/>
      </xdr:nvCxnSpPr>
      <xdr:spPr>
        <a:xfrm>
          <a:off x="5008245" y="2213610"/>
          <a:ext cx="13944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</xdr:colOff>
      <xdr:row>8</xdr:row>
      <xdr:rowOff>152400</xdr:rowOff>
    </xdr:from>
    <xdr:to>
      <xdr:col>12</xdr:col>
      <xdr:colOff>335280</xdr:colOff>
      <xdr:row>8</xdr:row>
      <xdr:rowOff>152400</xdr:rowOff>
    </xdr:to>
    <xdr:cxnSp>
      <xdr:nvCxnSpPr>
        <xdr:cNvPr id="64554" name="Line 55"/>
        <xdr:cNvCxnSpPr/>
      </xdr:nvCxnSpPr>
      <xdr:spPr>
        <a:xfrm>
          <a:off x="4993005" y="2457450"/>
          <a:ext cx="2743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8</xdr:row>
      <xdr:rowOff>68580</xdr:rowOff>
    </xdr:from>
    <xdr:to>
      <xdr:col>12</xdr:col>
      <xdr:colOff>342900</xdr:colOff>
      <xdr:row>8</xdr:row>
      <xdr:rowOff>152400</xdr:rowOff>
    </xdr:to>
    <xdr:cxnSp>
      <xdr:nvCxnSpPr>
        <xdr:cNvPr id="64555" name="Line 56"/>
        <xdr:cNvCxnSpPr/>
      </xdr:nvCxnSpPr>
      <xdr:spPr>
        <a:xfrm flipV="1">
          <a:off x="5274945" y="237363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8</xdr:row>
      <xdr:rowOff>68580</xdr:rowOff>
    </xdr:from>
    <xdr:to>
      <xdr:col>13</xdr:col>
      <xdr:colOff>76200</xdr:colOff>
      <xdr:row>8</xdr:row>
      <xdr:rowOff>68580</xdr:rowOff>
    </xdr:to>
    <xdr:cxnSp>
      <xdr:nvCxnSpPr>
        <xdr:cNvPr id="64556" name="Line 57"/>
        <xdr:cNvCxnSpPr/>
      </xdr:nvCxnSpPr>
      <xdr:spPr>
        <a:xfrm>
          <a:off x="5274945" y="2373630"/>
          <a:ext cx="266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8</xdr:row>
      <xdr:rowOff>68580</xdr:rowOff>
    </xdr:from>
    <xdr:to>
      <xdr:col>13</xdr:col>
      <xdr:colOff>76200</xdr:colOff>
      <xdr:row>8</xdr:row>
      <xdr:rowOff>152400</xdr:rowOff>
    </xdr:to>
    <xdr:cxnSp>
      <xdr:nvCxnSpPr>
        <xdr:cNvPr id="64557" name="Line 58"/>
        <xdr:cNvCxnSpPr/>
      </xdr:nvCxnSpPr>
      <xdr:spPr>
        <a:xfrm>
          <a:off x="5541645" y="237363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8</xdr:row>
      <xdr:rowOff>152400</xdr:rowOff>
    </xdr:from>
    <xdr:to>
      <xdr:col>13</xdr:col>
      <xdr:colOff>228600</xdr:colOff>
      <xdr:row>8</xdr:row>
      <xdr:rowOff>152400</xdr:rowOff>
    </xdr:to>
    <xdr:cxnSp>
      <xdr:nvCxnSpPr>
        <xdr:cNvPr id="64558" name="Line 59"/>
        <xdr:cNvCxnSpPr/>
      </xdr:nvCxnSpPr>
      <xdr:spPr>
        <a:xfrm>
          <a:off x="5541645" y="2457450"/>
          <a:ext cx="1524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</xdr:row>
      <xdr:rowOff>68580</xdr:rowOff>
    </xdr:from>
    <xdr:to>
      <xdr:col>13</xdr:col>
      <xdr:colOff>228600</xdr:colOff>
      <xdr:row>8</xdr:row>
      <xdr:rowOff>152400</xdr:rowOff>
    </xdr:to>
    <xdr:cxnSp>
      <xdr:nvCxnSpPr>
        <xdr:cNvPr id="64559" name="Line 60"/>
        <xdr:cNvCxnSpPr/>
      </xdr:nvCxnSpPr>
      <xdr:spPr>
        <a:xfrm flipV="1">
          <a:off x="5694045" y="237363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</xdr:row>
      <xdr:rowOff>68580</xdr:rowOff>
    </xdr:from>
    <xdr:to>
      <xdr:col>13</xdr:col>
      <xdr:colOff>381000</xdr:colOff>
      <xdr:row>8</xdr:row>
      <xdr:rowOff>68580</xdr:rowOff>
    </xdr:to>
    <xdr:cxnSp>
      <xdr:nvCxnSpPr>
        <xdr:cNvPr id="64560" name="Line 61"/>
        <xdr:cNvCxnSpPr/>
      </xdr:nvCxnSpPr>
      <xdr:spPr>
        <a:xfrm>
          <a:off x="5694045" y="2373630"/>
          <a:ext cx="1524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8</xdr:row>
      <xdr:rowOff>68580</xdr:rowOff>
    </xdr:from>
    <xdr:to>
      <xdr:col>13</xdr:col>
      <xdr:colOff>388620</xdr:colOff>
      <xdr:row>8</xdr:row>
      <xdr:rowOff>152400</xdr:rowOff>
    </xdr:to>
    <xdr:cxnSp>
      <xdr:nvCxnSpPr>
        <xdr:cNvPr id="64561" name="Line 62"/>
        <xdr:cNvCxnSpPr/>
      </xdr:nvCxnSpPr>
      <xdr:spPr>
        <a:xfrm>
          <a:off x="5854065" y="237363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152400</xdr:rowOff>
    </xdr:from>
    <xdr:to>
      <xdr:col>13</xdr:col>
      <xdr:colOff>571500</xdr:colOff>
      <xdr:row>8</xdr:row>
      <xdr:rowOff>152400</xdr:rowOff>
    </xdr:to>
    <xdr:cxnSp>
      <xdr:nvCxnSpPr>
        <xdr:cNvPr id="64562" name="Line 63"/>
        <xdr:cNvCxnSpPr/>
      </xdr:nvCxnSpPr>
      <xdr:spPr>
        <a:xfrm>
          <a:off x="5846445" y="2457450"/>
          <a:ext cx="1905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579120</xdr:colOff>
      <xdr:row>8</xdr:row>
      <xdr:rowOff>68580</xdr:rowOff>
    </xdr:from>
    <xdr:to>
      <xdr:col>13</xdr:col>
      <xdr:colOff>579120</xdr:colOff>
      <xdr:row>8</xdr:row>
      <xdr:rowOff>152400</xdr:rowOff>
    </xdr:to>
    <xdr:cxnSp>
      <xdr:nvCxnSpPr>
        <xdr:cNvPr id="64563" name="Line 64"/>
        <xdr:cNvCxnSpPr/>
      </xdr:nvCxnSpPr>
      <xdr:spPr>
        <a:xfrm flipV="1">
          <a:off x="6044565" y="237363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579120</xdr:colOff>
      <xdr:row>8</xdr:row>
      <xdr:rowOff>68580</xdr:rowOff>
    </xdr:from>
    <xdr:to>
      <xdr:col>14</xdr:col>
      <xdr:colOff>220980</xdr:colOff>
      <xdr:row>8</xdr:row>
      <xdr:rowOff>68580</xdr:rowOff>
    </xdr:to>
    <xdr:cxnSp>
      <xdr:nvCxnSpPr>
        <xdr:cNvPr id="64564" name="Line 65"/>
        <xdr:cNvCxnSpPr/>
      </xdr:nvCxnSpPr>
      <xdr:spPr>
        <a:xfrm>
          <a:off x="6044565" y="2373630"/>
          <a:ext cx="2419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8</xdr:row>
      <xdr:rowOff>68580</xdr:rowOff>
    </xdr:from>
    <xdr:to>
      <xdr:col>14</xdr:col>
      <xdr:colOff>220980</xdr:colOff>
      <xdr:row>8</xdr:row>
      <xdr:rowOff>152400</xdr:rowOff>
    </xdr:to>
    <xdr:cxnSp>
      <xdr:nvCxnSpPr>
        <xdr:cNvPr id="64565" name="Line 66"/>
        <xdr:cNvCxnSpPr/>
      </xdr:nvCxnSpPr>
      <xdr:spPr>
        <a:xfrm>
          <a:off x="6286500" y="237363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8</xdr:row>
      <xdr:rowOff>152400</xdr:rowOff>
    </xdr:from>
    <xdr:to>
      <xdr:col>15</xdr:col>
      <xdr:colOff>30480</xdr:colOff>
      <xdr:row>8</xdr:row>
      <xdr:rowOff>152400</xdr:rowOff>
    </xdr:to>
    <xdr:cxnSp>
      <xdr:nvCxnSpPr>
        <xdr:cNvPr id="64566" name="Line 67"/>
        <xdr:cNvCxnSpPr/>
      </xdr:nvCxnSpPr>
      <xdr:spPr>
        <a:xfrm>
          <a:off x="6286500" y="2457450"/>
          <a:ext cx="1238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350520</xdr:colOff>
      <xdr:row>4</xdr:row>
      <xdr:rowOff>0</xdr:rowOff>
    </xdr:from>
    <xdr:to>
      <xdr:col>16</xdr:col>
      <xdr:colOff>83820</xdr:colOff>
      <xdr:row>4</xdr:row>
      <xdr:rowOff>175260</xdr:rowOff>
    </xdr:to>
    <xdr:sp>
      <xdr:nvSpPr>
        <xdr:cNvPr id="64567" name="Freeform 69"/>
        <xdr:cNvSpPr>
          <a:spLocks/>
        </xdr:cNvSpPr>
      </xdr:nvSpPr>
      <xdr:spPr>
        <a:xfrm>
          <a:off x="4834890" y="1482090"/>
          <a:ext cx="1704975" cy="175260"/>
        </a:xfrm>
        <a:custGeom>
          <a:pathLst>
            <a:path w="186" h="19">
              <a:moveTo>
                <a:pt x="4" y="7"/>
              </a:moveTo>
              <a:cubicBezTo>
                <a:pt x="2" y="7"/>
                <a:pt x="0" y="7"/>
                <a:pt x="7" y="6"/>
              </a:cubicBezTo>
              <a:cubicBezTo>
                <a:pt x="14" y="5"/>
                <a:pt x="39" y="0"/>
                <a:pt x="49" y="2"/>
              </a:cubicBezTo>
              <a:cubicBezTo>
                <a:pt x="59" y="4"/>
                <a:pt x="59" y="15"/>
                <a:pt x="66" y="17"/>
              </a:cubicBezTo>
              <a:cubicBezTo>
                <a:pt x="73" y="19"/>
                <a:pt x="83" y="18"/>
                <a:pt x="89" y="17"/>
              </a:cubicBezTo>
              <a:cubicBezTo>
                <a:pt x="95" y="16"/>
                <a:pt x="98" y="13"/>
                <a:pt x="102" y="12"/>
              </a:cubicBezTo>
              <a:cubicBezTo>
                <a:pt x="106" y="11"/>
                <a:pt x="110" y="10"/>
                <a:pt x="115" y="9"/>
              </a:cubicBezTo>
              <a:cubicBezTo>
                <a:pt x="120" y="8"/>
                <a:pt x="128" y="6"/>
                <a:pt x="132" y="6"/>
              </a:cubicBezTo>
              <a:cubicBezTo>
                <a:pt x="136" y="6"/>
                <a:pt x="138" y="10"/>
                <a:pt x="142" y="11"/>
              </a:cubicBezTo>
              <a:cubicBezTo>
                <a:pt x="146" y="12"/>
                <a:pt x="151" y="12"/>
                <a:pt x="155" y="11"/>
              </a:cubicBezTo>
              <a:cubicBezTo>
                <a:pt x="159" y="10"/>
                <a:pt x="164" y="8"/>
                <a:pt x="168" y="7"/>
              </a:cubicBezTo>
              <a:cubicBezTo>
                <a:pt x="172" y="6"/>
                <a:pt x="178" y="7"/>
                <a:pt x="181" y="8"/>
              </a:cubicBezTo>
              <a:cubicBezTo>
                <a:pt x="184" y="9"/>
                <a:pt x="185" y="12"/>
                <a:pt x="186" y="12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152400</xdr:colOff>
      <xdr:row>4</xdr:row>
      <xdr:rowOff>190500</xdr:rowOff>
    </xdr:from>
    <xdr:to>
      <xdr:col>5</xdr:col>
      <xdr:colOff>152400</xdr:colOff>
      <xdr:row>7</xdr:row>
      <xdr:rowOff>137160</xdr:rowOff>
    </xdr:to>
    <xdr:cxnSp>
      <xdr:nvCxnSpPr>
        <xdr:cNvPr id="64568" name="Line 71"/>
        <xdr:cNvCxnSpPr/>
      </xdr:nvCxnSpPr>
      <xdr:spPr>
        <a:xfrm>
          <a:off x="2665095" y="1672590"/>
          <a:ext cx="0" cy="5638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4</xdr:row>
      <xdr:rowOff>198120</xdr:rowOff>
    </xdr:from>
    <xdr:to>
      <xdr:col>9</xdr:col>
      <xdr:colOff>304800</xdr:colOff>
      <xdr:row>7</xdr:row>
      <xdr:rowOff>152400</xdr:rowOff>
    </xdr:to>
    <xdr:cxnSp>
      <xdr:nvCxnSpPr>
        <xdr:cNvPr id="64569" name="Line 72"/>
        <xdr:cNvCxnSpPr/>
      </xdr:nvCxnSpPr>
      <xdr:spPr>
        <a:xfrm flipH="1">
          <a:off x="3989070" y="1680210"/>
          <a:ext cx="0" cy="5715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7</xdr:row>
      <xdr:rowOff>144780</xdr:rowOff>
    </xdr:from>
    <xdr:to>
      <xdr:col>5</xdr:col>
      <xdr:colOff>327660</xdr:colOff>
      <xdr:row>7</xdr:row>
      <xdr:rowOff>144780</xdr:rowOff>
    </xdr:to>
    <xdr:cxnSp>
      <xdr:nvCxnSpPr>
        <xdr:cNvPr id="64570" name="Line 73"/>
        <xdr:cNvCxnSpPr/>
      </xdr:nvCxnSpPr>
      <xdr:spPr>
        <a:xfrm>
          <a:off x="2657475" y="2244090"/>
          <a:ext cx="18288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312420</xdr:colOff>
      <xdr:row>7</xdr:row>
      <xdr:rowOff>144780</xdr:rowOff>
    </xdr:from>
    <xdr:to>
      <xdr:col>6</xdr:col>
      <xdr:colOff>22860</xdr:colOff>
      <xdr:row>8</xdr:row>
      <xdr:rowOff>68580</xdr:rowOff>
    </xdr:to>
    <xdr:cxnSp>
      <xdr:nvCxnSpPr>
        <xdr:cNvPr id="64571" name="Line 75"/>
        <xdr:cNvCxnSpPr/>
      </xdr:nvCxnSpPr>
      <xdr:spPr>
        <a:xfrm>
          <a:off x="2825115" y="2244090"/>
          <a:ext cx="53340" cy="1295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8</xdr:row>
      <xdr:rowOff>68580</xdr:rowOff>
    </xdr:from>
    <xdr:to>
      <xdr:col>6</xdr:col>
      <xdr:colOff>289560</xdr:colOff>
      <xdr:row>8</xdr:row>
      <xdr:rowOff>68580</xdr:rowOff>
    </xdr:to>
    <xdr:cxnSp>
      <xdr:nvCxnSpPr>
        <xdr:cNvPr id="64572" name="Line 76"/>
        <xdr:cNvCxnSpPr/>
      </xdr:nvCxnSpPr>
      <xdr:spPr>
        <a:xfrm flipV="1">
          <a:off x="2878455" y="2373630"/>
          <a:ext cx="26670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7</xdr:row>
      <xdr:rowOff>144780</xdr:rowOff>
    </xdr:from>
    <xdr:to>
      <xdr:col>6</xdr:col>
      <xdr:colOff>373380</xdr:colOff>
      <xdr:row>8</xdr:row>
      <xdr:rowOff>68580</xdr:rowOff>
    </xdr:to>
    <xdr:cxnSp>
      <xdr:nvCxnSpPr>
        <xdr:cNvPr id="64573" name="Line 78"/>
        <xdr:cNvCxnSpPr/>
      </xdr:nvCxnSpPr>
      <xdr:spPr>
        <a:xfrm flipV="1">
          <a:off x="3129915" y="2244090"/>
          <a:ext cx="99060" cy="1295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365760</xdr:colOff>
      <xdr:row>7</xdr:row>
      <xdr:rowOff>144780</xdr:rowOff>
    </xdr:from>
    <xdr:to>
      <xdr:col>8</xdr:col>
      <xdr:colOff>175260</xdr:colOff>
      <xdr:row>7</xdr:row>
      <xdr:rowOff>144780</xdr:rowOff>
    </xdr:to>
    <xdr:cxnSp>
      <xdr:nvCxnSpPr>
        <xdr:cNvPr id="64574" name="Line 79"/>
        <xdr:cNvCxnSpPr/>
      </xdr:nvCxnSpPr>
      <xdr:spPr>
        <a:xfrm>
          <a:off x="3221355" y="2244090"/>
          <a:ext cx="23812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7</xdr:row>
      <xdr:rowOff>137160</xdr:rowOff>
    </xdr:from>
    <xdr:to>
      <xdr:col>8</xdr:col>
      <xdr:colOff>251460</xdr:colOff>
      <xdr:row>8</xdr:row>
      <xdr:rowOff>60960</xdr:rowOff>
    </xdr:to>
    <xdr:cxnSp>
      <xdr:nvCxnSpPr>
        <xdr:cNvPr id="64575" name="Line 80"/>
        <xdr:cNvCxnSpPr/>
      </xdr:nvCxnSpPr>
      <xdr:spPr>
        <a:xfrm>
          <a:off x="3444240" y="2236470"/>
          <a:ext cx="91440" cy="1295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8</xdr:row>
      <xdr:rowOff>60960</xdr:rowOff>
    </xdr:from>
    <xdr:to>
      <xdr:col>9</xdr:col>
      <xdr:colOff>60960</xdr:colOff>
      <xdr:row>8</xdr:row>
      <xdr:rowOff>60960</xdr:rowOff>
    </xdr:to>
    <xdr:cxnSp>
      <xdr:nvCxnSpPr>
        <xdr:cNvPr id="64576" name="Line 81"/>
        <xdr:cNvCxnSpPr/>
      </xdr:nvCxnSpPr>
      <xdr:spPr>
        <a:xfrm>
          <a:off x="3520440" y="2366010"/>
          <a:ext cx="22479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7</xdr:row>
      <xdr:rowOff>144780</xdr:rowOff>
    </xdr:from>
    <xdr:to>
      <xdr:col>9</xdr:col>
      <xdr:colOff>137160</xdr:colOff>
      <xdr:row>8</xdr:row>
      <xdr:rowOff>60960</xdr:rowOff>
    </xdr:to>
    <xdr:cxnSp>
      <xdr:nvCxnSpPr>
        <xdr:cNvPr id="64577" name="Line 82"/>
        <xdr:cNvCxnSpPr/>
      </xdr:nvCxnSpPr>
      <xdr:spPr>
        <a:xfrm flipV="1">
          <a:off x="3729990" y="2244090"/>
          <a:ext cx="91440" cy="1219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7</xdr:row>
      <xdr:rowOff>144780</xdr:rowOff>
    </xdr:from>
    <xdr:to>
      <xdr:col>9</xdr:col>
      <xdr:colOff>312420</xdr:colOff>
      <xdr:row>7</xdr:row>
      <xdr:rowOff>144780</xdr:rowOff>
    </xdr:to>
    <xdr:cxnSp>
      <xdr:nvCxnSpPr>
        <xdr:cNvPr id="64578" name="Line 83"/>
        <xdr:cNvCxnSpPr/>
      </xdr:nvCxnSpPr>
      <xdr:spPr>
        <a:xfrm>
          <a:off x="3821430" y="2244090"/>
          <a:ext cx="17526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8</xdr:row>
      <xdr:rowOff>45720</xdr:rowOff>
    </xdr:from>
    <xdr:to>
      <xdr:col>5</xdr:col>
      <xdr:colOff>350520</xdr:colOff>
      <xdr:row>8</xdr:row>
      <xdr:rowOff>175260</xdr:rowOff>
    </xdr:to>
    <xdr:cxnSp>
      <xdr:nvCxnSpPr>
        <xdr:cNvPr id="64579" name="Line 84"/>
        <xdr:cNvCxnSpPr/>
      </xdr:nvCxnSpPr>
      <xdr:spPr>
        <a:xfrm>
          <a:off x="2787015" y="2350770"/>
          <a:ext cx="76200" cy="1295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373380</xdr:colOff>
      <xdr:row>8</xdr:row>
      <xdr:rowOff>175260</xdr:rowOff>
    </xdr:from>
    <xdr:to>
      <xdr:col>6</xdr:col>
      <xdr:colOff>327660</xdr:colOff>
      <xdr:row>8</xdr:row>
      <xdr:rowOff>175260</xdr:rowOff>
    </xdr:to>
    <xdr:cxnSp>
      <xdr:nvCxnSpPr>
        <xdr:cNvPr id="64580" name="Line 85"/>
        <xdr:cNvCxnSpPr/>
      </xdr:nvCxnSpPr>
      <xdr:spPr>
        <a:xfrm flipV="1">
          <a:off x="2886075" y="2480310"/>
          <a:ext cx="29718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312420</xdr:colOff>
      <xdr:row>8</xdr:row>
      <xdr:rowOff>38100</xdr:rowOff>
    </xdr:from>
    <xdr:to>
      <xdr:col>7</xdr:col>
      <xdr:colOff>30480</xdr:colOff>
      <xdr:row>8</xdr:row>
      <xdr:rowOff>182880</xdr:rowOff>
    </xdr:to>
    <xdr:cxnSp>
      <xdr:nvCxnSpPr>
        <xdr:cNvPr id="64581" name="Line 86"/>
        <xdr:cNvCxnSpPr/>
      </xdr:nvCxnSpPr>
      <xdr:spPr>
        <a:xfrm flipV="1">
          <a:off x="3168015" y="2343150"/>
          <a:ext cx="60960" cy="1447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8</xdr:row>
      <xdr:rowOff>38100</xdr:rowOff>
    </xdr:from>
    <xdr:to>
      <xdr:col>8</xdr:col>
      <xdr:colOff>114300</xdr:colOff>
      <xdr:row>8</xdr:row>
      <xdr:rowOff>38100</xdr:rowOff>
    </xdr:to>
    <xdr:cxnSp>
      <xdr:nvCxnSpPr>
        <xdr:cNvPr id="64582" name="Line 87"/>
        <xdr:cNvCxnSpPr/>
      </xdr:nvCxnSpPr>
      <xdr:spPr>
        <a:xfrm>
          <a:off x="3221355" y="2343150"/>
          <a:ext cx="17716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</xdr:colOff>
      <xdr:row>8</xdr:row>
      <xdr:rowOff>38100</xdr:rowOff>
    </xdr:from>
    <xdr:to>
      <xdr:col>8</xdr:col>
      <xdr:colOff>190500</xdr:colOff>
      <xdr:row>8</xdr:row>
      <xdr:rowOff>175260</xdr:rowOff>
    </xdr:to>
    <xdr:cxnSp>
      <xdr:nvCxnSpPr>
        <xdr:cNvPr id="64583" name="Line 88"/>
        <xdr:cNvCxnSpPr/>
      </xdr:nvCxnSpPr>
      <xdr:spPr>
        <a:xfrm>
          <a:off x="3390900" y="2343150"/>
          <a:ext cx="83820" cy="1371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8</xdr:row>
      <xdr:rowOff>160020</xdr:rowOff>
    </xdr:from>
    <xdr:to>
      <xdr:col>9</xdr:col>
      <xdr:colOff>99060</xdr:colOff>
      <xdr:row>8</xdr:row>
      <xdr:rowOff>160020</xdr:rowOff>
    </xdr:to>
    <xdr:cxnSp>
      <xdr:nvCxnSpPr>
        <xdr:cNvPr id="64584" name="Line 89"/>
        <xdr:cNvCxnSpPr/>
      </xdr:nvCxnSpPr>
      <xdr:spPr>
        <a:xfrm>
          <a:off x="3467100" y="2465070"/>
          <a:ext cx="31623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8</xdr:row>
      <xdr:rowOff>30480</xdr:rowOff>
    </xdr:from>
    <xdr:to>
      <xdr:col>9</xdr:col>
      <xdr:colOff>190500</xdr:colOff>
      <xdr:row>8</xdr:row>
      <xdr:rowOff>175260</xdr:rowOff>
    </xdr:to>
    <xdr:cxnSp>
      <xdr:nvCxnSpPr>
        <xdr:cNvPr id="64585" name="Line 90"/>
        <xdr:cNvCxnSpPr/>
      </xdr:nvCxnSpPr>
      <xdr:spPr>
        <a:xfrm flipV="1">
          <a:off x="3768090" y="2335530"/>
          <a:ext cx="106680" cy="1447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8</xdr:row>
      <xdr:rowOff>30480</xdr:rowOff>
    </xdr:from>
    <xdr:to>
      <xdr:col>9</xdr:col>
      <xdr:colOff>312420</xdr:colOff>
      <xdr:row>8</xdr:row>
      <xdr:rowOff>30480</xdr:rowOff>
    </xdr:to>
    <xdr:cxnSp>
      <xdr:nvCxnSpPr>
        <xdr:cNvPr id="64586" name="Line 91"/>
        <xdr:cNvCxnSpPr/>
      </xdr:nvCxnSpPr>
      <xdr:spPr>
        <a:xfrm>
          <a:off x="3874770" y="2335530"/>
          <a:ext cx="12192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8</xdr:row>
      <xdr:rowOff>45720</xdr:rowOff>
    </xdr:from>
    <xdr:to>
      <xdr:col>5</xdr:col>
      <xdr:colOff>274320</xdr:colOff>
      <xdr:row>8</xdr:row>
      <xdr:rowOff>45720</xdr:rowOff>
    </xdr:to>
    <xdr:cxnSp>
      <xdr:nvCxnSpPr>
        <xdr:cNvPr id="64587" name="Line 92"/>
        <xdr:cNvCxnSpPr/>
      </xdr:nvCxnSpPr>
      <xdr:spPr>
        <a:xfrm>
          <a:off x="2665095" y="2350770"/>
          <a:ext cx="12192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8</xdr:row>
      <xdr:rowOff>38100</xdr:rowOff>
    </xdr:from>
    <xdr:to>
      <xdr:col>5</xdr:col>
      <xdr:colOff>144780</xdr:colOff>
      <xdr:row>10</xdr:row>
      <xdr:rowOff>76200</xdr:rowOff>
    </xdr:to>
    <xdr:cxnSp>
      <xdr:nvCxnSpPr>
        <xdr:cNvPr id="64588" name="Line 93"/>
        <xdr:cNvCxnSpPr/>
      </xdr:nvCxnSpPr>
      <xdr:spPr>
        <a:xfrm>
          <a:off x="2657475" y="2343150"/>
          <a:ext cx="0" cy="4495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8</xdr:row>
      <xdr:rowOff>22860</xdr:rowOff>
    </xdr:from>
    <xdr:to>
      <xdr:col>9</xdr:col>
      <xdr:colOff>304800</xdr:colOff>
      <xdr:row>10</xdr:row>
      <xdr:rowOff>76200</xdr:rowOff>
    </xdr:to>
    <xdr:cxnSp>
      <xdr:nvCxnSpPr>
        <xdr:cNvPr id="64589" name="Line 94"/>
        <xdr:cNvCxnSpPr/>
      </xdr:nvCxnSpPr>
      <xdr:spPr>
        <a:xfrm>
          <a:off x="3989070" y="2327910"/>
          <a:ext cx="0" cy="4648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137160</xdr:colOff>
      <xdr:row>10</xdr:row>
      <xdr:rowOff>68580</xdr:rowOff>
    </xdr:from>
    <xdr:to>
      <xdr:col>9</xdr:col>
      <xdr:colOff>304800</xdr:colOff>
      <xdr:row>10</xdr:row>
      <xdr:rowOff>68580</xdr:rowOff>
    </xdr:to>
    <xdr:cxnSp>
      <xdr:nvCxnSpPr>
        <xdr:cNvPr id="64590" name="Line 95"/>
        <xdr:cNvCxnSpPr/>
      </xdr:nvCxnSpPr>
      <xdr:spPr>
        <a:xfrm>
          <a:off x="2649855" y="2785110"/>
          <a:ext cx="133921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7</xdr:row>
      <xdr:rowOff>144780</xdr:rowOff>
    </xdr:from>
    <xdr:to>
      <xdr:col>5</xdr:col>
      <xdr:colOff>228600</xdr:colOff>
      <xdr:row>8</xdr:row>
      <xdr:rowOff>38100</xdr:rowOff>
    </xdr:to>
    <xdr:cxnSp>
      <xdr:nvCxnSpPr>
        <xdr:cNvPr id="64591" name="Line 96"/>
        <xdr:cNvCxnSpPr/>
      </xdr:nvCxnSpPr>
      <xdr:spPr>
        <a:xfrm>
          <a:off x="2741295" y="2244090"/>
          <a:ext cx="0" cy="990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251460</xdr:colOff>
      <xdr:row>7</xdr:row>
      <xdr:rowOff>144780</xdr:rowOff>
    </xdr:from>
    <xdr:to>
      <xdr:col>9</xdr:col>
      <xdr:colOff>251460</xdr:colOff>
      <xdr:row>8</xdr:row>
      <xdr:rowOff>22860</xdr:rowOff>
    </xdr:to>
    <xdr:cxnSp>
      <xdr:nvCxnSpPr>
        <xdr:cNvPr id="64592" name="Line 97"/>
        <xdr:cNvCxnSpPr/>
      </xdr:nvCxnSpPr>
      <xdr:spPr>
        <a:xfrm>
          <a:off x="3935730" y="2244090"/>
          <a:ext cx="0" cy="83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4</xdr:row>
      <xdr:rowOff>121920</xdr:rowOff>
    </xdr:from>
    <xdr:to>
      <xdr:col>9</xdr:col>
      <xdr:colOff>312420</xdr:colOff>
      <xdr:row>5</xdr:row>
      <xdr:rowOff>83820</xdr:rowOff>
    </xdr:to>
    <xdr:sp>
      <xdr:nvSpPr>
        <xdr:cNvPr id="64593" name="Freeform 98"/>
        <xdr:cNvSpPr>
          <a:spLocks/>
        </xdr:cNvSpPr>
      </xdr:nvSpPr>
      <xdr:spPr>
        <a:xfrm>
          <a:off x="2657475" y="1604010"/>
          <a:ext cx="1339215" cy="167640"/>
        </a:xfrm>
        <a:custGeom>
          <a:pathLst>
            <a:path w="157" h="18">
              <a:moveTo>
                <a:pt x="0" y="8"/>
              </a:moveTo>
              <a:cubicBezTo>
                <a:pt x="1" y="8"/>
                <a:pt x="2" y="8"/>
                <a:pt x="6" y="7"/>
              </a:cubicBezTo>
              <a:cubicBezTo>
                <a:pt x="10" y="6"/>
                <a:pt x="18" y="0"/>
                <a:pt x="26" y="2"/>
              </a:cubicBezTo>
              <a:cubicBezTo>
                <a:pt x="34" y="4"/>
                <a:pt x="46" y="14"/>
                <a:pt x="55" y="16"/>
              </a:cubicBezTo>
              <a:cubicBezTo>
                <a:pt x="64" y="18"/>
                <a:pt x="73" y="18"/>
                <a:pt x="80" y="17"/>
              </a:cubicBezTo>
              <a:cubicBezTo>
                <a:pt x="87" y="16"/>
                <a:pt x="93" y="11"/>
                <a:pt x="99" y="9"/>
              </a:cubicBezTo>
              <a:cubicBezTo>
                <a:pt x="105" y="7"/>
                <a:pt x="111" y="5"/>
                <a:pt x="117" y="6"/>
              </a:cubicBezTo>
              <a:cubicBezTo>
                <a:pt x="123" y="7"/>
                <a:pt x="129" y="13"/>
                <a:pt x="136" y="13"/>
              </a:cubicBezTo>
              <a:cubicBezTo>
                <a:pt x="143" y="13"/>
                <a:pt x="154" y="9"/>
                <a:pt x="157" y="8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259080</xdr:colOff>
      <xdr:row>7</xdr:row>
      <xdr:rowOff>114300</xdr:rowOff>
    </xdr:from>
    <xdr:to>
      <xdr:col>15</xdr:col>
      <xdr:colOff>45720</xdr:colOff>
      <xdr:row>8</xdr:row>
      <xdr:rowOff>152400</xdr:rowOff>
    </xdr:to>
    <xdr:sp>
      <xdr:nvSpPr>
        <xdr:cNvPr id="64594" name="Arc 100"/>
        <xdr:cNvSpPr>
          <a:spLocks/>
        </xdr:cNvSpPr>
      </xdr:nvSpPr>
      <xdr:spPr>
        <a:xfrm flipV="1">
          <a:off x="6324600" y="2213610"/>
          <a:ext cx="100965" cy="243840"/>
        </a:xfrm>
        <a:custGeom>
          <a:pathLst>
            <a:path w="21600" h="21726">
              <a:moveTo>
                <a:pt x="19828" y="0"/>
              </a:moveTo>
              <a:cubicBezTo>
                <a:pt x="20997" y="2704"/>
                <a:pt x="21600" y="5619"/>
                <a:pt x="21600" y="8566"/>
              </a:cubicBezTo>
              <a:cubicBezTo>
                <a:pt x="21600" y="13325"/>
                <a:pt x="20027" y="17952"/>
                <a:pt x="17127" y="21726"/>
              </a:cubicBezTo>
              <a:moveTo>
                <a:pt x="19828" y="0"/>
              </a:moveTo>
              <a:cubicBezTo>
                <a:pt x="20997" y="2704"/>
                <a:pt x="21600" y="5619"/>
                <a:pt x="21600" y="8566"/>
              </a:cubicBezTo>
              <a:cubicBezTo>
                <a:pt x="21600" y="13325"/>
                <a:pt x="20027" y="17952"/>
                <a:pt x="17127" y="21726"/>
              </a:cubicBezTo>
              <a:lnTo>
                <a:pt x="0" y="8566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45720</xdr:colOff>
      <xdr:row>7</xdr:row>
      <xdr:rowOff>114300</xdr:rowOff>
    </xdr:from>
    <xdr:to>
      <xdr:col>12</xdr:col>
      <xdr:colOff>175260</xdr:colOff>
      <xdr:row>8</xdr:row>
      <xdr:rowOff>160020</xdr:rowOff>
    </xdr:to>
    <xdr:sp>
      <xdr:nvSpPr>
        <xdr:cNvPr id="64595" name="Arc 101"/>
        <xdr:cNvSpPr>
          <a:spLocks/>
        </xdr:cNvSpPr>
      </xdr:nvSpPr>
      <xdr:spPr>
        <a:xfrm flipH="1">
          <a:off x="4977765" y="2213610"/>
          <a:ext cx="129540" cy="251460"/>
        </a:xfrm>
        <a:custGeom>
          <a:pathLst>
            <a:path w="21600" h="22267">
              <a:moveTo>
                <a:pt x="16035" y="0"/>
              </a:moveTo>
              <a:cubicBezTo>
                <a:pt x="19617" y="3968"/>
                <a:pt x="21600" y="9125"/>
                <a:pt x="21600" y="14471"/>
              </a:cubicBezTo>
              <a:cubicBezTo>
                <a:pt x="21600" y="17137"/>
                <a:pt x="21106" y="19780"/>
                <a:pt x="20144" y="22267"/>
              </a:cubicBezTo>
              <a:moveTo>
                <a:pt x="16035" y="0"/>
              </a:moveTo>
              <a:cubicBezTo>
                <a:pt x="19617" y="3968"/>
                <a:pt x="21600" y="9125"/>
                <a:pt x="21600" y="14471"/>
              </a:cubicBezTo>
              <a:cubicBezTo>
                <a:pt x="21600" y="17137"/>
                <a:pt x="21106" y="19780"/>
                <a:pt x="20144" y="22267"/>
              </a:cubicBezTo>
              <a:lnTo>
                <a:pt x="0" y="14471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45720</xdr:colOff>
      <xdr:row>8</xdr:row>
      <xdr:rowOff>152400</xdr:rowOff>
    </xdr:from>
    <xdr:to>
      <xdr:col>20</xdr:col>
      <xdr:colOff>76200</xdr:colOff>
      <xdr:row>10</xdr:row>
      <xdr:rowOff>121920</xdr:rowOff>
    </xdr:to>
    <xdr:sp>
      <xdr:nvSpPr>
        <xdr:cNvPr id="64596" name="Rectangle 109"/>
        <xdr:cNvSpPr>
          <a:spLocks/>
        </xdr:cNvSpPr>
      </xdr:nvSpPr>
      <xdr:spPr>
        <a:xfrm>
          <a:off x="6987540" y="2457450"/>
          <a:ext cx="1487805" cy="38100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19</xdr:col>
      <xdr:colOff>114300</xdr:colOff>
      <xdr:row>6</xdr:row>
      <xdr:rowOff>121920</xdr:rowOff>
    </xdr:from>
    <xdr:to>
      <xdr:col>20</xdr:col>
      <xdr:colOff>76200</xdr:colOff>
      <xdr:row>8</xdr:row>
      <xdr:rowOff>144780</xdr:rowOff>
    </xdr:to>
    <xdr:sp>
      <xdr:nvSpPr>
        <xdr:cNvPr id="64597" name="Rectangle 111"/>
        <xdr:cNvSpPr>
          <a:spLocks/>
        </xdr:cNvSpPr>
      </xdr:nvSpPr>
      <xdr:spPr>
        <a:xfrm>
          <a:off x="8027670" y="2015490"/>
          <a:ext cx="447675" cy="4343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45720</xdr:colOff>
      <xdr:row>6</xdr:row>
      <xdr:rowOff>121920</xdr:rowOff>
    </xdr:from>
    <xdr:to>
      <xdr:col>18</xdr:col>
      <xdr:colOff>7620</xdr:colOff>
      <xdr:row>8</xdr:row>
      <xdr:rowOff>144780</xdr:rowOff>
    </xdr:to>
    <xdr:sp>
      <xdr:nvSpPr>
        <xdr:cNvPr id="64598" name="Rectangle 113"/>
        <xdr:cNvSpPr>
          <a:spLocks/>
        </xdr:cNvSpPr>
      </xdr:nvSpPr>
      <xdr:spPr>
        <a:xfrm>
          <a:off x="6987540" y="2015490"/>
          <a:ext cx="447675" cy="434340"/>
        </a:xfrm>
        <a:prstGeom prst="rect"/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18</xdr:col>
      <xdr:colOff>22860</xdr:colOff>
      <xdr:row>3</xdr:row>
      <xdr:rowOff>327660</xdr:rowOff>
    </xdr:from>
    <xdr:to>
      <xdr:col>18</xdr:col>
      <xdr:colOff>22860</xdr:colOff>
      <xdr:row>7</xdr:row>
      <xdr:rowOff>7620</xdr:rowOff>
    </xdr:to>
    <xdr:cxnSp>
      <xdr:nvCxnSpPr>
        <xdr:cNvPr id="64599" name="Line 114"/>
        <xdr:cNvCxnSpPr/>
      </xdr:nvCxnSpPr>
      <xdr:spPr>
        <a:xfrm flipV="1">
          <a:off x="7450455" y="1476375"/>
          <a:ext cx="0" cy="630555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3</xdr:row>
      <xdr:rowOff>297180</xdr:rowOff>
    </xdr:from>
    <xdr:to>
      <xdr:col>19</xdr:col>
      <xdr:colOff>106680</xdr:colOff>
      <xdr:row>7</xdr:row>
      <xdr:rowOff>0</xdr:rowOff>
    </xdr:to>
    <xdr:cxnSp>
      <xdr:nvCxnSpPr>
        <xdr:cNvPr id="64600" name="Line 115"/>
        <xdr:cNvCxnSpPr/>
      </xdr:nvCxnSpPr>
      <xdr:spPr>
        <a:xfrm flipV="1">
          <a:off x="8020050" y="1445895"/>
          <a:ext cx="0" cy="653415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8</xdr:row>
      <xdr:rowOff>144780</xdr:rowOff>
    </xdr:from>
    <xdr:to>
      <xdr:col>19</xdr:col>
      <xdr:colOff>106680</xdr:colOff>
      <xdr:row>8</xdr:row>
      <xdr:rowOff>144780</xdr:rowOff>
    </xdr:to>
    <xdr:cxnSp>
      <xdr:nvCxnSpPr>
        <xdr:cNvPr id="64601" name="Line 116"/>
        <xdr:cNvCxnSpPr/>
      </xdr:nvCxnSpPr>
      <xdr:spPr>
        <a:xfrm>
          <a:off x="7450455" y="2449830"/>
          <a:ext cx="56959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175260</xdr:rowOff>
    </xdr:from>
    <xdr:to>
      <xdr:col>18</xdr:col>
      <xdr:colOff>22860</xdr:colOff>
      <xdr:row>8</xdr:row>
      <xdr:rowOff>152400</xdr:rowOff>
    </xdr:to>
    <xdr:cxnSp>
      <xdr:nvCxnSpPr>
        <xdr:cNvPr id="64602" name="Line 117"/>
        <xdr:cNvCxnSpPr/>
      </xdr:nvCxnSpPr>
      <xdr:spPr>
        <a:xfrm flipV="1">
          <a:off x="7450455" y="2274570"/>
          <a:ext cx="0" cy="1828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7</xdr:row>
      <xdr:rowOff>175260</xdr:rowOff>
    </xdr:from>
    <xdr:to>
      <xdr:col>19</xdr:col>
      <xdr:colOff>106680</xdr:colOff>
      <xdr:row>8</xdr:row>
      <xdr:rowOff>152400</xdr:rowOff>
    </xdr:to>
    <xdr:cxnSp>
      <xdr:nvCxnSpPr>
        <xdr:cNvPr id="64603" name="Line 118"/>
        <xdr:cNvCxnSpPr/>
      </xdr:nvCxnSpPr>
      <xdr:spPr>
        <a:xfrm flipV="1">
          <a:off x="8020050" y="2274570"/>
          <a:ext cx="0" cy="1828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175260</xdr:rowOff>
    </xdr:from>
    <xdr:to>
      <xdr:col>18</xdr:col>
      <xdr:colOff>106680</xdr:colOff>
      <xdr:row>7</xdr:row>
      <xdr:rowOff>175260</xdr:rowOff>
    </xdr:to>
    <xdr:cxnSp>
      <xdr:nvCxnSpPr>
        <xdr:cNvPr id="64604" name="Line 120"/>
        <xdr:cNvCxnSpPr/>
      </xdr:nvCxnSpPr>
      <xdr:spPr>
        <a:xfrm>
          <a:off x="7450455" y="2274570"/>
          <a:ext cx="8382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99060</xdr:colOff>
      <xdr:row>7</xdr:row>
      <xdr:rowOff>121920</xdr:rowOff>
    </xdr:from>
    <xdr:to>
      <xdr:col>18</xdr:col>
      <xdr:colOff>160020</xdr:colOff>
      <xdr:row>7</xdr:row>
      <xdr:rowOff>175260</xdr:rowOff>
    </xdr:to>
    <xdr:cxnSp>
      <xdr:nvCxnSpPr>
        <xdr:cNvPr id="64605" name="Line 121"/>
        <xdr:cNvCxnSpPr/>
      </xdr:nvCxnSpPr>
      <xdr:spPr>
        <a:xfrm flipV="1">
          <a:off x="7526655" y="2221230"/>
          <a:ext cx="60960" cy="533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7</xdr:row>
      <xdr:rowOff>121920</xdr:rowOff>
    </xdr:from>
    <xdr:to>
      <xdr:col>18</xdr:col>
      <xdr:colOff>251460</xdr:colOff>
      <xdr:row>7</xdr:row>
      <xdr:rowOff>121920</xdr:rowOff>
    </xdr:to>
    <xdr:cxnSp>
      <xdr:nvCxnSpPr>
        <xdr:cNvPr id="64606" name="Line 122"/>
        <xdr:cNvCxnSpPr/>
      </xdr:nvCxnSpPr>
      <xdr:spPr>
        <a:xfrm>
          <a:off x="7579995" y="2221230"/>
          <a:ext cx="9906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251460</xdr:colOff>
      <xdr:row>7</xdr:row>
      <xdr:rowOff>121920</xdr:rowOff>
    </xdr:from>
    <xdr:to>
      <xdr:col>18</xdr:col>
      <xdr:colOff>312420</xdr:colOff>
      <xdr:row>7</xdr:row>
      <xdr:rowOff>175260</xdr:rowOff>
    </xdr:to>
    <xdr:cxnSp>
      <xdr:nvCxnSpPr>
        <xdr:cNvPr id="64607" name="Line 123"/>
        <xdr:cNvCxnSpPr/>
      </xdr:nvCxnSpPr>
      <xdr:spPr>
        <a:xfrm>
          <a:off x="7679055" y="2221230"/>
          <a:ext cx="60960" cy="5334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7</xdr:row>
      <xdr:rowOff>175260</xdr:rowOff>
    </xdr:from>
    <xdr:to>
      <xdr:col>18</xdr:col>
      <xdr:colOff>457200</xdr:colOff>
      <xdr:row>7</xdr:row>
      <xdr:rowOff>175260</xdr:rowOff>
    </xdr:to>
    <xdr:cxnSp>
      <xdr:nvCxnSpPr>
        <xdr:cNvPr id="64608" name="Line 124"/>
        <xdr:cNvCxnSpPr/>
      </xdr:nvCxnSpPr>
      <xdr:spPr>
        <a:xfrm>
          <a:off x="7732395" y="2274570"/>
          <a:ext cx="15240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449580</xdr:colOff>
      <xdr:row>7</xdr:row>
      <xdr:rowOff>121920</xdr:rowOff>
    </xdr:from>
    <xdr:to>
      <xdr:col>18</xdr:col>
      <xdr:colOff>495300</xdr:colOff>
      <xdr:row>7</xdr:row>
      <xdr:rowOff>182880</xdr:rowOff>
    </xdr:to>
    <xdr:cxnSp>
      <xdr:nvCxnSpPr>
        <xdr:cNvPr id="64609" name="Line 125"/>
        <xdr:cNvCxnSpPr/>
      </xdr:nvCxnSpPr>
      <xdr:spPr>
        <a:xfrm flipV="1">
          <a:off x="7877175" y="2221230"/>
          <a:ext cx="45720" cy="609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7</xdr:row>
      <xdr:rowOff>121920</xdr:rowOff>
    </xdr:from>
    <xdr:to>
      <xdr:col>18</xdr:col>
      <xdr:colOff>502920</xdr:colOff>
      <xdr:row>7</xdr:row>
      <xdr:rowOff>121920</xdr:rowOff>
    </xdr:to>
    <xdr:cxnSp>
      <xdr:nvCxnSpPr>
        <xdr:cNvPr id="64610" name="Line 127"/>
        <xdr:cNvCxnSpPr/>
      </xdr:nvCxnSpPr>
      <xdr:spPr>
        <a:xfrm>
          <a:off x="7922895" y="2221230"/>
          <a:ext cx="762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563880</xdr:colOff>
      <xdr:row>7</xdr:row>
      <xdr:rowOff>121920</xdr:rowOff>
    </xdr:from>
    <xdr:to>
      <xdr:col>19</xdr:col>
      <xdr:colOff>22860</xdr:colOff>
      <xdr:row>7</xdr:row>
      <xdr:rowOff>182880</xdr:rowOff>
    </xdr:to>
    <xdr:cxnSp>
      <xdr:nvCxnSpPr>
        <xdr:cNvPr id="64611" name="Line 128"/>
        <xdr:cNvCxnSpPr/>
      </xdr:nvCxnSpPr>
      <xdr:spPr>
        <a:xfrm>
          <a:off x="7936230" y="2221230"/>
          <a:ext cx="55245" cy="609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7</xdr:row>
      <xdr:rowOff>175260</xdr:rowOff>
    </xdr:from>
    <xdr:to>
      <xdr:col>19</xdr:col>
      <xdr:colOff>114300</xdr:colOff>
      <xdr:row>7</xdr:row>
      <xdr:rowOff>175260</xdr:rowOff>
    </xdr:to>
    <xdr:cxnSp>
      <xdr:nvCxnSpPr>
        <xdr:cNvPr id="64612" name="Line 129"/>
        <xdr:cNvCxnSpPr/>
      </xdr:nvCxnSpPr>
      <xdr:spPr>
        <a:xfrm>
          <a:off x="7920990" y="2274570"/>
          <a:ext cx="10668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7620</xdr:rowOff>
    </xdr:from>
    <xdr:to>
      <xdr:col>18</xdr:col>
      <xdr:colOff>99060</xdr:colOff>
      <xdr:row>7</xdr:row>
      <xdr:rowOff>7620</xdr:rowOff>
    </xdr:to>
    <xdr:cxnSp>
      <xdr:nvCxnSpPr>
        <xdr:cNvPr id="64613" name="Line 132"/>
        <xdr:cNvCxnSpPr/>
      </xdr:nvCxnSpPr>
      <xdr:spPr>
        <a:xfrm>
          <a:off x="7450455" y="2106930"/>
          <a:ext cx="7620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7</xdr:row>
      <xdr:rowOff>0</xdr:rowOff>
    </xdr:from>
    <xdr:to>
      <xdr:col>18</xdr:col>
      <xdr:colOff>152400</xdr:colOff>
      <xdr:row>7</xdr:row>
      <xdr:rowOff>45720</xdr:rowOff>
    </xdr:to>
    <xdr:cxnSp>
      <xdr:nvCxnSpPr>
        <xdr:cNvPr id="64614" name="Line 133"/>
        <xdr:cNvCxnSpPr/>
      </xdr:nvCxnSpPr>
      <xdr:spPr>
        <a:xfrm>
          <a:off x="7511415" y="2099310"/>
          <a:ext cx="68580" cy="457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7</xdr:row>
      <xdr:rowOff>45720</xdr:rowOff>
    </xdr:from>
    <xdr:to>
      <xdr:col>18</xdr:col>
      <xdr:colOff>251460</xdr:colOff>
      <xdr:row>7</xdr:row>
      <xdr:rowOff>45720</xdr:rowOff>
    </xdr:to>
    <xdr:cxnSp>
      <xdr:nvCxnSpPr>
        <xdr:cNvPr id="64615" name="Line 134"/>
        <xdr:cNvCxnSpPr/>
      </xdr:nvCxnSpPr>
      <xdr:spPr>
        <a:xfrm>
          <a:off x="7579995" y="2145030"/>
          <a:ext cx="9906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7</xdr:row>
      <xdr:rowOff>0</xdr:rowOff>
    </xdr:from>
    <xdr:to>
      <xdr:col>18</xdr:col>
      <xdr:colOff>297180</xdr:colOff>
      <xdr:row>7</xdr:row>
      <xdr:rowOff>60960</xdr:rowOff>
    </xdr:to>
    <xdr:cxnSp>
      <xdr:nvCxnSpPr>
        <xdr:cNvPr id="64616" name="Line 135"/>
        <xdr:cNvCxnSpPr/>
      </xdr:nvCxnSpPr>
      <xdr:spPr>
        <a:xfrm flipV="1">
          <a:off x="7663815" y="2099310"/>
          <a:ext cx="60960" cy="609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297180</xdr:colOff>
      <xdr:row>7</xdr:row>
      <xdr:rowOff>0</xdr:rowOff>
    </xdr:from>
    <xdr:to>
      <xdr:col>18</xdr:col>
      <xdr:colOff>449580</xdr:colOff>
      <xdr:row>7</xdr:row>
      <xdr:rowOff>0</xdr:rowOff>
    </xdr:to>
    <xdr:cxnSp>
      <xdr:nvCxnSpPr>
        <xdr:cNvPr id="64617" name="Line 136"/>
        <xdr:cNvCxnSpPr/>
      </xdr:nvCxnSpPr>
      <xdr:spPr>
        <a:xfrm>
          <a:off x="7724775" y="2099310"/>
          <a:ext cx="15240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449580</xdr:colOff>
      <xdr:row>7</xdr:row>
      <xdr:rowOff>0</xdr:rowOff>
    </xdr:from>
    <xdr:to>
      <xdr:col>18</xdr:col>
      <xdr:colOff>487680</xdr:colOff>
      <xdr:row>7</xdr:row>
      <xdr:rowOff>38100</xdr:rowOff>
    </xdr:to>
    <xdr:cxnSp>
      <xdr:nvCxnSpPr>
        <xdr:cNvPr id="64618" name="Line 137"/>
        <xdr:cNvCxnSpPr/>
      </xdr:nvCxnSpPr>
      <xdr:spPr>
        <a:xfrm>
          <a:off x="7877175" y="2099310"/>
          <a:ext cx="38100" cy="381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487680</xdr:colOff>
      <xdr:row>7</xdr:row>
      <xdr:rowOff>38100</xdr:rowOff>
    </xdr:from>
    <xdr:to>
      <xdr:col>18</xdr:col>
      <xdr:colOff>502920</xdr:colOff>
      <xdr:row>7</xdr:row>
      <xdr:rowOff>38100</xdr:rowOff>
    </xdr:to>
    <xdr:cxnSp>
      <xdr:nvCxnSpPr>
        <xdr:cNvPr id="64619" name="Line 138"/>
        <xdr:cNvCxnSpPr/>
      </xdr:nvCxnSpPr>
      <xdr:spPr>
        <a:xfrm>
          <a:off x="7915275" y="2137410"/>
          <a:ext cx="1524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563880</xdr:colOff>
      <xdr:row>7</xdr:row>
      <xdr:rowOff>0</xdr:rowOff>
    </xdr:from>
    <xdr:to>
      <xdr:col>19</xdr:col>
      <xdr:colOff>22860</xdr:colOff>
      <xdr:row>7</xdr:row>
      <xdr:rowOff>38100</xdr:rowOff>
    </xdr:to>
    <xdr:cxnSp>
      <xdr:nvCxnSpPr>
        <xdr:cNvPr id="64620" name="Line 139"/>
        <xdr:cNvCxnSpPr/>
      </xdr:nvCxnSpPr>
      <xdr:spPr>
        <a:xfrm flipV="1">
          <a:off x="7936230" y="2099310"/>
          <a:ext cx="55245" cy="381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7</xdr:row>
      <xdr:rowOff>0</xdr:rowOff>
    </xdr:from>
    <xdr:to>
      <xdr:col>19</xdr:col>
      <xdr:colOff>114300</xdr:colOff>
      <xdr:row>7</xdr:row>
      <xdr:rowOff>0</xdr:rowOff>
    </xdr:to>
    <xdr:cxnSp>
      <xdr:nvCxnSpPr>
        <xdr:cNvPr id="64621" name="Line 140"/>
        <xdr:cNvCxnSpPr/>
      </xdr:nvCxnSpPr>
      <xdr:spPr>
        <a:xfrm>
          <a:off x="7936230" y="2099310"/>
          <a:ext cx="9144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7</xdr:row>
      <xdr:rowOff>45720</xdr:rowOff>
    </xdr:from>
    <xdr:to>
      <xdr:col>18</xdr:col>
      <xdr:colOff>60960</xdr:colOff>
      <xdr:row>7</xdr:row>
      <xdr:rowOff>45720</xdr:rowOff>
    </xdr:to>
    <xdr:cxnSp>
      <xdr:nvCxnSpPr>
        <xdr:cNvPr id="64622" name="Line 142"/>
        <xdr:cNvCxnSpPr/>
      </xdr:nvCxnSpPr>
      <xdr:spPr>
        <a:xfrm>
          <a:off x="7488555" y="2145030"/>
          <a:ext cx="0" cy="0"/>
        </a:xfrm>
        <a:prstGeom prst="line"/>
        <a:noFill/>
        <a:ln w="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16</xdr:row>
      <xdr:rowOff>236220</xdr:rowOff>
    </xdr:from>
    <xdr:to>
      <xdr:col>32</xdr:col>
      <xdr:colOff>571500</xdr:colOff>
      <xdr:row>16</xdr:row>
      <xdr:rowOff>236220</xdr:rowOff>
    </xdr:to>
    <xdr:cxnSp>
      <xdr:nvCxnSpPr>
        <xdr:cNvPr id="64623" name="Line 143"/>
        <xdr:cNvCxnSpPr/>
      </xdr:nvCxnSpPr>
      <xdr:spPr>
        <a:xfrm>
          <a:off x="14657070" y="40043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289560</xdr:colOff>
      <xdr:row>7</xdr:row>
      <xdr:rowOff>99060</xdr:rowOff>
    </xdr:from>
    <xdr:to>
      <xdr:col>18</xdr:col>
      <xdr:colOff>289560</xdr:colOff>
      <xdr:row>7</xdr:row>
      <xdr:rowOff>99060</xdr:rowOff>
    </xdr:to>
    <xdr:cxnSp>
      <xdr:nvCxnSpPr>
        <xdr:cNvPr id="64624" name="Line 144"/>
        <xdr:cNvCxnSpPr/>
      </xdr:nvCxnSpPr>
      <xdr:spPr>
        <a:xfrm>
          <a:off x="7717155" y="21983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220980</xdr:colOff>
      <xdr:row>8</xdr:row>
      <xdr:rowOff>83820</xdr:rowOff>
    </xdr:from>
    <xdr:to>
      <xdr:col>12</xdr:col>
      <xdr:colOff>220980</xdr:colOff>
      <xdr:row>8</xdr:row>
      <xdr:rowOff>83820</xdr:rowOff>
    </xdr:to>
    <xdr:cxnSp>
      <xdr:nvCxnSpPr>
        <xdr:cNvPr id="64625" name="Line 145"/>
        <xdr:cNvCxnSpPr/>
      </xdr:nvCxnSpPr>
      <xdr:spPr>
        <a:xfrm>
          <a:off x="5153025" y="23888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7</xdr:row>
      <xdr:rowOff>45720</xdr:rowOff>
    </xdr:from>
    <xdr:to>
      <xdr:col>19</xdr:col>
      <xdr:colOff>45720</xdr:colOff>
      <xdr:row>7</xdr:row>
      <xdr:rowOff>45720</xdr:rowOff>
    </xdr:to>
    <xdr:cxnSp>
      <xdr:nvCxnSpPr>
        <xdr:cNvPr id="64626" name="Line 146"/>
        <xdr:cNvCxnSpPr/>
      </xdr:nvCxnSpPr>
      <xdr:spPr>
        <a:xfrm>
          <a:off x="7959090" y="21450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7</xdr:row>
      <xdr:rowOff>182880</xdr:rowOff>
    </xdr:from>
    <xdr:to>
      <xdr:col>1</xdr:col>
      <xdr:colOff>312420</xdr:colOff>
      <xdr:row>7</xdr:row>
      <xdr:rowOff>182880</xdr:rowOff>
    </xdr:to>
    <xdr:cxnSp>
      <xdr:nvCxnSpPr>
        <xdr:cNvPr id="64627" name="Line 147"/>
        <xdr:cNvCxnSpPr/>
      </xdr:nvCxnSpPr>
      <xdr:spPr>
        <a:xfrm>
          <a:off x="453390" y="228219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541020</xdr:colOff>
      <xdr:row>7</xdr:row>
      <xdr:rowOff>76200</xdr:rowOff>
    </xdr:from>
    <xdr:to>
      <xdr:col>18</xdr:col>
      <xdr:colOff>502920</xdr:colOff>
      <xdr:row>7</xdr:row>
      <xdr:rowOff>76200</xdr:rowOff>
    </xdr:to>
    <xdr:cxnSp>
      <xdr:nvCxnSpPr>
        <xdr:cNvPr id="64628" name="Line 148"/>
        <xdr:cNvCxnSpPr/>
      </xdr:nvCxnSpPr>
      <xdr:spPr>
        <a:xfrm>
          <a:off x="7930515" y="2175510"/>
          <a:ext cx="3810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</xdr:row>
      <xdr:rowOff>99060</xdr:rowOff>
    </xdr:from>
    <xdr:to>
      <xdr:col>18</xdr:col>
      <xdr:colOff>121920</xdr:colOff>
      <xdr:row>7</xdr:row>
      <xdr:rowOff>99060</xdr:rowOff>
    </xdr:to>
    <xdr:cxnSp>
      <xdr:nvCxnSpPr>
        <xdr:cNvPr id="64629" name="Line 149"/>
        <xdr:cNvCxnSpPr/>
      </xdr:nvCxnSpPr>
      <xdr:spPr>
        <a:xfrm>
          <a:off x="7549515" y="21983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7</xdr:row>
      <xdr:rowOff>114300</xdr:rowOff>
    </xdr:from>
    <xdr:to>
      <xdr:col>18</xdr:col>
      <xdr:colOff>60960</xdr:colOff>
      <xdr:row>7</xdr:row>
      <xdr:rowOff>114300</xdr:rowOff>
    </xdr:to>
    <xdr:cxnSp>
      <xdr:nvCxnSpPr>
        <xdr:cNvPr id="64630" name="Line 150"/>
        <xdr:cNvCxnSpPr/>
      </xdr:nvCxnSpPr>
      <xdr:spPr>
        <a:xfrm>
          <a:off x="7488555" y="22136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7</xdr:row>
      <xdr:rowOff>83820</xdr:rowOff>
    </xdr:from>
    <xdr:to>
      <xdr:col>18</xdr:col>
      <xdr:colOff>190500</xdr:colOff>
      <xdr:row>7</xdr:row>
      <xdr:rowOff>83820</xdr:rowOff>
    </xdr:to>
    <xdr:cxnSp>
      <xdr:nvCxnSpPr>
        <xdr:cNvPr id="64631" name="Line 151"/>
        <xdr:cNvCxnSpPr/>
      </xdr:nvCxnSpPr>
      <xdr:spPr>
        <a:xfrm>
          <a:off x="7618095" y="21831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7</xdr:row>
      <xdr:rowOff>114300</xdr:rowOff>
    </xdr:from>
    <xdr:to>
      <xdr:col>19</xdr:col>
      <xdr:colOff>60960</xdr:colOff>
      <xdr:row>7</xdr:row>
      <xdr:rowOff>121920</xdr:rowOff>
    </xdr:to>
    <xdr:cxnSp>
      <xdr:nvCxnSpPr>
        <xdr:cNvPr id="64632" name="Line 152"/>
        <xdr:cNvCxnSpPr/>
      </xdr:nvCxnSpPr>
      <xdr:spPr>
        <a:xfrm>
          <a:off x="7936230" y="2213610"/>
          <a:ext cx="38100" cy="762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411480</xdr:colOff>
      <xdr:row>8</xdr:row>
      <xdr:rowOff>60960</xdr:rowOff>
    </xdr:from>
    <xdr:to>
      <xdr:col>1</xdr:col>
      <xdr:colOff>411480</xdr:colOff>
      <xdr:row>8</xdr:row>
      <xdr:rowOff>60960</xdr:rowOff>
    </xdr:to>
    <xdr:cxnSp>
      <xdr:nvCxnSpPr>
        <xdr:cNvPr id="64633" name="Line 153"/>
        <xdr:cNvCxnSpPr/>
      </xdr:nvCxnSpPr>
      <xdr:spPr>
        <a:xfrm>
          <a:off x="552450" y="23660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8</xdr:row>
      <xdr:rowOff>68580</xdr:rowOff>
    </xdr:from>
    <xdr:to>
      <xdr:col>2</xdr:col>
      <xdr:colOff>198120</xdr:colOff>
      <xdr:row>8</xdr:row>
      <xdr:rowOff>68580</xdr:rowOff>
    </xdr:to>
    <xdr:cxnSp>
      <xdr:nvCxnSpPr>
        <xdr:cNvPr id="64634" name="Line 154"/>
        <xdr:cNvCxnSpPr/>
      </xdr:nvCxnSpPr>
      <xdr:spPr>
        <a:xfrm>
          <a:off x="824865" y="23736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449580</xdr:colOff>
      <xdr:row>8</xdr:row>
      <xdr:rowOff>68580</xdr:rowOff>
    </xdr:from>
    <xdr:to>
      <xdr:col>2</xdr:col>
      <xdr:colOff>449580</xdr:colOff>
      <xdr:row>8</xdr:row>
      <xdr:rowOff>68580</xdr:rowOff>
    </xdr:to>
    <xdr:cxnSp>
      <xdr:nvCxnSpPr>
        <xdr:cNvPr id="64635" name="Line 155"/>
        <xdr:cNvCxnSpPr/>
      </xdr:nvCxnSpPr>
      <xdr:spPr>
        <a:xfrm>
          <a:off x="1076325" y="23736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</xdr:colOff>
      <xdr:row>8</xdr:row>
      <xdr:rowOff>60960</xdr:rowOff>
    </xdr:from>
    <xdr:to>
      <xdr:col>3</xdr:col>
      <xdr:colOff>22860</xdr:colOff>
      <xdr:row>8</xdr:row>
      <xdr:rowOff>60960</xdr:rowOff>
    </xdr:to>
    <xdr:cxnSp>
      <xdr:nvCxnSpPr>
        <xdr:cNvPr id="64636" name="Line 156"/>
        <xdr:cNvCxnSpPr/>
      </xdr:nvCxnSpPr>
      <xdr:spPr>
        <a:xfrm>
          <a:off x="1278255" y="23660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</xdr:colOff>
      <xdr:row>7</xdr:row>
      <xdr:rowOff>190500</xdr:rowOff>
    </xdr:from>
    <xdr:to>
      <xdr:col>2</xdr:col>
      <xdr:colOff>99060</xdr:colOff>
      <xdr:row>7</xdr:row>
      <xdr:rowOff>190500</xdr:rowOff>
    </xdr:to>
    <xdr:cxnSp>
      <xdr:nvCxnSpPr>
        <xdr:cNvPr id="64637" name="Line 157"/>
        <xdr:cNvCxnSpPr/>
      </xdr:nvCxnSpPr>
      <xdr:spPr>
        <a:xfrm>
          <a:off x="72580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7</xdr:row>
      <xdr:rowOff>182880</xdr:rowOff>
    </xdr:from>
    <xdr:to>
      <xdr:col>1</xdr:col>
      <xdr:colOff>480060</xdr:colOff>
      <xdr:row>7</xdr:row>
      <xdr:rowOff>182880</xdr:rowOff>
    </xdr:to>
    <xdr:cxnSp>
      <xdr:nvCxnSpPr>
        <xdr:cNvPr id="64638" name="Line 158"/>
        <xdr:cNvCxnSpPr/>
      </xdr:nvCxnSpPr>
      <xdr:spPr>
        <a:xfrm>
          <a:off x="621030" y="228219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8</xdr:row>
      <xdr:rowOff>121920</xdr:rowOff>
    </xdr:from>
    <xdr:to>
      <xdr:col>2</xdr:col>
      <xdr:colOff>68580</xdr:colOff>
      <xdr:row>8</xdr:row>
      <xdr:rowOff>121920</xdr:rowOff>
    </xdr:to>
    <xdr:cxnSp>
      <xdr:nvCxnSpPr>
        <xdr:cNvPr id="64639" name="Line 159"/>
        <xdr:cNvCxnSpPr/>
      </xdr:nvCxnSpPr>
      <xdr:spPr>
        <a:xfrm>
          <a:off x="695325" y="24269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</xdr:colOff>
      <xdr:row>8</xdr:row>
      <xdr:rowOff>45720</xdr:rowOff>
    </xdr:from>
    <xdr:to>
      <xdr:col>3</xdr:col>
      <xdr:colOff>198120</xdr:colOff>
      <xdr:row>8</xdr:row>
      <xdr:rowOff>45720</xdr:rowOff>
    </xdr:to>
    <xdr:cxnSp>
      <xdr:nvCxnSpPr>
        <xdr:cNvPr id="64640" name="Line 160"/>
        <xdr:cNvCxnSpPr/>
      </xdr:nvCxnSpPr>
      <xdr:spPr>
        <a:xfrm>
          <a:off x="1453515" y="23507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7</xdr:row>
      <xdr:rowOff>182880</xdr:rowOff>
    </xdr:from>
    <xdr:to>
      <xdr:col>2</xdr:col>
      <xdr:colOff>411480</xdr:colOff>
      <xdr:row>7</xdr:row>
      <xdr:rowOff>182880</xdr:rowOff>
    </xdr:to>
    <xdr:cxnSp>
      <xdr:nvCxnSpPr>
        <xdr:cNvPr id="64641" name="Line 161"/>
        <xdr:cNvCxnSpPr/>
      </xdr:nvCxnSpPr>
      <xdr:spPr>
        <a:xfrm>
          <a:off x="1038225" y="228219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8</xdr:row>
      <xdr:rowOff>83820</xdr:rowOff>
    </xdr:from>
    <xdr:to>
      <xdr:col>2</xdr:col>
      <xdr:colOff>335280</xdr:colOff>
      <xdr:row>8</xdr:row>
      <xdr:rowOff>83820</xdr:rowOff>
    </xdr:to>
    <xdr:cxnSp>
      <xdr:nvCxnSpPr>
        <xdr:cNvPr id="64642" name="Line 162"/>
        <xdr:cNvCxnSpPr/>
      </xdr:nvCxnSpPr>
      <xdr:spPr>
        <a:xfrm>
          <a:off x="962025" y="23888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655320</xdr:colOff>
      <xdr:row>8</xdr:row>
      <xdr:rowOff>106680</xdr:rowOff>
    </xdr:from>
    <xdr:to>
      <xdr:col>2</xdr:col>
      <xdr:colOff>647700</xdr:colOff>
      <xdr:row>8</xdr:row>
      <xdr:rowOff>106680</xdr:rowOff>
    </xdr:to>
    <xdr:cxnSp>
      <xdr:nvCxnSpPr>
        <xdr:cNvPr id="64643" name="Line 163"/>
        <xdr:cNvCxnSpPr/>
      </xdr:nvCxnSpPr>
      <xdr:spPr>
        <a:xfrm>
          <a:off x="1274445" y="2411730"/>
          <a:ext cx="762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8</xdr:row>
      <xdr:rowOff>0</xdr:rowOff>
    </xdr:from>
    <xdr:to>
      <xdr:col>2</xdr:col>
      <xdr:colOff>571500</xdr:colOff>
      <xdr:row>8</xdr:row>
      <xdr:rowOff>0</xdr:rowOff>
    </xdr:to>
    <xdr:cxnSp>
      <xdr:nvCxnSpPr>
        <xdr:cNvPr id="64644" name="Line 164"/>
        <xdr:cNvCxnSpPr/>
      </xdr:nvCxnSpPr>
      <xdr:spPr>
        <a:xfrm>
          <a:off x="1198245" y="230505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7</xdr:row>
      <xdr:rowOff>190500</xdr:rowOff>
    </xdr:from>
    <xdr:to>
      <xdr:col>3</xdr:col>
      <xdr:colOff>106680</xdr:colOff>
      <xdr:row>7</xdr:row>
      <xdr:rowOff>190500</xdr:rowOff>
    </xdr:to>
    <xdr:cxnSp>
      <xdr:nvCxnSpPr>
        <xdr:cNvPr id="64645" name="Line 165"/>
        <xdr:cNvCxnSpPr/>
      </xdr:nvCxnSpPr>
      <xdr:spPr>
        <a:xfrm>
          <a:off x="136207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7</xdr:row>
      <xdr:rowOff>198120</xdr:rowOff>
    </xdr:from>
    <xdr:to>
      <xdr:col>3</xdr:col>
      <xdr:colOff>411480</xdr:colOff>
      <xdr:row>7</xdr:row>
      <xdr:rowOff>198120</xdr:rowOff>
    </xdr:to>
    <xdr:cxnSp>
      <xdr:nvCxnSpPr>
        <xdr:cNvPr id="64646" name="Line 166"/>
        <xdr:cNvCxnSpPr/>
      </xdr:nvCxnSpPr>
      <xdr:spPr>
        <a:xfrm>
          <a:off x="1666875" y="22974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556260</xdr:colOff>
      <xdr:row>8</xdr:row>
      <xdr:rowOff>121920</xdr:rowOff>
    </xdr:from>
    <xdr:to>
      <xdr:col>2</xdr:col>
      <xdr:colOff>556260</xdr:colOff>
      <xdr:row>8</xdr:row>
      <xdr:rowOff>121920</xdr:rowOff>
    </xdr:to>
    <xdr:cxnSp>
      <xdr:nvCxnSpPr>
        <xdr:cNvPr id="64647" name="Line 167"/>
        <xdr:cNvCxnSpPr/>
      </xdr:nvCxnSpPr>
      <xdr:spPr>
        <a:xfrm>
          <a:off x="1183005" y="24269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8</xdr:row>
      <xdr:rowOff>99060</xdr:rowOff>
    </xdr:from>
    <xdr:to>
      <xdr:col>3</xdr:col>
      <xdr:colOff>114300</xdr:colOff>
      <xdr:row>8</xdr:row>
      <xdr:rowOff>99060</xdr:rowOff>
    </xdr:to>
    <xdr:cxnSp>
      <xdr:nvCxnSpPr>
        <xdr:cNvPr id="64648" name="Line 168"/>
        <xdr:cNvCxnSpPr/>
      </xdr:nvCxnSpPr>
      <xdr:spPr>
        <a:xfrm>
          <a:off x="1369695" y="24041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8</xdr:row>
      <xdr:rowOff>121920</xdr:rowOff>
    </xdr:from>
    <xdr:to>
      <xdr:col>3</xdr:col>
      <xdr:colOff>464820</xdr:colOff>
      <xdr:row>8</xdr:row>
      <xdr:rowOff>121920</xdr:rowOff>
    </xdr:to>
    <xdr:cxnSp>
      <xdr:nvCxnSpPr>
        <xdr:cNvPr id="64649" name="Line 169"/>
        <xdr:cNvCxnSpPr/>
      </xdr:nvCxnSpPr>
      <xdr:spPr>
        <a:xfrm>
          <a:off x="1720215" y="24269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7</xdr:row>
      <xdr:rowOff>190500</xdr:rowOff>
    </xdr:from>
    <xdr:to>
      <xdr:col>3</xdr:col>
      <xdr:colOff>251460</xdr:colOff>
      <xdr:row>7</xdr:row>
      <xdr:rowOff>190500</xdr:rowOff>
    </xdr:to>
    <xdr:cxnSp>
      <xdr:nvCxnSpPr>
        <xdr:cNvPr id="64650" name="Line 170"/>
        <xdr:cNvCxnSpPr/>
      </xdr:nvCxnSpPr>
      <xdr:spPr>
        <a:xfrm>
          <a:off x="150685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8</xdr:row>
      <xdr:rowOff>114300</xdr:rowOff>
    </xdr:from>
    <xdr:to>
      <xdr:col>3</xdr:col>
      <xdr:colOff>266700</xdr:colOff>
      <xdr:row>8</xdr:row>
      <xdr:rowOff>121920</xdr:rowOff>
    </xdr:to>
    <xdr:cxnSp>
      <xdr:nvCxnSpPr>
        <xdr:cNvPr id="64651" name="Line 171"/>
        <xdr:cNvCxnSpPr/>
      </xdr:nvCxnSpPr>
      <xdr:spPr>
        <a:xfrm flipV="1">
          <a:off x="1522095" y="2419350"/>
          <a:ext cx="0" cy="762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464820</xdr:colOff>
      <xdr:row>8</xdr:row>
      <xdr:rowOff>121920</xdr:rowOff>
    </xdr:from>
    <xdr:to>
      <xdr:col>1</xdr:col>
      <xdr:colOff>464820</xdr:colOff>
      <xdr:row>8</xdr:row>
      <xdr:rowOff>121920</xdr:rowOff>
    </xdr:to>
    <xdr:cxnSp>
      <xdr:nvCxnSpPr>
        <xdr:cNvPr id="64652" name="Line 172"/>
        <xdr:cNvCxnSpPr/>
      </xdr:nvCxnSpPr>
      <xdr:spPr>
        <a:xfrm>
          <a:off x="605790" y="24269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8</xdr:row>
      <xdr:rowOff>83820</xdr:rowOff>
    </xdr:from>
    <xdr:to>
      <xdr:col>1</xdr:col>
      <xdr:colOff>304800</xdr:colOff>
      <xdr:row>8</xdr:row>
      <xdr:rowOff>83820</xdr:rowOff>
    </xdr:to>
    <xdr:cxnSp>
      <xdr:nvCxnSpPr>
        <xdr:cNvPr id="64653" name="Line 173"/>
        <xdr:cNvCxnSpPr/>
      </xdr:nvCxnSpPr>
      <xdr:spPr>
        <a:xfrm>
          <a:off x="445770" y="23888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60960</xdr:rowOff>
    </xdr:from>
    <xdr:to>
      <xdr:col>2</xdr:col>
      <xdr:colOff>7620</xdr:colOff>
      <xdr:row>8</xdr:row>
      <xdr:rowOff>60960</xdr:rowOff>
    </xdr:to>
    <xdr:cxnSp>
      <xdr:nvCxnSpPr>
        <xdr:cNvPr id="64654" name="Line 174"/>
        <xdr:cNvCxnSpPr/>
      </xdr:nvCxnSpPr>
      <xdr:spPr>
        <a:xfrm>
          <a:off x="634365" y="23660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8</xdr:row>
      <xdr:rowOff>7620</xdr:rowOff>
    </xdr:from>
    <xdr:to>
      <xdr:col>12</xdr:col>
      <xdr:colOff>381000</xdr:colOff>
      <xdr:row>8</xdr:row>
      <xdr:rowOff>7620</xdr:rowOff>
    </xdr:to>
    <xdr:cxnSp>
      <xdr:nvCxnSpPr>
        <xdr:cNvPr id="64655" name="Line 175"/>
        <xdr:cNvCxnSpPr/>
      </xdr:nvCxnSpPr>
      <xdr:spPr>
        <a:xfrm>
          <a:off x="5313045" y="23126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</xdr:row>
      <xdr:rowOff>76200</xdr:rowOff>
    </xdr:from>
    <xdr:to>
      <xdr:col>13</xdr:col>
      <xdr:colOff>152400</xdr:colOff>
      <xdr:row>8</xdr:row>
      <xdr:rowOff>76200</xdr:rowOff>
    </xdr:to>
    <xdr:cxnSp>
      <xdr:nvCxnSpPr>
        <xdr:cNvPr id="64656" name="Line 176"/>
        <xdr:cNvCxnSpPr/>
      </xdr:nvCxnSpPr>
      <xdr:spPr>
        <a:xfrm>
          <a:off x="5617845" y="238125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350520</xdr:colOff>
      <xdr:row>7</xdr:row>
      <xdr:rowOff>175260</xdr:rowOff>
    </xdr:from>
    <xdr:to>
      <xdr:col>13</xdr:col>
      <xdr:colOff>350520</xdr:colOff>
      <xdr:row>7</xdr:row>
      <xdr:rowOff>175260</xdr:rowOff>
    </xdr:to>
    <xdr:cxnSp>
      <xdr:nvCxnSpPr>
        <xdr:cNvPr id="64657" name="Line 177"/>
        <xdr:cNvCxnSpPr/>
      </xdr:nvCxnSpPr>
      <xdr:spPr>
        <a:xfrm>
          <a:off x="5815965" y="22745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617220</xdr:colOff>
      <xdr:row>7</xdr:row>
      <xdr:rowOff>190500</xdr:rowOff>
    </xdr:from>
    <xdr:to>
      <xdr:col>13</xdr:col>
      <xdr:colOff>617220</xdr:colOff>
      <xdr:row>7</xdr:row>
      <xdr:rowOff>190500</xdr:rowOff>
    </xdr:to>
    <xdr:cxnSp>
      <xdr:nvCxnSpPr>
        <xdr:cNvPr id="64658" name="Line 178"/>
        <xdr:cNvCxnSpPr/>
      </xdr:nvCxnSpPr>
      <xdr:spPr>
        <a:xfrm>
          <a:off x="608266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8</xdr:row>
      <xdr:rowOff>76200</xdr:rowOff>
    </xdr:from>
    <xdr:to>
      <xdr:col>12</xdr:col>
      <xdr:colOff>121920</xdr:colOff>
      <xdr:row>8</xdr:row>
      <xdr:rowOff>76200</xdr:rowOff>
    </xdr:to>
    <xdr:cxnSp>
      <xdr:nvCxnSpPr>
        <xdr:cNvPr id="64659" name="Line 179"/>
        <xdr:cNvCxnSpPr/>
      </xdr:nvCxnSpPr>
      <xdr:spPr>
        <a:xfrm>
          <a:off x="5053965" y="238125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487680</xdr:colOff>
      <xdr:row>7</xdr:row>
      <xdr:rowOff>190500</xdr:rowOff>
    </xdr:from>
    <xdr:to>
      <xdr:col>13</xdr:col>
      <xdr:colOff>487680</xdr:colOff>
      <xdr:row>7</xdr:row>
      <xdr:rowOff>190500</xdr:rowOff>
    </xdr:to>
    <xdr:cxnSp>
      <xdr:nvCxnSpPr>
        <xdr:cNvPr id="64660" name="Line 180"/>
        <xdr:cNvCxnSpPr/>
      </xdr:nvCxnSpPr>
      <xdr:spPr>
        <a:xfrm>
          <a:off x="595312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289560</xdr:colOff>
      <xdr:row>7</xdr:row>
      <xdr:rowOff>160020</xdr:rowOff>
    </xdr:from>
    <xdr:to>
      <xdr:col>12</xdr:col>
      <xdr:colOff>297180</xdr:colOff>
      <xdr:row>7</xdr:row>
      <xdr:rowOff>160020</xdr:rowOff>
    </xdr:to>
    <xdr:cxnSp>
      <xdr:nvCxnSpPr>
        <xdr:cNvPr id="64661" name="Line 181"/>
        <xdr:cNvCxnSpPr/>
      </xdr:nvCxnSpPr>
      <xdr:spPr>
        <a:xfrm flipH="1">
          <a:off x="5221605" y="2259330"/>
          <a:ext cx="762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</xdr:row>
      <xdr:rowOff>182880</xdr:rowOff>
    </xdr:from>
    <xdr:to>
      <xdr:col>13</xdr:col>
      <xdr:colOff>38100</xdr:colOff>
      <xdr:row>7</xdr:row>
      <xdr:rowOff>182880</xdr:rowOff>
    </xdr:to>
    <xdr:cxnSp>
      <xdr:nvCxnSpPr>
        <xdr:cNvPr id="64662" name="Line 182"/>
        <xdr:cNvCxnSpPr/>
      </xdr:nvCxnSpPr>
      <xdr:spPr>
        <a:xfrm>
          <a:off x="5503545" y="228219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8</xdr:row>
      <xdr:rowOff>30480</xdr:rowOff>
    </xdr:from>
    <xdr:to>
      <xdr:col>14</xdr:col>
      <xdr:colOff>22860</xdr:colOff>
      <xdr:row>8</xdr:row>
      <xdr:rowOff>30480</xdr:rowOff>
    </xdr:to>
    <xdr:cxnSp>
      <xdr:nvCxnSpPr>
        <xdr:cNvPr id="64663" name="Line 183"/>
        <xdr:cNvCxnSpPr/>
      </xdr:nvCxnSpPr>
      <xdr:spPr>
        <a:xfrm>
          <a:off x="6088380" y="23355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274320</xdr:colOff>
      <xdr:row>7</xdr:row>
      <xdr:rowOff>182880</xdr:rowOff>
    </xdr:from>
    <xdr:to>
      <xdr:col>14</xdr:col>
      <xdr:colOff>274320</xdr:colOff>
      <xdr:row>7</xdr:row>
      <xdr:rowOff>182880</xdr:rowOff>
    </xdr:to>
    <xdr:cxnSp>
      <xdr:nvCxnSpPr>
        <xdr:cNvPr id="64664" name="Line 184"/>
        <xdr:cNvCxnSpPr/>
      </xdr:nvCxnSpPr>
      <xdr:spPr>
        <a:xfrm>
          <a:off x="6339840" y="228219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8</xdr:row>
      <xdr:rowOff>99060</xdr:rowOff>
    </xdr:from>
    <xdr:to>
      <xdr:col>14</xdr:col>
      <xdr:colOff>304800</xdr:colOff>
      <xdr:row>8</xdr:row>
      <xdr:rowOff>99060</xdr:rowOff>
    </xdr:to>
    <xdr:cxnSp>
      <xdr:nvCxnSpPr>
        <xdr:cNvPr id="64665" name="Line 185"/>
        <xdr:cNvCxnSpPr/>
      </xdr:nvCxnSpPr>
      <xdr:spPr>
        <a:xfrm>
          <a:off x="6370320" y="24041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7</xdr:row>
      <xdr:rowOff>175260</xdr:rowOff>
    </xdr:from>
    <xdr:to>
      <xdr:col>12</xdr:col>
      <xdr:colOff>160020</xdr:colOff>
      <xdr:row>7</xdr:row>
      <xdr:rowOff>175260</xdr:rowOff>
    </xdr:to>
    <xdr:cxnSp>
      <xdr:nvCxnSpPr>
        <xdr:cNvPr id="64666" name="Line 186"/>
        <xdr:cNvCxnSpPr/>
      </xdr:nvCxnSpPr>
      <xdr:spPr>
        <a:xfrm>
          <a:off x="5092065" y="22745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426720</xdr:colOff>
      <xdr:row>8</xdr:row>
      <xdr:rowOff>45720</xdr:rowOff>
    </xdr:from>
    <xdr:to>
      <xdr:col>13</xdr:col>
      <xdr:colOff>426720</xdr:colOff>
      <xdr:row>8</xdr:row>
      <xdr:rowOff>45720</xdr:rowOff>
    </xdr:to>
    <xdr:cxnSp>
      <xdr:nvCxnSpPr>
        <xdr:cNvPr id="64667" name="Line 187"/>
        <xdr:cNvCxnSpPr/>
      </xdr:nvCxnSpPr>
      <xdr:spPr>
        <a:xfrm>
          <a:off x="5892165" y="23507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251460</xdr:colOff>
      <xdr:row>8</xdr:row>
      <xdr:rowOff>7620</xdr:rowOff>
    </xdr:from>
    <xdr:to>
      <xdr:col>13</xdr:col>
      <xdr:colOff>251460</xdr:colOff>
      <xdr:row>8</xdr:row>
      <xdr:rowOff>7620</xdr:rowOff>
    </xdr:to>
    <xdr:cxnSp>
      <xdr:nvCxnSpPr>
        <xdr:cNvPr id="64668" name="Line 188"/>
        <xdr:cNvCxnSpPr/>
      </xdr:nvCxnSpPr>
      <xdr:spPr>
        <a:xfrm>
          <a:off x="5716905" y="23126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175260</xdr:colOff>
      <xdr:row>8</xdr:row>
      <xdr:rowOff>0</xdr:rowOff>
    </xdr:from>
    <xdr:to>
      <xdr:col>14</xdr:col>
      <xdr:colOff>182880</xdr:colOff>
      <xdr:row>8</xdr:row>
      <xdr:rowOff>0</xdr:rowOff>
    </xdr:to>
    <xdr:cxnSp>
      <xdr:nvCxnSpPr>
        <xdr:cNvPr id="64669" name="Line 189"/>
        <xdr:cNvCxnSpPr/>
      </xdr:nvCxnSpPr>
      <xdr:spPr>
        <a:xfrm flipH="1">
          <a:off x="6240780" y="2305050"/>
          <a:ext cx="762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7</xdr:row>
      <xdr:rowOff>160020</xdr:rowOff>
    </xdr:from>
    <xdr:to>
      <xdr:col>13</xdr:col>
      <xdr:colOff>152400</xdr:colOff>
      <xdr:row>7</xdr:row>
      <xdr:rowOff>160020</xdr:rowOff>
    </xdr:to>
    <xdr:cxnSp>
      <xdr:nvCxnSpPr>
        <xdr:cNvPr id="64670" name="Line 190"/>
        <xdr:cNvCxnSpPr/>
      </xdr:nvCxnSpPr>
      <xdr:spPr>
        <a:xfrm>
          <a:off x="5617845" y="22593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8</xdr:row>
      <xdr:rowOff>99060</xdr:rowOff>
    </xdr:from>
    <xdr:to>
      <xdr:col>13</xdr:col>
      <xdr:colOff>495300</xdr:colOff>
      <xdr:row>8</xdr:row>
      <xdr:rowOff>99060</xdr:rowOff>
    </xdr:to>
    <xdr:cxnSp>
      <xdr:nvCxnSpPr>
        <xdr:cNvPr id="64671" name="Line 191"/>
        <xdr:cNvCxnSpPr/>
      </xdr:nvCxnSpPr>
      <xdr:spPr>
        <a:xfrm>
          <a:off x="5960745" y="24041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7</xdr:row>
      <xdr:rowOff>160020</xdr:rowOff>
    </xdr:from>
    <xdr:to>
      <xdr:col>14</xdr:col>
      <xdr:colOff>68580</xdr:colOff>
      <xdr:row>7</xdr:row>
      <xdr:rowOff>160020</xdr:rowOff>
    </xdr:to>
    <xdr:cxnSp>
      <xdr:nvCxnSpPr>
        <xdr:cNvPr id="64672" name="Line 192"/>
        <xdr:cNvCxnSpPr/>
      </xdr:nvCxnSpPr>
      <xdr:spPr>
        <a:xfrm>
          <a:off x="6134100" y="22593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342900</xdr:colOff>
      <xdr:row>7</xdr:row>
      <xdr:rowOff>60960</xdr:rowOff>
    </xdr:from>
    <xdr:to>
      <xdr:col>18</xdr:col>
      <xdr:colOff>342900</xdr:colOff>
      <xdr:row>7</xdr:row>
      <xdr:rowOff>60960</xdr:rowOff>
    </xdr:to>
    <xdr:cxnSp>
      <xdr:nvCxnSpPr>
        <xdr:cNvPr id="64673" name="Line 193"/>
        <xdr:cNvCxnSpPr/>
      </xdr:nvCxnSpPr>
      <xdr:spPr>
        <a:xfrm>
          <a:off x="7770495" y="21602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426720</xdr:colOff>
      <xdr:row>7</xdr:row>
      <xdr:rowOff>76200</xdr:rowOff>
    </xdr:from>
    <xdr:to>
      <xdr:col>18</xdr:col>
      <xdr:colOff>426720</xdr:colOff>
      <xdr:row>7</xdr:row>
      <xdr:rowOff>76200</xdr:rowOff>
    </xdr:to>
    <xdr:cxnSp>
      <xdr:nvCxnSpPr>
        <xdr:cNvPr id="64674" name="Line 194"/>
        <xdr:cNvCxnSpPr/>
      </xdr:nvCxnSpPr>
      <xdr:spPr>
        <a:xfrm>
          <a:off x="7854315" y="21755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373380</xdr:colOff>
      <xdr:row>7</xdr:row>
      <xdr:rowOff>121920</xdr:rowOff>
    </xdr:from>
    <xdr:to>
      <xdr:col>18</xdr:col>
      <xdr:colOff>373380</xdr:colOff>
      <xdr:row>7</xdr:row>
      <xdr:rowOff>121920</xdr:rowOff>
    </xdr:to>
    <xdr:cxnSp>
      <xdr:nvCxnSpPr>
        <xdr:cNvPr id="64675" name="Line 195"/>
        <xdr:cNvCxnSpPr/>
      </xdr:nvCxnSpPr>
      <xdr:spPr>
        <a:xfrm>
          <a:off x="7800975" y="22212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7</xdr:row>
      <xdr:rowOff>190500</xdr:rowOff>
    </xdr:from>
    <xdr:to>
      <xdr:col>5</xdr:col>
      <xdr:colOff>274320</xdr:colOff>
      <xdr:row>7</xdr:row>
      <xdr:rowOff>190500</xdr:rowOff>
    </xdr:to>
    <xdr:cxnSp>
      <xdr:nvCxnSpPr>
        <xdr:cNvPr id="64676" name="Line 196"/>
        <xdr:cNvCxnSpPr/>
      </xdr:nvCxnSpPr>
      <xdr:spPr>
        <a:xfrm>
          <a:off x="278701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335280</xdr:colOff>
      <xdr:row>8</xdr:row>
      <xdr:rowOff>45720</xdr:rowOff>
    </xdr:from>
    <xdr:to>
      <xdr:col>5</xdr:col>
      <xdr:colOff>335280</xdr:colOff>
      <xdr:row>8</xdr:row>
      <xdr:rowOff>45720</xdr:rowOff>
    </xdr:to>
    <xdr:cxnSp>
      <xdr:nvCxnSpPr>
        <xdr:cNvPr id="64677" name="Line 197"/>
        <xdr:cNvCxnSpPr/>
      </xdr:nvCxnSpPr>
      <xdr:spPr>
        <a:xfrm>
          <a:off x="2847975" y="23507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8</xdr:row>
      <xdr:rowOff>114300</xdr:rowOff>
    </xdr:from>
    <xdr:to>
      <xdr:col>6</xdr:col>
      <xdr:colOff>30480</xdr:colOff>
      <xdr:row>8</xdr:row>
      <xdr:rowOff>114300</xdr:rowOff>
    </xdr:to>
    <xdr:cxnSp>
      <xdr:nvCxnSpPr>
        <xdr:cNvPr id="64678" name="Line 198"/>
        <xdr:cNvCxnSpPr/>
      </xdr:nvCxnSpPr>
      <xdr:spPr>
        <a:xfrm>
          <a:off x="2886075" y="241935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8</xdr:row>
      <xdr:rowOff>114300</xdr:rowOff>
    </xdr:from>
    <xdr:to>
      <xdr:col>6</xdr:col>
      <xdr:colOff>259080</xdr:colOff>
      <xdr:row>8</xdr:row>
      <xdr:rowOff>114300</xdr:rowOff>
    </xdr:to>
    <xdr:cxnSp>
      <xdr:nvCxnSpPr>
        <xdr:cNvPr id="64679" name="Line 199"/>
        <xdr:cNvCxnSpPr/>
      </xdr:nvCxnSpPr>
      <xdr:spPr>
        <a:xfrm>
          <a:off x="3114675" y="241935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8</xdr:row>
      <xdr:rowOff>121920</xdr:rowOff>
    </xdr:from>
    <xdr:to>
      <xdr:col>6</xdr:col>
      <xdr:colOff>137160</xdr:colOff>
      <xdr:row>8</xdr:row>
      <xdr:rowOff>121920</xdr:rowOff>
    </xdr:to>
    <xdr:cxnSp>
      <xdr:nvCxnSpPr>
        <xdr:cNvPr id="64680" name="Line 200"/>
        <xdr:cNvCxnSpPr/>
      </xdr:nvCxnSpPr>
      <xdr:spPr>
        <a:xfrm>
          <a:off x="2992755" y="24269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8</xdr:row>
      <xdr:rowOff>106680</xdr:rowOff>
    </xdr:from>
    <xdr:to>
      <xdr:col>8</xdr:col>
      <xdr:colOff>228600</xdr:colOff>
      <xdr:row>8</xdr:row>
      <xdr:rowOff>106680</xdr:rowOff>
    </xdr:to>
    <xdr:cxnSp>
      <xdr:nvCxnSpPr>
        <xdr:cNvPr id="64681" name="Line 201"/>
        <xdr:cNvCxnSpPr/>
      </xdr:nvCxnSpPr>
      <xdr:spPr>
        <a:xfrm>
          <a:off x="3512820" y="24117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</xdr:colOff>
      <xdr:row>8</xdr:row>
      <xdr:rowOff>99060</xdr:rowOff>
    </xdr:from>
    <xdr:to>
      <xdr:col>9</xdr:col>
      <xdr:colOff>68580</xdr:colOff>
      <xdr:row>8</xdr:row>
      <xdr:rowOff>99060</xdr:rowOff>
    </xdr:to>
    <xdr:cxnSp>
      <xdr:nvCxnSpPr>
        <xdr:cNvPr id="64682" name="Line 202"/>
        <xdr:cNvCxnSpPr/>
      </xdr:nvCxnSpPr>
      <xdr:spPr>
        <a:xfrm>
          <a:off x="3752850" y="24041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7</xdr:row>
      <xdr:rowOff>190500</xdr:rowOff>
    </xdr:from>
    <xdr:to>
      <xdr:col>9</xdr:col>
      <xdr:colOff>182880</xdr:colOff>
      <xdr:row>7</xdr:row>
      <xdr:rowOff>190500</xdr:rowOff>
    </xdr:to>
    <xdr:cxnSp>
      <xdr:nvCxnSpPr>
        <xdr:cNvPr id="64683" name="Line 203"/>
        <xdr:cNvCxnSpPr/>
      </xdr:nvCxnSpPr>
      <xdr:spPr>
        <a:xfrm>
          <a:off x="3867150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7</xdr:row>
      <xdr:rowOff>190500</xdr:rowOff>
    </xdr:from>
    <xdr:to>
      <xdr:col>8</xdr:col>
      <xdr:colOff>38100</xdr:colOff>
      <xdr:row>7</xdr:row>
      <xdr:rowOff>190500</xdr:rowOff>
    </xdr:to>
    <xdr:cxnSp>
      <xdr:nvCxnSpPr>
        <xdr:cNvPr id="64684" name="Line 204"/>
        <xdr:cNvCxnSpPr/>
      </xdr:nvCxnSpPr>
      <xdr:spPr>
        <a:xfrm>
          <a:off x="3322320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8</xdr:row>
      <xdr:rowOff>7620</xdr:rowOff>
    </xdr:from>
    <xdr:to>
      <xdr:col>8</xdr:col>
      <xdr:colOff>144780</xdr:colOff>
      <xdr:row>8</xdr:row>
      <xdr:rowOff>7620</xdr:rowOff>
    </xdr:to>
    <xdr:cxnSp>
      <xdr:nvCxnSpPr>
        <xdr:cNvPr id="64685" name="Line 205"/>
        <xdr:cNvCxnSpPr/>
      </xdr:nvCxnSpPr>
      <xdr:spPr>
        <a:xfrm>
          <a:off x="3429000" y="23126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8</xdr:row>
      <xdr:rowOff>60960</xdr:rowOff>
    </xdr:from>
    <xdr:to>
      <xdr:col>6</xdr:col>
      <xdr:colOff>342900</xdr:colOff>
      <xdr:row>8</xdr:row>
      <xdr:rowOff>60960</xdr:rowOff>
    </xdr:to>
    <xdr:cxnSp>
      <xdr:nvCxnSpPr>
        <xdr:cNvPr id="64686" name="Line 206"/>
        <xdr:cNvCxnSpPr/>
      </xdr:nvCxnSpPr>
      <xdr:spPr>
        <a:xfrm>
          <a:off x="3198495" y="23660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8</xdr:row>
      <xdr:rowOff>106680</xdr:rowOff>
    </xdr:from>
    <xdr:to>
      <xdr:col>8</xdr:col>
      <xdr:colOff>335280</xdr:colOff>
      <xdr:row>8</xdr:row>
      <xdr:rowOff>106680</xdr:rowOff>
    </xdr:to>
    <xdr:cxnSp>
      <xdr:nvCxnSpPr>
        <xdr:cNvPr id="64687" name="Line 207"/>
        <xdr:cNvCxnSpPr/>
      </xdr:nvCxnSpPr>
      <xdr:spPr>
        <a:xfrm>
          <a:off x="3619500" y="24117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8</xdr:row>
      <xdr:rowOff>106680</xdr:rowOff>
    </xdr:from>
    <xdr:to>
      <xdr:col>8</xdr:col>
      <xdr:colOff>411480</xdr:colOff>
      <xdr:row>8</xdr:row>
      <xdr:rowOff>106680</xdr:rowOff>
    </xdr:to>
    <xdr:cxnSp>
      <xdr:nvCxnSpPr>
        <xdr:cNvPr id="64688" name="Line 208"/>
        <xdr:cNvCxnSpPr/>
      </xdr:nvCxnSpPr>
      <xdr:spPr>
        <a:xfrm>
          <a:off x="3695700" y="2411730"/>
          <a:ext cx="762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7</xdr:row>
      <xdr:rowOff>190500</xdr:rowOff>
    </xdr:from>
    <xdr:to>
      <xdr:col>7</xdr:col>
      <xdr:colOff>22860</xdr:colOff>
      <xdr:row>7</xdr:row>
      <xdr:rowOff>190500</xdr:rowOff>
    </xdr:to>
    <xdr:cxnSp>
      <xdr:nvCxnSpPr>
        <xdr:cNvPr id="64689" name="Line 209"/>
        <xdr:cNvCxnSpPr/>
      </xdr:nvCxnSpPr>
      <xdr:spPr>
        <a:xfrm>
          <a:off x="3221355" y="228981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3</xdr:row>
      <xdr:rowOff>251460</xdr:rowOff>
    </xdr:from>
    <xdr:to>
      <xdr:col>19</xdr:col>
      <xdr:colOff>114300</xdr:colOff>
      <xdr:row>4</xdr:row>
      <xdr:rowOff>30480</xdr:rowOff>
    </xdr:to>
    <xdr:sp>
      <xdr:nvSpPr>
        <xdr:cNvPr id="64690" name="Freeform 210"/>
        <xdr:cNvSpPr>
          <a:spLocks/>
        </xdr:cNvSpPr>
      </xdr:nvSpPr>
      <xdr:spPr>
        <a:xfrm>
          <a:off x="7458075" y="1400175"/>
          <a:ext cx="569595" cy="112395"/>
        </a:xfrm>
        <a:custGeom>
          <a:pathLst>
            <a:path w="73" h="12">
              <a:moveTo>
                <a:pt x="0" y="8"/>
              </a:moveTo>
              <a:cubicBezTo>
                <a:pt x="5" y="4"/>
                <a:pt x="11" y="0"/>
                <a:pt x="17" y="0"/>
              </a:cubicBezTo>
              <a:cubicBezTo>
                <a:pt x="23" y="0"/>
                <a:pt x="29" y="10"/>
                <a:pt x="35" y="11"/>
              </a:cubicBezTo>
              <a:cubicBezTo>
                <a:pt x="41" y="12"/>
                <a:pt x="48" y="10"/>
                <a:pt x="54" y="9"/>
              </a:cubicBezTo>
              <a:cubicBezTo>
                <a:pt x="60" y="8"/>
                <a:pt x="66" y="4"/>
                <a:pt x="69" y="4"/>
              </a:cubicBezTo>
              <a:cubicBezTo>
                <a:pt x="72" y="4"/>
                <a:pt x="72" y="5"/>
                <a:pt x="73" y="6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441960</xdr:colOff>
      <xdr:row>7</xdr:row>
      <xdr:rowOff>160020</xdr:rowOff>
    </xdr:from>
    <xdr:to>
      <xdr:col>12</xdr:col>
      <xdr:colOff>449580</xdr:colOff>
      <xdr:row>7</xdr:row>
      <xdr:rowOff>160020</xdr:rowOff>
    </xdr:to>
    <xdr:cxnSp>
      <xdr:nvCxnSpPr>
        <xdr:cNvPr id="64691" name="Line 211"/>
        <xdr:cNvCxnSpPr/>
      </xdr:nvCxnSpPr>
      <xdr:spPr>
        <a:xfrm flipH="1">
          <a:off x="5374005" y="2259330"/>
          <a:ext cx="762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7</xdr:row>
      <xdr:rowOff>198120</xdr:rowOff>
    </xdr:from>
    <xdr:to>
      <xdr:col>12</xdr:col>
      <xdr:colOff>541020</xdr:colOff>
      <xdr:row>7</xdr:row>
      <xdr:rowOff>198120</xdr:rowOff>
    </xdr:to>
    <xdr:cxnSp>
      <xdr:nvCxnSpPr>
        <xdr:cNvPr id="64692" name="Line 212"/>
        <xdr:cNvCxnSpPr/>
      </xdr:nvCxnSpPr>
      <xdr:spPr>
        <a:xfrm flipH="1">
          <a:off x="5465445" y="2297430"/>
          <a:ext cx="762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</xdr:colOff>
      <xdr:row>8</xdr:row>
      <xdr:rowOff>30480</xdr:rowOff>
    </xdr:from>
    <xdr:to>
      <xdr:col>9</xdr:col>
      <xdr:colOff>121920</xdr:colOff>
      <xdr:row>8</xdr:row>
      <xdr:rowOff>30480</xdr:rowOff>
    </xdr:to>
    <xdr:cxnSp>
      <xdr:nvCxnSpPr>
        <xdr:cNvPr id="64693" name="Line 213"/>
        <xdr:cNvCxnSpPr/>
      </xdr:nvCxnSpPr>
      <xdr:spPr>
        <a:xfrm>
          <a:off x="3806190" y="23355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487680</xdr:colOff>
      <xdr:row>8</xdr:row>
      <xdr:rowOff>7620</xdr:rowOff>
    </xdr:from>
    <xdr:to>
      <xdr:col>3</xdr:col>
      <xdr:colOff>487680</xdr:colOff>
      <xdr:row>8</xdr:row>
      <xdr:rowOff>7620</xdr:rowOff>
    </xdr:to>
    <xdr:cxnSp>
      <xdr:nvCxnSpPr>
        <xdr:cNvPr id="64694" name="Line 214"/>
        <xdr:cNvCxnSpPr/>
      </xdr:nvCxnSpPr>
      <xdr:spPr>
        <a:xfrm>
          <a:off x="1743075" y="231267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8</xdr:row>
      <xdr:rowOff>68580</xdr:rowOff>
    </xdr:from>
    <xdr:to>
      <xdr:col>3</xdr:col>
      <xdr:colOff>365760</xdr:colOff>
      <xdr:row>8</xdr:row>
      <xdr:rowOff>68580</xdr:rowOff>
    </xdr:to>
    <xdr:cxnSp>
      <xdr:nvCxnSpPr>
        <xdr:cNvPr id="64695" name="Line 215"/>
        <xdr:cNvCxnSpPr/>
      </xdr:nvCxnSpPr>
      <xdr:spPr>
        <a:xfrm>
          <a:off x="1621155" y="2373630"/>
          <a:ext cx="0" cy="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0</xdr:row>
      <xdr:rowOff>257175</xdr:rowOff>
    </xdr:from>
    <xdr:to>
      <xdr:col>21</xdr:col>
      <xdr:colOff>47625</xdr:colOff>
      <xdr:row>0</xdr:row>
      <xdr:rowOff>628650</xdr:rowOff>
    </xdr:to>
    <xdr:sp>
      <xdr:nvSpPr>
        <xdr:cNvPr id="10458" name="Rectangle 218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180070" y="243840"/>
          <a:ext cx="752475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8</xdr:row>
      <xdr:rowOff>106680</xdr:rowOff>
    </xdr:from>
    <xdr:to>
      <xdr:col>5</xdr:col>
      <xdr:colOff>228600</xdr:colOff>
      <xdr:row>8</xdr:row>
      <xdr:rowOff>106680</xdr:rowOff>
    </xdr:to>
    <xdr:cxnSp>
      <xdr:nvCxnSpPr>
        <xdr:cNvPr id="65537" name="Line 2"/>
        <xdr:cNvCxnSpPr/>
      </xdr:nvCxnSpPr>
      <xdr:spPr>
        <a:xfrm rot="2700000">
          <a:off x="2149475" y="2254885"/>
          <a:ext cx="0" cy="6680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6</xdr:row>
      <xdr:rowOff>220980</xdr:rowOff>
    </xdr:from>
    <xdr:to>
      <xdr:col>2</xdr:col>
      <xdr:colOff>533400</xdr:colOff>
      <xdr:row>9</xdr:row>
      <xdr:rowOff>236220</xdr:rowOff>
    </xdr:to>
    <xdr:cxnSp>
      <xdr:nvCxnSpPr>
        <xdr:cNvPr id="65538" name="Line 3"/>
        <xdr:cNvCxnSpPr/>
      </xdr:nvCxnSpPr>
      <xdr:spPr>
        <a:xfrm rot="18900000">
          <a:off x="1550670" y="2207895"/>
          <a:ext cx="0" cy="75819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9</xdr:row>
      <xdr:rowOff>45720</xdr:rowOff>
    </xdr:from>
    <xdr:to>
      <xdr:col>3</xdr:col>
      <xdr:colOff>373380</xdr:colOff>
      <xdr:row>9</xdr:row>
      <xdr:rowOff>190500</xdr:rowOff>
    </xdr:to>
    <xdr:sp>
      <xdr:nvSpPr>
        <xdr:cNvPr id="65539" name="Arc 5"/>
        <xdr:cNvSpPr>
          <a:spLocks/>
        </xdr:cNvSpPr>
      </xdr:nvSpPr>
      <xdr:spPr>
        <a:xfrm rot="13500000" flipH="1">
          <a:off x="1769745" y="2775585"/>
          <a:ext cx="144780" cy="1447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297180</xdr:colOff>
      <xdr:row>8</xdr:row>
      <xdr:rowOff>236220</xdr:rowOff>
    </xdr:from>
    <xdr:to>
      <xdr:col>3</xdr:col>
      <xdr:colOff>297180</xdr:colOff>
      <xdr:row>9</xdr:row>
      <xdr:rowOff>137160</xdr:rowOff>
    </xdr:to>
    <xdr:cxnSp>
      <xdr:nvCxnSpPr>
        <xdr:cNvPr id="65540" name="Line 6"/>
        <xdr:cNvCxnSpPr/>
      </xdr:nvCxnSpPr>
      <xdr:spPr>
        <a:xfrm>
          <a:off x="1838325" y="2718435"/>
          <a:ext cx="0" cy="1485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6</xdr:row>
      <xdr:rowOff>22860</xdr:rowOff>
    </xdr:from>
    <xdr:to>
      <xdr:col>2</xdr:col>
      <xdr:colOff>541020</xdr:colOff>
      <xdr:row>8</xdr:row>
      <xdr:rowOff>60960</xdr:rowOff>
    </xdr:to>
    <xdr:cxnSp>
      <xdr:nvCxnSpPr>
        <xdr:cNvPr id="65541" name="Line 7"/>
        <xdr:cNvCxnSpPr/>
      </xdr:nvCxnSpPr>
      <xdr:spPr>
        <a:xfrm flipV="1">
          <a:off x="1558290" y="2009775"/>
          <a:ext cx="0" cy="5334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22860</xdr:rowOff>
    </xdr:from>
    <xdr:to>
      <xdr:col>4</xdr:col>
      <xdr:colOff>76200</xdr:colOff>
      <xdr:row>8</xdr:row>
      <xdr:rowOff>60960</xdr:rowOff>
    </xdr:to>
    <xdr:cxnSp>
      <xdr:nvCxnSpPr>
        <xdr:cNvPr id="65542" name="Line 9"/>
        <xdr:cNvCxnSpPr/>
      </xdr:nvCxnSpPr>
      <xdr:spPr>
        <a:xfrm flipV="1">
          <a:off x="2141220" y="2009775"/>
          <a:ext cx="0" cy="53340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5</xdr:row>
      <xdr:rowOff>182880</xdr:rowOff>
    </xdr:from>
    <xdr:to>
      <xdr:col>4</xdr:col>
      <xdr:colOff>76200</xdr:colOff>
      <xdr:row>6</xdr:row>
      <xdr:rowOff>99060</xdr:rowOff>
    </xdr:to>
    <xdr:sp>
      <xdr:nvSpPr>
        <xdr:cNvPr id="65543" name="Freeform 10"/>
        <xdr:cNvSpPr>
          <a:spLocks/>
        </xdr:cNvSpPr>
      </xdr:nvSpPr>
      <xdr:spPr>
        <a:xfrm>
          <a:off x="1558290" y="1922145"/>
          <a:ext cx="582930" cy="163830"/>
        </a:xfrm>
        <a:custGeom>
          <a:pathLst>
            <a:path w="77" h="17">
              <a:moveTo>
                <a:pt x="0" y="10"/>
              </a:moveTo>
              <a:cubicBezTo>
                <a:pt x="9" y="6"/>
                <a:pt x="18" y="2"/>
                <a:pt x="25" y="1"/>
              </a:cubicBezTo>
              <a:cubicBezTo>
                <a:pt x="32" y="0"/>
                <a:pt x="38" y="3"/>
                <a:pt x="43" y="6"/>
              </a:cubicBezTo>
              <a:cubicBezTo>
                <a:pt x="48" y="9"/>
                <a:pt x="53" y="17"/>
                <a:pt x="57" y="17"/>
              </a:cubicBezTo>
              <a:cubicBezTo>
                <a:pt x="61" y="17"/>
                <a:pt x="66" y="8"/>
                <a:pt x="69" y="7"/>
              </a:cubicBezTo>
              <a:cubicBezTo>
                <a:pt x="72" y="6"/>
                <a:pt x="74" y="8"/>
                <a:pt x="77" y="11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518160</xdr:colOff>
      <xdr:row>6</xdr:row>
      <xdr:rowOff>45720</xdr:rowOff>
    </xdr:from>
    <xdr:to>
      <xdr:col>3</xdr:col>
      <xdr:colOff>205740</xdr:colOff>
      <xdr:row>6</xdr:row>
      <xdr:rowOff>45720</xdr:rowOff>
    </xdr:to>
    <xdr:cxnSp>
      <xdr:nvCxnSpPr>
        <xdr:cNvPr id="65544" name="Line 11"/>
        <xdr:cNvCxnSpPr/>
      </xdr:nvCxnSpPr>
      <xdr:spPr>
        <a:xfrm rot="2700000">
          <a:off x="1640840" y="1927225"/>
          <a:ext cx="0" cy="21082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6</xdr:row>
      <xdr:rowOff>148590</xdr:rowOff>
    </xdr:from>
    <xdr:to>
      <xdr:col>3</xdr:col>
      <xdr:colOff>472440</xdr:colOff>
      <xdr:row>6</xdr:row>
      <xdr:rowOff>148590</xdr:rowOff>
    </xdr:to>
    <xdr:cxnSp>
      <xdr:nvCxnSpPr>
        <xdr:cNvPr id="65545" name="Line 13"/>
        <xdr:cNvCxnSpPr/>
      </xdr:nvCxnSpPr>
      <xdr:spPr>
        <a:xfrm rot="2700000">
          <a:off x="1884045" y="2005965"/>
          <a:ext cx="0" cy="25844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102870</xdr:rowOff>
    </xdr:from>
    <xdr:to>
      <xdr:col>3</xdr:col>
      <xdr:colOff>381000</xdr:colOff>
      <xdr:row>6</xdr:row>
      <xdr:rowOff>102870</xdr:rowOff>
    </xdr:to>
    <xdr:cxnSp>
      <xdr:nvCxnSpPr>
        <xdr:cNvPr id="65546" name="Line 14"/>
        <xdr:cNvCxnSpPr/>
      </xdr:nvCxnSpPr>
      <xdr:spPr>
        <a:xfrm rot="2700000">
          <a:off x="1731645" y="1899285"/>
          <a:ext cx="0" cy="38036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426720</xdr:colOff>
      <xdr:row>6</xdr:row>
      <xdr:rowOff>152400</xdr:rowOff>
    </xdr:from>
    <xdr:to>
      <xdr:col>4</xdr:col>
      <xdr:colOff>106680</xdr:colOff>
      <xdr:row>6</xdr:row>
      <xdr:rowOff>152400</xdr:rowOff>
    </xdr:to>
    <xdr:cxnSp>
      <xdr:nvCxnSpPr>
        <xdr:cNvPr id="65547" name="Line 15"/>
        <xdr:cNvCxnSpPr/>
      </xdr:nvCxnSpPr>
      <xdr:spPr>
        <a:xfrm rot="2700000">
          <a:off x="2069465" y="2037715"/>
          <a:ext cx="0" cy="20320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</xdr:colOff>
      <xdr:row>7</xdr:row>
      <xdr:rowOff>99060</xdr:rowOff>
    </xdr:from>
    <xdr:to>
      <xdr:col>4</xdr:col>
      <xdr:colOff>76200</xdr:colOff>
      <xdr:row>7</xdr:row>
      <xdr:rowOff>99060</xdr:rowOff>
    </xdr:to>
    <xdr:cxnSp>
      <xdr:nvCxnSpPr>
        <xdr:cNvPr id="65548" name="Line 16"/>
        <xdr:cNvCxnSpPr/>
      </xdr:nvCxnSpPr>
      <xdr:spPr>
        <a:xfrm rot="2700000">
          <a:off x="2130425" y="2323465"/>
          <a:ext cx="0" cy="2032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464820</xdr:colOff>
      <xdr:row>8</xdr:row>
      <xdr:rowOff>121920</xdr:rowOff>
    </xdr:from>
    <xdr:to>
      <xdr:col>2</xdr:col>
      <xdr:colOff>541020</xdr:colOff>
      <xdr:row>8</xdr:row>
      <xdr:rowOff>213360</xdr:rowOff>
    </xdr:to>
    <xdr:sp>
      <xdr:nvSpPr>
        <xdr:cNvPr id="65549" name="Arc 20"/>
        <xdr:cNvSpPr>
          <a:spLocks/>
        </xdr:cNvSpPr>
      </xdr:nvSpPr>
      <xdr:spPr>
        <a:xfrm>
          <a:off x="1482090" y="2604135"/>
          <a:ext cx="76200" cy="9144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60960</xdr:colOff>
      <xdr:row>8</xdr:row>
      <xdr:rowOff>121920</xdr:rowOff>
    </xdr:from>
    <xdr:to>
      <xdr:col>4</xdr:col>
      <xdr:colOff>144780</xdr:colOff>
      <xdr:row>8</xdr:row>
      <xdr:rowOff>198120</xdr:rowOff>
    </xdr:to>
    <xdr:sp>
      <xdr:nvSpPr>
        <xdr:cNvPr id="65550" name="Arc 21"/>
        <xdr:cNvSpPr>
          <a:spLocks/>
        </xdr:cNvSpPr>
      </xdr:nvSpPr>
      <xdr:spPr>
        <a:xfrm rot="16200000">
          <a:off x="2129790" y="2600325"/>
          <a:ext cx="76200" cy="838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297180</xdr:colOff>
      <xdr:row>11</xdr:row>
      <xdr:rowOff>7620</xdr:rowOff>
    </xdr:from>
    <xdr:to>
      <xdr:col>6</xdr:col>
      <xdr:colOff>274320</xdr:colOff>
      <xdr:row>11</xdr:row>
      <xdr:rowOff>7620</xdr:rowOff>
    </xdr:to>
    <xdr:cxnSp>
      <xdr:nvCxnSpPr>
        <xdr:cNvPr id="65551" name="Line 22"/>
        <xdr:cNvCxnSpPr/>
      </xdr:nvCxnSpPr>
      <xdr:spPr>
        <a:xfrm>
          <a:off x="790575" y="3232785"/>
          <a:ext cx="212026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8</xdr:row>
      <xdr:rowOff>213360</xdr:rowOff>
    </xdr:from>
    <xdr:to>
      <xdr:col>2</xdr:col>
      <xdr:colOff>541020</xdr:colOff>
      <xdr:row>11</xdr:row>
      <xdr:rowOff>7620</xdr:rowOff>
    </xdr:to>
    <xdr:cxnSp>
      <xdr:nvCxnSpPr>
        <xdr:cNvPr id="65552" name="Line 23"/>
        <xdr:cNvCxnSpPr/>
      </xdr:nvCxnSpPr>
      <xdr:spPr>
        <a:xfrm>
          <a:off x="1558290" y="2695575"/>
          <a:ext cx="0" cy="53721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8</xdr:row>
      <xdr:rowOff>198120</xdr:rowOff>
    </xdr:from>
    <xdr:to>
      <xdr:col>4</xdr:col>
      <xdr:colOff>60960</xdr:colOff>
      <xdr:row>11</xdr:row>
      <xdr:rowOff>0</xdr:rowOff>
    </xdr:to>
    <xdr:cxnSp>
      <xdr:nvCxnSpPr>
        <xdr:cNvPr id="65553" name="Line 24"/>
        <xdr:cNvCxnSpPr/>
      </xdr:nvCxnSpPr>
      <xdr:spPr>
        <a:xfrm>
          <a:off x="2125980" y="2680335"/>
          <a:ext cx="0" cy="54483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8</xdr:row>
      <xdr:rowOff>121920</xdr:rowOff>
    </xdr:from>
    <xdr:to>
      <xdr:col>6</xdr:col>
      <xdr:colOff>213360</xdr:colOff>
      <xdr:row>8</xdr:row>
      <xdr:rowOff>121920</xdr:rowOff>
    </xdr:to>
    <xdr:cxnSp>
      <xdr:nvCxnSpPr>
        <xdr:cNvPr id="65554" name="Line 25"/>
        <xdr:cNvCxnSpPr/>
      </xdr:nvCxnSpPr>
      <xdr:spPr>
        <a:xfrm>
          <a:off x="2209800" y="2604135"/>
          <a:ext cx="64008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8</xdr:row>
      <xdr:rowOff>121920</xdr:rowOff>
    </xdr:from>
    <xdr:to>
      <xdr:col>2</xdr:col>
      <xdr:colOff>464820</xdr:colOff>
      <xdr:row>8</xdr:row>
      <xdr:rowOff>121920</xdr:rowOff>
    </xdr:to>
    <xdr:cxnSp>
      <xdr:nvCxnSpPr>
        <xdr:cNvPr id="65555" name="Line 26"/>
        <xdr:cNvCxnSpPr/>
      </xdr:nvCxnSpPr>
      <xdr:spPr>
        <a:xfrm flipH="1">
          <a:off x="760095" y="2604135"/>
          <a:ext cx="72199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8</xdr:row>
      <xdr:rowOff>156210</xdr:rowOff>
    </xdr:from>
    <xdr:to>
      <xdr:col>6</xdr:col>
      <xdr:colOff>213360</xdr:colOff>
      <xdr:row>8</xdr:row>
      <xdr:rowOff>156210</xdr:rowOff>
    </xdr:to>
    <xdr:cxnSp>
      <xdr:nvCxnSpPr>
        <xdr:cNvPr id="65556" name="Line 27"/>
        <xdr:cNvCxnSpPr/>
      </xdr:nvCxnSpPr>
      <xdr:spPr>
        <a:xfrm rot="18900000" flipH="1">
          <a:off x="2811780" y="2600325"/>
          <a:ext cx="0" cy="7556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8</xdr:row>
      <xdr:rowOff>213360</xdr:rowOff>
    </xdr:from>
    <xdr:to>
      <xdr:col>3</xdr:col>
      <xdr:colOff>17145</xdr:colOff>
      <xdr:row>8</xdr:row>
      <xdr:rowOff>220980</xdr:rowOff>
    </xdr:to>
    <xdr:cxnSp>
      <xdr:nvCxnSpPr>
        <xdr:cNvPr id="65557" name="Line 29"/>
        <xdr:cNvCxnSpPr/>
      </xdr:nvCxnSpPr>
      <xdr:spPr>
        <a:xfrm rot="18900000" flipH="1">
          <a:off x="1447800" y="2592705"/>
          <a:ext cx="7620" cy="21336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</xdr:colOff>
      <xdr:row>9</xdr:row>
      <xdr:rowOff>110490</xdr:rowOff>
    </xdr:from>
    <xdr:to>
      <xdr:col>3</xdr:col>
      <xdr:colOff>22860</xdr:colOff>
      <xdr:row>9</xdr:row>
      <xdr:rowOff>110490</xdr:rowOff>
    </xdr:to>
    <xdr:cxnSp>
      <xdr:nvCxnSpPr>
        <xdr:cNvPr id="65558" name="Line 30"/>
        <xdr:cNvCxnSpPr/>
      </xdr:nvCxnSpPr>
      <xdr:spPr>
        <a:xfrm rot="18900000" flipH="1">
          <a:off x="1318260" y="2594610"/>
          <a:ext cx="0" cy="49085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10</xdr:row>
      <xdr:rowOff>60960</xdr:rowOff>
    </xdr:from>
    <xdr:to>
      <xdr:col>2</xdr:col>
      <xdr:colOff>114300</xdr:colOff>
      <xdr:row>10</xdr:row>
      <xdr:rowOff>60960</xdr:rowOff>
    </xdr:to>
    <xdr:cxnSp>
      <xdr:nvCxnSpPr>
        <xdr:cNvPr id="65559" name="Line 31"/>
        <xdr:cNvCxnSpPr/>
      </xdr:nvCxnSpPr>
      <xdr:spPr>
        <a:xfrm rot="18900000" flipH="1">
          <a:off x="907415" y="2814955"/>
          <a:ext cx="0" cy="44704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9</xdr:row>
      <xdr:rowOff>190500</xdr:rowOff>
    </xdr:from>
    <xdr:to>
      <xdr:col>2</xdr:col>
      <xdr:colOff>480060</xdr:colOff>
      <xdr:row>9</xdr:row>
      <xdr:rowOff>190500</xdr:rowOff>
    </xdr:to>
    <xdr:cxnSp>
      <xdr:nvCxnSpPr>
        <xdr:cNvPr id="65560" name="Line 32"/>
        <xdr:cNvCxnSpPr/>
      </xdr:nvCxnSpPr>
      <xdr:spPr>
        <a:xfrm rot="18900000" flipH="1">
          <a:off x="1105535" y="2529205"/>
          <a:ext cx="0" cy="78232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9</xdr:row>
      <xdr:rowOff>110490</xdr:rowOff>
    </xdr:from>
    <xdr:to>
      <xdr:col>5</xdr:col>
      <xdr:colOff>22860</xdr:colOff>
      <xdr:row>9</xdr:row>
      <xdr:rowOff>110490</xdr:rowOff>
    </xdr:to>
    <xdr:cxnSp>
      <xdr:nvCxnSpPr>
        <xdr:cNvPr id="65561" name="Line 33"/>
        <xdr:cNvCxnSpPr/>
      </xdr:nvCxnSpPr>
      <xdr:spPr>
        <a:xfrm rot="18900000" flipH="1">
          <a:off x="2190750" y="2752725"/>
          <a:ext cx="0" cy="17462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171450</xdr:rowOff>
    </xdr:from>
    <xdr:to>
      <xdr:col>5</xdr:col>
      <xdr:colOff>38100</xdr:colOff>
      <xdr:row>10</xdr:row>
      <xdr:rowOff>171450</xdr:rowOff>
    </xdr:to>
    <xdr:cxnSp>
      <xdr:nvCxnSpPr>
        <xdr:cNvPr id="65562" name="Line 34"/>
        <xdr:cNvCxnSpPr/>
      </xdr:nvCxnSpPr>
      <xdr:spPr>
        <a:xfrm rot="18900000" flipH="1">
          <a:off x="2198370" y="3053715"/>
          <a:ext cx="0" cy="18986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10</xdr:row>
      <xdr:rowOff>217170</xdr:rowOff>
    </xdr:from>
    <xdr:to>
      <xdr:col>1</xdr:col>
      <xdr:colOff>358140</xdr:colOff>
      <xdr:row>10</xdr:row>
      <xdr:rowOff>217170</xdr:rowOff>
    </xdr:to>
    <xdr:cxnSp>
      <xdr:nvCxnSpPr>
        <xdr:cNvPr id="65563" name="Line 35"/>
        <xdr:cNvCxnSpPr/>
      </xdr:nvCxnSpPr>
      <xdr:spPr>
        <a:xfrm rot="18900000" flipH="1">
          <a:off x="817245" y="3160395"/>
          <a:ext cx="0" cy="6794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8</xdr:row>
      <xdr:rowOff>83820</xdr:rowOff>
    </xdr:from>
    <xdr:to>
      <xdr:col>3</xdr:col>
      <xdr:colOff>289560</xdr:colOff>
      <xdr:row>8</xdr:row>
      <xdr:rowOff>99060</xdr:rowOff>
    </xdr:to>
    <xdr:cxnSp>
      <xdr:nvCxnSpPr>
        <xdr:cNvPr id="65564" name="Line 40"/>
        <xdr:cNvCxnSpPr/>
      </xdr:nvCxnSpPr>
      <xdr:spPr>
        <a:xfrm rot="2700000">
          <a:off x="1693545" y="2444115"/>
          <a:ext cx="15240" cy="25908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388620</xdr:colOff>
      <xdr:row>8</xdr:row>
      <xdr:rowOff>60960</xdr:rowOff>
    </xdr:from>
    <xdr:to>
      <xdr:col>4</xdr:col>
      <xdr:colOff>1905</xdr:colOff>
      <xdr:row>8</xdr:row>
      <xdr:rowOff>68580</xdr:rowOff>
    </xdr:to>
    <xdr:cxnSp>
      <xdr:nvCxnSpPr>
        <xdr:cNvPr id="65565" name="Line 41"/>
        <xdr:cNvCxnSpPr/>
      </xdr:nvCxnSpPr>
      <xdr:spPr>
        <a:xfrm rot="2700000">
          <a:off x="1994535" y="2478405"/>
          <a:ext cx="7620" cy="13716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</xdr:row>
      <xdr:rowOff>30480</xdr:rowOff>
    </xdr:from>
    <xdr:to>
      <xdr:col>3</xdr:col>
      <xdr:colOff>15240</xdr:colOff>
      <xdr:row>8</xdr:row>
      <xdr:rowOff>30480</xdr:rowOff>
    </xdr:to>
    <xdr:cxnSp>
      <xdr:nvCxnSpPr>
        <xdr:cNvPr id="65566" name="Line 42"/>
        <xdr:cNvCxnSpPr/>
      </xdr:nvCxnSpPr>
      <xdr:spPr>
        <a:xfrm rot="2700000">
          <a:off x="1553210" y="2510155"/>
          <a:ext cx="0" cy="508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</xdr:colOff>
      <xdr:row>7</xdr:row>
      <xdr:rowOff>83185</xdr:rowOff>
    </xdr:from>
    <xdr:to>
      <xdr:col>3</xdr:col>
      <xdr:colOff>2540</xdr:colOff>
      <xdr:row>7</xdr:row>
      <xdr:rowOff>83185</xdr:rowOff>
    </xdr:to>
    <xdr:cxnSp>
      <xdr:nvCxnSpPr>
        <xdr:cNvPr id="65567" name="Line 43"/>
        <xdr:cNvCxnSpPr/>
      </xdr:nvCxnSpPr>
      <xdr:spPr>
        <a:xfrm rot="2700000">
          <a:off x="1542415" y="2317115"/>
          <a:ext cx="0" cy="127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8</xdr:row>
      <xdr:rowOff>152400</xdr:rowOff>
    </xdr:from>
    <xdr:to>
      <xdr:col>5</xdr:col>
      <xdr:colOff>0</xdr:colOff>
      <xdr:row>9</xdr:row>
      <xdr:rowOff>0</xdr:rowOff>
    </xdr:to>
    <xdr:cxnSp>
      <xdr:nvCxnSpPr>
        <xdr:cNvPr id="65568" name="Line 44"/>
        <xdr:cNvCxnSpPr/>
      </xdr:nvCxnSpPr>
      <xdr:spPr>
        <a:xfrm>
          <a:off x="2148840" y="2634615"/>
          <a:ext cx="106680" cy="952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8</xdr:row>
      <xdr:rowOff>186690</xdr:rowOff>
    </xdr:from>
    <xdr:to>
      <xdr:col>5</xdr:col>
      <xdr:colOff>182880</xdr:colOff>
      <xdr:row>8</xdr:row>
      <xdr:rowOff>186690</xdr:rowOff>
    </xdr:to>
    <xdr:cxnSp>
      <xdr:nvCxnSpPr>
        <xdr:cNvPr id="65569" name="Line 45"/>
        <xdr:cNvCxnSpPr/>
      </xdr:nvCxnSpPr>
      <xdr:spPr>
        <a:xfrm rot="18900000" flipH="1">
          <a:off x="2362200" y="2592705"/>
          <a:ext cx="0" cy="15176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10</xdr:row>
      <xdr:rowOff>110490</xdr:rowOff>
    </xdr:from>
    <xdr:to>
      <xdr:col>5</xdr:col>
      <xdr:colOff>342900</xdr:colOff>
      <xdr:row>10</xdr:row>
      <xdr:rowOff>110490</xdr:rowOff>
    </xdr:to>
    <xdr:cxnSp>
      <xdr:nvCxnSpPr>
        <xdr:cNvPr id="65570" name="Line 46"/>
        <xdr:cNvCxnSpPr/>
      </xdr:nvCxnSpPr>
      <xdr:spPr>
        <a:xfrm rot="18900000" flipH="1">
          <a:off x="2430780" y="2920365"/>
          <a:ext cx="0" cy="33464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10</xdr:row>
      <xdr:rowOff>118110</xdr:rowOff>
    </xdr:from>
    <xdr:to>
      <xdr:col>6</xdr:col>
      <xdr:colOff>220980</xdr:colOff>
      <xdr:row>10</xdr:row>
      <xdr:rowOff>118110</xdr:rowOff>
    </xdr:to>
    <xdr:cxnSp>
      <xdr:nvCxnSpPr>
        <xdr:cNvPr id="65571" name="Line 47"/>
        <xdr:cNvCxnSpPr/>
      </xdr:nvCxnSpPr>
      <xdr:spPr>
        <a:xfrm rot="18900000" flipH="1">
          <a:off x="2708910" y="2947035"/>
          <a:ext cx="0" cy="29654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9</xdr:row>
      <xdr:rowOff>68580</xdr:rowOff>
    </xdr:from>
    <xdr:to>
      <xdr:col>6</xdr:col>
      <xdr:colOff>342900</xdr:colOff>
      <xdr:row>9</xdr:row>
      <xdr:rowOff>76200</xdr:rowOff>
    </xdr:to>
    <xdr:cxnSp>
      <xdr:nvCxnSpPr>
        <xdr:cNvPr id="65572" name="Line 49"/>
        <xdr:cNvCxnSpPr/>
      </xdr:nvCxnSpPr>
      <xdr:spPr>
        <a:xfrm rot="18900000" flipH="1">
          <a:off x="2743200" y="2569845"/>
          <a:ext cx="7620" cy="46482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11</xdr:row>
      <xdr:rowOff>7620</xdr:rowOff>
    </xdr:from>
    <xdr:to>
      <xdr:col>2</xdr:col>
      <xdr:colOff>541020</xdr:colOff>
      <xdr:row>12</xdr:row>
      <xdr:rowOff>198120</xdr:rowOff>
    </xdr:to>
    <xdr:cxnSp>
      <xdr:nvCxnSpPr>
        <xdr:cNvPr id="65573" name="Line 52"/>
        <xdr:cNvCxnSpPr/>
      </xdr:nvCxnSpPr>
      <xdr:spPr>
        <a:xfrm>
          <a:off x="1558290" y="3232785"/>
          <a:ext cx="0" cy="43815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11</xdr:row>
      <xdr:rowOff>7620</xdr:rowOff>
    </xdr:from>
    <xdr:to>
      <xdr:col>4</xdr:col>
      <xdr:colOff>60960</xdr:colOff>
      <xdr:row>12</xdr:row>
      <xdr:rowOff>213360</xdr:rowOff>
    </xdr:to>
    <xdr:cxnSp>
      <xdr:nvCxnSpPr>
        <xdr:cNvPr id="65574" name="Line 53"/>
        <xdr:cNvCxnSpPr/>
      </xdr:nvCxnSpPr>
      <xdr:spPr>
        <a:xfrm>
          <a:off x="2125980" y="3232785"/>
          <a:ext cx="0" cy="45339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12</xdr:row>
      <xdr:rowOff>121920</xdr:rowOff>
    </xdr:from>
    <xdr:to>
      <xdr:col>2</xdr:col>
      <xdr:colOff>541020</xdr:colOff>
      <xdr:row>12</xdr:row>
      <xdr:rowOff>121920</xdr:rowOff>
    </xdr:to>
    <xdr:cxnSp>
      <xdr:nvCxnSpPr>
        <xdr:cNvPr id="65575" name="Line 54"/>
        <xdr:cNvCxnSpPr/>
      </xdr:nvCxnSpPr>
      <xdr:spPr>
        <a:xfrm flipH="1">
          <a:off x="1367790" y="3594735"/>
          <a:ext cx="1905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12</xdr:row>
      <xdr:rowOff>121920</xdr:rowOff>
    </xdr:from>
    <xdr:to>
      <xdr:col>3</xdr:col>
      <xdr:colOff>0</xdr:colOff>
      <xdr:row>12</xdr:row>
      <xdr:rowOff>121920</xdr:rowOff>
    </xdr:to>
    <xdr:cxnSp>
      <xdr:nvCxnSpPr>
        <xdr:cNvPr id="65576" name="Line 56"/>
        <xdr:cNvCxnSpPr/>
      </xdr:nvCxnSpPr>
      <xdr:spPr>
        <a:xfrm>
          <a:off x="1541145" y="3594735"/>
          <a:ext cx="1714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121920</xdr:rowOff>
    </xdr:from>
    <xdr:to>
      <xdr:col>4</xdr:col>
      <xdr:colOff>60960</xdr:colOff>
      <xdr:row>12</xdr:row>
      <xdr:rowOff>121920</xdr:rowOff>
    </xdr:to>
    <xdr:cxnSp>
      <xdr:nvCxnSpPr>
        <xdr:cNvPr id="65577" name="Line 57"/>
        <xdr:cNvCxnSpPr/>
      </xdr:nvCxnSpPr>
      <xdr:spPr>
        <a:xfrm>
          <a:off x="2065020" y="3594735"/>
          <a:ext cx="609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12</xdr:row>
      <xdr:rowOff>121920</xdr:rowOff>
    </xdr:from>
    <xdr:to>
      <xdr:col>5</xdr:col>
      <xdr:colOff>60960</xdr:colOff>
      <xdr:row>12</xdr:row>
      <xdr:rowOff>121920</xdr:rowOff>
    </xdr:to>
    <xdr:cxnSp>
      <xdr:nvCxnSpPr>
        <xdr:cNvPr id="65578" name="Line 58"/>
        <xdr:cNvCxnSpPr/>
      </xdr:nvCxnSpPr>
      <xdr:spPr>
        <a:xfrm>
          <a:off x="2125980" y="3594735"/>
          <a:ext cx="1905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19</xdr:row>
      <xdr:rowOff>0</xdr:rowOff>
    </xdr:from>
    <xdr:to>
      <xdr:col>3</xdr:col>
      <xdr:colOff>297180</xdr:colOff>
      <xdr:row>19</xdr:row>
      <xdr:rowOff>144780</xdr:rowOff>
    </xdr:to>
    <xdr:cxnSp>
      <xdr:nvCxnSpPr>
        <xdr:cNvPr id="65579" name="Line 61"/>
        <xdr:cNvCxnSpPr/>
      </xdr:nvCxnSpPr>
      <xdr:spPr>
        <a:xfrm>
          <a:off x="1838325" y="5206365"/>
          <a:ext cx="0" cy="1447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16</xdr:row>
      <xdr:rowOff>228600</xdr:rowOff>
    </xdr:from>
    <xdr:to>
      <xdr:col>2</xdr:col>
      <xdr:colOff>533400</xdr:colOff>
      <xdr:row>20</xdr:row>
      <xdr:rowOff>0</xdr:rowOff>
    </xdr:to>
    <xdr:cxnSp>
      <xdr:nvCxnSpPr>
        <xdr:cNvPr id="65580" name="Line 62"/>
        <xdr:cNvCxnSpPr/>
      </xdr:nvCxnSpPr>
      <xdr:spPr>
        <a:xfrm rot="18900000">
          <a:off x="1550670" y="4692015"/>
          <a:ext cx="0" cy="7620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289560</xdr:colOff>
      <xdr:row>18</xdr:row>
      <xdr:rowOff>114300</xdr:rowOff>
    </xdr:from>
    <xdr:to>
      <xdr:col>5</xdr:col>
      <xdr:colOff>243840</xdr:colOff>
      <xdr:row>18</xdr:row>
      <xdr:rowOff>114300</xdr:rowOff>
    </xdr:to>
    <xdr:cxnSp>
      <xdr:nvCxnSpPr>
        <xdr:cNvPr id="65581" name="Line 63"/>
        <xdr:cNvCxnSpPr/>
      </xdr:nvCxnSpPr>
      <xdr:spPr>
        <a:xfrm rot="2700000">
          <a:off x="2164715" y="4739005"/>
          <a:ext cx="0" cy="6680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19</xdr:row>
      <xdr:rowOff>68580</xdr:rowOff>
    </xdr:from>
    <xdr:to>
      <xdr:col>3</xdr:col>
      <xdr:colOff>373380</xdr:colOff>
      <xdr:row>19</xdr:row>
      <xdr:rowOff>213360</xdr:rowOff>
    </xdr:to>
    <xdr:sp>
      <xdr:nvSpPr>
        <xdr:cNvPr id="65582" name="Arc 64"/>
        <xdr:cNvSpPr>
          <a:spLocks/>
        </xdr:cNvSpPr>
      </xdr:nvSpPr>
      <xdr:spPr>
        <a:xfrm rot="13500000" flipH="1">
          <a:off x="1769745" y="5274945"/>
          <a:ext cx="144780" cy="14478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541020</xdr:colOff>
      <xdr:row>15</xdr:row>
      <xdr:rowOff>106680</xdr:rowOff>
    </xdr:from>
    <xdr:to>
      <xdr:col>4</xdr:col>
      <xdr:colOff>68580</xdr:colOff>
      <xdr:row>16</xdr:row>
      <xdr:rowOff>7620</xdr:rowOff>
    </xdr:to>
    <xdr:sp>
      <xdr:nvSpPr>
        <xdr:cNvPr id="65583" name="Freeform 65"/>
        <xdr:cNvSpPr>
          <a:spLocks/>
        </xdr:cNvSpPr>
      </xdr:nvSpPr>
      <xdr:spPr>
        <a:xfrm>
          <a:off x="1558290" y="4322445"/>
          <a:ext cx="575310" cy="148590"/>
        </a:xfrm>
        <a:custGeom>
          <a:pathLst>
            <a:path w="77" h="17">
              <a:moveTo>
                <a:pt x="0" y="10"/>
              </a:moveTo>
              <a:cubicBezTo>
                <a:pt x="9" y="6"/>
                <a:pt x="18" y="2"/>
                <a:pt x="25" y="1"/>
              </a:cubicBezTo>
              <a:cubicBezTo>
                <a:pt x="32" y="0"/>
                <a:pt x="38" y="3"/>
                <a:pt x="43" y="6"/>
              </a:cubicBezTo>
              <a:cubicBezTo>
                <a:pt x="48" y="9"/>
                <a:pt x="53" y="17"/>
                <a:pt x="57" y="17"/>
              </a:cubicBezTo>
              <a:cubicBezTo>
                <a:pt x="61" y="17"/>
                <a:pt x="66" y="8"/>
                <a:pt x="69" y="7"/>
              </a:cubicBezTo>
              <a:cubicBezTo>
                <a:pt x="72" y="6"/>
                <a:pt x="74" y="8"/>
                <a:pt x="77" y="11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541020</xdr:colOff>
      <xdr:row>15</xdr:row>
      <xdr:rowOff>198120</xdr:rowOff>
    </xdr:from>
    <xdr:to>
      <xdr:col>2</xdr:col>
      <xdr:colOff>541020</xdr:colOff>
      <xdr:row>18</xdr:row>
      <xdr:rowOff>76200</xdr:rowOff>
    </xdr:to>
    <xdr:cxnSp>
      <xdr:nvCxnSpPr>
        <xdr:cNvPr id="65584" name="Line 66"/>
        <xdr:cNvCxnSpPr/>
      </xdr:nvCxnSpPr>
      <xdr:spPr>
        <a:xfrm flipH="1" flipV="1">
          <a:off x="1558290" y="4413885"/>
          <a:ext cx="0" cy="62103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</xdr:colOff>
      <xdr:row>15</xdr:row>
      <xdr:rowOff>190500</xdr:rowOff>
    </xdr:from>
    <xdr:to>
      <xdr:col>4</xdr:col>
      <xdr:colOff>68580</xdr:colOff>
      <xdr:row>18</xdr:row>
      <xdr:rowOff>83820</xdr:rowOff>
    </xdr:to>
    <xdr:cxnSp>
      <xdr:nvCxnSpPr>
        <xdr:cNvPr id="65585" name="Line 67"/>
        <xdr:cNvCxnSpPr/>
      </xdr:nvCxnSpPr>
      <xdr:spPr>
        <a:xfrm flipV="1">
          <a:off x="2133600" y="4406265"/>
          <a:ext cx="0" cy="63627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18</xdr:row>
      <xdr:rowOff>121920</xdr:rowOff>
    </xdr:from>
    <xdr:to>
      <xdr:col>2</xdr:col>
      <xdr:colOff>541020</xdr:colOff>
      <xdr:row>19</xdr:row>
      <xdr:rowOff>30480</xdr:rowOff>
    </xdr:to>
    <xdr:sp>
      <xdr:nvSpPr>
        <xdr:cNvPr id="65586" name="Arc 68"/>
        <xdr:cNvSpPr>
          <a:spLocks/>
        </xdr:cNvSpPr>
      </xdr:nvSpPr>
      <xdr:spPr>
        <a:xfrm>
          <a:off x="1436370" y="5080635"/>
          <a:ext cx="121920" cy="156210"/>
        </a:xfrm>
        <a:custGeom>
          <a:pathLst>
            <a:path w="17261" h="21600">
              <a:moveTo>
                <a:pt x="-1" y="0"/>
              </a:moveTo>
              <a:cubicBezTo>
                <a:pt x="6787" y="0"/>
                <a:pt x="13179" y="3190"/>
                <a:pt x="17260" y="8613"/>
              </a:cubicBezTo>
              <a:moveTo>
                <a:pt x="-1" y="0"/>
              </a:moveTo>
              <a:cubicBezTo>
                <a:pt x="6787" y="0"/>
                <a:pt x="13179" y="3190"/>
                <a:pt x="17260" y="8613"/>
              </a:cubicBezTo>
              <a:lnTo>
                <a:pt x="0" y="2160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83820</xdr:colOff>
      <xdr:row>18</xdr:row>
      <xdr:rowOff>121920</xdr:rowOff>
    </xdr:from>
    <xdr:to>
      <xdr:col>5</xdr:col>
      <xdr:colOff>7620</xdr:colOff>
      <xdr:row>18</xdr:row>
      <xdr:rowOff>198120</xdr:rowOff>
    </xdr:to>
    <xdr:sp>
      <xdr:nvSpPr>
        <xdr:cNvPr id="65587" name="Arc 69"/>
        <xdr:cNvSpPr>
          <a:spLocks/>
        </xdr:cNvSpPr>
      </xdr:nvSpPr>
      <xdr:spPr>
        <a:xfrm rot="16200000">
          <a:off x="2167890" y="5061585"/>
          <a:ext cx="76200" cy="114300"/>
        </a:xfrm>
        <a:custGeom>
          <a:pathLst>
            <a:path w="21600" h="18811">
              <a:moveTo>
                <a:pt x="10617" y="-1"/>
              </a:moveTo>
              <a:cubicBezTo>
                <a:pt x="17403" y="3829"/>
                <a:pt x="21600" y="11017"/>
                <a:pt x="21600" y="18810"/>
              </a:cubicBezTo>
              <a:moveTo>
                <a:pt x="10617" y="-1"/>
              </a:moveTo>
              <a:cubicBezTo>
                <a:pt x="17403" y="3829"/>
                <a:pt x="21600" y="11017"/>
                <a:pt x="21600" y="18810"/>
              </a:cubicBezTo>
              <a:lnTo>
                <a:pt x="0" y="1881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198120</xdr:colOff>
      <xdr:row>18</xdr:row>
      <xdr:rowOff>121920</xdr:rowOff>
    </xdr:from>
    <xdr:to>
      <xdr:col>6</xdr:col>
      <xdr:colOff>198120</xdr:colOff>
      <xdr:row>18</xdr:row>
      <xdr:rowOff>121920</xdr:rowOff>
    </xdr:to>
    <xdr:cxnSp>
      <xdr:nvCxnSpPr>
        <xdr:cNvPr id="65588" name="Line 71"/>
        <xdr:cNvCxnSpPr/>
      </xdr:nvCxnSpPr>
      <xdr:spPr>
        <a:xfrm>
          <a:off x="2263140" y="5080635"/>
          <a:ext cx="57150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18</xdr:row>
      <xdr:rowOff>121920</xdr:rowOff>
    </xdr:from>
    <xdr:to>
      <xdr:col>2</xdr:col>
      <xdr:colOff>426720</xdr:colOff>
      <xdr:row>18</xdr:row>
      <xdr:rowOff>121920</xdr:rowOff>
    </xdr:to>
    <xdr:cxnSp>
      <xdr:nvCxnSpPr>
        <xdr:cNvPr id="65589" name="Line 72"/>
        <xdr:cNvCxnSpPr/>
      </xdr:nvCxnSpPr>
      <xdr:spPr>
        <a:xfrm flipH="1">
          <a:off x="676275" y="5080635"/>
          <a:ext cx="76771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18</xdr:row>
      <xdr:rowOff>121920</xdr:rowOff>
    </xdr:from>
    <xdr:to>
      <xdr:col>1</xdr:col>
      <xdr:colOff>182880</xdr:colOff>
      <xdr:row>21</xdr:row>
      <xdr:rowOff>137160</xdr:rowOff>
    </xdr:to>
    <xdr:cxnSp>
      <xdr:nvCxnSpPr>
        <xdr:cNvPr id="65590" name="Line 73"/>
        <xdr:cNvCxnSpPr/>
      </xdr:nvCxnSpPr>
      <xdr:spPr>
        <a:xfrm>
          <a:off x="676275" y="5080635"/>
          <a:ext cx="0" cy="75819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137160</xdr:rowOff>
    </xdr:from>
    <xdr:to>
      <xdr:col>6</xdr:col>
      <xdr:colOff>419100</xdr:colOff>
      <xdr:row>21</xdr:row>
      <xdr:rowOff>137160</xdr:rowOff>
    </xdr:to>
    <xdr:cxnSp>
      <xdr:nvCxnSpPr>
        <xdr:cNvPr id="65591" name="Line 74"/>
        <xdr:cNvCxnSpPr/>
      </xdr:nvCxnSpPr>
      <xdr:spPr>
        <a:xfrm flipV="1">
          <a:off x="493395" y="5838825"/>
          <a:ext cx="256222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18</xdr:row>
      <xdr:rowOff>121920</xdr:rowOff>
    </xdr:from>
    <xdr:to>
      <xdr:col>6</xdr:col>
      <xdr:colOff>198120</xdr:colOff>
      <xdr:row>21</xdr:row>
      <xdr:rowOff>144780</xdr:rowOff>
    </xdr:to>
    <xdr:cxnSp>
      <xdr:nvCxnSpPr>
        <xdr:cNvPr id="65592" name="Line 75"/>
        <xdr:cNvCxnSpPr/>
      </xdr:nvCxnSpPr>
      <xdr:spPr>
        <a:xfrm>
          <a:off x="2834640" y="5080635"/>
          <a:ext cx="0" cy="76581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18</xdr:row>
      <xdr:rowOff>144780</xdr:rowOff>
    </xdr:from>
    <xdr:to>
      <xdr:col>2</xdr:col>
      <xdr:colOff>411480</xdr:colOff>
      <xdr:row>22</xdr:row>
      <xdr:rowOff>213360</xdr:rowOff>
    </xdr:to>
    <xdr:cxnSp>
      <xdr:nvCxnSpPr>
        <xdr:cNvPr id="65593" name="Line 76"/>
        <xdr:cNvCxnSpPr/>
      </xdr:nvCxnSpPr>
      <xdr:spPr>
        <a:xfrm>
          <a:off x="1428750" y="5103495"/>
          <a:ext cx="0" cy="105918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18</xdr:row>
      <xdr:rowOff>144780</xdr:rowOff>
    </xdr:from>
    <xdr:to>
      <xdr:col>4</xdr:col>
      <xdr:colOff>190500</xdr:colOff>
      <xdr:row>22</xdr:row>
      <xdr:rowOff>213360</xdr:rowOff>
    </xdr:to>
    <xdr:cxnSp>
      <xdr:nvCxnSpPr>
        <xdr:cNvPr id="65594" name="Line 78"/>
        <xdr:cNvCxnSpPr/>
      </xdr:nvCxnSpPr>
      <xdr:spPr>
        <a:xfrm>
          <a:off x="2255520" y="5103495"/>
          <a:ext cx="0" cy="105918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22</xdr:row>
      <xdr:rowOff>121920</xdr:rowOff>
    </xdr:from>
    <xdr:to>
      <xdr:col>3</xdr:col>
      <xdr:colOff>0</xdr:colOff>
      <xdr:row>22</xdr:row>
      <xdr:rowOff>121920</xdr:rowOff>
    </xdr:to>
    <xdr:cxnSp>
      <xdr:nvCxnSpPr>
        <xdr:cNvPr id="65595" name="Line 81"/>
        <xdr:cNvCxnSpPr/>
      </xdr:nvCxnSpPr>
      <xdr:spPr>
        <a:xfrm flipH="1">
          <a:off x="1428750" y="6071235"/>
          <a:ext cx="1123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22</xdr:row>
      <xdr:rowOff>121920</xdr:rowOff>
    </xdr:from>
    <xdr:to>
      <xdr:col>4</xdr:col>
      <xdr:colOff>190500</xdr:colOff>
      <xdr:row>22</xdr:row>
      <xdr:rowOff>121920</xdr:rowOff>
    </xdr:to>
    <xdr:cxnSp>
      <xdr:nvCxnSpPr>
        <xdr:cNvPr id="65596" name="Line 82"/>
        <xdr:cNvCxnSpPr/>
      </xdr:nvCxnSpPr>
      <xdr:spPr>
        <a:xfrm flipH="1">
          <a:off x="2135505" y="6071235"/>
          <a:ext cx="1200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18</xdr:row>
      <xdr:rowOff>144780</xdr:rowOff>
    </xdr:from>
    <xdr:to>
      <xdr:col>2</xdr:col>
      <xdr:colOff>464820</xdr:colOff>
      <xdr:row>21</xdr:row>
      <xdr:rowOff>137160</xdr:rowOff>
    </xdr:to>
    <xdr:cxnSp>
      <xdr:nvCxnSpPr>
        <xdr:cNvPr id="65597" name="Line 83"/>
        <xdr:cNvCxnSpPr/>
      </xdr:nvCxnSpPr>
      <xdr:spPr>
        <a:xfrm flipH="1">
          <a:off x="683895" y="5103495"/>
          <a:ext cx="798195" cy="73533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18</xdr:row>
      <xdr:rowOff>137160</xdr:rowOff>
    </xdr:from>
    <xdr:to>
      <xdr:col>2</xdr:col>
      <xdr:colOff>137160</xdr:colOff>
      <xdr:row>20</xdr:row>
      <xdr:rowOff>83820</xdr:rowOff>
    </xdr:to>
    <xdr:cxnSp>
      <xdr:nvCxnSpPr>
        <xdr:cNvPr id="65598" name="Line 84"/>
        <xdr:cNvCxnSpPr/>
      </xdr:nvCxnSpPr>
      <xdr:spPr>
        <a:xfrm flipH="1">
          <a:off x="683895" y="5095875"/>
          <a:ext cx="470535" cy="44196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19</xdr:row>
      <xdr:rowOff>7620</xdr:rowOff>
    </xdr:from>
    <xdr:to>
      <xdr:col>3</xdr:col>
      <xdr:colOff>68580</xdr:colOff>
      <xdr:row>21</xdr:row>
      <xdr:rowOff>137160</xdr:rowOff>
    </xdr:to>
    <xdr:cxnSp>
      <xdr:nvCxnSpPr>
        <xdr:cNvPr id="65599" name="Line 85"/>
        <xdr:cNvCxnSpPr/>
      </xdr:nvCxnSpPr>
      <xdr:spPr>
        <a:xfrm flipH="1">
          <a:off x="1072515" y="5213985"/>
          <a:ext cx="537210" cy="62484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19</xdr:row>
      <xdr:rowOff>160020</xdr:rowOff>
    </xdr:from>
    <xdr:to>
      <xdr:col>3</xdr:col>
      <xdr:colOff>228600</xdr:colOff>
      <xdr:row>21</xdr:row>
      <xdr:rowOff>137160</xdr:rowOff>
    </xdr:to>
    <xdr:cxnSp>
      <xdr:nvCxnSpPr>
        <xdr:cNvPr id="65600" name="Line 86"/>
        <xdr:cNvCxnSpPr/>
      </xdr:nvCxnSpPr>
      <xdr:spPr>
        <a:xfrm flipH="1">
          <a:off x="1344930" y="5366385"/>
          <a:ext cx="424815" cy="47244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19</xdr:row>
      <xdr:rowOff>38100</xdr:rowOff>
    </xdr:from>
    <xdr:to>
      <xdr:col>4</xdr:col>
      <xdr:colOff>106680</xdr:colOff>
      <xdr:row>21</xdr:row>
      <xdr:rowOff>137160</xdr:rowOff>
    </xdr:to>
    <xdr:cxnSp>
      <xdr:nvCxnSpPr>
        <xdr:cNvPr id="65601" name="Line 87"/>
        <xdr:cNvCxnSpPr/>
      </xdr:nvCxnSpPr>
      <xdr:spPr>
        <a:xfrm flipH="1">
          <a:off x="1602105" y="5244465"/>
          <a:ext cx="569595" cy="59436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289560</xdr:colOff>
      <xdr:row>20</xdr:row>
      <xdr:rowOff>60960</xdr:rowOff>
    </xdr:from>
    <xdr:to>
      <xdr:col>6</xdr:col>
      <xdr:colOff>190500</xdr:colOff>
      <xdr:row>21</xdr:row>
      <xdr:rowOff>121920</xdr:rowOff>
    </xdr:to>
    <xdr:cxnSp>
      <xdr:nvCxnSpPr>
        <xdr:cNvPr id="65602" name="Line 88"/>
        <xdr:cNvCxnSpPr/>
      </xdr:nvCxnSpPr>
      <xdr:spPr>
        <a:xfrm flipH="1">
          <a:off x="2545080" y="5514975"/>
          <a:ext cx="281940" cy="30861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18</xdr:row>
      <xdr:rowOff>137160</xdr:rowOff>
    </xdr:from>
    <xdr:to>
      <xdr:col>1</xdr:col>
      <xdr:colOff>381000</xdr:colOff>
      <xdr:row>19</xdr:row>
      <xdr:rowOff>38100</xdr:rowOff>
    </xdr:to>
    <xdr:cxnSp>
      <xdr:nvCxnSpPr>
        <xdr:cNvPr id="65603" name="Line 91"/>
        <xdr:cNvCxnSpPr/>
      </xdr:nvCxnSpPr>
      <xdr:spPr>
        <a:xfrm flipH="1">
          <a:off x="683895" y="5095875"/>
          <a:ext cx="190500" cy="14859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20</xdr:row>
      <xdr:rowOff>7620</xdr:rowOff>
    </xdr:from>
    <xdr:to>
      <xdr:col>5</xdr:col>
      <xdr:colOff>350520</xdr:colOff>
      <xdr:row>21</xdr:row>
      <xdr:rowOff>137160</xdr:rowOff>
    </xdr:to>
    <xdr:cxnSp>
      <xdr:nvCxnSpPr>
        <xdr:cNvPr id="65604" name="Line 93"/>
        <xdr:cNvCxnSpPr/>
      </xdr:nvCxnSpPr>
      <xdr:spPr>
        <a:xfrm flipH="1">
          <a:off x="2255520" y="5461635"/>
          <a:ext cx="350520" cy="37719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502920</xdr:colOff>
      <xdr:row>15</xdr:row>
      <xdr:rowOff>236220</xdr:rowOff>
    </xdr:from>
    <xdr:to>
      <xdr:col>4</xdr:col>
      <xdr:colOff>68580</xdr:colOff>
      <xdr:row>16</xdr:row>
      <xdr:rowOff>137160</xdr:rowOff>
    </xdr:to>
    <xdr:cxnSp>
      <xdr:nvCxnSpPr>
        <xdr:cNvPr id="65605" name="Line 94"/>
        <xdr:cNvCxnSpPr/>
      </xdr:nvCxnSpPr>
      <xdr:spPr>
        <a:xfrm>
          <a:off x="2044065" y="4451985"/>
          <a:ext cx="89535" cy="14859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15</xdr:row>
      <xdr:rowOff>137160</xdr:rowOff>
    </xdr:from>
    <xdr:to>
      <xdr:col>3</xdr:col>
      <xdr:colOff>518160</xdr:colOff>
      <xdr:row>16</xdr:row>
      <xdr:rowOff>236220</xdr:rowOff>
    </xdr:to>
    <xdr:cxnSp>
      <xdr:nvCxnSpPr>
        <xdr:cNvPr id="65606" name="Line 95"/>
        <xdr:cNvCxnSpPr/>
      </xdr:nvCxnSpPr>
      <xdr:spPr>
        <a:xfrm>
          <a:off x="1647825" y="4352925"/>
          <a:ext cx="411480" cy="34671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15</xdr:row>
      <xdr:rowOff>228600</xdr:rowOff>
    </xdr:from>
    <xdr:to>
      <xdr:col>3</xdr:col>
      <xdr:colOff>228600</xdr:colOff>
      <xdr:row>16</xdr:row>
      <xdr:rowOff>236220</xdr:rowOff>
    </xdr:to>
    <xdr:cxnSp>
      <xdr:nvCxnSpPr>
        <xdr:cNvPr id="65607" name="Line 96"/>
        <xdr:cNvCxnSpPr/>
      </xdr:nvCxnSpPr>
      <xdr:spPr>
        <a:xfrm>
          <a:off x="1558290" y="4444365"/>
          <a:ext cx="211455" cy="25527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16</xdr:row>
      <xdr:rowOff>220980</xdr:rowOff>
    </xdr:from>
    <xdr:to>
      <xdr:col>3</xdr:col>
      <xdr:colOff>0</xdr:colOff>
      <xdr:row>17</xdr:row>
      <xdr:rowOff>22860</xdr:rowOff>
    </xdr:to>
    <xdr:cxnSp>
      <xdr:nvCxnSpPr>
        <xdr:cNvPr id="65608" name="Line 97"/>
        <xdr:cNvCxnSpPr/>
      </xdr:nvCxnSpPr>
      <xdr:spPr>
        <a:xfrm>
          <a:off x="1541145" y="4684395"/>
          <a:ext cx="17145" cy="4953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17</xdr:row>
      <xdr:rowOff>160020</xdr:rowOff>
    </xdr:from>
    <xdr:to>
      <xdr:col>3</xdr:col>
      <xdr:colOff>0</xdr:colOff>
      <xdr:row>17</xdr:row>
      <xdr:rowOff>228600</xdr:rowOff>
    </xdr:to>
    <xdr:cxnSp>
      <xdr:nvCxnSpPr>
        <xdr:cNvPr id="65609" name="Line 98"/>
        <xdr:cNvCxnSpPr/>
      </xdr:nvCxnSpPr>
      <xdr:spPr>
        <a:xfrm>
          <a:off x="1541145" y="4871085"/>
          <a:ext cx="17145" cy="6858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7620</xdr:rowOff>
    </xdr:from>
    <xdr:to>
      <xdr:col>3</xdr:col>
      <xdr:colOff>160020</xdr:colOff>
      <xdr:row>18</xdr:row>
      <xdr:rowOff>137160</xdr:rowOff>
    </xdr:to>
    <xdr:cxnSp>
      <xdr:nvCxnSpPr>
        <xdr:cNvPr id="65610" name="Line 99"/>
        <xdr:cNvCxnSpPr/>
      </xdr:nvCxnSpPr>
      <xdr:spPr>
        <a:xfrm>
          <a:off x="1579245" y="4966335"/>
          <a:ext cx="121920" cy="12954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18</xdr:row>
      <xdr:rowOff>0</xdr:rowOff>
    </xdr:from>
    <xdr:to>
      <xdr:col>4</xdr:col>
      <xdr:colOff>7620</xdr:colOff>
      <xdr:row>18</xdr:row>
      <xdr:rowOff>137160</xdr:rowOff>
    </xdr:to>
    <xdr:cxnSp>
      <xdr:nvCxnSpPr>
        <xdr:cNvPr id="65611" name="Line 100"/>
        <xdr:cNvCxnSpPr/>
      </xdr:nvCxnSpPr>
      <xdr:spPr>
        <a:xfrm>
          <a:off x="2005965" y="4958715"/>
          <a:ext cx="66675" cy="13716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60960</xdr:rowOff>
    </xdr:from>
    <xdr:to>
      <xdr:col>4</xdr:col>
      <xdr:colOff>68580</xdr:colOff>
      <xdr:row>17</xdr:row>
      <xdr:rowOff>114300</xdr:rowOff>
    </xdr:to>
    <xdr:cxnSp>
      <xdr:nvCxnSpPr>
        <xdr:cNvPr id="65612" name="Line 101"/>
        <xdr:cNvCxnSpPr/>
      </xdr:nvCxnSpPr>
      <xdr:spPr>
        <a:xfrm>
          <a:off x="2065020" y="4772025"/>
          <a:ext cx="68580" cy="5334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18</xdr:row>
      <xdr:rowOff>182880</xdr:rowOff>
    </xdr:from>
    <xdr:to>
      <xdr:col>3</xdr:col>
      <xdr:colOff>487680</xdr:colOff>
      <xdr:row>19</xdr:row>
      <xdr:rowOff>0</xdr:rowOff>
    </xdr:to>
    <xdr:cxnSp>
      <xdr:nvCxnSpPr>
        <xdr:cNvPr id="65613" name="Line 102"/>
        <xdr:cNvCxnSpPr/>
      </xdr:nvCxnSpPr>
      <xdr:spPr>
        <a:xfrm>
          <a:off x="1952625" y="5141595"/>
          <a:ext cx="76200" cy="6477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4</xdr:row>
      <xdr:rowOff>152400</xdr:rowOff>
    </xdr:from>
    <xdr:to>
      <xdr:col>9</xdr:col>
      <xdr:colOff>144780</xdr:colOff>
      <xdr:row>8</xdr:row>
      <xdr:rowOff>182880</xdr:rowOff>
    </xdr:to>
    <xdr:cxnSp>
      <xdr:nvCxnSpPr>
        <xdr:cNvPr id="65614" name="Line 105"/>
        <xdr:cNvCxnSpPr/>
      </xdr:nvCxnSpPr>
      <xdr:spPr>
        <a:xfrm rot="1800000">
          <a:off x="4335780" y="1644015"/>
          <a:ext cx="7620" cy="102108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213360</xdr:rowOff>
    </xdr:from>
    <xdr:to>
      <xdr:col>8</xdr:col>
      <xdr:colOff>205740</xdr:colOff>
      <xdr:row>7</xdr:row>
      <xdr:rowOff>213360</xdr:rowOff>
    </xdr:to>
    <xdr:cxnSp>
      <xdr:nvCxnSpPr>
        <xdr:cNvPr id="65615" name="Line 107"/>
        <xdr:cNvCxnSpPr/>
      </xdr:nvCxnSpPr>
      <xdr:spPr>
        <a:xfrm rot="18000000">
          <a:off x="3515360" y="2083435"/>
          <a:ext cx="0" cy="72898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83820</xdr:rowOff>
    </xdr:from>
    <xdr:to>
      <xdr:col>8</xdr:col>
      <xdr:colOff>487680</xdr:colOff>
      <xdr:row>8</xdr:row>
      <xdr:rowOff>190500</xdr:rowOff>
    </xdr:to>
    <xdr:sp>
      <xdr:nvSpPr>
        <xdr:cNvPr id="65616" name="Arc 108"/>
        <xdr:cNvSpPr>
          <a:spLocks/>
        </xdr:cNvSpPr>
      </xdr:nvSpPr>
      <xdr:spPr>
        <a:xfrm flipV="1">
          <a:off x="3827145" y="2566035"/>
          <a:ext cx="335280" cy="106680"/>
        </a:xfrm>
        <a:custGeom>
          <a:pathLst>
            <a:path w="36032" h="21601">
              <a:moveTo>
                <a:pt x="0" y="5900"/>
              </a:moveTo>
              <a:cubicBezTo>
                <a:pt x="4010" y="2111"/>
                <a:pt x="9318" y="-1"/>
                <a:pt x="14835" y="0"/>
              </a:cubicBezTo>
              <a:cubicBezTo>
                <a:pt x="25164" y="0"/>
                <a:pt x="34048" y="7313"/>
                <a:pt x="36032" y="17451"/>
              </a:cubicBezTo>
              <a:moveTo>
                <a:pt x="0" y="5900"/>
              </a:moveTo>
              <a:cubicBezTo>
                <a:pt x="4010" y="2111"/>
                <a:pt x="9318" y="-1"/>
                <a:pt x="14835" y="0"/>
              </a:cubicBezTo>
              <a:cubicBezTo>
                <a:pt x="25164" y="0"/>
                <a:pt x="34048" y="7313"/>
                <a:pt x="36032" y="17451"/>
              </a:cubicBezTo>
              <a:lnTo>
                <a:pt x="14835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251460</xdr:colOff>
      <xdr:row>4</xdr:row>
      <xdr:rowOff>175260</xdr:rowOff>
    </xdr:from>
    <xdr:to>
      <xdr:col>12</xdr:col>
      <xdr:colOff>251460</xdr:colOff>
      <xdr:row>8</xdr:row>
      <xdr:rowOff>236220</xdr:rowOff>
    </xdr:to>
    <xdr:cxnSp>
      <xdr:nvCxnSpPr>
        <xdr:cNvPr id="65617" name="Line 109"/>
        <xdr:cNvCxnSpPr/>
      </xdr:nvCxnSpPr>
      <xdr:spPr>
        <a:xfrm rot="1800000" flipH="1">
          <a:off x="6021705" y="1666875"/>
          <a:ext cx="0" cy="10515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480060</xdr:colOff>
      <xdr:row>8</xdr:row>
      <xdr:rowOff>114300</xdr:rowOff>
    </xdr:from>
    <xdr:to>
      <xdr:col>11</xdr:col>
      <xdr:colOff>541020</xdr:colOff>
      <xdr:row>8</xdr:row>
      <xdr:rowOff>220980</xdr:rowOff>
    </xdr:to>
    <xdr:sp>
      <xdr:nvSpPr>
        <xdr:cNvPr id="65618" name="Arc 110"/>
        <xdr:cNvSpPr>
          <a:spLocks/>
        </xdr:cNvSpPr>
      </xdr:nvSpPr>
      <xdr:spPr>
        <a:xfrm flipV="1">
          <a:off x="5726430" y="2596515"/>
          <a:ext cx="60960" cy="106680"/>
        </a:xfrm>
        <a:custGeom>
          <a:pathLst>
            <a:path w="19321" h="21365">
              <a:moveTo>
                <a:pt x="3178" y="0"/>
              </a:moveTo>
              <a:cubicBezTo>
                <a:pt x="10147" y="1037"/>
                <a:pt x="16171" y="5406"/>
                <a:pt x="19321" y="11708"/>
              </a:cubicBezTo>
              <a:moveTo>
                <a:pt x="3178" y="0"/>
              </a:moveTo>
              <a:cubicBezTo>
                <a:pt x="10147" y="1037"/>
                <a:pt x="16171" y="5406"/>
                <a:pt x="19321" y="11708"/>
              </a:cubicBezTo>
              <a:lnTo>
                <a:pt x="0" y="21365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350520</xdr:colOff>
      <xdr:row>8</xdr:row>
      <xdr:rowOff>220980</xdr:rowOff>
    </xdr:from>
    <xdr:to>
      <xdr:col>11</xdr:col>
      <xdr:colOff>502920</xdr:colOff>
      <xdr:row>8</xdr:row>
      <xdr:rowOff>220980</xdr:rowOff>
    </xdr:to>
    <xdr:cxnSp>
      <xdr:nvCxnSpPr>
        <xdr:cNvPr id="65619" name="Line 111"/>
        <xdr:cNvCxnSpPr/>
      </xdr:nvCxnSpPr>
      <xdr:spPr>
        <a:xfrm>
          <a:off x="4025265" y="2703195"/>
          <a:ext cx="172402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4</xdr:row>
      <xdr:rowOff>228600</xdr:rowOff>
    </xdr:from>
    <xdr:to>
      <xdr:col>12</xdr:col>
      <xdr:colOff>525780</xdr:colOff>
      <xdr:row>4</xdr:row>
      <xdr:rowOff>228600</xdr:rowOff>
    </xdr:to>
    <xdr:cxnSp>
      <xdr:nvCxnSpPr>
        <xdr:cNvPr id="65620" name="Line 112"/>
        <xdr:cNvCxnSpPr/>
      </xdr:nvCxnSpPr>
      <xdr:spPr>
        <a:xfrm>
          <a:off x="4549140" y="1720215"/>
          <a:ext cx="1746885" cy="0"/>
        </a:xfrm>
        <a:prstGeom prst="line"/>
        <a:noFill/>
        <a:ln w="508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7</xdr:row>
      <xdr:rowOff>0</xdr:rowOff>
    </xdr:from>
    <xdr:to>
      <xdr:col>9</xdr:col>
      <xdr:colOff>83820</xdr:colOff>
      <xdr:row>7</xdr:row>
      <xdr:rowOff>0</xdr:rowOff>
    </xdr:to>
    <xdr:cxnSp>
      <xdr:nvCxnSpPr>
        <xdr:cNvPr id="65621" name="Line 113"/>
        <xdr:cNvCxnSpPr/>
      </xdr:nvCxnSpPr>
      <xdr:spPr>
        <a:xfrm>
          <a:off x="3227070" y="2234565"/>
          <a:ext cx="105537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106680</xdr:colOff>
      <xdr:row>5</xdr:row>
      <xdr:rowOff>83820</xdr:rowOff>
    </xdr:from>
    <xdr:to>
      <xdr:col>9</xdr:col>
      <xdr:colOff>236220</xdr:colOff>
      <xdr:row>5</xdr:row>
      <xdr:rowOff>160020</xdr:rowOff>
    </xdr:to>
    <xdr:cxnSp>
      <xdr:nvCxnSpPr>
        <xdr:cNvPr id="65622" name="Line 114"/>
        <xdr:cNvCxnSpPr/>
      </xdr:nvCxnSpPr>
      <xdr:spPr>
        <a:xfrm>
          <a:off x="4305300" y="1823085"/>
          <a:ext cx="129540" cy="76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5</xdr:row>
      <xdr:rowOff>198120</xdr:rowOff>
    </xdr:from>
    <xdr:to>
      <xdr:col>9</xdr:col>
      <xdr:colOff>457200</xdr:colOff>
      <xdr:row>6</xdr:row>
      <xdr:rowOff>7620</xdr:rowOff>
    </xdr:to>
    <xdr:cxnSp>
      <xdr:nvCxnSpPr>
        <xdr:cNvPr id="65623" name="Line 115"/>
        <xdr:cNvCxnSpPr/>
      </xdr:nvCxnSpPr>
      <xdr:spPr>
        <a:xfrm>
          <a:off x="4511040" y="1937385"/>
          <a:ext cx="144780" cy="571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8</xdr:row>
      <xdr:rowOff>228600</xdr:rowOff>
    </xdr:from>
    <xdr:to>
      <xdr:col>11</xdr:col>
      <xdr:colOff>533400</xdr:colOff>
      <xdr:row>10</xdr:row>
      <xdr:rowOff>198120</xdr:rowOff>
    </xdr:to>
    <xdr:cxnSp>
      <xdr:nvCxnSpPr>
        <xdr:cNvPr id="65624" name="Line 116"/>
        <xdr:cNvCxnSpPr/>
      </xdr:nvCxnSpPr>
      <xdr:spPr>
        <a:xfrm>
          <a:off x="5779770" y="2710815"/>
          <a:ext cx="0" cy="4648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8</xdr:row>
      <xdr:rowOff>228600</xdr:rowOff>
    </xdr:from>
    <xdr:to>
      <xdr:col>8</xdr:col>
      <xdr:colOff>350520</xdr:colOff>
      <xdr:row>10</xdr:row>
      <xdr:rowOff>213360</xdr:rowOff>
    </xdr:to>
    <xdr:cxnSp>
      <xdr:nvCxnSpPr>
        <xdr:cNvPr id="65625" name="Line 117"/>
        <xdr:cNvCxnSpPr/>
      </xdr:nvCxnSpPr>
      <xdr:spPr>
        <a:xfrm>
          <a:off x="4025265" y="2710815"/>
          <a:ext cx="0" cy="4800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10</xdr:row>
      <xdr:rowOff>121920</xdr:rowOff>
    </xdr:from>
    <xdr:to>
      <xdr:col>11</xdr:col>
      <xdr:colOff>525780</xdr:colOff>
      <xdr:row>10</xdr:row>
      <xdr:rowOff>121920</xdr:rowOff>
    </xdr:to>
    <xdr:cxnSp>
      <xdr:nvCxnSpPr>
        <xdr:cNvPr id="65626" name="Line 118"/>
        <xdr:cNvCxnSpPr/>
      </xdr:nvCxnSpPr>
      <xdr:spPr>
        <a:xfrm>
          <a:off x="5253990" y="3099435"/>
          <a:ext cx="5181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10</xdr:row>
      <xdr:rowOff>137160</xdr:rowOff>
    </xdr:from>
    <xdr:to>
      <xdr:col>9</xdr:col>
      <xdr:colOff>251460</xdr:colOff>
      <xdr:row>10</xdr:row>
      <xdr:rowOff>137160</xdr:rowOff>
    </xdr:to>
    <xdr:cxnSp>
      <xdr:nvCxnSpPr>
        <xdr:cNvPr id="65627" name="Line 119"/>
        <xdr:cNvCxnSpPr/>
      </xdr:nvCxnSpPr>
      <xdr:spPr>
        <a:xfrm flipH="1">
          <a:off x="4025265" y="3114675"/>
          <a:ext cx="4248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426720</xdr:colOff>
      <xdr:row>7</xdr:row>
      <xdr:rowOff>38100</xdr:rowOff>
    </xdr:from>
    <xdr:to>
      <xdr:col>13</xdr:col>
      <xdr:colOff>7620</xdr:colOff>
      <xdr:row>7</xdr:row>
      <xdr:rowOff>38100</xdr:rowOff>
    </xdr:to>
    <xdr:cxnSp>
      <xdr:nvCxnSpPr>
        <xdr:cNvPr id="65628" name="Line 120"/>
        <xdr:cNvCxnSpPr/>
      </xdr:nvCxnSpPr>
      <xdr:spPr>
        <a:xfrm>
          <a:off x="5673090" y="2272665"/>
          <a:ext cx="6858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19</xdr:row>
      <xdr:rowOff>236220</xdr:rowOff>
    </xdr:from>
    <xdr:to>
      <xdr:col>5</xdr:col>
      <xdr:colOff>7620</xdr:colOff>
      <xdr:row>21</xdr:row>
      <xdr:rowOff>137160</xdr:rowOff>
    </xdr:to>
    <xdr:cxnSp>
      <xdr:nvCxnSpPr>
        <xdr:cNvPr id="65629" name="Line 121"/>
        <xdr:cNvCxnSpPr/>
      </xdr:nvCxnSpPr>
      <xdr:spPr>
        <a:xfrm flipH="1">
          <a:off x="1960245" y="5442585"/>
          <a:ext cx="302895" cy="39624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18</xdr:row>
      <xdr:rowOff>137160</xdr:rowOff>
    </xdr:from>
    <xdr:to>
      <xdr:col>5</xdr:col>
      <xdr:colOff>388620</xdr:colOff>
      <xdr:row>19</xdr:row>
      <xdr:rowOff>0</xdr:rowOff>
    </xdr:to>
    <xdr:cxnSp>
      <xdr:nvCxnSpPr>
        <xdr:cNvPr id="65630" name="Line 122"/>
        <xdr:cNvCxnSpPr/>
      </xdr:nvCxnSpPr>
      <xdr:spPr>
        <a:xfrm flipH="1">
          <a:off x="2522220" y="5095875"/>
          <a:ext cx="121920" cy="11049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18</xdr:row>
      <xdr:rowOff>160020</xdr:rowOff>
    </xdr:from>
    <xdr:to>
      <xdr:col>4</xdr:col>
      <xdr:colOff>213360</xdr:colOff>
      <xdr:row>19</xdr:row>
      <xdr:rowOff>0</xdr:rowOff>
    </xdr:to>
    <xdr:cxnSp>
      <xdr:nvCxnSpPr>
        <xdr:cNvPr id="65631" name="Line 123"/>
        <xdr:cNvCxnSpPr/>
      </xdr:nvCxnSpPr>
      <xdr:spPr>
        <a:xfrm>
          <a:off x="2148840" y="5118735"/>
          <a:ext cx="129540" cy="876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190500</xdr:colOff>
      <xdr:row>19</xdr:row>
      <xdr:rowOff>175260</xdr:rowOff>
    </xdr:to>
    <xdr:cxnSp>
      <xdr:nvCxnSpPr>
        <xdr:cNvPr id="65632" name="Line 124"/>
        <xdr:cNvCxnSpPr/>
      </xdr:nvCxnSpPr>
      <xdr:spPr>
        <a:xfrm flipH="1">
          <a:off x="2636520" y="5206365"/>
          <a:ext cx="190500" cy="17526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21</xdr:row>
      <xdr:rowOff>76200</xdr:rowOff>
    </xdr:from>
    <xdr:to>
      <xdr:col>6</xdr:col>
      <xdr:colOff>198120</xdr:colOff>
      <xdr:row>21</xdr:row>
      <xdr:rowOff>121920</xdr:rowOff>
    </xdr:to>
    <xdr:cxnSp>
      <xdr:nvCxnSpPr>
        <xdr:cNvPr id="65633" name="Line 125"/>
        <xdr:cNvCxnSpPr/>
      </xdr:nvCxnSpPr>
      <xdr:spPr>
        <a:xfrm flipH="1">
          <a:off x="2781300" y="5777865"/>
          <a:ext cx="53340" cy="45720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1000125</xdr:colOff>
      <xdr:row>0</xdr:row>
      <xdr:rowOff>228600</xdr:rowOff>
    </xdr:from>
    <xdr:to>
      <xdr:col>20</xdr:col>
      <xdr:colOff>304800</xdr:colOff>
      <xdr:row>0</xdr:row>
      <xdr:rowOff>600075</xdr:rowOff>
    </xdr:to>
    <xdr:sp>
      <xdr:nvSpPr>
        <xdr:cNvPr id="33919" name="Rectangle 127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608695" y="215265"/>
          <a:ext cx="704850" cy="37147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80010</xdr:rowOff>
    </xdr:from>
    <xdr:to>
      <xdr:col>3</xdr:col>
      <xdr:colOff>38100</xdr:colOff>
      <xdr:row>6</xdr:row>
      <xdr:rowOff>80010</xdr:rowOff>
    </xdr:to>
    <xdr:cxnSp>
      <xdr:nvCxnSpPr>
        <xdr:cNvPr id="66561" name="Line 32"/>
        <xdr:cNvCxnSpPr/>
      </xdr:nvCxnSpPr>
      <xdr:spPr>
        <a:xfrm rot="2700000">
          <a:off x="864870" y="2000250"/>
          <a:ext cx="0" cy="37465"/>
        </a:xfrm>
        <a:prstGeom prst="line"/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388620</xdr:colOff>
      <xdr:row>11</xdr:row>
      <xdr:rowOff>121920</xdr:rowOff>
    </xdr:from>
    <xdr:to>
      <xdr:col>3</xdr:col>
      <xdr:colOff>0</xdr:colOff>
      <xdr:row>11</xdr:row>
      <xdr:rowOff>121920</xdr:rowOff>
    </xdr:to>
    <xdr:cxnSp>
      <xdr:nvCxnSpPr>
        <xdr:cNvPr id="66562" name="Line 41"/>
        <xdr:cNvCxnSpPr/>
      </xdr:nvCxnSpPr>
      <xdr:spPr>
        <a:xfrm>
          <a:off x="845820" y="3299460"/>
          <a:ext cx="457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7</xdr:row>
      <xdr:rowOff>175260</xdr:rowOff>
    </xdr:from>
    <xdr:to>
      <xdr:col>3</xdr:col>
      <xdr:colOff>83820</xdr:colOff>
      <xdr:row>7</xdr:row>
      <xdr:rowOff>175260</xdr:rowOff>
    </xdr:to>
    <xdr:cxnSp>
      <xdr:nvCxnSpPr>
        <xdr:cNvPr id="66563" name="Line 99"/>
        <xdr:cNvCxnSpPr/>
      </xdr:nvCxnSpPr>
      <xdr:spPr>
        <a:xfrm>
          <a:off x="392430" y="2362200"/>
          <a:ext cx="5372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8</xdr:row>
      <xdr:rowOff>38100</xdr:rowOff>
    </xdr:from>
    <xdr:to>
      <xdr:col>3</xdr:col>
      <xdr:colOff>190500</xdr:colOff>
      <xdr:row>10</xdr:row>
      <xdr:rowOff>83820</xdr:rowOff>
    </xdr:to>
    <xdr:cxnSp>
      <xdr:nvCxnSpPr>
        <xdr:cNvPr id="66564" name="Line 100"/>
        <xdr:cNvCxnSpPr/>
      </xdr:nvCxnSpPr>
      <xdr:spPr>
        <a:xfrm>
          <a:off x="1036320" y="2472690"/>
          <a:ext cx="0" cy="541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10</xdr:row>
      <xdr:rowOff>83820</xdr:rowOff>
    </xdr:from>
    <xdr:to>
      <xdr:col>5</xdr:col>
      <xdr:colOff>121920</xdr:colOff>
      <xdr:row>10</xdr:row>
      <xdr:rowOff>83820</xdr:rowOff>
    </xdr:to>
    <xdr:cxnSp>
      <xdr:nvCxnSpPr>
        <xdr:cNvPr id="66565" name="Line 101"/>
        <xdr:cNvCxnSpPr/>
      </xdr:nvCxnSpPr>
      <xdr:spPr>
        <a:xfrm>
          <a:off x="278130" y="3013710"/>
          <a:ext cx="12420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7</xdr:row>
      <xdr:rowOff>175260</xdr:rowOff>
    </xdr:from>
    <xdr:to>
      <xdr:col>3</xdr:col>
      <xdr:colOff>190500</xdr:colOff>
      <xdr:row>8</xdr:row>
      <xdr:rowOff>60960</xdr:rowOff>
    </xdr:to>
    <xdr:sp>
      <xdr:nvSpPr>
        <xdr:cNvPr id="66566" name="Arc 102"/>
        <xdr:cNvSpPr>
          <a:spLocks/>
        </xdr:cNvSpPr>
      </xdr:nvSpPr>
      <xdr:spPr>
        <a:xfrm>
          <a:off x="914400" y="2362200"/>
          <a:ext cx="121920" cy="13335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99060</xdr:colOff>
      <xdr:row>7</xdr:row>
      <xdr:rowOff>175260</xdr:rowOff>
    </xdr:from>
    <xdr:to>
      <xdr:col>1</xdr:col>
      <xdr:colOff>182880</xdr:colOff>
      <xdr:row>10</xdr:row>
      <xdr:rowOff>83820</xdr:rowOff>
    </xdr:to>
    <xdr:sp>
      <xdr:nvSpPr>
        <xdr:cNvPr id="66567" name="Freeform 103"/>
        <xdr:cNvSpPr>
          <a:spLocks/>
        </xdr:cNvSpPr>
      </xdr:nvSpPr>
      <xdr:spPr>
        <a:xfrm>
          <a:off x="354330" y="2362200"/>
          <a:ext cx="83820" cy="65151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198120</xdr:colOff>
      <xdr:row>9</xdr:row>
      <xdr:rowOff>30480</xdr:rowOff>
    </xdr:from>
    <xdr:to>
      <xdr:col>7</xdr:col>
      <xdr:colOff>114300</xdr:colOff>
      <xdr:row>10</xdr:row>
      <xdr:rowOff>0</xdr:rowOff>
    </xdr:to>
    <xdr:sp>
      <xdr:nvSpPr>
        <xdr:cNvPr id="66568" name="Rectangle 104"/>
        <xdr:cNvSpPr>
          <a:spLocks/>
        </xdr:cNvSpPr>
      </xdr:nvSpPr>
      <xdr:spPr>
        <a:xfrm>
          <a:off x="1043940" y="2712720"/>
          <a:ext cx="1163955" cy="21717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144780</xdr:colOff>
      <xdr:row>10</xdr:row>
      <xdr:rowOff>0</xdr:rowOff>
    </xdr:from>
    <xdr:to>
      <xdr:col>5</xdr:col>
      <xdr:colOff>335280</xdr:colOff>
      <xdr:row>11</xdr:row>
      <xdr:rowOff>220980</xdr:rowOff>
    </xdr:to>
    <xdr:sp>
      <xdr:nvSpPr>
        <xdr:cNvPr id="66569" name="Rectangle 105"/>
        <xdr:cNvSpPr>
          <a:spLocks/>
        </xdr:cNvSpPr>
      </xdr:nvSpPr>
      <xdr:spPr>
        <a:xfrm>
          <a:off x="1543050" y="2929890"/>
          <a:ext cx="190500" cy="46863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121920</xdr:colOff>
      <xdr:row>10</xdr:row>
      <xdr:rowOff>83820</xdr:rowOff>
    </xdr:from>
    <xdr:to>
      <xdr:col>5</xdr:col>
      <xdr:colOff>121920</xdr:colOff>
      <xdr:row>11</xdr:row>
      <xdr:rowOff>198120</xdr:rowOff>
    </xdr:to>
    <xdr:cxnSp>
      <xdr:nvCxnSpPr>
        <xdr:cNvPr id="66570" name="Line 106"/>
        <xdr:cNvCxnSpPr/>
      </xdr:nvCxnSpPr>
      <xdr:spPr>
        <a:xfrm>
          <a:off x="1520190" y="3013710"/>
          <a:ext cx="0" cy="3619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10</xdr:row>
      <xdr:rowOff>83820</xdr:rowOff>
    </xdr:from>
    <xdr:to>
      <xdr:col>9</xdr:col>
      <xdr:colOff>304800</xdr:colOff>
      <xdr:row>10</xdr:row>
      <xdr:rowOff>83820</xdr:rowOff>
    </xdr:to>
    <xdr:cxnSp>
      <xdr:nvCxnSpPr>
        <xdr:cNvPr id="66571" name="Line 107"/>
        <xdr:cNvCxnSpPr/>
      </xdr:nvCxnSpPr>
      <xdr:spPr>
        <a:xfrm>
          <a:off x="1748790" y="3013710"/>
          <a:ext cx="12020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10</xdr:row>
      <xdr:rowOff>83820</xdr:rowOff>
    </xdr:from>
    <xdr:to>
      <xdr:col>5</xdr:col>
      <xdr:colOff>350520</xdr:colOff>
      <xdr:row>11</xdr:row>
      <xdr:rowOff>198120</xdr:rowOff>
    </xdr:to>
    <xdr:cxnSp>
      <xdr:nvCxnSpPr>
        <xdr:cNvPr id="66572" name="Line 108"/>
        <xdr:cNvCxnSpPr/>
      </xdr:nvCxnSpPr>
      <xdr:spPr>
        <a:xfrm flipH="1">
          <a:off x="1748790" y="3013710"/>
          <a:ext cx="0" cy="3619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8</xdr:row>
      <xdr:rowOff>60960</xdr:rowOff>
    </xdr:from>
    <xdr:to>
      <xdr:col>7</xdr:col>
      <xdr:colOff>121920</xdr:colOff>
      <xdr:row>10</xdr:row>
      <xdr:rowOff>83820</xdr:rowOff>
    </xdr:to>
    <xdr:cxnSp>
      <xdr:nvCxnSpPr>
        <xdr:cNvPr id="66573" name="Line 109"/>
        <xdr:cNvCxnSpPr/>
      </xdr:nvCxnSpPr>
      <xdr:spPr>
        <a:xfrm>
          <a:off x="2215515" y="2495550"/>
          <a:ext cx="0" cy="5181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7</xdr:row>
      <xdr:rowOff>175260</xdr:rowOff>
    </xdr:from>
    <xdr:to>
      <xdr:col>9</xdr:col>
      <xdr:colOff>220980</xdr:colOff>
      <xdr:row>10</xdr:row>
      <xdr:rowOff>83820</xdr:rowOff>
    </xdr:to>
    <xdr:sp>
      <xdr:nvSpPr>
        <xdr:cNvPr id="66574" name="Freeform 110"/>
        <xdr:cNvSpPr>
          <a:spLocks/>
        </xdr:cNvSpPr>
      </xdr:nvSpPr>
      <xdr:spPr>
        <a:xfrm>
          <a:off x="2783205" y="2362200"/>
          <a:ext cx="83820" cy="65151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228600</xdr:colOff>
      <xdr:row>7</xdr:row>
      <xdr:rowOff>175260</xdr:rowOff>
    </xdr:from>
    <xdr:to>
      <xdr:col>9</xdr:col>
      <xdr:colOff>182880</xdr:colOff>
      <xdr:row>7</xdr:row>
      <xdr:rowOff>175260</xdr:rowOff>
    </xdr:to>
    <xdr:cxnSp>
      <xdr:nvCxnSpPr>
        <xdr:cNvPr id="66575" name="Line 111"/>
        <xdr:cNvCxnSpPr/>
      </xdr:nvCxnSpPr>
      <xdr:spPr>
        <a:xfrm>
          <a:off x="2322195" y="2362200"/>
          <a:ext cx="5067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7</xdr:row>
      <xdr:rowOff>175260</xdr:rowOff>
    </xdr:from>
    <xdr:to>
      <xdr:col>7</xdr:col>
      <xdr:colOff>251460</xdr:colOff>
      <xdr:row>8</xdr:row>
      <xdr:rowOff>60960</xdr:rowOff>
    </xdr:to>
    <xdr:sp>
      <xdr:nvSpPr>
        <xdr:cNvPr id="66576" name="Arc 112"/>
        <xdr:cNvSpPr>
          <a:spLocks/>
        </xdr:cNvSpPr>
      </xdr:nvSpPr>
      <xdr:spPr>
        <a:xfrm rot="16200000">
          <a:off x="2213610" y="2364105"/>
          <a:ext cx="133350" cy="12954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259080</xdr:colOff>
      <xdr:row>10</xdr:row>
      <xdr:rowOff>83820</xdr:rowOff>
    </xdr:from>
    <xdr:to>
      <xdr:col>10</xdr:col>
      <xdr:colOff>7620</xdr:colOff>
      <xdr:row>11</xdr:row>
      <xdr:rowOff>198120</xdr:rowOff>
    </xdr:to>
    <xdr:sp>
      <xdr:nvSpPr>
        <xdr:cNvPr id="66577" name="Freeform 113"/>
        <xdr:cNvSpPr>
          <a:spLocks/>
        </xdr:cNvSpPr>
      </xdr:nvSpPr>
      <xdr:spPr>
        <a:xfrm rot="10800000">
          <a:off x="2905125" y="3013710"/>
          <a:ext cx="24765" cy="36195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10</xdr:row>
      <xdr:rowOff>83820</xdr:rowOff>
    </xdr:from>
    <xdr:to>
      <xdr:col>1</xdr:col>
      <xdr:colOff>45720</xdr:colOff>
      <xdr:row>11</xdr:row>
      <xdr:rowOff>190500</xdr:rowOff>
    </xdr:to>
    <xdr:sp>
      <xdr:nvSpPr>
        <xdr:cNvPr id="66578" name="Freeform 114"/>
        <xdr:cNvSpPr>
          <a:spLocks/>
        </xdr:cNvSpPr>
      </xdr:nvSpPr>
      <xdr:spPr>
        <a:xfrm rot="10800000">
          <a:off x="278130" y="3013710"/>
          <a:ext cx="22860" cy="35433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38100</xdr:colOff>
      <xdr:row>8</xdr:row>
      <xdr:rowOff>236220</xdr:rowOff>
    </xdr:from>
    <xdr:to>
      <xdr:col>6</xdr:col>
      <xdr:colOff>289560</xdr:colOff>
      <xdr:row>8</xdr:row>
      <xdr:rowOff>236220</xdr:rowOff>
    </xdr:to>
    <xdr:cxnSp>
      <xdr:nvCxnSpPr>
        <xdr:cNvPr id="66579" name="Line 115"/>
        <xdr:cNvCxnSpPr/>
      </xdr:nvCxnSpPr>
      <xdr:spPr>
        <a:xfrm>
          <a:off x="1160145" y="2670810"/>
          <a:ext cx="94678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8</xdr:row>
      <xdr:rowOff>121920</xdr:rowOff>
    </xdr:from>
    <xdr:to>
      <xdr:col>7</xdr:col>
      <xdr:colOff>76200</xdr:colOff>
      <xdr:row>8</xdr:row>
      <xdr:rowOff>236220</xdr:rowOff>
    </xdr:to>
    <xdr:sp>
      <xdr:nvSpPr>
        <xdr:cNvPr id="66580" name="Arc 116"/>
        <xdr:cNvSpPr>
          <a:spLocks/>
        </xdr:cNvSpPr>
      </xdr:nvSpPr>
      <xdr:spPr>
        <a:xfrm rot="10800000" flipH="1">
          <a:off x="2106930" y="2556510"/>
          <a:ext cx="62865" cy="11430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232410</xdr:colOff>
      <xdr:row>8</xdr:row>
      <xdr:rowOff>137160</xdr:rowOff>
    </xdr:from>
    <xdr:to>
      <xdr:col>4</xdr:col>
      <xdr:colOff>34290</xdr:colOff>
      <xdr:row>8</xdr:row>
      <xdr:rowOff>236220</xdr:rowOff>
    </xdr:to>
    <xdr:sp>
      <xdr:nvSpPr>
        <xdr:cNvPr id="66581" name="Arc 118"/>
        <xdr:cNvSpPr>
          <a:spLocks/>
        </xdr:cNvSpPr>
      </xdr:nvSpPr>
      <xdr:spPr>
        <a:xfrm rot="16200000" flipH="1">
          <a:off x="1067435" y="2582545"/>
          <a:ext cx="99060" cy="78105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236220</xdr:colOff>
      <xdr:row>6</xdr:row>
      <xdr:rowOff>213360</xdr:rowOff>
    </xdr:from>
    <xdr:to>
      <xdr:col>3</xdr:col>
      <xdr:colOff>236220</xdr:colOff>
      <xdr:row>8</xdr:row>
      <xdr:rowOff>137160</xdr:rowOff>
    </xdr:to>
    <xdr:cxnSp>
      <xdr:nvCxnSpPr>
        <xdr:cNvPr id="66582" name="Line 119"/>
        <xdr:cNvCxnSpPr/>
      </xdr:nvCxnSpPr>
      <xdr:spPr>
        <a:xfrm>
          <a:off x="1082040" y="2152650"/>
          <a:ext cx="0" cy="4191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6</xdr:row>
      <xdr:rowOff>213360</xdr:rowOff>
    </xdr:from>
    <xdr:to>
      <xdr:col>7</xdr:col>
      <xdr:colOff>76200</xdr:colOff>
      <xdr:row>8</xdr:row>
      <xdr:rowOff>137160</xdr:rowOff>
    </xdr:to>
    <xdr:cxnSp>
      <xdr:nvCxnSpPr>
        <xdr:cNvPr id="66583" name="Line 120"/>
        <xdr:cNvCxnSpPr/>
      </xdr:nvCxnSpPr>
      <xdr:spPr>
        <a:xfrm>
          <a:off x="2169795" y="2152650"/>
          <a:ext cx="0" cy="4191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5</xdr:row>
      <xdr:rowOff>114300</xdr:rowOff>
    </xdr:from>
    <xdr:to>
      <xdr:col>3</xdr:col>
      <xdr:colOff>274320</xdr:colOff>
      <xdr:row>6</xdr:row>
      <xdr:rowOff>213360</xdr:rowOff>
    </xdr:to>
    <xdr:cxnSp>
      <xdr:nvCxnSpPr>
        <xdr:cNvPr id="66584" name="Line 122"/>
        <xdr:cNvCxnSpPr/>
      </xdr:nvCxnSpPr>
      <xdr:spPr>
        <a:xfrm flipH="1">
          <a:off x="1120140" y="1805940"/>
          <a:ext cx="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114300</xdr:rowOff>
    </xdr:from>
    <xdr:to>
      <xdr:col>7</xdr:col>
      <xdr:colOff>38100</xdr:colOff>
      <xdr:row>6</xdr:row>
      <xdr:rowOff>213360</xdr:rowOff>
    </xdr:to>
    <xdr:cxnSp>
      <xdr:nvCxnSpPr>
        <xdr:cNvPr id="66585" name="Line 123"/>
        <xdr:cNvCxnSpPr/>
      </xdr:nvCxnSpPr>
      <xdr:spPr>
        <a:xfrm flipH="1">
          <a:off x="2131695" y="1805940"/>
          <a:ext cx="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5</xdr:row>
      <xdr:rowOff>38100</xdr:rowOff>
    </xdr:from>
    <xdr:to>
      <xdr:col>7</xdr:col>
      <xdr:colOff>38100</xdr:colOff>
      <xdr:row>5</xdr:row>
      <xdr:rowOff>152400</xdr:rowOff>
    </xdr:to>
    <xdr:sp>
      <xdr:nvSpPr>
        <xdr:cNvPr id="66586" name="Freeform 124"/>
        <xdr:cNvSpPr>
          <a:spLocks/>
        </xdr:cNvSpPr>
      </xdr:nvSpPr>
      <xdr:spPr>
        <a:xfrm>
          <a:off x="1120140" y="1729740"/>
          <a:ext cx="1011555" cy="114300"/>
        </a:xfrm>
        <a:custGeom>
          <a:pathLst>
            <a:path w="107" h="12">
              <a:moveTo>
                <a:pt x="0" y="8"/>
              </a:moveTo>
              <a:cubicBezTo>
                <a:pt x="8" y="4"/>
                <a:pt x="16" y="0"/>
                <a:pt x="24" y="0"/>
              </a:cubicBezTo>
              <a:cubicBezTo>
                <a:pt x="32" y="0"/>
                <a:pt x="42" y="7"/>
                <a:pt x="49" y="8"/>
              </a:cubicBezTo>
              <a:cubicBezTo>
                <a:pt x="56" y="9"/>
                <a:pt x="58" y="4"/>
                <a:pt x="64" y="4"/>
              </a:cubicBezTo>
              <a:cubicBezTo>
                <a:pt x="70" y="4"/>
                <a:pt x="79" y="10"/>
                <a:pt x="86" y="11"/>
              </a:cubicBezTo>
              <a:cubicBezTo>
                <a:pt x="93" y="12"/>
                <a:pt x="104" y="9"/>
                <a:pt x="107" y="8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228600</xdr:colOff>
      <xdr:row>5</xdr:row>
      <xdr:rowOff>30480</xdr:rowOff>
    </xdr:from>
    <xdr:to>
      <xdr:col>5</xdr:col>
      <xdr:colOff>228600</xdr:colOff>
      <xdr:row>6</xdr:row>
      <xdr:rowOff>228600</xdr:rowOff>
    </xdr:to>
    <xdr:cxnSp>
      <xdr:nvCxnSpPr>
        <xdr:cNvPr id="66587" name="Line 126"/>
        <xdr:cNvCxnSpPr/>
      </xdr:nvCxnSpPr>
      <xdr:spPr>
        <a:xfrm>
          <a:off x="1626870" y="1722120"/>
          <a:ext cx="0" cy="445770"/>
        </a:xfrm>
        <a:prstGeom prst="line"/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236220</xdr:colOff>
      <xdr:row>11</xdr:row>
      <xdr:rowOff>38100</xdr:rowOff>
    </xdr:from>
    <xdr:to>
      <xdr:col>5</xdr:col>
      <xdr:colOff>236220</xdr:colOff>
      <xdr:row>12</xdr:row>
      <xdr:rowOff>0</xdr:rowOff>
    </xdr:to>
    <xdr:cxnSp>
      <xdr:nvCxnSpPr>
        <xdr:cNvPr id="66588" name="Line 127"/>
        <xdr:cNvCxnSpPr/>
      </xdr:nvCxnSpPr>
      <xdr:spPr>
        <a:xfrm flipV="1">
          <a:off x="1634490" y="3215640"/>
          <a:ext cx="0" cy="209550"/>
        </a:xfrm>
        <a:prstGeom prst="line"/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121920</xdr:colOff>
      <xdr:row>10</xdr:row>
      <xdr:rowOff>76200</xdr:rowOff>
    </xdr:from>
    <xdr:to>
      <xdr:col>16</xdr:col>
      <xdr:colOff>312420</xdr:colOff>
      <xdr:row>11</xdr:row>
      <xdr:rowOff>213360</xdr:rowOff>
    </xdr:to>
    <xdr:sp>
      <xdr:nvSpPr>
        <xdr:cNvPr id="66589" name="Rectangle 130"/>
        <xdr:cNvSpPr>
          <a:spLocks/>
        </xdr:cNvSpPr>
      </xdr:nvSpPr>
      <xdr:spPr>
        <a:xfrm>
          <a:off x="4739640" y="3006090"/>
          <a:ext cx="190500" cy="38481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190500</xdr:colOff>
      <xdr:row>9</xdr:row>
      <xdr:rowOff>45720</xdr:rowOff>
    </xdr:from>
    <xdr:to>
      <xdr:col>18</xdr:col>
      <xdr:colOff>106680</xdr:colOff>
      <xdr:row>10</xdr:row>
      <xdr:rowOff>76200</xdr:rowOff>
    </xdr:to>
    <xdr:sp>
      <xdr:nvSpPr>
        <xdr:cNvPr id="66590" name="Rectangle 131"/>
        <xdr:cNvSpPr>
          <a:spLocks/>
        </xdr:cNvSpPr>
      </xdr:nvSpPr>
      <xdr:spPr>
        <a:xfrm>
          <a:off x="4255770" y="2727960"/>
          <a:ext cx="1163955" cy="27813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7620</xdr:colOff>
      <xdr:row>10</xdr:row>
      <xdr:rowOff>83820</xdr:rowOff>
    </xdr:from>
    <xdr:to>
      <xdr:col>16</xdr:col>
      <xdr:colOff>99060</xdr:colOff>
      <xdr:row>10</xdr:row>
      <xdr:rowOff>83820</xdr:rowOff>
    </xdr:to>
    <xdr:cxnSp>
      <xdr:nvCxnSpPr>
        <xdr:cNvPr id="66591" name="Line 132"/>
        <xdr:cNvCxnSpPr/>
      </xdr:nvCxnSpPr>
      <xdr:spPr>
        <a:xfrm>
          <a:off x="3482340" y="3013710"/>
          <a:ext cx="12344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83820</xdr:rowOff>
    </xdr:from>
    <xdr:to>
      <xdr:col>20</xdr:col>
      <xdr:colOff>297180</xdr:colOff>
      <xdr:row>10</xdr:row>
      <xdr:rowOff>83820</xdr:rowOff>
    </xdr:to>
    <xdr:cxnSp>
      <xdr:nvCxnSpPr>
        <xdr:cNvPr id="66592" name="Line 133"/>
        <xdr:cNvCxnSpPr/>
      </xdr:nvCxnSpPr>
      <xdr:spPr>
        <a:xfrm>
          <a:off x="4960620" y="3013710"/>
          <a:ext cx="11925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99060</xdr:colOff>
      <xdr:row>10</xdr:row>
      <xdr:rowOff>83820</xdr:rowOff>
    </xdr:from>
    <xdr:to>
      <xdr:col>16</xdr:col>
      <xdr:colOff>99060</xdr:colOff>
      <xdr:row>11</xdr:row>
      <xdr:rowOff>198120</xdr:rowOff>
    </xdr:to>
    <xdr:cxnSp>
      <xdr:nvCxnSpPr>
        <xdr:cNvPr id="66593" name="Line 135"/>
        <xdr:cNvCxnSpPr/>
      </xdr:nvCxnSpPr>
      <xdr:spPr>
        <a:xfrm>
          <a:off x="4716780" y="3013710"/>
          <a:ext cx="0" cy="3619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8</xdr:row>
      <xdr:rowOff>68580</xdr:rowOff>
    </xdr:from>
    <xdr:to>
      <xdr:col>14</xdr:col>
      <xdr:colOff>182880</xdr:colOff>
      <xdr:row>10</xdr:row>
      <xdr:rowOff>83820</xdr:rowOff>
    </xdr:to>
    <xdr:cxnSp>
      <xdr:nvCxnSpPr>
        <xdr:cNvPr id="66594" name="Line 137"/>
        <xdr:cNvCxnSpPr/>
      </xdr:nvCxnSpPr>
      <xdr:spPr>
        <a:xfrm>
          <a:off x="4248150" y="2503170"/>
          <a:ext cx="0" cy="5105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76200</xdr:rowOff>
    </xdr:from>
    <xdr:to>
      <xdr:col>16</xdr:col>
      <xdr:colOff>342900</xdr:colOff>
      <xdr:row>11</xdr:row>
      <xdr:rowOff>190500</xdr:rowOff>
    </xdr:to>
    <xdr:cxnSp>
      <xdr:nvCxnSpPr>
        <xdr:cNvPr id="66595" name="Line 138"/>
        <xdr:cNvCxnSpPr/>
      </xdr:nvCxnSpPr>
      <xdr:spPr>
        <a:xfrm>
          <a:off x="4960620" y="3006090"/>
          <a:ext cx="0" cy="3619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83820</xdr:rowOff>
    </xdr:from>
    <xdr:to>
      <xdr:col>18</xdr:col>
      <xdr:colOff>114300</xdr:colOff>
      <xdr:row>10</xdr:row>
      <xdr:rowOff>76200</xdr:rowOff>
    </xdr:to>
    <xdr:cxnSp>
      <xdr:nvCxnSpPr>
        <xdr:cNvPr id="66596" name="Line 139"/>
        <xdr:cNvCxnSpPr/>
      </xdr:nvCxnSpPr>
      <xdr:spPr>
        <a:xfrm>
          <a:off x="5427345" y="2518410"/>
          <a:ext cx="0" cy="4876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7</xdr:row>
      <xdr:rowOff>160020</xdr:rowOff>
    </xdr:from>
    <xdr:to>
      <xdr:col>18</xdr:col>
      <xdr:colOff>274320</xdr:colOff>
      <xdr:row>8</xdr:row>
      <xdr:rowOff>83820</xdr:rowOff>
    </xdr:to>
    <xdr:sp>
      <xdr:nvSpPr>
        <xdr:cNvPr id="66597" name="Arc 140"/>
        <xdr:cNvSpPr>
          <a:spLocks/>
        </xdr:cNvSpPr>
      </xdr:nvSpPr>
      <xdr:spPr>
        <a:xfrm rot="16200000">
          <a:off x="5421630" y="2352675"/>
          <a:ext cx="171450" cy="1600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22860</xdr:colOff>
      <xdr:row>7</xdr:row>
      <xdr:rowOff>160020</xdr:rowOff>
    </xdr:from>
    <xdr:to>
      <xdr:col>14</xdr:col>
      <xdr:colOff>182880</xdr:colOff>
      <xdr:row>8</xdr:row>
      <xdr:rowOff>76200</xdr:rowOff>
    </xdr:to>
    <xdr:sp>
      <xdr:nvSpPr>
        <xdr:cNvPr id="66598" name="Arc 141"/>
        <xdr:cNvSpPr>
          <a:spLocks/>
        </xdr:cNvSpPr>
      </xdr:nvSpPr>
      <xdr:spPr>
        <a:xfrm>
          <a:off x="4088130" y="2346960"/>
          <a:ext cx="160020" cy="16383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30480</xdr:colOff>
      <xdr:row>9</xdr:row>
      <xdr:rowOff>7620</xdr:rowOff>
    </xdr:from>
    <xdr:to>
      <xdr:col>17</xdr:col>
      <xdr:colOff>274320</xdr:colOff>
      <xdr:row>9</xdr:row>
      <xdr:rowOff>7620</xdr:rowOff>
    </xdr:to>
    <xdr:cxnSp>
      <xdr:nvCxnSpPr>
        <xdr:cNvPr id="66599" name="Line 142"/>
        <xdr:cNvCxnSpPr/>
      </xdr:nvCxnSpPr>
      <xdr:spPr>
        <a:xfrm>
          <a:off x="4371975" y="2689860"/>
          <a:ext cx="939165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68580</xdr:colOff>
      <xdr:row>6</xdr:row>
      <xdr:rowOff>228600</xdr:rowOff>
    </xdr:from>
    <xdr:to>
      <xdr:col>18</xdr:col>
      <xdr:colOff>68580</xdr:colOff>
      <xdr:row>8</xdr:row>
      <xdr:rowOff>152400</xdr:rowOff>
    </xdr:to>
    <xdr:cxnSp>
      <xdr:nvCxnSpPr>
        <xdr:cNvPr id="66600" name="Line 143"/>
        <xdr:cNvCxnSpPr/>
      </xdr:nvCxnSpPr>
      <xdr:spPr>
        <a:xfrm>
          <a:off x="5381625" y="2167890"/>
          <a:ext cx="0" cy="4191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274320</xdr:colOff>
      <xdr:row>8</xdr:row>
      <xdr:rowOff>144780</xdr:rowOff>
    </xdr:from>
    <xdr:to>
      <xdr:col>18</xdr:col>
      <xdr:colOff>68580</xdr:colOff>
      <xdr:row>9</xdr:row>
      <xdr:rowOff>7620</xdr:rowOff>
    </xdr:to>
    <xdr:sp>
      <xdr:nvSpPr>
        <xdr:cNvPr id="66601" name="Arc 144"/>
        <xdr:cNvSpPr>
          <a:spLocks/>
        </xdr:cNvSpPr>
      </xdr:nvSpPr>
      <xdr:spPr>
        <a:xfrm rot="10800000" flipH="1">
          <a:off x="5311140" y="2579370"/>
          <a:ext cx="70485" cy="11049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224790</xdr:colOff>
      <xdr:row>8</xdr:row>
      <xdr:rowOff>152400</xdr:rowOff>
    </xdr:from>
    <xdr:to>
      <xdr:col>15</xdr:col>
      <xdr:colOff>26670</xdr:colOff>
      <xdr:row>9</xdr:row>
      <xdr:rowOff>7620</xdr:rowOff>
    </xdr:to>
    <xdr:sp>
      <xdr:nvSpPr>
        <xdr:cNvPr id="66602" name="Arc 145"/>
        <xdr:cNvSpPr>
          <a:spLocks/>
        </xdr:cNvSpPr>
      </xdr:nvSpPr>
      <xdr:spPr>
        <a:xfrm rot="16200000" flipH="1">
          <a:off x="4277360" y="2599690"/>
          <a:ext cx="102870" cy="78105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228600</xdr:colOff>
      <xdr:row>6</xdr:row>
      <xdr:rowOff>228600</xdr:rowOff>
    </xdr:from>
    <xdr:to>
      <xdr:col>14</xdr:col>
      <xdr:colOff>228600</xdr:colOff>
      <xdr:row>8</xdr:row>
      <xdr:rowOff>152400</xdr:rowOff>
    </xdr:to>
    <xdr:cxnSp>
      <xdr:nvCxnSpPr>
        <xdr:cNvPr id="66603" name="Line 146"/>
        <xdr:cNvCxnSpPr/>
      </xdr:nvCxnSpPr>
      <xdr:spPr>
        <a:xfrm>
          <a:off x="4293870" y="2167890"/>
          <a:ext cx="0" cy="41910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7</xdr:row>
      <xdr:rowOff>160020</xdr:rowOff>
    </xdr:from>
    <xdr:to>
      <xdr:col>14</xdr:col>
      <xdr:colOff>30480</xdr:colOff>
      <xdr:row>7</xdr:row>
      <xdr:rowOff>160020</xdr:rowOff>
    </xdr:to>
    <xdr:cxnSp>
      <xdr:nvCxnSpPr>
        <xdr:cNvPr id="66604" name="Line 147"/>
        <xdr:cNvCxnSpPr/>
      </xdr:nvCxnSpPr>
      <xdr:spPr>
        <a:xfrm>
          <a:off x="3596640" y="2346960"/>
          <a:ext cx="4991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274320</xdr:colOff>
      <xdr:row>7</xdr:row>
      <xdr:rowOff>160020</xdr:rowOff>
    </xdr:from>
    <xdr:to>
      <xdr:col>20</xdr:col>
      <xdr:colOff>182880</xdr:colOff>
      <xdr:row>7</xdr:row>
      <xdr:rowOff>160020</xdr:rowOff>
    </xdr:to>
    <xdr:cxnSp>
      <xdr:nvCxnSpPr>
        <xdr:cNvPr id="66605" name="Line 148"/>
        <xdr:cNvCxnSpPr/>
      </xdr:nvCxnSpPr>
      <xdr:spPr>
        <a:xfrm>
          <a:off x="5587365" y="2346960"/>
          <a:ext cx="45148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7</xdr:row>
      <xdr:rowOff>175260</xdr:rowOff>
    </xdr:from>
    <xdr:to>
      <xdr:col>20</xdr:col>
      <xdr:colOff>220980</xdr:colOff>
      <xdr:row>10</xdr:row>
      <xdr:rowOff>83820</xdr:rowOff>
    </xdr:to>
    <xdr:sp>
      <xdr:nvSpPr>
        <xdr:cNvPr id="66606" name="Freeform 149"/>
        <xdr:cNvSpPr>
          <a:spLocks/>
        </xdr:cNvSpPr>
      </xdr:nvSpPr>
      <xdr:spPr>
        <a:xfrm>
          <a:off x="5993130" y="2362200"/>
          <a:ext cx="83820" cy="65151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20</xdr:col>
      <xdr:colOff>251460</xdr:colOff>
      <xdr:row>10</xdr:row>
      <xdr:rowOff>83820</xdr:rowOff>
    </xdr:from>
    <xdr:to>
      <xdr:col>21</xdr:col>
      <xdr:colOff>0</xdr:colOff>
      <xdr:row>11</xdr:row>
      <xdr:rowOff>213360</xdr:rowOff>
    </xdr:to>
    <xdr:sp>
      <xdr:nvSpPr>
        <xdr:cNvPr id="66607" name="Freeform 150"/>
        <xdr:cNvSpPr>
          <a:spLocks/>
        </xdr:cNvSpPr>
      </xdr:nvSpPr>
      <xdr:spPr>
        <a:xfrm rot="10800000">
          <a:off x="6107430" y="3013710"/>
          <a:ext cx="24765" cy="37719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76200</xdr:colOff>
      <xdr:row>7</xdr:row>
      <xdr:rowOff>160020</xdr:rowOff>
    </xdr:from>
    <xdr:to>
      <xdr:col>12</xdr:col>
      <xdr:colOff>160020</xdr:colOff>
      <xdr:row>10</xdr:row>
      <xdr:rowOff>76200</xdr:rowOff>
    </xdr:to>
    <xdr:sp>
      <xdr:nvSpPr>
        <xdr:cNvPr id="66608" name="Freeform 151"/>
        <xdr:cNvSpPr>
          <a:spLocks/>
        </xdr:cNvSpPr>
      </xdr:nvSpPr>
      <xdr:spPr>
        <a:xfrm>
          <a:off x="3550920" y="2346960"/>
          <a:ext cx="83820" cy="65913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304800</xdr:colOff>
      <xdr:row>10</xdr:row>
      <xdr:rowOff>83820</xdr:rowOff>
    </xdr:from>
    <xdr:to>
      <xdr:col>12</xdr:col>
      <xdr:colOff>30480</xdr:colOff>
      <xdr:row>11</xdr:row>
      <xdr:rowOff>198120</xdr:rowOff>
    </xdr:to>
    <xdr:sp>
      <xdr:nvSpPr>
        <xdr:cNvPr id="66609" name="Freeform 152"/>
        <xdr:cNvSpPr>
          <a:spLocks/>
        </xdr:cNvSpPr>
      </xdr:nvSpPr>
      <xdr:spPr>
        <a:xfrm rot="10800000">
          <a:off x="3503295" y="3013710"/>
          <a:ext cx="1905" cy="361950"/>
        </a:xfrm>
        <a:custGeom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266700</xdr:colOff>
      <xdr:row>5</xdr:row>
      <xdr:rowOff>137160</xdr:rowOff>
    </xdr:from>
    <xdr:to>
      <xdr:col>14</xdr:col>
      <xdr:colOff>266700</xdr:colOff>
      <xdr:row>6</xdr:row>
      <xdr:rowOff>228600</xdr:rowOff>
    </xdr:to>
    <xdr:cxnSp>
      <xdr:nvCxnSpPr>
        <xdr:cNvPr id="66610" name="Line 153"/>
        <xdr:cNvCxnSpPr/>
      </xdr:nvCxnSpPr>
      <xdr:spPr>
        <a:xfrm flipH="1">
          <a:off x="4331970" y="1828800"/>
          <a:ext cx="0" cy="3390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5</xdr:row>
      <xdr:rowOff>137160</xdr:rowOff>
    </xdr:from>
    <xdr:to>
      <xdr:col>18</xdr:col>
      <xdr:colOff>30480</xdr:colOff>
      <xdr:row>6</xdr:row>
      <xdr:rowOff>228600</xdr:rowOff>
    </xdr:to>
    <xdr:cxnSp>
      <xdr:nvCxnSpPr>
        <xdr:cNvPr id="66611" name="Line 154"/>
        <xdr:cNvCxnSpPr/>
      </xdr:nvCxnSpPr>
      <xdr:spPr>
        <a:xfrm flipH="1">
          <a:off x="5343525" y="1828800"/>
          <a:ext cx="0" cy="3390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5</xdr:row>
      <xdr:rowOff>60960</xdr:rowOff>
    </xdr:from>
    <xdr:to>
      <xdr:col>18</xdr:col>
      <xdr:colOff>30480</xdr:colOff>
      <xdr:row>5</xdr:row>
      <xdr:rowOff>175260</xdr:rowOff>
    </xdr:to>
    <xdr:sp>
      <xdr:nvSpPr>
        <xdr:cNvPr id="66612" name="Freeform 155"/>
        <xdr:cNvSpPr>
          <a:spLocks/>
        </xdr:cNvSpPr>
      </xdr:nvSpPr>
      <xdr:spPr>
        <a:xfrm>
          <a:off x="4331970" y="1752600"/>
          <a:ext cx="1011555" cy="114300"/>
        </a:xfrm>
        <a:custGeom>
          <a:pathLst>
            <a:path w="107" h="12">
              <a:moveTo>
                <a:pt x="0" y="8"/>
              </a:moveTo>
              <a:cubicBezTo>
                <a:pt x="8" y="4"/>
                <a:pt x="16" y="0"/>
                <a:pt x="24" y="0"/>
              </a:cubicBezTo>
              <a:cubicBezTo>
                <a:pt x="32" y="0"/>
                <a:pt x="42" y="7"/>
                <a:pt x="49" y="8"/>
              </a:cubicBezTo>
              <a:cubicBezTo>
                <a:pt x="56" y="9"/>
                <a:pt x="58" y="4"/>
                <a:pt x="64" y="4"/>
              </a:cubicBezTo>
              <a:cubicBezTo>
                <a:pt x="70" y="4"/>
                <a:pt x="79" y="10"/>
                <a:pt x="86" y="11"/>
              </a:cubicBezTo>
              <a:cubicBezTo>
                <a:pt x="93" y="12"/>
                <a:pt x="104" y="9"/>
                <a:pt x="107" y="8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220980</xdr:colOff>
      <xdr:row>5</xdr:row>
      <xdr:rowOff>22860</xdr:rowOff>
    </xdr:from>
    <xdr:to>
      <xdr:col>16</xdr:col>
      <xdr:colOff>220980</xdr:colOff>
      <xdr:row>6</xdr:row>
      <xdr:rowOff>182880</xdr:rowOff>
    </xdr:to>
    <xdr:cxnSp>
      <xdr:nvCxnSpPr>
        <xdr:cNvPr id="66613" name="Line 156"/>
        <xdr:cNvCxnSpPr/>
      </xdr:nvCxnSpPr>
      <xdr:spPr>
        <a:xfrm>
          <a:off x="4838700" y="1714500"/>
          <a:ext cx="0" cy="407670"/>
        </a:xfrm>
        <a:prstGeom prst="line"/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289560</xdr:colOff>
      <xdr:row>8</xdr:row>
      <xdr:rowOff>38100</xdr:rowOff>
    </xdr:from>
    <xdr:to>
      <xdr:col>15</xdr:col>
      <xdr:colOff>121920</xdr:colOff>
      <xdr:row>8</xdr:row>
      <xdr:rowOff>198120</xdr:rowOff>
    </xdr:to>
    <xdr:cxnSp>
      <xdr:nvCxnSpPr>
        <xdr:cNvPr id="66614" name="Line 159"/>
        <xdr:cNvCxnSpPr/>
      </xdr:nvCxnSpPr>
      <xdr:spPr>
        <a:xfrm flipV="1">
          <a:off x="4354830" y="2472690"/>
          <a:ext cx="108585" cy="16002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7</xdr:row>
      <xdr:rowOff>121920</xdr:rowOff>
    </xdr:from>
    <xdr:to>
      <xdr:col>16</xdr:col>
      <xdr:colOff>0</xdr:colOff>
      <xdr:row>8</xdr:row>
      <xdr:rowOff>45720</xdr:rowOff>
    </xdr:to>
    <xdr:cxnSp>
      <xdr:nvCxnSpPr>
        <xdr:cNvPr id="66615" name="Line 160"/>
        <xdr:cNvCxnSpPr/>
      </xdr:nvCxnSpPr>
      <xdr:spPr>
        <a:xfrm flipV="1">
          <a:off x="4455795" y="2308860"/>
          <a:ext cx="161925" cy="1714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8</xdr:row>
      <xdr:rowOff>45720</xdr:rowOff>
    </xdr:from>
    <xdr:to>
      <xdr:col>4</xdr:col>
      <xdr:colOff>121920</xdr:colOff>
      <xdr:row>8</xdr:row>
      <xdr:rowOff>182880</xdr:rowOff>
    </xdr:to>
    <xdr:cxnSp>
      <xdr:nvCxnSpPr>
        <xdr:cNvPr id="66616" name="Line 161"/>
        <xdr:cNvCxnSpPr/>
      </xdr:nvCxnSpPr>
      <xdr:spPr>
        <a:xfrm flipH="1">
          <a:off x="1143000" y="2480310"/>
          <a:ext cx="100965" cy="13716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7</xdr:row>
      <xdr:rowOff>121920</xdr:rowOff>
    </xdr:from>
    <xdr:to>
      <xdr:col>5</xdr:col>
      <xdr:colOff>7620</xdr:colOff>
      <xdr:row>8</xdr:row>
      <xdr:rowOff>30480</xdr:rowOff>
    </xdr:to>
    <xdr:cxnSp>
      <xdr:nvCxnSpPr>
        <xdr:cNvPr id="66617" name="Line 162"/>
        <xdr:cNvCxnSpPr/>
      </xdr:nvCxnSpPr>
      <xdr:spPr>
        <a:xfrm flipV="1">
          <a:off x="1266825" y="2308860"/>
          <a:ext cx="139065" cy="1562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220980</xdr:rowOff>
    </xdr:from>
    <xdr:to>
      <xdr:col>14</xdr:col>
      <xdr:colOff>137160</xdr:colOff>
      <xdr:row>8</xdr:row>
      <xdr:rowOff>106680</xdr:rowOff>
    </xdr:to>
    <xdr:cxnSp>
      <xdr:nvCxnSpPr>
        <xdr:cNvPr id="66618" name="Line 164"/>
        <xdr:cNvCxnSpPr/>
      </xdr:nvCxnSpPr>
      <xdr:spPr>
        <a:xfrm flipH="1">
          <a:off x="4065270" y="2407920"/>
          <a:ext cx="137160" cy="1333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213360</xdr:rowOff>
    </xdr:from>
    <xdr:to>
      <xdr:col>3</xdr:col>
      <xdr:colOff>152400</xdr:colOff>
      <xdr:row>8</xdr:row>
      <xdr:rowOff>114300</xdr:rowOff>
    </xdr:to>
    <xdr:cxnSp>
      <xdr:nvCxnSpPr>
        <xdr:cNvPr id="66619" name="Line 165"/>
        <xdr:cNvCxnSpPr/>
      </xdr:nvCxnSpPr>
      <xdr:spPr>
        <a:xfrm flipH="1">
          <a:off x="845820" y="2400300"/>
          <a:ext cx="152400" cy="1485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99060</xdr:rowOff>
    </xdr:from>
    <xdr:to>
      <xdr:col>3</xdr:col>
      <xdr:colOff>190500</xdr:colOff>
      <xdr:row>14</xdr:row>
      <xdr:rowOff>175260</xdr:rowOff>
    </xdr:to>
    <xdr:cxnSp>
      <xdr:nvCxnSpPr>
        <xdr:cNvPr id="66620" name="Line 166"/>
        <xdr:cNvCxnSpPr/>
      </xdr:nvCxnSpPr>
      <xdr:spPr>
        <a:xfrm>
          <a:off x="1036320" y="3028950"/>
          <a:ext cx="0" cy="106680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10</xdr:row>
      <xdr:rowOff>83820</xdr:rowOff>
    </xdr:from>
    <xdr:to>
      <xdr:col>7</xdr:col>
      <xdr:colOff>121920</xdr:colOff>
      <xdr:row>14</xdr:row>
      <xdr:rowOff>213360</xdr:rowOff>
    </xdr:to>
    <xdr:cxnSp>
      <xdr:nvCxnSpPr>
        <xdr:cNvPr id="66621" name="Line 167"/>
        <xdr:cNvCxnSpPr/>
      </xdr:nvCxnSpPr>
      <xdr:spPr>
        <a:xfrm>
          <a:off x="2215515" y="3013710"/>
          <a:ext cx="0" cy="112014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13</xdr:row>
      <xdr:rowOff>114300</xdr:rowOff>
    </xdr:from>
    <xdr:to>
      <xdr:col>4</xdr:col>
      <xdr:colOff>68580</xdr:colOff>
      <xdr:row>13</xdr:row>
      <xdr:rowOff>114300</xdr:rowOff>
    </xdr:to>
    <xdr:cxnSp>
      <xdr:nvCxnSpPr>
        <xdr:cNvPr id="66622" name="Line 168"/>
        <xdr:cNvCxnSpPr/>
      </xdr:nvCxnSpPr>
      <xdr:spPr>
        <a:xfrm>
          <a:off x="1036320" y="3787140"/>
          <a:ext cx="1543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13</xdr:row>
      <xdr:rowOff>114300</xdr:rowOff>
    </xdr:from>
    <xdr:to>
      <xdr:col>7</xdr:col>
      <xdr:colOff>121920</xdr:colOff>
      <xdr:row>13</xdr:row>
      <xdr:rowOff>114300</xdr:rowOff>
    </xdr:to>
    <xdr:cxnSp>
      <xdr:nvCxnSpPr>
        <xdr:cNvPr id="66623" name="Line 169"/>
        <xdr:cNvCxnSpPr/>
      </xdr:nvCxnSpPr>
      <xdr:spPr>
        <a:xfrm>
          <a:off x="1824990" y="3787140"/>
          <a:ext cx="3905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10</xdr:row>
      <xdr:rowOff>99060</xdr:rowOff>
    </xdr:from>
    <xdr:to>
      <xdr:col>14</xdr:col>
      <xdr:colOff>182880</xdr:colOff>
      <xdr:row>14</xdr:row>
      <xdr:rowOff>198120</xdr:rowOff>
    </xdr:to>
    <xdr:cxnSp>
      <xdr:nvCxnSpPr>
        <xdr:cNvPr id="66624" name="Line 170"/>
        <xdr:cNvCxnSpPr/>
      </xdr:nvCxnSpPr>
      <xdr:spPr>
        <a:xfrm>
          <a:off x="4248150" y="3028950"/>
          <a:ext cx="0" cy="108966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10</xdr:row>
      <xdr:rowOff>99060</xdr:rowOff>
    </xdr:from>
    <xdr:to>
      <xdr:col>18</xdr:col>
      <xdr:colOff>114300</xdr:colOff>
      <xdr:row>14</xdr:row>
      <xdr:rowOff>220980</xdr:rowOff>
    </xdr:to>
    <xdr:cxnSp>
      <xdr:nvCxnSpPr>
        <xdr:cNvPr id="66625" name="Line 171"/>
        <xdr:cNvCxnSpPr/>
      </xdr:nvCxnSpPr>
      <xdr:spPr>
        <a:xfrm>
          <a:off x="5427345" y="3028950"/>
          <a:ext cx="0" cy="1112520"/>
        </a:xfrm>
        <a:prstGeom prst="line"/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13</xdr:row>
      <xdr:rowOff>144780</xdr:rowOff>
    </xdr:from>
    <xdr:to>
      <xdr:col>18</xdr:col>
      <xdr:colOff>114300</xdr:colOff>
      <xdr:row>13</xdr:row>
      <xdr:rowOff>144780</xdr:rowOff>
    </xdr:to>
    <xdr:cxnSp>
      <xdr:nvCxnSpPr>
        <xdr:cNvPr id="66626" name="Line 172"/>
        <xdr:cNvCxnSpPr/>
      </xdr:nvCxnSpPr>
      <xdr:spPr>
        <a:xfrm>
          <a:off x="5044440" y="3817620"/>
          <a:ext cx="3829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13</xdr:row>
      <xdr:rowOff>137160</xdr:rowOff>
    </xdr:from>
    <xdr:to>
      <xdr:col>15</xdr:col>
      <xdr:colOff>60960</xdr:colOff>
      <xdr:row>13</xdr:row>
      <xdr:rowOff>137160</xdr:rowOff>
    </xdr:to>
    <xdr:cxnSp>
      <xdr:nvCxnSpPr>
        <xdr:cNvPr id="66627" name="Line 173"/>
        <xdr:cNvCxnSpPr/>
      </xdr:nvCxnSpPr>
      <xdr:spPr>
        <a:xfrm flipH="1">
          <a:off x="4248150" y="3810000"/>
          <a:ext cx="1543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20</xdr:row>
      <xdr:rowOff>198120</xdr:rowOff>
    </xdr:from>
    <xdr:to>
      <xdr:col>8</xdr:col>
      <xdr:colOff>83820</xdr:colOff>
      <xdr:row>20</xdr:row>
      <xdr:rowOff>198120</xdr:rowOff>
    </xdr:to>
    <xdr:cxnSp>
      <xdr:nvCxnSpPr>
        <xdr:cNvPr id="66628" name="Line 174"/>
        <xdr:cNvCxnSpPr/>
      </xdr:nvCxnSpPr>
      <xdr:spPr>
        <a:xfrm>
          <a:off x="609600" y="5604510"/>
          <a:ext cx="184404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16</xdr:row>
      <xdr:rowOff>0</xdr:rowOff>
    </xdr:from>
    <xdr:to>
      <xdr:col>11</xdr:col>
      <xdr:colOff>7620</xdr:colOff>
      <xdr:row>16</xdr:row>
      <xdr:rowOff>0</xdr:rowOff>
    </xdr:to>
    <xdr:cxnSp>
      <xdr:nvCxnSpPr>
        <xdr:cNvPr id="66629" name="Line 177"/>
        <xdr:cNvCxnSpPr/>
      </xdr:nvCxnSpPr>
      <xdr:spPr>
        <a:xfrm>
          <a:off x="1411605" y="4415790"/>
          <a:ext cx="179451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16</xdr:row>
      <xdr:rowOff>137160</xdr:rowOff>
    </xdr:from>
    <xdr:to>
      <xdr:col>11</xdr:col>
      <xdr:colOff>220980</xdr:colOff>
      <xdr:row>20</xdr:row>
      <xdr:rowOff>68580</xdr:rowOff>
    </xdr:to>
    <xdr:cxnSp>
      <xdr:nvCxnSpPr>
        <xdr:cNvPr id="66630" name="Line 178"/>
        <xdr:cNvCxnSpPr/>
      </xdr:nvCxnSpPr>
      <xdr:spPr>
        <a:xfrm flipV="1">
          <a:off x="2676525" y="4552950"/>
          <a:ext cx="742950" cy="92202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16</xdr:row>
      <xdr:rowOff>114300</xdr:rowOff>
    </xdr:from>
    <xdr:to>
      <xdr:col>4</xdr:col>
      <xdr:colOff>60960</xdr:colOff>
      <xdr:row>20</xdr:row>
      <xdr:rowOff>45720</xdr:rowOff>
    </xdr:to>
    <xdr:cxnSp>
      <xdr:nvCxnSpPr>
        <xdr:cNvPr id="66631" name="Line 180"/>
        <xdr:cNvCxnSpPr/>
      </xdr:nvCxnSpPr>
      <xdr:spPr>
        <a:xfrm flipV="1">
          <a:off x="438150" y="4530090"/>
          <a:ext cx="744855" cy="922020"/>
        </a:xfrm>
        <a:prstGeom prst="line"/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20</xdr:row>
      <xdr:rowOff>236220</xdr:rowOff>
    </xdr:from>
    <xdr:to>
      <xdr:col>8</xdr:col>
      <xdr:colOff>99060</xdr:colOff>
      <xdr:row>22</xdr:row>
      <xdr:rowOff>38100</xdr:rowOff>
    </xdr:to>
    <xdr:sp>
      <xdr:nvSpPr>
        <xdr:cNvPr id="66632" name="Rectangle 183"/>
        <xdr:cNvSpPr>
          <a:spLocks/>
        </xdr:cNvSpPr>
      </xdr:nvSpPr>
      <xdr:spPr>
        <a:xfrm>
          <a:off x="617220" y="5642610"/>
          <a:ext cx="1851660" cy="29718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38100</xdr:colOff>
      <xdr:row>17</xdr:row>
      <xdr:rowOff>213360</xdr:rowOff>
    </xdr:from>
    <xdr:to>
      <xdr:col>11</xdr:col>
      <xdr:colOff>228600</xdr:colOff>
      <xdr:row>21</xdr:row>
      <xdr:rowOff>144780</xdr:rowOff>
    </xdr:to>
    <xdr:cxnSp>
      <xdr:nvCxnSpPr>
        <xdr:cNvPr id="66633" name="Line 191"/>
        <xdr:cNvCxnSpPr/>
      </xdr:nvCxnSpPr>
      <xdr:spPr>
        <a:xfrm flipV="1">
          <a:off x="2684145" y="4876800"/>
          <a:ext cx="742950" cy="922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17</xdr:row>
      <xdr:rowOff>76200</xdr:rowOff>
    </xdr:from>
    <xdr:to>
      <xdr:col>11</xdr:col>
      <xdr:colOff>7620</xdr:colOff>
      <xdr:row>17</xdr:row>
      <xdr:rowOff>76200</xdr:rowOff>
    </xdr:to>
    <xdr:cxnSp>
      <xdr:nvCxnSpPr>
        <xdr:cNvPr id="66634" name="Line 192"/>
        <xdr:cNvCxnSpPr/>
      </xdr:nvCxnSpPr>
      <xdr:spPr>
        <a:xfrm>
          <a:off x="1411605" y="4739640"/>
          <a:ext cx="1794510" cy="0"/>
        </a:xfrm>
        <a:prstGeom prst="line"/>
        <a:noFill/>
        <a:ln w="76200" cap="flat" cmpd="tri">
          <a:solidFill>
            <a:srgbClr val="000000">
              <a:alpha val="100000"/>
            </a:srgb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16</xdr:row>
      <xdr:rowOff>38100</xdr:rowOff>
    </xdr:from>
    <xdr:to>
      <xdr:col>4</xdr:col>
      <xdr:colOff>297180</xdr:colOff>
      <xdr:row>17</xdr:row>
      <xdr:rowOff>76200</xdr:rowOff>
    </xdr:to>
    <xdr:cxnSp>
      <xdr:nvCxnSpPr>
        <xdr:cNvPr id="66635" name="Line 193"/>
        <xdr:cNvCxnSpPr/>
      </xdr:nvCxnSpPr>
      <xdr:spPr>
        <a:xfrm>
          <a:off x="1419225" y="4453890"/>
          <a:ext cx="0" cy="2857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15</xdr:row>
      <xdr:rowOff>213360</xdr:rowOff>
    </xdr:from>
    <xdr:to>
      <xdr:col>11</xdr:col>
      <xdr:colOff>7620</xdr:colOff>
      <xdr:row>17</xdr:row>
      <xdr:rowOff>83820</xdr:rowOff>
    </xdr:to>
    <xdr:cxnSp>
      <xdr:nvCxnSpPr>
        <xdr:cNvPr id="66636" name="Line 194"/>
        <xdr:cNvCxnSpPr/>
      </xdr:nvCxnSpPr>
      <xdr:spPr>
        <a:xfrm>
          <a:off x="3206115" y="4381500"/>
          <a:ext cx="0" cy="365760"/>
        </a:xfrm>
        <a:prstGeom prst="line"/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20</xdr:row>
      <xdr:rowOff>45720</xdr:rowOff>
    </xdr:from>
    <xdr:to>
      <xdr:col>9</xdr:col>
      <xdr:colOff>30480</xdr:colOff>
      <xdr:row>21</xdr:row>
      <xdr:rowOff>76200</xdr:rowOff>
    </xdr:to>
    <xdr:cxnSp>
      <xdr:nvCxnSpPr>
        <xdr:cNvPr id="66637" name="Line 196"/>
        <xdr:cNvCxnSpPr/>
      </xdr:nvCxnSpPr>
      <xdr:spPr>
        <a:xfrm>
          <a:off x="2676525" y="5452110"/>
          <a:ext cx="0" cy="278130"/>
        </a:xfrm>
        <a:prstGeom prst="line"/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16</xdr:row>
      <xdr:rowOff>160020</xdr:rowOff>
    </xdr:from>
    <xdr:to>
      <xdr:col>11</xdr:col>
      <xdr:colOff>251460</xdr:colOff>
      <xdr:row>17</xdr:row>
      <xdr:rowOff>144780</xdr:rowOff>
    </xdr:to>
    <xdr:cxnSp>
      <xdr:nvCxnSpPr>
        <xdr:cNvPr id="66638" name="Line 197"/>
        <xdr:cNvCxnSpPr/>
      </xdr:nvCxnSpPr>
      <xdr:spPr>
        <a:xfrm>
          <a:off x="3449955" y="4575810"/>
          <a:ext cx="0" cy="2324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213360</xdr:colOff>
      <xdr:row>17</xdr:row>
      <xdr:rowOff>137160</xdr:rowOff>
    </xdr:from>
    <xdr:to>
      <xdr:col>11</xdr:col>
      <xdr:colOff>251460</xdr:colOff>
      <xdr:row>17</xdr:row>
      <xdr:rowOff>213360</xdr:rowOff>
    </xdr:to>
    <xdr:sp>
      <xdr:nvSpPr>
        <xdr:cNvPr id="66639" name="Arc 199"/>
        <xdr:cNvSpPr>
          <a:spLocks/>
        </xdr:cNvSpPr>
      </xdr:nvSpPr>
      <xdr:spPr>
        <a:xfrm flipV="1">
          <a:off x="3411855" y="4800600"/>
          <a:ext cx="38100" cy="76200"/>
        </a:xfrm>
        <a:custGeom>
          <a:pathLst>
            <a:path w="21436" h="19708">
              <a:moveTo>
                <a:pt x="8840" y="0"/>
              </a:moveTo>
              <a:cubicBezTo>
                <a:pt x="15733" y="3092"/>
                <a:pt x="20509" y="9560"/>
                <a:pt x="21436" y="17057"/>
              </a:cubicBezTo>
              <a:moveTo>
                <a:pt x="8840" y="0"/>
              </a:moveTo>
              <a:cubicBezTo>
                <a:pt x="15733" y="3092"/>
                <a:pt x="20509" y="9560"/>
                <a:pt x="21436" y="17057"/>
              </a:cubicBezTo>
              <a:lnTo>
                <a:pt x="0" y="19708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266700</xdr:colOff>
      <xdr:row>21</xdr:row>
      <xdr:rowOff>76200</xdr:rowOff>
    </xdr:from>
    <xdr:to>
      <xdr:col>9</xdr:col>
      <xdr:colOff>30480</xdr:colOff>
      <xdr:row>21</xdr:row>
      <xdr:rowOff>160020</xdr:rowOff>
    </xdr:to>
    <xdr:sp>
      <xdr:nvSpPr>
        <xdr:cNvPr id="66640" name="Arc 200"/>
        <xdr:cNvSpPr>
          <a:spLocks/>
        </xdr:cNvSpPr>
      </xdr:nvSpPr>
      <xdr:spPr>
        <a:xfrm flipV="1">
          <a:off x="2636520" y="5730240"/>
          <a:ext cx="40005" cy="83820"/>
        </a:xfrm>
        <a:custGeom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160020</xdr:colOff>
      <xdr:row>21</xdr:row>
      <xdr:rowOff>144780</xdr:rowOff>
    </xdr:from>
    <xdr:to>
      <xdr:col>8</xdr:col>
      <xdr:colOff>236220</xdr:colOff>
      <xdr:row>22</xdr:row>
      <xdr:rowOff>7620</xdr:rowOff>
    </xdr:to>
    <xdr:cxnSp>
      <xdr:nvCxnSpPr>
        <xdr:cNvPr id="66641" name="Line 201"/>
        <xdr:cNvCxnSpPr/>
      </xdr:nvCxnSpPr>
      <xdr:spPr>
        <a:xfrm flipV="1">
          <a:off x="2529840" y="5798820"/>
          <a:ext cx="76200" cy="110490"/>
        </a:xfrm>
        <a:prstGeom prst="line"/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21</xdr:row>
      <xdr:rowOff>160020</xdr:rowOff>
    </xdr:from>
    <xdr:to>
      <xdr:col>8</xdr:col>
      <xdr:colOff>266700</xdr:colOff>
      <xdr:row>21</xdr:row>
      <xdr:rowOff>160020</xdr:rowOff>
    </xdr:to>
    <xdr:cxnSp>
      <xdr:nvCxnSpPr>
        <xdr:cNvPr id="66642" name="Line 202"/>
        <xdr:cNvCxnSpPr/>
      </xdr:nvCxnSpPr>
      <xdr:spPr>
        <a:xfrm>
          <a:off x="2598420" y="5814060"/>
          <a:ext cx="38100" cy="0"/>
        </a:xfrm>
        <a:prstGeom prst="line"/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17</xdr:row>
      <xdr:rowOff>76200</xdr:rowOff>
    </xdr:from>
    <xdr:to>
      <xdr:col>11</xdr:col>
      <xdr:colOff>7620</xdr:colOff>
      <xdr:row>17</xdr:row>
      <xdr:rowOff>152400</xdr:rowOff>
    </xdr:to>
    <xdr:cxnSp>
      <xdr:nvCxnSpPr>
        <xdr:cNvPr id="66643" name="Line 203"/>
        <xdr:cNvCxnSpPr/>
      </xdr:nvCxnSpPr>
      <xdr:spPr>
        <a:xfrm flipH="1">
          <a:off x="3188970" y="4739640"/>
          <a:ext cx="17145" cy="762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274320</xdr:colOff>
      <xdr:row>17</xdr:row>
      <xdr:rowOff>152400</xdr:rowOff>
    </xdr:from>
    <xdr:to>
      <xdr:col>11</xdr:col>
      <xdr:colOff>7620</xdr:colOff>
      <xdr:row>17</xdr:row>
      <xdr:rowOff>152400</xdr:rowOff>
    </xdr:to>
    <xdr:cxnSp>
      <xdr:nvCxnSpPr>
        <xdr:cNvPr id="66644" name="Line 204"/>
        <xdr:cNvCxnSpPr/>
      </xdr:nvCxnSpPr>
      <xdr:spPr>
        <a:xfrm>
          <a:off x="3196590" y="4815840"/>
          <a:ext cx="95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16</xdr:row>
      <xdr:rowOff>144780</xdr:rowOff>
    </xdr:from>
    <xdr:to>
      <xdr:col>4</xdr:col>
      <xdr:colOff>76200</xdr:colOff>
      <xdr:row>17</xdr:row>
      <xdr:rowOff>144780</xdr:rowOff>
    </xdr:to>
    <xdr:cxnSp>
      <xdr:nvCxnSpPr>
        <xdr:cNvPr id="66645" name="Line 206"/>
        <xdr:cNvCxnSpPr/>
      </xdr:nvCxnSpPr>
      <xdr:spPr>
        <a:xfrm>
          <a:off x="1198245" y="4560570"/>
          <a:ext cx="0" cy="2476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17</xdr:row>
      <xdr:rowOff>144780</xdr:rowOff>
    </xdr:from>
    <xdr:to>
      <xdr:col>4</xdr:col>
      <xdr:colOff>160020</xdr:colOff>
      <xdr:row>17</xdr:row>
      <xdr:rowOff>236220</xdr:rowOff>
    </xdr:to>
    <xdr:sp>
      <xdr:nvSpPr>
        <xdr:cNvPr id="66646" name="Arc 207"/>
        <xdr:cNvSpPr>
          <a:spLocks/>
        </xdr:cNvSpPr>
      </xdr:nvSpPr>
      <xdr:spPr>
        <a:xfrm>
          <a:off x="1198245" y="4808220"/>
          <a:ext cx="83820" cy="91440"/>
        </a:xfrm>
        <a:custGeom>
          <a:pathLst>
            <a:path w="21601" h="22517"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lnTo>
                <a:pt x="21600" y="958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160020</xdr:colOff>
      <xdr:row>17</xdr:row>
      <xdr:rowOff>236220</xdr:rowOff>
    </xdr:from>
    <xdr:to>
      <xdr:col>4</xdr:col>
      <xdr:colOff>198120</xdr:colOff>
      <xdr:row>17</xdr:row>
      <xdr:rowOff>236220</xdr:rowOff>
    </xdr:to>
    <xdr:cxnSp>
      <xdr:nvCxnSpPr>
        <xdr:cNvPr id="66647" name="Line 208"/>
        <xdr:cNvCxnSpPr/>
      </xdr:nvCxnSpPr>
      <xdr:spPr>
        <a:xfrm>
          <a:off x="1282065" y="4899660"/>
          <a:ext cx="381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17</xdr:row>
      <xdr:rowOff>76200</xdr:rowOff>
    </xdr:from>
    <xdr:to>
      <xdr:col>4</xdr:col>
      <xdr:colOff>281940</xdr:colOff>
      <xdr:row>17</xdr:row>
      <xdr:rowOff>228600</xdr:rowOff>
    </xdr:to>
    <xdr:cxnSp>
      <xdr:nvCxnSpPr>
        <xdr:cNvPr id="66648" name="Line 209"/>
        <xdr:cNvCxnSpPr/>
      </xdr:nvCxnSpPr>
      <xdr:spPr>
        <a:xfrm flipH="1">
          <a:off x="1320165" y="4739640"/>
          <a:ext cx="83820" cy="1524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20</xdr:row>
      <xdr:rowOff>22860</xdr:rowOff>
    </xdr:from>
    <xdr:to>
      <xdr:col>1</xdr:col>
      <xdr:colOff>213360</xdr:colOff>
      <xdr:row>21</xdr:row>
      <xdr:rowOff>45720</xdr:rowOff>
    </xdr:to>
    <xdr:cxnSp>
      <xdr:nvCxnSpPr>
        <xdr:cNvPr id="66649" name="Line 210"/>
        <xdr:cNvCxnSpPr/>
      </xdr:nvCxnSpPr>
      <xdr:spPr>
        <a:xfrm>
          <a:off x="468630" y="5429250"/>
          <a:ext cx="0" cy="27051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144780</xdr:rowOff>
    </xdr:from>
    <xdr:to>
      <xdr:col>2</xdr:col>
      <xdr:colOff>114300</xdr:colOff>
      <xdr:row>21</xdr:row>
      <xdr:rowOff>144780</xdr:rowOff>
    </xdr:to>
    <xdr:cxnSp>
      <xdr:nvCxnSpPr>
        <xdr:cNvPr id="66650" name="Line 212"/>
        <xdr:cNvCxnSpPr/>
      </xdr:nvCxnSpPr>
      <xdr:spPr>
        <a:xfrm>
          <a:off x="502920" y="5798820"/>
          <a:ext cx="114300" cy="0"/>
        </a:xfrm>
        <a:prstGeom prst="line"/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21</xdr:row>
      <xdr:rowOff>45720</xdr:rowOff>
    </xdr:from>
    <xdr:to>
      <xdr:col>2</xdr:col>
      <xdr:colOff>22860</xdr:colOff>
      <xdr:row>21</xdr:row>
      <xdr:rowOff>144780</xdr:rowOff>
    </xdr:to>
    <xdr:sp>
      <xdr:nvSpPr>
        <xdr:cNvPr id="66651" name="Arc 216"/>
        <xdr:cNvSpPr>
          <a:spLocks/>
        </xdr:cNvSpPr>
      </xdr:nvSpPr>
      <xdr:spPr>
        <a:xfrm>
          <a:off x="468630" y="5699760"/>
          <a:ext cx="57150" cy="99060"/>
        </a:xfrm>
        <a:custGeom>
          <a:pathLst>
            <a:path w="21601" h="22517"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lnTo>
                <a:pt x="21600" y="958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251460</xdr:colOff>
      <xdr:row>17</xdr:row>
      <xdr:rowOff>213360</xdr:rowOff>
    </xdr:from>
    <xdr:to>
      <xdr:col>4</xdr:col>
      <xdr:colOff>83820</xdr:colOff>
      <xdr:row>21</xdr:row>
      <xdr:rowOff>121920</xdr:rowOff>
    </xdr:to>
    <xdr:cxnSp>
      <xdr:nvCxnSpPr>
        <xdr:cNvPr id="66652" name="Line 217"/>
        <xdr:cNvCxnSpPr/>
      </xdr:nvCxnSpPr>
      <xdr:spPr>
        <a:xfrm flipV="1">
          <a:off x="506730" y="4876800"/>
          <a:ext cx="699135" cy="899160"/>
        </a:xfrm>
        <a:prstGeom prst="line"/>
        <a:noFill/>
        <a:ln w="76200" cap="flat" cmpd="tri">
          <a:solidFill>
            <a:srgbClr val="000000">
              <a:alpha val="100000"/>
            </a:srgb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22</xdr:row>
      <xdr:rowOff>45720</xdr:rowOff>
    </xdr:from>
    <xdr:to>
      <xdr:col>2</xdr:col>
      <xdr:colOff>114300</xdr:colOff>
      <xdr:row>23</xdr:row>
      <xdr:rowOff>190500</xdr:rowOff>
    </xdr:to>
    <xdr:cxnSp>
      <xdr:nvCxnSpPr>
        <xdr:cNvPr id="66653" name="Line 218"/>
        <xdr:cNvCxnSpPr/>
      </xdr:nvCxnSpPr>
      <xdr:spPr>
        <a:xfrm>
          <a:off x="617220" y="5947410"/>
          <a:ext cx="0" cy="3924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</xdr:colOff>
      <xdr:row>21</xdr:row>
      <xdr:rowOff>228600</xdr:rowOff>
    </xdr:from>
    <xdr:to>
      <xdr:col>8</xdr:col>
      <xdr:colOff>160020</xdr:colOff>
      <xdr:row>22</xdr:row>
      <xdr:rowOff>30480</xdr:rowOff>
    </xdr:to>
    <xdr:sp>
      <xdr:nvSpPr>
        <xdr:cNvPr id="66654" name="Arc 222"/>
        <xdr:cNvSpPr>
          <a:spLocks/>
        </xdr:cNvSpPr>
      </xdr:nvSpPr>
      <xdr:spPr>
        <a:xfrm flipV="1">
          <a:off x="2453640" y="5882640"/>
          <a:ext cx="76200" cy="49530"/>
        </a:xfrm>
        <a:custGeom>
          <a:pathLst>
            <a:path w="41339" h="26626">
              <a:moveTo>
                <a:pt x="592" y="26625"/>
              </a:moveTo>
              <a:cubicBezTo>
                <a:pt x="198" y="24979"/>
                <a:pt x="0" y="23292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0137" y="-1"/>
                <a:pt x="37873" y="5028"/>
                <a:pt x="41339" y="12831"/>
              </a:cubicBezTo>
              <a:moveTo>
                <a:pt x="592" y="26625"/>
              </a:moveTo>
              <a:cubicBezTo>
                <a:pt x="198" y="24979"/>
                <a:pt x="0" y="23292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0137" y="-1"/>
                <a:pt x="37873" y="5028"/>
                <a:pt x="41339" y="12831"/>
              </a:cubicBezTo>
              <a:lnTo>
                <a:pt x="21600" y="21600"/>
              </a:lnTo>
              <a:close/>
            </a:path>
          </a:pathLst>
        </a:cu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99060</xdr:colOff>
      <xdr:row>22</xdr:row>
      <xdr:rowOff>45720</xdr:rowOff>
    </xdr:from>
    <xdr:to>
      <xdr:col>8</xdr:col>
      <xdr:colOff>99060</xdr:colOff>
      <xdr:row>23</xdr:row>
      <xdr:rowOff>190500</xdr:rowOff>
    </xdr:to>
    <xdr:cxnSp>
      <xdr:nvCxnSpPr>
        <xdr:cNvPr id="66655" name="Line 223"/>
        <xdr:cNvCxnSpPr/>
      </xdr:nvCxnSpPr>
      <xdr:spPr>
        <a:xfrm>
          <a:off x="2468880" y="5947410"/>
          <a:ext cx="0" cy="3924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137160</xdr:rowOff>
    </xdr:from>
    <xdr:to>
      <xdr:col>8</xdr:col>
      <xdr:colOff>83820</xdr:colOff>
      <xdr:row>23</xdr:row>
      <xdr:rowOff>137160</xdr:rowOff>
    </xdr:to>
    <xdr:cxnSp>
      <xdr:nvCxnSpPr>
        <xdr:cNvPr id="66656" name="Line 224"/>
        <xdr:cNvCxnSpPr/>
      </xdr:nvCxnSpPr>
      <xdr:spPr>
        <a:xfrm>
          <a:off x="1817370" y="6286500"/>
          <a:ext cx="63627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23</xdr:row>
      <xdr:rowOff>121920</xdr:rowOff>
    </xdr:from>
    <xdr:to>
      <xdr:col>4</xdr:col>
      <xdr:colOff>38100</xdr:colOff>
      <xdr:row>23</xdr:row>
      <xdr:rowOff>121920</xdr:rowOff>
    </xdr:to>
    <xdr:cxnSp>
      <xdr:nvCxnSpPr>
        <xdr:cNvPr id="66657" name="Line 225"/>
        <xdr:cNvCxnSpPr/>
      </xdr:nvCxnSpPr>
      <xdr:spPr>
        <a:xfrm flipH="1">
          <a:off x="617220" y="6271260"/>
          <a:ext cx="5429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21</xdr:row>
      <xdr:rowOff>182880</xdr:rowOff>
    </xdr:from>
    <xdr:to>
      <xdr:col>11</xdr:col>
      <xdr:colOff>22860</xdr:colOff>
      <xdr:row>21</xdr:row>
      <xdr:rowOff>182880</xdr:rowOff>
    </xdr:to>
    <xdr:cxnSp>
      <xdr:nvCxnSpPr>
        <xdr:cNvPr id="66658" name="Line 226"/>
        <xdr:cNvCxnSpPr/>
      </xdr:nvCxnSpPr>
      <xdr:spPr>
        <a:xfrm>
          <a:off x="2674620" y="5836920"/>
          <a:ext cx="5467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17</xdr:row>
      <xdr:rowOff>175260</xdr:rowOff>
    </xdr:from>
    <xdr:to>
      <xdr:col>13</xdr:col>
      <xdr:colOff>312420</xdr:colOff>
      <xdr:row>17</xdr:row>
      <xdr:rowOff>175260</xdr:rowOff>
    </xdr:to>
    <xdr:cxnSp>
      <xdr:nvCxnSpPr>
        <xdr:cNvPr id="66659" name="Line 227"/>
        <xdr:cNvCxnSpPr/>
      </xdr:nvCxnSpPr>
      <xdr:spPr>
        <a:xfrm>
          <a:off x="3449955" y="4838700"/>
          <a:ext cx="5848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220980</xdr:colOff>
      <xdr:row>21</xdr:row>
      <xdr:rowOff>0</xdr:rowOff>
    </xdr:from>
    <xdr:to>
      <xdr:col>11</xdr:col>
      <xdr:colOff>68580</xdr:colOff>
      <xdr:row>21</xdr:row>
      <xdr:rowOff>182880</xdr:rowOff>
    </xdr:to>
    <xdr:cxnSp>
      <xdr:nvCxnSpPr>
        <xdr:cNvPr id="66660" name="Line 228"/>
        <xdr:cNvCxnSpPr/>
      </xdr:nvCxnSpPr>
      <xdr:spPr>
        <a:xfrm flipH="1">
          <a:off x="3143250" y="5654040"/>
          <a:ext cx="123825" cy="1828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289560</xdr:colOff>
      <xdr:row>17</xdr:row>
      <xdr:rowOff>175260</xdr:rowOff>
    </xdr:from>
    <xdr:to>
      <xdr:col>13</xdr:col>
      <xdr:colOff>198120</xdr:colOff>
      <xdr:row>20</xdr:row>
      <xdr:rowOff>0</xdr:rowOff>
    </xdr:to>
    <xdr:cxnSp>
      <xdr:nvCxnSpPr>
        <xdr:cNvPr id="66661" name="Line 229"/>
        <xdr:cNvCxnSpPr/>
      </xdr:nvCxnSpPr>
      <xdr:spPr>
        <a:xfrm flipV="1">
          <a:off x="3488055" y="4838700"/>
          <a:ext cx="432435" cy="5676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19</xdr:row>
      <xdr:rowOff>137160</xdr:rowOff>
    </xdr:from>
    <xdr:to>
      <xdr:col>3</xdr:col>
      <xdr:colOff>274320</xdr:colOff>
      <xdr:row>19</xdr:row>
      <xdr:rowOff>137160</xdr:rowOff>
    </xdr:to>
    <xdr:cxnSp>
      <xdr:nvCxnSpPr>
        <xdr:cNvPr id="66662" name="Line 232"/>
        <xdr:cNvCxnSpPr/>
      </xdr:nvCxnSpPr>
      <xdr:spPr>
        <a:xfrm flipH="1" flipV="1">
          <a:off x="609600" y="5295900"/>
          <a:ext cx="5105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19</xdr:row>
      <xdr:rowOff>137160</xdr:rowOff>
    </xdr:from>
    <xdr:to>
      <xdr:col>2</xdr:col>
      <xdr:colOff>22860</xdr:colOff>
      <xdr:row>19</xdr:row>
      <xdr:rowOff>137160</xdr:rowOff>
    </xdr:to>
    <xdr:cxnSp>
      <xdr:nvCxnSpPr>
        <xdr:cNvPr id="66663" name="Line 233"/>
        <xdr:cNvCxnSpPr/>
      </xdr:nvCxnSpPr>
      <xdr:spPr>
        <a:xfrm>
          <a:off x="354330" y="5295900"/>
          <a:ext cx="1714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5</xdr:row>
      <xdr:rowOff>152400</xdr:rowOff>
    </xdr:from>
    <xdr:to>
      <xdr:col>7</xdr:col>
      <xdr:colOff>38100</xdr:colOff>
      <xdr:row>6</xdr:row>
      <xdr:rowOff>99060</xdr:rowOff>
    </xdr:to>
    <xdr:cxnSp>
      <xdr:nvCxnSpPr>
        <xdr:cNvPr id="66664" name="Line 234"/>
        <xdr:cNvCxnSpPr/>
      </xdr:nvCxnSpPr>
      <xdr:spPr>
        <a:xfrm>
          <a:off x="1977390" y="1844040"/>
          <a:ext cx="154305" cy="19431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5</xdr:row>
      <xdr:rowOff>213360</xdr:rowOff>
    </xdr:from>
    <xdr:to>
      <xdr:col>4</xdr:col>
      <xdr:colOff>304800</xdr:colOff>
      <xdr:row>7</xdr:row>
      <xdr:rowOff>60960</xdr:rowOff>
    </xdr:to>
    <xdr:cxnSp>
      <xdr:nvCxnSpPr>
        <xdr:cNvPr id="66665" name="Line 235"/>
        <xdr:cNvCxnSpPr/>
      </xdr:nvCxnSpPr>
      <xdr:spPr>
        <a:xfrm>
          <a:off x="1120140" y="1905000"/>
          <a:ext cx="306705" cy="34290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</xdr:row>
      <xdr:rowOff>60960</xdr:rowOff>
    </xdr:from>
    <xdr:to>
      <xdr:col>5</xdr:col>
      <xdr:colOff>76200</xdr:colOff>
      <xdr:row>6</xdr:row>
      <xdr:rowOff>45720</xdr:rowOff>
    </xdr:to>
    <xdr:cxnSp>
      <xdr:nvCxnSpPr>
        <xdr:cNvPr id="66666" name="Line 236"/>
        <xdr:cNvCxnSpPr/>
      </xdr:nvCxnSpPr>
      <xdr:spPr>
        <a:xfrm>
          <a:off x="1274445" y="1752600"/>
          <a:ext cx="200025" cy="23241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5</xdr:row>
      <xdr:rowOff>106680</xdr:rowOff>
    </xdr:from>
    <xdr:to>
      <xdr:col>7</xdr:col>
      <xdr:colOff>45720</xdr:colOff>
      <xdr:row>7</xdr:row>
      <xdr:rowOff>182880</xdr:rowOff>
    </xdr:to>
    <xdr:cxnSp>
      <xdr:nvCxnSpPr>
        <xdr:cNvPr id="66667" name="Line 237"/>
        <xdr:cNvCxnSpPr/>
      </xdr:nvCxnSpPr>
      <xdr:spPr>
        <a:xfrm>
          <a:off x="1664970" y="1798320"/>
          <a:ext cx="474345" cy="57150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7</xdr:row>
      <xdr:rowOff>160020</xdr:rowOff>
    </xdr:from>
    <xdr:to>
      <xdr:col>7</xdr:col>
      <xdr:colOff>7620</xdr:colOff>
      <xdr:row>8</xdr:row>
      <xdr:rowOff>220980</xdr:rowOff>
    </xdr:to>
    <xdr:cxnSp>
      <xdr:nvCxnSpPr>
        <xdr:cNvPr id="66668" name="Line 238"/>
        <xdr:cNvCxnSpPr/>
      </xdr:nvCxnSpPr>
      <xdr:spPr>
        <a:xfrm>
          <a:off x="1824990" y="2346960"/>
          <a:ext cx="276225" cy="30861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160020</xdr:colOff>
      <xdr:row>8</xdr:row>
      <xdr:rowOff>7620</xdr:rowOff>
    </xdr:from>
    <xdr:to>
      <xdr:col>5</xdr:col>
      <xdr:colOff>350520</xdr:colOff>
      <xdr:row>8</xdr:row>
      <xdr:rowOff>198120</xdr:rowOff>
    </xdr:to>
    <xdr:cxnSp>
      <xdr:nvCxnSpPr>
        <xdr:cNvPr id="66669" name="Line 239"/>
        <xdr:cNvCxnSpPr/>
      </xdr:nvCxnSpPr>
      <xdr:spPr>
        <a:xfrm>
          <a:off x="1558290" y="2442210"/>
          <a:ext cx="190500" cy="19050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7</xdr:row>
      <xdr:rowOff>45720</xdr:rowOff>
    </xdr:from>
    <xdr:to>
      <xdr:col>4</xdr:col>
      <xdr:colOff>114300</xdr:colOff>
      <xdr:row>7</xdr:row>
      <xdr:rowOff>213360</xdr:rowOff>
    </xdr:to>
    <xdr:cxnSp>
      <xdr:nvCxnSpPr>
        <xdr:cNvPr id="66670" name="Line 240"/>
        <xdr:cNvCxnSpPr/>
      </xdr:nvCxnSpPr>
      <xdr:spPr>
        <a:xfrm>
          <a:off x="1112520" y="2232660"/>
          <a:ext cx="123825" cy="16764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8</xdr:row>
      <xdr:rowOff>106680</xdr:rowOff>
    </xdr:from>
    <xdr:to>
      <xdr:col>5</xdr:col>
      <xdr:colOff>38100</xdr:colOff>
      <xdr:row>8</xdr:row>
      <xdr:rowOff>228600</xdr:rowOff>
    </xdr:to>
    <xdr:cxnSp>
      <xdr:nvCxnSpPr>
        <xdr:cNvPr id="66671" name="Line 241"/>
        <xdr:cNvCxnSpPr/>
      </xdr:nvCxnSpPr>
      <xdr:spPr>
        <a:xfrm>
          <a:off x="1350645" y="2541270"/>
          <a:ext cx="85725" cy="12192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274320</xdr:colOff>
      <xdr:row>5</xdr:row>
      <xdr:rowOff>114300</xdr:rowOff>
    </xdr:from>
    <xdr:to>
      <xdr:col>18</xdr:col>
      <xdr:colOff>38100</xdr:colOff>
      <xdr:row>7</xdr:row>
      <xdr:rowOff>160020</xdr:rowOff>
    </xdr:to>
    <xdr:cxnSp>
      <xdr:nvCxnSpPr>
        <xdr:cNvPr id="66672" name="Line 242"/>
        <xdr:cNvCxnSpPr/>
      </xdr:nvCxnSpPr>
      <xdr:spPr>
        <a:xfrm>
          <a:off x="4892040" y="1805940"/>
          <a:ext cx="459105" cy="54102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213360</xdr:colOff>
      <xdr:row>5</xdr:row>
      <xdr:rowOff>160020</xdr:rowOff>
    </xdr:from>
    <xdr:to>
      <xdr:col>18</xdr:col>
      <xdr:colOff>22860</xdr:colOff>
      <xdr:row>6</xdr:row>
      <xdr:rowOff>38100</xdr:rowOff>
    </xdr:to>
    <xdr:cxnSp>
      <xdr:nvCxnSpPr>
        <xdr:cNvPr id="66673" name="Line 243"/>
        <xdr:cNvCxnSpPr/>
      </xdr:nvCxnSpPr>
      <xdr:spPr>
        <a:xfrm>
          <a:off x="5250180" y="1851660"/>
          <a:ext cx="85725" cy="12573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5</xdr:row>
      <xdr:rowOff>83820</xdr:rowOff>
    </xdr:from>
    <xdr:to>
      <xdr:col>16</xdr:col>
      <xdr:colOff>220980</xdr:colOff>
      <xdr:row>7</xdr:row>
      <xdr:rowOff>0</xdr:rowOff>
    </xdr:to>
    <xdr:cxnSp>
      <xdr:nvCxnSpPr>
        <xdr:cNvPr id="66674" name="Line 244"/>
        <xdr:cNvCxnSpPr/>
      </xdr:nvCxnSpPr>
      <xdr:spPr>
        <a:xfrm>
          <a:off x="4478655" y="1775460"/>
          <a:ext cx="360045" cy="41148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7</xdr:row>
      <xdr:rowOff>236220</xdr:rowOff>
    </xdr:from>
    <xdr:to>
      <xdr:col>17</xdr:col>
      <xdr:colOff>236220</xdr:colOff>
      <xdr:row>8</xdr:row>
      <xdr:rowOff>236220</xdr:rowOff>
    </xdr:to>
    <xdr:cxnSp>
      <xdr:nvCxnSpPr>
        <xdr:cNvPr id="66675" name="Line 245"/>
        <xdr:cNvCxnSpPr/>
      </xdr:nvCxnSpPr>
      <xdr:spPr>
        <a:xfrm>
          <a:off x="5059680" y="2423160"/>
          <a:ext cx="213360" cy="24765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6</xdr:row>
      <xdr:rowOff>68580</xdr:rowOff>
    </xdr:from>
    <xdr:to>
      <xdr:col>15</xdr:col>
      <xdr:colOff>220980</xdr:colOff>
      <xdr:row>7</xdr:row>
      <xdr:rowOff>106680</xdr:rowOff>
    </xdr:to>
    <xdr:cxnSp>
      <xdr:nvCxnSpPr>
        <xdr:cNvPr id="66676" name="Line 246"/>
        <xdr:cNvCxnSpPr/>
      </xdr:nvCxnSpPr>
      <xdr:spPr>
        <a:xfrm>
          <a:off x="4331970" y="2007870"/>
          <a:ext cx="230505" cy="28575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8</xdr:row>
      <xdr:rowOff>7620</xdr:rowOff>
    </xdr:from>
    <xdr:to>
      <xdr:col>16</xdr:col>
      <xdr:colOff>259080</xdr:colOff>
      <xdr:row>8</xdr:row>
      <xdr:rowOff>220980</xdr:rowOff>
    </xdr:to>
    <xdr:cxnSp>
      <xdr:nvCxnSpPr>
        <xdr:cNvPr id="66677" name="Line 247"/>
        <xdr:cNvCxnSpPr/>
      </xdr:nvCxnSpPr>
      <xdr:spPr>
        <a:xfrm>
          <a:off x="4686300" y="2442210"/>
          <a:ext cx="190500" cy="21336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8</xdr:row>
      <xdr:rowOff>160020</xdr:rowOff>
    </xdr:from>
    <xdr:to>
      <xdr:col>15</xdr:col>
      <xdr:colOff>220980</xdr:colOff>
      <xdr:row>9</xdr:row>
      <xdr:rowOff>7620</xdr:rowOff>
    </xdr:to>
    <xdr:cxnSp>
      <xdr:nvCxnSpPr>
        <xdr:cNvPr id="66678" name="Line 248"/>
        <xdr:cNvCxnSpPr/>
      </xdr:nvCxnSpPr>
      <xdr:spPr>
        <a:xfrm>
          <a:off x="4478655" y="2594610"/>
          <a:ext cx="83820" cy="9525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259080</xdr:colOff>
      <xdr:row>7</xdr:row>
      <xdr:rowOff>182880</xdr:rowOff>
    </xdr:from>
    <xdr:to>
      <xdr:col>15</xdr:col>
      <xdr:colOff>30480</xdr:colOff>
      <xdr:row>8</xdr:row>
      <xdr:rowOff>22860</xdr:rowOff>
    </xdr:to>
    <xdr:cxnSp>
      <xdr:nvCxnSpPr>
        <xdr:cNvPr id="66679" name="Line 249"/>
        <xdr:cNvCxnSpPr/>
      </xdr:nvCxnSpPr>
      <xdr:spPr>
        <a:xfrm>
          <a:off x="4324350" y="2369820"/>
          <a:ext cx="47625" cy="8763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10</xdr:row>
      <xdr:rowOff>22860</xdr:rowOff>
    </xdr:from>
    <xdr:to>
      <xdr:col>12</xdr:col>
      <xdr:colOff>220980</xdr:colOff>
      <xdr:row>10</xdr:row>
      <xdr:rowOff>83820</xdr:rowOff>
    </xdr:to>
    <xdr:cxnSp>
      <xdr:nvCxnSpPr>
        <xdr:cNvPr id="66680" name="Line 250"/>
        <xdr:cNvCxnSpPr/>
      </xdr:nvCxnSpPr>
      <xdr:spPr>
        <a:xfrm>
          <a:off x="3596640" y="2952750"/>
          <a:ext cx="99060" cy="6096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9</xdr:row>
      <xdr:rowOff>121920</xdr:rowOff>
    </xdr:from>
    <xdr:to>
      <xdr:col>13</xdr:col>
      <xdr:colOff>190500</xdr:colOff>
      <xdr:row>10</xdr:row>
      <xdr:rowOff>83820</xdr:rowOff>
    </xdr:to>
    <xdr:cxnSp>
      <xdr:nvCxnSpPr>
        <xdr:cNvPr id="66681" name="Line 251"/>
        <xdr:cNvCxnSpPr/>
      </xdr:nvCxnSpPr>
      <xdr:spPr>
        <a:xfrm>
          <a:off x="3634740" y="2804160"/>
          <a:ext cx="278130" cy="20955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8</xdr:row>
      <xdr:rowOff>144780</xdr:rowOff>
    </xdr:from>
    <xdr:to>
      <xdr:col>14</xdr:col>
      <xdr:colOff>68580</xdr:colOff>
      <xdr:row>10</xdr:row>
      <xdr:rowOff>83820</xdr:rowOff>
    </xdr:to>
    <xdr:cxnSp>
      <xdr:nvCxnSpPr>
        <xdr:cNvPr id="66682" name="Line 252"/>
        <xdr:cNvCxnSpPr/>
      </xdr:nvCxnSpPr>
      <xdr:spPr>
        <a:xfrm>
          <a:off x="3573780" y="2579370"/>
          <a:ext cx="560070" cy="43434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106680</xdr:colOff>
      <xdr:row>7</xdr:row>
      <xdr:rowOff>236220</xdr:rowOff>
    </xdr:from>
    <xdr:to>
      <xdr:col>13</xdr:col>
      <xdr:colOff>0</xdr:colOff>
      <xdr:row>8</xdr:row>
      <xdr:rowOff>114300</xdr:rowOff>
    </xdr:to>
    <xdr:cxnSp>
      <xdr:nvCxnSpPr>
        <xdr:cNvPr id="66683" name="Line 253"/>
        <xdr:cNvCxnSpPr/>
      </xdr:nvCxnSpPr>
      <xdr:spPr>
        <a:xfrm>
          <a:off x="3581400" y="2423160"/>
          <a:ext cx="140970" cy="12573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236220</xdr:colOff>
      <xdr:row>7</xdr:row>
      <xdr:rowOff>160020</xdr:rowOff>
    </xdr:from>
    <xdr:to>
      <xdr:col>13</xdr:col>
      <xdr:colOff>83820</xdr:colOff>
      <xdr:row>8</xdr:row>
      <xdr:rowOff>0</xdr:rowOff>
    </xdr:to>
    <xdr:cxnSp>
      <xdr:nvCxnSpPr>
        <xdr:cNvPr id="66684" name="Line 254"/>
        <xdr:cNvCxnSpPr/>
      </xdr:nvCxnSpPr>
      <xdr:spPr>
        <a:xfrm>
          <a:off x="3710940" y="2346960"/>
          <a:ext cx="95250" cy="8763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213360</xdr:colOff>
      <xdr:row>9</xdr:row>
      <xdr:rowOff>0</xdr:rowOff>
    </xdr:from>
    <xdr:to>
      <xdr:col>14</xdr:col>
      <xdr:colOff>175260</xdr:colOff>
      <xdr:row>9</xdr:row>
      <xdr:rowOff>236220</xdr:rowOff>
    </xdr:to>
    <xdr:cxnSp>
      <xdr:nvCxnSpPr>
        <xdr:cNvPr id="66685" name="Line 255"/>
        <xdr:cNvCxnSpPr/>
      </xdr:nvCxnSpPr>
      <xdr:spPr>
        <a:xfrm>
          <a:off x="3935730" y="2682240"/>
          <a:ext cx="304800" cy="23622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7</xdr:row>
      <xdr:rowOff>160020</xdr:rowOff>
    </xdr:from>
    <xdr:to>
      <xdr:col>13</xdr:col>
      <xdr:colOff>342900</xdr:colOff>
      <xdr:row>8</xdr:row>
      <xdr:rowOff>0</xdr:rowOff>
    </xdr:to>
    <xdr:cxnSp>
      <xdr:nvCxnSpPr>
        <xdr:cNvPr id="66686" name="Line 264"/>
        <xdr:cNvCxnSpPr/>
      </xdr:nvCxnSpPr>
      <xdr:spPr>
        <a:xfrm>
          <a:off x="3943350" y="2346960"/>
          <a:ext cx="121920" cy="8763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190500</xdr:rowOff>
    </xdr:from>
    <xdr:to>
      <xdr:col>14</xdr:col>
      <xdr:colOff>175260</xdr:colOff>
      <xdr:row>9</xdr:row>
      <xdr:rowOff>60960</xdr:rowOff>
    </xdr:to>
    <xdr:cxnSp>
      <xdr:nvCxnSpPr>
        <xdr:cNvPr id="66687" name="Line 265"/>
        <xdr:cNvCxnSpPr/>
      </xdr:nvCxnSpPr>
      <xdr:spPr>
        <a:xfrm>
          <a:off x="4065270" y="2625090"/>
          <a:ext cx="175260" cy="11811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8</xdr:row>
      <xdr:rowOff>83820</xdr:rowOff>
    </xdr:from>
    <xdr:to>
      <xdr:col>14</xdr:col>
      <xdr:colOff>182880</xdr:colOff>
      <xdr:row>8</xdr:row>
      <xdr:rowOff>137160</xdr:rowOff>
    </xdr:to>
    <xdr:cxnSp>
      <xdr:nvCxnSpPr>
        <xdr:cNvPr id="66688" name="Line 266"/>
        <xdr:cNvCxnSpPr/>
      </xdr:nvCxnSpPr>
      <xdr:spPr>
        <a:xfrm>
          <a:off x="4179570" y="2518410"/>
          <a:ext cx="68580" cy="5334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152400</xdr:rowOff>
    </xdr:from>
    <xdr:to>
      <xdr:col>20</xdr:col>
      <xdr:colOff>76200</xdr:colOff>
      <xdr:row>10</xdr:row>
      <xdr:rowOff>76200</xdr:rowOff>
    </xdr:to>
    <xdr:cxnSp>
      <xdr:nvCxnSpPr>
        <xdr:cNvPr id="66689" name="Line 267"/>
        <xdr:cNvCxnSpPr/>
      </xdr:nvCxnSpPr>
      <xdr:spPr>
        <a:xfrm>
          <a:off x="5427345" y="2586990"/>
          <a:ext cx="504825" cy="41910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144780</xdr:colOff>
      <xdr:row>8</xdr:row>
      <xdr:rowOff>7620</xdr:rowOff>
    </xdr:from>
    <xdr:to>
      <xdr:col>19</xdr:col>
      <xdr:colOff>228600</xdr:colOff>
      <xdr:row>9</xdr:row>
      <xdr:rowOff>45720</xdr:rowOff>
    </xdr:to>
    <xdr:cxnSp>
      <xdr:nvCxnSpPr>
        <xdr:cNvPr id="66690" name="Line 268"/>
        <xdr:cNvCxnSpPr/>
      </xdr:nvCxnSpPr>
      <xdr:spPr>
        <a:xfrm>
          <a:off x="5457825" y="2442210"/>
          <a:ext cx="360045" cy="28575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259080</xdr:colOff>
      <xdr:row>7</xdr:row>
      <xdr:rowOff>160020</xdr:rowOff>
    </xdr:from>
    <xdr:to>
      <xdr:col>19</xdr:col>
      <xdr:colOff>228600</xdr:colOff>
      <xdr:row>8</xdr:row>
      <xdr:rowOff>114300</xdr:rowOff>
    </xdr:to>
    <xdr:cxnSp>
      <xdr:nvCxnSpPr>
        <xdr:cNvPr id="66691" name="Line 269"/>
        <xdr:cNvCxnSpPr/>
      </xdr:nvCxnSpPr>
      <xdr:spPr>
        <a:xfrm>
          <a:off x="5572125" y="2346960"/>
          <a:ext cx="245745" cy="20193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182880</xdr:colOff>
      <xdr:row>7</xdr:row>
      <xdr:rowOff>160020</xdr:rowOff>
    </xdr:from>
    <xdr:to>
      <xdr:col>19</xdr:col>
      <xdr:colOff>251460</xdr:colOff>
      <xdr:row>7</xdr:row>
      <xdr:rowOff>198120</xdr:rowOff>
    </xdr:to>
    <xdr:cxnSp>
      <xdr:nvCxnSpPr>
        <xdr:cNvPr id="66692" name="Line 270"/>
        <xdr:cNvCxnSpPr/>
      </xdr:nvCxnSpPr>
      <xdr:spPr>
        <a:xfrm>
          <a:off x="5772150" y="2346960"/>
          <a:ext cx="68580" cy="3810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9</xdr:row>
      <xdr:rowOff>99060</xdr:rowOff>
    </xdr:from>
    <xdr:to>
      <xdr:col>19</xdr:col>
      <xdr:colOff>152400</xdr:colOff>
      <xdr:row>10</xdr:row>
      <xdr:rowOff>83820</xdr:rowOff>
    </xdr:to>
    <xdr:cxnSp>
      <xdr:nvCxnSpPr>
        <xdr:cNvPr id="66693" name="Line 271"/>
        <xdr:cNvCxnSpPr/>
      </xdr:nvCxnSpPr>
      <xdr:spPr>
        <a:xfrm>
          <a:off x="5434965" y="2781300"/>
          <a:ext cx="306705" cy="23241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10</xdr:row>
      <xdr:rowOff>30480</xdr:rowOff>
    </xdr:from>
    <xdr:to>
      <xdr:col>18</xdr:col>
      <xdr:colOff>198120</xdr:colOff>
      <xdr:row>10</xdr:row>
      <xdr:rowOff>76200</xdr:rowOff>
    </xdr:to>
    <xdr:cxnSp>
      <xdr:nvCxnSpPr>
        <xdr:cNvPr id="66694" name="Line 272"/>
        <xdr:cNvCxnSpPr/>
      </xdr:nvCxnSpPr>
      <xdr:spPr>
        <a:xfrm>
          <a:off x="5434965" y="2960370"/>
          <a:ext cx="76200" cy="4572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</xdr:colOff>
      <xdr:row>7</xdr:row>
      <xdr:rowOff>160020</xdr:rowOff>
    </xdr:from>
    <xdr:to>
      <xdr:col>20</xdr:col>
      <xdr:colOff>175260</xdr:colOff>
      <xdr:row>7</xdr:row>
      <xdr:rowOff>213360</xdr:rowOff>
    </xdr:to>
    <xdr:cxnSp>
      <xdr:nvCxnSpPr>
        <xdr:cNvPr id="66695" name="Line 273"/>
        <xdr:cNvCxnSpPr/>
      </xdr:nvCxnSpPr>
      <xdr:spPr>
        <a:xfrm>
          <a:off x="5955030" y="2346960"/>
          <a:ext cx="76200" cy="5334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8</xdr:row>
      <xdr:rowOff>160020</xdr:rowOff>
    </xdr:from>
    <xdr:to>
      <xdr:col>9</xdr:col>
      <xdr:colOff>106680</xdr:colOff>
      <xdr:row>10</xdr:row>
      <xdr:rowOff>83820</xdr:rowOff>
    </xdr:to>
    <xdr:cxnSp>
      <xdr:nvCxnSpPr>
        <xdr:cNvPr id="66696" name="Line 274"/>
        <xdr:cNvCxnSpPr/>
      </xdr:nvCxnSpPr>
      <xdr:spPr>
        <a:xfrm>
          <a:off x="2215515" y="2594610"/>
          <a:ext cx="537210" cy="41910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9</xdr:row>
      <xdr:rowOff>106680</xdr:rowOff>
    </xdr:from>
    <xdr:to>
      <xdr:col>8</xdr:col>
      <xdr:colOff>121920</xdr:colOff>
      <xdr:row>10</xdr:row>
      <xdr:rowOff>76200</xdr:rowOff>
    </xdr:to>
    <xdr:cxnSp>
      <xdr:nvCxnSpPr>
        <xdr:cNvPr id="66697" name="Line 275"/>
        <xdr:cNvCxnSpPr/>
      </xdr:nvCxnSpPr>
      <xdr:spPr>
        <a:xfrm>
          <a:off x="2215515" y="2788920"/>
          <a:ext cx="276225" cy="21717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10</xdr:row>
      <xdr:rowOff>22860</xdr:rowOff>
    </xdr:from>
    <xdr:to>
      <xdr:col>7</xdr:col>
      <xdr:colOff>213360</xdr:colOff>
      <xdr:row>10</xdr:row>
      <xdr:rowOff>83820</xdr:rowOff>
    </xdr:to>
    <xdr:cxnSp>
      <xdr:nvCxnSpPr>
        <xdr:cNvPr id="66698" name="Line 276"/>
        <xdr:cNvCxnSpPr/>
      </xdr:nvCxnSpPr>
      <xdr:spPr>
        <a:xfrm>
          <a:off x="2215515" y="2952750"/>
          <a:ext cx="91440" cy="6096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228600</xdr:rowOff>
    </xdr:from>
    <xdr:to>
      <xdr:col>9</xdr:col>
      <xdr:colOff>198120</xdr:colOff>
      <xdr:row>9</xdr:row>
      <xdr:rowOff>213360</xdr:rowOff>
    </xdr:to>
    <xdr:cxnSp>
      <xdr:nvCxnSpPr>
        <xdr:cNvPr id="66699" name="Line 277"/>
        <xdr:cNvCxnSpPr/>
      </xdr:nvCxnSpPr>
      <xdr:spPr>
        <a:xfrm>
          <a:off x="2245995" y="2415540"/>
          <a:ext cx="598170" cy="48006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175260</xdr:rowOff>
    </xdr:from>
    <xdr:to>
      <xdr:col>8</xdr:col>
      <xdr:colOff>182880</xdr:colOff>
      <xdr:row>8</xdr:row>
      <xdr:rowOff>30480</xdr:rowOff>
    </xdr:to>
    <xdr:cxnSp>
      <xdr:nvCxnSpPr>
        <xdr:cNvPr id="66700" name="Line 278"/>
        <xdr:cNvCxnSpPr/>
      </xdr:nvCxnSpPr>
      <xdr:spPr>
        <a:xfrm>
          <a:off x="2400300" y="2362200"/>
          <a:ext cx="152400" cy="10287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7</xdr:row>
      <xdr:rowOff>228600</xdr:rowOff>
    </xdr:from>
    <xdr:to>
      <xdr:col>9</xdr:col>
      <xdr:colOff>144780</xdr:colOff>
      <xdr:row>8</xdr:row>
      <xdr:rowOff>38100</xdr:rowOff>
    </xdr:to>
    <xdr:cxnSp>
      <xdr:nvCxnSpPr>
        <xdr:cNvPr id="66701" name="Line 279"/>
        <xdr:cNvCxnSpPr/>
      </xdr:nvCxnSpPr>
      <xdr:spPr>
        <a:xfrm>
          <a:off x="2722245" y="2415540"/>
          <a:ext cx="68580" cy="5715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9</xdr:row>
      <xdr:rowOff>45720</xdr:rowOff>
    </xdr:from>
    <xdr:to>
      <xdr:col>2</xdr:col>
      <xdr:colOff>312420</xdr:colOff>
      <xdr:row>10</xdr:row>
      <xdr:rowOff>83820</xdr:rowOff>
    </xdr:to>
    <xdr:cxnSp>
      <xdr:nvCxnSpPr>
        <xdr:cNvPr id="66702" name="Line 280"/>
        <xdr:cNvCxnSpPr/>
      </xdr:nvCxnSpPr>
      <xdr:spPr>
        <a:xfrm>
          <a:off x="438150" y="2727960"/>
          <a:ext cx="377190" cy="28575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160020</xdr:colOff>
      <xdr:row>9</xdr:row>
      <xdr:rowOff>220980</xdr:rowOff>
    </xdr:from>
    <xdr:to>
      <xdr:col>2</xdr:col>
      <xdr:colOff>38100</xdr:colOff>
      <xdr:row>10</xdr:row>
      <xdr:rowOff>83820</xdr:rowOff>
    </xdr:to>
    <xdr:cxnSp>
      <xdr:nvCxnSpPr>
        <xdr:cNvPr id="66703" name="Line 281"/>
        <xdr:cNvCxnSpPr/>
      </xdr:nvCxnSpPr>
      <xdr:spPr>
        <a:xfrm>
          <a:off x="415290" y="2903220"/>
          <a:ext cx="125730" cy="11049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8</xdr:row>
      <xdr:rowOff>45720</xdr:rowOff>
    </xdr:from>
    <xdr:to>
      <xdr:col>2</xdr:col>
      <xdr:colOff>0</xdr:colOff>
      <xdr:row>8</xdr:row>
      <xdr:rowOff>160020</xdr:rowOff>
    </xdr:to>
    <xdr:cxnSp>
      <xdr:nvCxnSpPr>
        <xdr:cNvPr id="66704" name="Line 282"/>
        <xdr:cNvCxnSpPr/>
      </xdr:nvCxnSpPr>
      <xdr:spPr>
        <a:xfrm>
          <a:off x="369570" y="2480310"/>
          <a:ext cx="133350" cy="11430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7</xdr:row>
      <xdr:rowOff>175260</xdr:rowOff>
    </xdr:from>
    <xdr:to>
      <xdr:col>2</xdr:col>
      <xdr:colOff>83820</xdr:colOff>
      <xdr:row>8</xdr:row>
      <xdr:rowOff>0</xdr:rowOff>
    </xdr:to>
    <xdr:cxnSp>
      <xdr:nvCxnSpPr>
        <xdr:cNvPr id="66705" name="Line 283"/>
        <xdr:cNvCxnSpPr/>
      </xdr:nvCxnSpPr>
      <xdr:spPr>
        <a:xfrm>
          <a:off x="514350" y="2362200"/>
          <a:ext cx="72390" cy="7239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7</xdr:row>
      <xdr:rowOff>175260</xdr:rowOff>
    </xdr:from>
    <xdr:to>
      <xdr:col>2</xdr:col>
      <xdr:colOff>365760</xdr:colOff>
      <xdr:row>8</xdr:row>
      <xdr:rowOff>0</xdr:rowOff>
    </xdr:to>
    <xdr:cxnSp>
      <xdr:nvCxnSpPr>
        <xdr:cNvPr id="66706" name="Line 284"/>
        <xdr:cNvCxnSpPr/>
      </xdr:nvCxnSpPr>
      <xdr:spPr>
        <a:xfrm>
          <a:off x="762000" y="2362200"/>
          <a:ext cx="106680" cy="7239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9</xdr:row>
      <xdr:rowOff>0</xdr:rowOff>
    </xdr:from>
    <xdr:to>
      <xdr:col>3</xdr:col>
      <xdr:colOff>190500</xdr:colOff>
      <xdr:row>10</xdr:row>
      <xdr:rowOff>60960</xdr:rowOff>
    </xdr:to>
    <xdr:cxnSp>
      <xdr:nvCxnSpPr>
        <xdr:cNvPr id="66707" name="Line 285"/>
        <xdr:cNvCxnSpPr/>
      </xdr:nvCxnSpPr>
      <xdr:spPr>
        <a:xfrm>
          <a:off x="624840" y="2682240"/>
          <a:ext cx="411480" cy="30861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198120</xdr:rowOff>
    </xdr:from>
    <xdr:to>
      <xdr:col>3</xdr:col>
      <xdr:colOff>182880</xdr:colOff>
      <xdr:row>9</xdr:row>
      <xdr:rowOff>76200</xdr:rowOff>
    </xdr:to>
    <xdr:cxnSp>
      <xdr:nvCxnSpPr>
        <xdr:cNvPr id="66708" name="Line 286"/>
        <xdr:cNvCxnSpPr/>
      </xdr:nvCxnSpPr>
      <xdr:spPr>
        <a:xfrm>
          <a:off x="845820" y="2632710"/>
          <a:ext cx="182880" cy="12573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8</xdr:row>
      <xdr:rowOff>76200</xdr:rowOff>
    </xdr:from>
    <xdr:to>
      <xdr:col>3</xdr:col>
      <xdr:colOff>182880</xdr:colOff>
      <xdr:row>8</xdr:row>
      <xdr:rowOff>137160</xdr:rowOff>
    </xdr:to>
    <xdr:cxnSp>
      <xdr:nvCxnSpPr>
        <xdr:cNvPr id="66709" name="Line 287"/>
        <xdr:cNvCxnSpPr/>
      </xdr:nvCxnSpPr>
      <xdr:spPr>
        <a:xfrm>
          <a:off x="952500" y="2510790"/>
          <a:ext cx="76200" cy="6096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9</xdr:row>
      <xdr:rowOff>60960</xdr:rowOff>
    </xdr:from>
    <xdr:to>
      <xdr:col>15</xdr:col>
      <xdr:colOff>106680</xdr:colOff>
      <xdr:row>9</xdr:row>
      <xdr:rowOff>228600</xdr:rowOff>
    </xdr:to>
    <xdr:cxnSp>
      <xdr:nvCxnSpPr>
        <xdr:cNvPr id="66710" name="Line 288"/>
        <xdr:cNvCxnSpPr/>
      </xdr:nvCxnSpPr>
      <xdr:spPr>
        <a:xfrm flipH="1">
          <a:off x="4255770" y="2743200"/>
          <a:ext cx="192405" cy="16764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9</xdr:row>
      <xdr:rowOff>68580</xdr:rowOff>
    </xdr:from>
    <xdr:to>
      <xdr:col>16</xdr:col>
      <xdr:colOff>76200</xdr:colOff>
      <xdr:row>10</xdr:row>
      <xdr:rowOff>76200</xdr:rowOff>
    </xdr:to>
    <xdr:cxnSp>
      <xdr:nvCxnSpPr>
        <xdr:cNvPr id="66711" name="Line 289"/>
        <xdr:cNvCxnSpPr/>
      </xdr:nvCxnSpPr>
      <xdr:spPr>
        <a:xfrm flipH="1">
          <a:off x="4379595" y="2750820"/>
          <a:ext cx="314325" cy="25527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9</xdr:row>
      <xdr:rowOff>45720</xdr:rowOff>
    </xdr:from>
    <xdr:to>
      <xdr:col>16</xdr:col>
      <xdr:colOff>388620</xdr:colOff>
      <xdr:row>10</xdr:row>
      <xdr:rowOff>60960</xdr:rowOff>
    </xdr:to>
    <xdr:cxnSp>
      <xdr:nvCxnSpPr>
        <xdr:cNvPr id="66712" name="Line 291"/>
        <xdr:cNvCxnSpPr/>
      </xdr:nvCxnSpPr>
      <xdr:spPr>
        <a:xfrm flipH="1">
          <a:off x="4655820" y="2727960"/>
          <a:ext cx="350520" cy="26289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335280</xdr:colOff>
      <xdr:row>9</xdr:row>
      <xdr:rowOff>60960</xdr:rowOff>
    </xdr:from>
    <xdr:to>
      <xdr:col>17</xdr:col>
      <xdr:colOff>236220</xdr:colOff>
      <xdr:row>10</xdr:row>
      <xdr:rowOff>68580</xdr:rowOff>
    </xdr:to>
    <xdr:cxnSp>
      <xdr:nvCxnSpPr>
        <xdr:cNvPr id="66713" name="Line 292"/>
        <xdr:cNvCxnSpPr/>
      </xdr:nvCxnSpPr>
      <xdr:spPr>
        <a:xfrm flipH="1">
          <a:off x="4953000" y="2743200"/>
          <a:ext cx="320040" cy="25527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213360</xdr:colOff>
      <xdr:row>9</xdr:row>
      <xdr:rowOff>160020</xdr:rowOff>
    </xdr:from>
    <xdr:to>
      <xdr:col>18</xdr:col>
      <xdr:colOff>106680</xdr:colOff>
      <xdr:row>10</xdr:row>
      <xdr:rowOff>68580</xdr:rowOff>
    </xdr:to>
    <xdr:cxnSp>
      <xdr:nvCxnSpPr>
        <xdr:cNvPr id="66714" name="Line 293"/>
        <xdr:cNvCxnSpPr/>
      </xdr:nvCxnSpPr>
      <xdr:spPr>
        <a:xfrm flipH="1">
          <a:off x="5250180" y="2842260"/>
          <a:ext cx="169545" cy="15621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9</xdr:row>
      <xdr:rowOff>30480</xdr:rowOff>
    </xdr:from>
    <xdr:to>
      <xdr:col>4</xdr:col>
      <xdr:colOff>99060</xdr:colOff>
      <xdr:row>9</xdr:row>
      <xdr:rowOff>182880</xdr:rowOff>
    </xdr:to>
    <xdr:cxnSp>
      <xdr:nvCxnSpPr>
        <xdr:cNvPr id="66715" name="Line 295"/>
        <xdr:cNvCxnSpPr/>
      </xdr:nvCxnSpPr>
      <xdr:spPr>
        <a:xfrm flipH="1">
          <a:off x="1059180" y="2712720"/>
          <a:ext cx="161925" cy="15240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9</xdr:row>
      <xdr:rowOff>38100</xdr:rowOff>
    </xdr:from>
    <xdr:to>
      <xdr:col>5</xdr:col>
      <xdr:colOff>38100</xdr:colOff>
      <xdr:row>10</xdr:row>
      <xdr:rowOff>0</xdr:rowOff>
    </xdr:to>
    <xdr:cxnSp>
      <xdr:nvCxnSpPr>
        <xdr:cNvPr id="66716" name="Line 296"/>
        <xdr:cNvCxnSpPr/>
      </xdr:nvCxnSpPr>
      <xdr:spPr>
        <a:xfrm flipH="1">
          <a:off x="1205865" y="2720340"/>
          <a:ext cx="230505" cy="20955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9</xdr:row>
      <xdr:rowOff>30480</xdr:rowOff>
    </xdr:from>
    <xdr:to>
      <xdr:col>6</xdr:col>
      <xdr:colOff>121920</xdr:colOff>
      <xdr:row>9</xdr:row>
      <xdr:rowOff>236220</xdr:rowOff>
    </xdr:to>
    <xdr:cxnSp>
      <xdr:nvCxnSpPr>
        <xdr:cNvPr id="66717" name="Line 297"/>
        <xdr:cNvCxnSpPr/>
      </xdr:nvCxnSpPr>
      <xdr:spPr>
        <a:xfrm flipH="1">
          <a:off x="1703070" y="2712720"/>
          <a:ext cx="236220" cy="20574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30480</xdr:rowOff>
    </xdr:from>
    <xdr:to>
      <xdr:col>5</xdr:col>
      <xdr:colOff>304800</xdr:colOff>
      <xdr:row>9</xdr:row>
      <xdr:rowOff>236220</xdr:rowOff>
    </xdr:to>
    <xdr:cxnSp>
      <xdr:nvCxnSpPr>
        <xdr:cNvPr id="66718" name="Line 299"/>
        <xdr:cNvCxnSpPr/>
      </xdr:nvCxnSpPr>
      <xdr:spPr>
        <a:xfrm flipH="1">
          <a:off x="1436370" y="2712720"/>
          <a:ext cx="266700" cy="20574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9</xdr:row>
      <xdr:rowOff>30480</xdr:rowOff>
    </xdr:from>
    <xdr:to>
      <xdr:col>7</xdr:col>
      <xdr:colOff>68580</xdr:colOff>
      <xdr:row>9</xdr:row>
      <xdr:rowOff>236220</xdr:rowOff>
    </xdr:to>
    <xdr:cxnSp>
      <xdr:nvCxnSpPr>
        <xdr:cNvPr id="66719" name="Line 300"/>
        <xdr:cNvCxnSpPr/>
      </xdr:nvCxnSpPr>
      <xdr:spPr>
        <a:xfrm flipH="1">
          <a:off x="1931670" y="2712720"/>
          <a:ext cx="230505" cy="20574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9</xdr:row>
      <xdr:rowOff>182880</xdr:rowOff>
    </xdr:from>
    <xdr:to>
      <xdr:col>7</xdr:col>
      <xdr:colOff>121920</xdr:colOff>
      <xdr:row>10</xdr:row>
      <xdr:rowOff>0</xdr:rowOff>
    </xdr:to>
    <xdr:cxnSp>
      <xdr:nvCxnSpPr>
        <xdr:cNvPr id="66720" name="Line 301"/>
        <xdr:cNvCxnSpPr/>
      </xdr:nvCxnSpPr>
      <xdr:spPr>
        <a:xfrm flipH="1">
          <a:off x="2131695" y="2865120"/>
          <a:ext cx="83820" cy="64770"/>
        </a:xfrm>
        <a:prstGeom prst="line"/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10</xdr:row>
      <xdr:rowOff>99060</xdr:rowOff>
    </xdr:from>
    <xdr:to>
      <xdr:col>13</xdr:col>
      <xdr:colOff>121920</xdr:colOff>
      <xdr:row>11</xdr:row>
      <xdr:rowOff>83820</xdr:rowOff>
    </xdr:to>
    <xdr:cxnSp>
      <xdr:nvCxnSpPr>
        <xdr:cNvPr id="66721" name="Line 302"/>
        <xdr:cNvCxnSpPr/>
      </xdr:nvCxnSpPr>
      <xdr:spPr>
        <a:xfrm flipH="1">
          <a:off x="3512820" y="3028950"/>
          <a:ext cx="331470" cy="2324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10</xdr:row>
      <xdr:rowOff>83820</xdr:rowOff>
    </xdr:from>
    <xdr:to>
      <xdr:col>14</xdr:col>
      <xdr:colOff>38100</xdr:colOff>
      <xdr:row>11</xdr:row>
      <xdr:rowOff>182880</xdr:rowOff>
    </xdr:to>
    <xdr:cxnSp>
      <xdr:nvCxnSpPr>
        <xdr:cNvPr id="66722" name="Line 303"/>
        <xdr:cNvCxnSpPr/>
      </xdr:nvCxnSpPr>
      <xdr:spPr>
        <a:xfrm flipH="1">
          <a:off x="3657600" y="3013710"/>
          <a:ext cx="44577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10</xdr:row>
      <xdr:rowOff>99060</xdr:rowOff>
    </xdr:from>
    <xdr:to>
      <xdr:col>15</xdr:col>
      <xdr:colOff>259080</xdr:colOff>
      <xdr:row>11</xdr:row>
      <xdr:rowOff>190500</xdr:rowOff>
    </xdr:to>
    <xdr:cxnSp>
      <xdr:nvCxnSpPr>
        <xdr:cNvPr id="66723" name="Line 304"/>
        <xdr:cNvCxnSpPr/>
      </xdr:nvCxnSpPr>
      <xdr:spPr>
        <a:xfrm flipH="1">
          <a:off x="4133850" y="3028950"/>
          <a:ext cx="466725" cy="3390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10</xdr:row>
      <xdr:rowOff>83820</xdr:rowOff>
    </xdr:from>
    <xdr:to>
      <xdr:col>14</xdr:col>
      <xdr:colOff>304800</xdr:colOff>
      <xdr:row>11</xdr:row>
      <xdr:rowOff>182880</xdr:rowOff>
    </xdr:to>
    <xdr:cxnSp>
      <xdr:nvCxnSpPr>
        <xdr:cNvPr id="66724" name="Line 305"/>
        <xdr:cNvCxnSpPr/>
      </xdr:nvCxnSpPr>
      <xdr:spPr>
        <a:xfrm flipH="1">
          <a:off x="3897630" y="3013710"/>
          <a:ext cx="47244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10</xdr:row>
      <xdr:rowOff>83820</xdr:rowOff>
    </xdr:from>
    <xdr:to>
      <xdr:col>12</xdr:col>
      <xdr:colOff>152400</xdr:colOff>
      <xdr:row>10</xdr:row>
      <xdr:rowOff>182880</xdr:rowOff>
    </xdr:to>
    <xdr:cxnSp>
      <xdr:nvCxnSpPr>
        <xdr:cNvPr id="66725" name="Line 306"/>
        <xdr:cNvCxnSpPr/>
      </xdr:nvCxnSpPr>
      <xdr:spPr>
        <a:xfrm flipH="1">
          <a:off x="3503295" y="3013710"/>
          <a:ext cx="123825" cy="990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10</xdr:row>
      <xdr:rowOff>198120</xdr:rowOff>
    </xdr:from>
    <xdr:to>
      <xdr:col>16</xdr:col>
      <xdr:colOff>99060</xdr:colOff>
      <xdr:row>11</xdr:row>
      <xdr:rowOff>220980</xdr:rowOff>
    </xdr:to>
    <xdr:cxnSp>
      <xdr:nvCxnSpPr>
        <xdr:cNvPr id="66726" name="Line 307"/>
        <xdr:cNvCxnSpPr/>
      </xdr:nvCxnSpPr>
      <xdr:spPr>
        <a:xfrm flipH="1">
          <a:off x="4371975" y="3128010"/>
          <a:ext cx="344805" cy="2705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11</xdr:row>
      <xdr:rowOff>152400</xdr:rowOff>
    </xdr:from>
    <xdr:to>
      <xdr:col>16</xdr:col>
      <xdr:colOff>76200</xdr:colOff>
      <xdr:row>11</xdr:row>
      <xdr:rowOff>220980</xdr:rowOff>
    </xdr:to>
    <xdr:cxnSp>
      <xdr:nvCxnSpPr>
        <xdr:cNvPr id="66727" name="Line 308"/>
        <xdr:cNvCxnSpPr/>
      </xdr:nvCxnSpPr>
      <xdr:spPr>
        <a:xfrm flipH="1">
          <a:off x="4638675" y="3329940"/>
          <a:ext cx="55245" cy="685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83820</xdr:rowOff>
    </xdr:from>
    <xdr:to>
      <xdr:col>17</xdr:col>
      <xdr:colOff>99060</xdr:colOff>
      <xdr:row>10</xdr:row>
      <xdr:rowOff>220980</xdr:rowOff>
    </xdr:to>
    <xdr:cxnSp>
      <xdr:nvCxnSpPr>
        <xdr:cNvPr id="66728" name="Line 309"/>
        <xdr:cNvCxnSpPr/>
      </xdr:nvCxnSpPr>
      <xdr:spPr>
        <a:xfrm flipH="1">
          <a:off x="4960620" y="3013710"/>
          <a:ext cx="175260" cy="1371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99060</xdr:rowOff>
    </xdr:from>
    <xdr:to>
      <xdr:col>18</xdr:col>
      <xdr:colOff>60960</xdr:colOff>
      <xdr:row>11</xdr:row>
      <xdr:rowOff>175260</xdr:rowOff>
    </xdr:to>
    <xdr:cxnSp>
      <xdr:nvCxnSpPr>
        <xdr:cNvPr id="66729" name="Line 310"/>
        <xdr:cNvCxnSpPr/>
      </xdr:nvCxnSpPr>
      <xdr:spPr>
        <a:xfrm flipH="1">
          <a:off x="4960620" y="3028950"/>
          <a:ext cx="413385" cy="3238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160020</xdr:colOff>
      <xdr:row>10</xdr:row>
      <xdr:rowOff>99060</xdr:rowOff>
    </xdr:from>
    <xdr:to>
      <xdr:col>19</xdr:col>
      <xdr:colOff>38100</xdr:colOff>
      <xdr:row>11</xdr:row>
      <xdr:rowOff>190500</xdr:rowOff>
    </xdr:to>
    <xdr:cxnSp>
      <xdr:nvCxnSpPr>
        <xdr:cNvPr id="66730" name="Line 311"/>
        <xdr:cNvCxnSpPr/>
      </xdr:nvCxnSpPr>
      <xdr:spPr>
        <a:xfrm flipH="1">
          <a:off x="5196840" y="3028950"/>
          <a:ext cx="430530" cy="3390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137160</xdr:colOff>
      <xdr:row>10</xdr:row>
      <xdr:rowOff>83820</xdr:rowOff>
    </xdr:from>
    <xdr:to>
      <xdr:col>20</xdr:col>
      <xdr:colOff>7620</xdr:colOff>
      <xdr:row>11</xdr:row>
      <xdr:rowOff>182880</xdr:rowOff>
    </xdr:to>
    <xdr:cxnSp>
      <xdr:nvCxnSpPr>
        <xdr:cNvPr id="66731" name="Line 312"/>
        <xdr:cNvCxnSpPr/>
      </xdr:nvCxnSpPr>
      <xdr:spPr>
        <a:xfrm flipH="1">
          <a:off x="5450205" y="3013710"/>
          <a:ext cx="413385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10</xdr:row>
      <xdr:rowOff>114300</xdr:rowOff>
    </xdr:from>
    <xdr:to>
      <xdr:col>20</xdr:col>
      <xdr:colOff>266700</xdr:colOff>
      <xdr:row>11</xdr:row>
      <xdr:rowOff>213360</xdr:rowOff>
    </xdr:to>
    <xdr:cxnSp>
      <xdr:nvCxnSpPr>
        <xdr:cNvPr id="66732" name="Line 313"/>
        <xdr:cNvCxnSpPr/>
      </xdr:nvCxnSpPr>
      <xdr:spPr>
        <a:xfrm flipH="1">
          <a:off x="5665470" y="3044190"/>
          <a:ext cx="45720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121920</xdr:colOff>
      <xdr:row>11</xdr:row>
      <xdr:rowOff>76200</xdr:rowOff>
    </xdr:from>
    <xdr:to>
      <xdr:col>20</xdr:col>
      <xdr:colOff>281940</xdr:colOff>
      <xdr:row>11</xdr:row>
      <xdr:rowOff>190500</xdr:rowOff>
    </xdr:to>
    <xdr:cxnSp>
      <xdr:nvCxnSpPr>
        <xdr:cNvPr id="66733" name="Line 314"/>
        <xdr:cNvCxnSpPr/>
      </xdr:nvCxnSpPr>
      <xdr:spPr>
        <a:xfrm flipH="1">
          <a:off x="5977890" y="3253740"/>
          <a:ext cx="160020" cy="1143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10</xdr:row>
      <xdr:rowOff>83820</xdr:rowOff>
    </xdr:from>
    <xdr:to>
      <xdr:col>1</xdr:col>
      <xdr:colOff>228600</xdr:colOff>
      <xdr:row>10</xdr:row>
      <xdr:rowOff>236220</xdr:rowOff>
    </xdr:to>
    <xdr:cxnSp>
      <xdr:nvCxnSpPr>
        <xdr:cNvPr id="66734" name="Line 315"/>
        <xdr:cNvCxnSpPr/>
      </xdr:nvCxnSpPr>
      <xdr:spPr>
        <a:xfrm flipH="1">
          <a:off x="278130" y="3013710"/>
          <a:ext cx="205740" cy="1524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10</xdr:row>
      <xdr:rowOff>83820</xdr:rowOff>
    </xdr:from>
    <xdr:to>
      <xdr:col>2</xdr:col>
      <xdr:colOff>297180</xdr:colOff>
      <xdr:row>11</xdr:row>
      <xdr:rowOff>182880</xdr:rowOff>
    </xdr:to>
    <xdr:cxnSp>
      <xdr:nvCxnSpPr>
        <xdr:cNvPr id="66735" name="Line 316"/>
        <xdr:cNvCxnSpPr/>
      </xdr:nvCxnSpPr>
      <xdr:spPr>
        <a:xfrm flipH="1">
          <a:off x="369570" y="3013710"/>
          <a:ext cx="43053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10</xdr:row>
      <xdr:rowOff>83820</xdr:rowOff>
    </xdr:from>
    <xdr:to>
      <xdr:col>8</xdr:col>
      <xdr:colOff>213360</xdr:colOff>
      <xdr:row>11</xdr:row>
      <xdr:rowOff>182880</xdr:rowOff>
    </xdr:to>
    <xdr:cxnSp>
      <xdr:nvCxnSpPr>
        <xdr:cNvPr id="66736" name="Line 317"/>
        <xdr:cNvCxnSpPr/>
      </xdr:nvCxnSpPr>
      <xdr:spPr>
        <a:xfrm flipH="1">
          <a:off x="2162175" y="3013710"/>
          <a:ext cx="421005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213360</xdr:colOff>
      <xdr:row>10</xdr:row>
      <xdr:rowOff>83820</xdr:rowOff>
    </xdr:from>
    <xdr:to>
      <xdr:col>3</xdr:col>
      <xdr:colOff>297180</xdr:colOff>
      <xdr:row>11</xdr:row>
      <xdr:rowOff>182880</xdr:rowOff>
    </xdr:to>
    <xdr:cxnSp>
      <xdr:nvCxnSpPr>
        <xdr:cNvPr id="66737" name="Line 318"/>
        <xdr:cNvCxnSpPr/>
      </xdr:nvCxnSpPr>
      <xdr:spPr>
        <a:xfrm flipH="1">
          <a:off x="716280" y="3013710"/>
          <a:ext cx="42672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365760</xdr:colOff>
      <xdr:row>10</xdr:row>
      <xdr:rowOff>99060</xdr:rowOff>
    </xdr:from>
    <xdr:to>
      <xdr:col>6</xdr:col>
      <xdr:colOff>220980</xdr:colOff>
      <xdr:row>11</xdr:row>
      <xdr:rowOff>99060</xdr:rowOff>
    </xdr:to>
    <xdr:cxnSp>
      <xdr:nvCxnSpPr>
        <xdr:cNvPr id="66738" name="Line 319"/>
        <xdr:cNvCxnSpPr/>
      </xdr:nvCxnSpPr>
      <xdr:spPr>
        <a:xfrm flipH="1">
          <a:off x="1764030" y="3028950"/>
          <a:ext cx="274320" cy="2476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10</xdr:row>
      <xdr:rowOff>83820</xdr:rowOff>
    </xdr:from>
    <xdr:to>
      <xdr:col>5</xdr:col>
      <xdr:colOff>388620</xdr:colOff>
      <xdr:row>10</xdr:row>
      <xdr:rowOff>121920</xdr:rowOff>
    </xdr:to>
    <xdr:cxnSp>
      <xdr:nvCxnSpPr>
        <xdr:cNvPr id="66739" name="Line 320"/>
        <xdr:cNvCxnSpPr/>
      </xdr:nvCxnSpPr>
      <xdr:spPr>
        <a:xfrm flipH="1">
          <a:off x="1748790" y="3013710"/>
          <a:ext cx="38100" cy="381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</xdr:colOff>
      <xdr:row>10</xdr:row>
      <xdr:rowOff>83820</xdr:rowOff>
    </xdr:from>
    <xdr:to>
      <xdr:col>7</xdr:col>
      <xdr:colOff>228600</xdr:colOff>
      <xdr:row>11</xdr:row>
      <xdr:rowOff>182880</xdr:rowOff>
    </xdr:to>
    <xdr:cxnSp>
      <xdr:nvCxnSpPr>
        <xdr:cNvPr id="66740" name="Line 321"/>
        <xdr:cNvCxnSpPr/>
      </xdr:nvCxnSpPr>
      <xdr:spPr>
        <a:xfrm flipH="1">
          <a:off x="1901190" y="3013710"/>
          <a:ext cx="421005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213360</xdr:colOff>
      <xdr:row>11</xdr:row>
      <xdr:rowOff>38100</xdr:rowOff>
    </xdr:from>
    <xdr:to>
      <xdr:col>5</xdr:col>
      <xdr:colOff>114300</xdr:colOff>
      <xdr:row>11</xdr:row>
      <xdr:rowOff>198120</xdr:rowOff>
    </xdr:to>
    <xdr:cxnSp>
      <xdr:nvCxnSpPr>
        <xdr:cNvPr id="66741" name="Line 322"/>
        <xdr:cNvCxnSpPr/>
      </xdr:nvCxnSpPr>
      <xdr:spPr>
        <a:xfrm flipH="1">
          <a:off x="1335405" y="3215640"/>
          <a:ext cx="177165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83820</xdr:rowOff>
    </xdr:from>
    <xdr:to>
      <xdr:col>5</xdr:col>
      <xdr:colOff>22860</xdr:colOff>
      <xdr:row>11</xdr:row>
      <xdr:rowOff>182880</xdr:rowOff>
    </xdr:to>
    <xdr:cxnSp>
      <xdr:nvCxnSpPr>
        <xdr:cNvPr id="66742" name="Line 323"/>
        <xdr:cNvCxnSpPr/>
      </xdr:nvCxnSpPr>
      <xdr:spPr>
        <a:xfrm flipH="1">
          <a:off x="1036320" y="3013710"/>
          <a:ext cx="384810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10</xdr:row>
      <xdr:rowOff>83820</xdr:rowOff>
    </xdr:from>
    <xdr:to>
      <xdr:col>9</xdr:col>
      <xdr:colOff>220980</xdr:colOff>
      <xdr:row>11</xdr:row>
      <xdr:rowOff>182880</xdr:rowOff>
    </xdr:to>
    <xdr:cxnSp>
      <xdr:nvCxnSpPr>
        <xdr:cNvPr id="66743" name="Line 324"/>
        <xdr:cNvCxnSpPr/>
      </xdr:nvCxnSpPr>
      <xdr:spPr>
        <a:xfrm flipH="1">
          <a:off x="2446020" y="3013710"/>
          <a:ext cx="421005" cy="3467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11</xdr:row>
      <xdr:rowOff>38100</xdr:rowOff>
    </xdr:from>
    <xdr:to>
      <xdr:col>9</xdr:col>
      <xdr:colOff>281940</xdr:colOff>
      <xdr:row>11</xdr:row>
      <xdr:rowOff>198120</xdr:rowOff>
    </xdr:to>
    <xdr:cxnSp>
      <xdr:nvCxnSpPr>
        <xdr:cNvPr id="66744" name="Line 325"/>
        <xdr:cNvCxnSpPr/>
      </xdr:nvCxnSpPr>
      <xdr:spPr>
        <a:xfrm flipH="1">
          <a:off x="2722245" y="3215640"/>
          <a:ext cx="205740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22</xdr:row>
      <xdr:rowOff>45720</xdr:rowOff>
    </xdr:from>
    <xdr:to>
      <xdr:col>8</xdr:col>
      <xdr:colOff>304800</xdr:colOff>
      <xdr:row>23</xdr:row>
      <xdr:rowOff>106680</xdr:rowOff>
    </xdr:to>
    <xdr:cxnSp>
      <xdr:nvCxnSpPr>
        <xdr:cNvPr id="66745" name="Line 326"/>
        <xdr:cNvCxnSpPr/>
      </xdr:nvCxnSpPr>
      <xdr:spPr>
        <a:xfrm>
          <a:off x="2514600" y="5947410"/>
          <a:ext cx="160020" cy="3086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14</xdr:row>
      <xdr:rowOff>121920</xdr:rowOff>
    </xdr:from>
    <xdr:to>
      <xdr:col>15</xdr:col>
      <xdr:colOff>38100</xdr:colOff>
      <xdr:row>14</xdr:row>
      <xdr:rowOff>121920</xdr:rowOff>
    </xdr:to>
    <xdr:cxnSp>
      <xdr:nvCxnSpPr>
        <xdr:cNvPr id="66746" name="Line 327"/>
        <xdr:cNvCxnSpPr/>
      </xdr:nvCxnSpPr>
      <xdr:spPr>
        <a:xfrm flipH="1">
          <a:off x="4248150" y="4042410"/>
          <a:ext cx="13144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137160</xdr:rowOff>
    </xdr:from>
    <xdr:to>
      <xdr:col>18</xdr:col>
      <xdr:colOff>106680</xdr:colOff>
      <xdr:row>14</xdr:row>
      <xdr:rowOff>137160</xdr:rowOff>
    </xdr:to>
    <xdr:cxnSp>
      <xdr:nvCxnSpPr>
        <xdr:cNvPr id="66747" name="Line 328"/>
        <xdr:cNvCxnSpPr/>
      </xdr:nvCxnSpPr>
      <xdr:spPr>
        <a:xfrm>
          <a:off x="5036820" y="4057650"/>
          <a:ext cx="3829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14</xdr:row>
      <xdr:rowOff>121920</xdr:rowOff>
    </xdr:from>
    <xdr:to>
      <xdr:col>7</xdr:col>
      <xdr:colOff>121920</xdr:colOff>
      <xdr:row>14</xdr:row>
      <xdr:rowOff>121920</xdr:rowOff>
    </xdr:to>
    <xdr:cxnSp>
      <xdr:nvCxnSpPr>
        <xdr:cNvPr id="66748" name="Line 330"/>
        <xdr:cNvCxnSpPr/>
      </xdr:nvCxnSpPr>
      <xdr:spPr>
        <a:xfrm>
          <a:off x="1824990" y="4042410"/>
          <a:ext cx="39052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14</xdr:row>
      <xdr:rowOff>114300</xdr:rowOff>
    </xdr:from>
    <xdr:to>
      <xdr:col>4</xdr:col>
      <xdr:colOff>30480</xdr:colOff>
      <xdr:row>14</xdr:row>
      <xdr:rowOff>114300</xdr:rowOff>
    </xdr:to>
    <xdr:cxnSp>
      <xdr:nvCxnSpPr>
        <xdr:cNvPr id="66749" name="Line 331"/>
        <xdr:cNvCxnSpPr/>
      </xdr:nvCxnSpPr>
      <xdr:spPr>
        <a:xfrm flipV="1">
          <a:off x="1036320" y="4034790"/>
          <a:ext cx="1162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182880</xdr:rowOff>
    </xdr:from>
    <xdr:to>
      <xdr:col>20</xdr:col>
      <xdr:colOff>83820</xdr:colOff>
      <xdr:row>8</xdr:row>
      <xdr:rowOff>182880</xdr:rowOff>
    </xdr:to>
    <xdr:cxnSp>
      <xdr:nvCxnSpPr>
        <xdr:cNvPr id="66750" name="Line 337"/>
        <xdr:cNvCxnSpPr/>
      </xdr:nvCxnSpPr>
      <xdr:spPr>
        <a:xfrm>
          <a:off x="5427345" y="2617470"/>
          <a:ext cx="51244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182880</xdr:rowOff>
    </xdr:from>
    <xdr:to>
      <xdr:col>20</xdr:col>
      <xdr:colOff>0</xdr:colOff>
      <xdr:row>9</xdr:row>
      <xdr:rowOff>114300</xdr:rowOff>
    </xdr:to>
    <xdr:cxnSp>
      <xdr:nvCxnSpPr>
        <xdr:cNvPr id="66751" name="Line 339"/>
        <xdr:cNvCxnSpPr/>
      </xdr:nvCxnSpPr>
      <xdr:spPr>
        <a:xfrm>
          <a:off x="5855970" y="2617470"/>
          <a:ext cx="0" cy="1790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</xdr:row>
      <xdr:rowOff>7620</xdr:rowOff>
    </xdr:from>
    <xdr:to>
      <xdr:col>20</xdr:col>
      <xdr:colOff>0</xdr:colOff>
      <xdr:row>8</xdr:row>
      <xdr:rowOff>76200</xdr:rowOff>
    </xdr:to>
    <xdr:cxnSp>
      <xdr:nvCxnSpPr>
        <xdr:cNvPr id="66752" name="Line 340"/>
        <xdr:cNvCxnSpPr/>
      </xdr:nvCxnSpPr>
      <xdr:spPr>
        <a:xfrm flipH="1" flipV="1">
          <a:off x="5855970" y="2194560"/>
          <a:ext cx="0" cy="31623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</xdr:row>
      <xdr:rowOff>160020</xdr:rowOff>
    </xdr:from>
    <xdr:to>
      <xdr:col>20</xdr:col>
      <xdr:colOff>0</xdr:colOff>
      <xdr:row>8</xdr:row>
      <xdr:rowOff>175260</xdr:rowOff>
    </xdr:to>
    <xdr:cxnSp>
      <xdr:nvCxnSpPr>
        <xdr:cNvPr id="66753" name="Line 352"/>
        <xdr:cNvCxnSpPr/>
      </xdr:nvCxnSpPr>
      <xdr:spPr>
        <a:xfrm>
          <a:off x="5855970" y="2346960"/>
          <a:ext cx="0" cy="2628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</xdr:colOff>
      <xdr:row>20</xdr:row>
      <xdr:rowOff>160020</xdr:rowOff>
    </xdr:from>
    <xdr:to>
      <xdr:col>8</xdr:col>
      <xdr:colOff>83820</xdr:colOff>
      <xdr:row>21</xdr:row>
      <xdr:rowOff>236220</xdr:rowOff>
    </xdr:to>
    <xdr:cxnSp>
      <xdr:nvCxnSpPr>
        <xdr:cNvPr id="66754" name="Line 354"/>
        <xdr:cNvCxnSpPr/>
      </xdr:nvCxnSpPr>
      <xdr:spPr>
        <a:xfrm>
          <a:off x="2453640" y="5566410"/>
          <a:ext cx="0" cy="323850"/>
        </a:xfrm>
        <a:prstGeom prst="line"/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121920</xdr:colOff>
      <xdr:row>16</xdr:row>
      <xdr:rowOff>22860</xdr:rowOff>
    </xdr:from>
    <xdr:to>
      <xdr:col>11</xdr:col>
      <xdr:colOff>266700</xdr:colOff>
      <xdr:row>16</xdr:row>
      <xdr:rowOff>160020</xdr:rowOff>
    </xdr:to>
    <xdr:sp>
      <xdr:nvSpPr>
        <xdr:cNvPr id="66755" name="Rectangle 355"/>
        <xdr:cNvSpPr>
          <a:spLocks/>
        </xdr:cNvSpPr>
      </xdr:nvSpPr>
      <xdr:spPr>
        <a:xfrm>
          <a:off x="3320415" y="4438650"/>
          <a:ext cx="144780" cy="137160"/>
        </a:xfrm>
        <a:prstGeom prst="rect"/>
        <a:solidFill>
          <a:srgbClr val="FFFFFF"/>
        </a:solidFill>
        <a:ln w="0" cap="flat" cmpd="sng">
          <a:noFill/>
          <a:prstDash/>
        </a:ln>
      </xdr:spPr>
    </xdr:sp>
    <xdr:clientData/>
  </xdr:twoCellAnchor>
  <xdr:twoCellAnchor>
    <xdr:from>
      <xdr:col>3</xdr:col>
      <xdr:colOff>266700</xdr:colOff>
      <xdr:row>16</xdr:row>
      <xdr:rowOff>0</xdr:rowOff>
    </xdr:from>
    <xdr:to>
      <xdr:col>4</xdr:col>
      <xdr:colOff>114300</xdr:colOff>
      <xdr:row>16</xdr:row>
      <xdr:rowOff>144780</xdr:rowOff>
    </xdr:to>
    <xdr:sp>
      <xdr:nvSpPr>
        <xdr:cNvPr id="66756" name="Rectangle 356"/>
        <xdr:cNvSpPr>
          <a:spLocks/>
        </xdr:cNvSpPr>
      </xdr:nvSpPr>
      <xdr:spPr>
        <a:xfrm>
          <a:off x="1112520" y="4415790"/>
          <a:ext cx="123825" cy="144780"/>
        </a:xfrm>
        <a:prstGeom prst="rect"/>
        <a:solidFill>
          <a:srgbClr val="FFFFFF"/>
        </a:solidFill>
        <a:ln w="0" cap="flat" cmpd="sng">
          <a:noFill/>
          <a:prstDash/>
        </a:ln>
      </xdr:spPr>
    </xdr:sp>
    <xdr:clientData/>
  </xdr:twoCellAnchor>
  <xdr:twoCellAnchor>
    <xdr:from>
      <xdr:col>4</xdr:col>
      <xdr:colOff>251460</xdr:colOff>
      <xdr:row>15</xdr:row>
      <xdr:rowOff>160020</xdr:rowOff>
    </xdr:from>
    <xdr:to>
      <xdr:col>5</xdr:col>
      <xdr:colOff>38100</xdr:colOff>
      <xdr:row>16</xdr:row>
      <xdr:rowOff>22860</xdr:rowOff>
    </xdr:to>
    <xdr:cxnSp>
      <xdr:nvCxnSpPr>
        <xdr:cNvPr id="66757" name="Line 357"/>
        <xdr:cNvCxnSpPr/>
      </xdr:nvCxnSpPr>
      <xdr:spPr>
        <a:xfrm flipV="1">
          <a:off x="1373505" y="4328160"/>
          <a:ext cx="62865" cy="110490"/>
        </a:xfrm>
        <a:prstGeom prst="line"/>
        <a:noFill/>
        <a:ln w="76200" cap="flat" cmpd="sng">
          <a:solidFill>
            <a:srgbClr val="FFFFFF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9</xdr:row>
      <xdr:rowOff>152400</xdr:rowOff>
    </xdr:from>
    <xdr:to>
      <xdr:col>20</xdr:col>
      <xdr:colOff>190500</xdr:colOff>
      <xdr:row>9</xdr:row>
      <xdr:rowOff>236220</xdr:rowOff>
    </xdr:to>
    <xdr:cxnSp>
      <xdr:nvCxnSpPr>
        <xdr:cNvPr id="66758" name="Line 360"/>
        <xdr:cNvCxnSpPr/>
      </xdr:nvCxnSpPr>
      <xdr:spPr>
        <a:xfrm>
          <a:off x="5932170" y="2834640"/>
          <a:ext cx="114300" cy="8382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8</xdr:row>
      <xdr:rowOff>213360</xdr:rowOff>
    </xdr:from>
    <xdr:to>
      <xdr:col>20</xdr:col>
      <xdr:colOff>213360</xdr:colOff>
      <xdr:row>9</xdr:row>
      <xdr:rowOff>76200</xdr:rowOff>
    </xdr:to>
    <xdr:cxnSp>
      <xdr:nvCxnSpPr>
        <xdr:cNvPr id="66759" name="Line 361"/>
        <xdr:cNvCxnSpPr/>
      </xdr:nvCxnSpPr>
      <xdr:spPr>
        <a:xfrm>
          <a:off x="5916930" y="2647950"/>
          <a:ext cx="152400" cy="11049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68580</xdr:colOff>
      <xdr:row>8</xdr:row>
      <xdr:rowOff>45720</xdr:rowOff>
    </xdr:from>
    <xdr:to>
      <xdr:col>20</xdr:col>
      <xdr:colOff>152400</xdr:colOff>
      <xdr:row>8</xdr:row>
      <xdr:rowOff>106680</xdr:rowOff>
    </xdr:to>
    <xdr:cxnSp>
      <xdr:nvCxnSpPr>
        <xdr:cNvPr id="66760" name="Line 362"/>
        <xdr:cNvCxnSpPr/>
      </xdr:nvCxnSpPr>
      <xdr:spPr>
        <a:xfrm>
          <a:off x="5924550" y="2480310"/>
          <a:ext cx="83820" cy="6096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8</xdr:row>
      <xdr:rowOff>152400</xdr:rowOff>
    </xdr:from>
    <xdr:to>
      <xdr:col>9</xdr:col>
      <xdr:colOff>83820</xdr:colOff>
      <xdr:row>8</xdr:row>
      <xdr:rowOff>152400</xdr:rowOff>
    </xdr:to>
    <xdr:cxnSp>
      <xdr:nvCxnSpPr>
        <xdr:cNvPr id="66761" name="Line 363"/>
        <xdr:cNvCxnSpPr/>
      </xdr:nvCxnSpPr>
      <xdr:spPr>
        <a:xfrm>
          <a:off x="2215515" y="2586990"/>
          <a:ext cx="514350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137160</xdr:colOff>
      <xdr:row>8</xdr:row>
      <xdr:rowOff>60960</xdr:rowOff>
    </xdr:from>
    <xdr:to>
      <xdr:col>9</xdr:col>
      <xdr:colOff>68580</xdr:colOff>
      <xdr:row>8</xdr:row>
      <xdr:rowOff>60960</xdr:rowOff>
    </xdr:to>
    <xdr:cxnSp>
      <xdr:nvCxnSpPr>
        <xdr:cNvPr id="66762" name="Line 364"/>
        <xdr:cNvCxnSpPr/>
      </xdr:nvCxnSpPr>
      <xdr:spPr>
        <a:xfrm>
          <a:off x="2230755" y="2495550"/>
          <a:ext cx="483870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83820</xdr:rowOff>
    </xdr:from>
    <xdr:to>
      <xdr:col>20</xdr:col>
      <xdr:colOff>83820</xdr:colOff>
      <xdr:row>8</xdr:row>
      <xdr:rowOff>83820</xdr:rowOff>
    </xdr:to>
    <xdr:cxnSp>
      <xdr:nvCxnSpPr>
        <xdr:cNvPr id="66763" name="Line 369"/>
        <xdr:cNvCxnSpPr/>
      </xdr:nvCxnSpPr>
      <xdr:spPr>
        <a:xfrm>
          <a:off x="5427345" y="2518410"/>
          <a:ext cx="51244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0</xdr:colOff>
      <xdr:row>8</xdr:row>
      <xdr:rowOff>60960</xdr:rowOff>
    </xdr:to>
    <xdr:cxnSp>
      <xdr:nvCxnSpPr>
        <xdr:cNvPr id="66764" name="Line 370"/>
        <xdr:cNvCxnSpPr/>
      </xdr:nvCxnSpPr>
      <xdr:spPr>
        <a:xfrm>
          <a:off x="2646045" y="2186940"/>
          <a:ext cx="0" cy="3086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8</xdr:row>
      <xdr:rowOff>182880</xdr:rowOff>
    </xdr:from>
    <xdr:to>
      <xdr:col>9</xdr:col>
      <xdr:colOff>190500</xdr:colOff>
      <xdr:row>9</xdr:row>
      <xdr:rowOff>0</xdr:rowOff>
    </xdr:to>
    <xdr:cxnSp>
      <xdr:nvCxnSpPr>
        <xdr:cNvPr id="66765" name="Line 373"/>
        <xdr:cNvCxnSpPr/>
      </xdr:nvCxnSpPr>
      <xdr:spPr>
        <a:xfrm>
          <a:off x="2745105" y="2617470"/>
          <a:ext cx="91440" cy="64770"/>
        </a:xfrm>
        <a:prstGeom prst="line"/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60960</xdr:rowOff>
    </xdr:from>
    <xdr:to>
      <xdr:col>9</xdr:col>
      <xdr:colOff>0</xdr:colOff>
      <xdr:row>8</xdr:row>
      <xdr:rowOff>152400</xdr:rowOff>
    </xdr:to>
    <xdr:cxnSp>
      <xdr:nvCxnSpPr>
        <xdr:cNvPr id="66766" name="Line 375"/>
        <xdr:cNvCxnSpPr/>
      </xdr:nvCxnSpPr>
      <xdr:spPr>
        <a:xfrm>
          <a:off x="2646045" y="2495550"/>
          <a:ext cx="0" cy="914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152400</xdr:rowOff>
    </xdr:from>
    <xdr:to>
      <xdr:col>9</xdr:col>
      <xdr:colOff>0</xdr:colOff>
      <xdr:row>9</xdr:row>
      <xdr:rowOff>38100</xdr:rowOff>
    </xdr:to>
    <xdr:cxnSp>
      <xdr:nvCxnSpPr>
        <xdr:cNvPr id="66767" name="Line 376"/>
        <xdr:cNvCxnSpPr/>
      </xdr:nvCxnSpPr>
      <xdr:spPr>
        <a:xfrm>
          <a:off x="2646045" y="2586990"/>
          <a:ext cx="0" cy="1333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16</xdr:row>
      <xdr:rowOff>175260</xdr:rowOff>
    </xdr:from>
    <xdr:to>
      <xdr:col>13</xdr:col>
      <xdr:colOff>327660</xdr:colOff>
      <xdr:row>16</xdr:row>
      <xdr:rowOff>175260</xdr:rowOff>
    </xdr:to>
    <xdr:cxnSp>
      <xdr:nvCxnSpPr>
        <xdr:cNvPr id="66768" name="Line 377"/>
        <xdr:cNvCxnSpPr/>
      </xdr:nvCxnSpPr>
      <xdr:spPr>
        <a:xfrm>
          <a:off x="3465195" y="4591050"/>
          <a:ext cx="5848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198120</xdr:colOff>
      <xdr:row>16</xdr:row>
      <xdr:rowOff>175260</xdr:rowOff>
    </xdr:from>
    <xdr:to>
      <xdr:col>13</xdr:col>
      <xdr:colOff>198120</xdr:colOff>
      <xdr:row>17</xdr:row>
      <xdr:rowOff>175260</xdr:rowOff>
    </xdr:to>
    <xdr:cxnSp>
      <xdr:nvCxnSpPr>
        <xdr:cNvPr id="66769" name="Line 378"/>
        <xdr:cNvCxnSpPr/>
      </xdr:nvCxnSpPr>
      <xdr:spPr>
        <a:xfrm flipV="1">
          <a:off x="3920490" y="4591050"/>
          <a:ext cx="0" cy="2476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198120</xdr:colOff>
      <xdr:row>16</xdr:row>
      <xdr:rowOff>0</xdr:rowOff>
    </xdr:from>
    <xdr:to>
      <xdr:col>13</xdr:col>
      <xdr:colOff>198120</xdr:colOff>
      <xdr:row>16</xdr:row>
      <xdr:rowOff>175260</xdr:rowOff>
    </xdr:to>
    <xdr:cxnSp>
      <xdr:nvCxnSpPr>
        <xdr:cNvPr id="66770" name="Line 379"/>
        <xdr:cNvCxnSpPr/>
      </xdr:nvCxnSpPr>
      <xdr:spPr>
        <a:xfrm flipV="1">
          <a:off x="3920490" y="4415790"/>
          <a:ext cx="0" cy="1752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11</xdr:row>
      <xdr:rowOff>38100</xdr:rowOff>
    </xdr:from>
    <xdr:to>
      <xdr:col>16</xdr:col>
      <xdr:colOff>220980</xdr:colOff>
      <xdr:row>12</xdr:row>
      <xdr:rowOff>0</xdr:rowOff>
    </xdr:to>
    <xdr:cxnSp>
      <xdr:nvCxnSpPr>
        <xdr:cNvPr id="66771" name="Line 389"/>
        <xdr:cNvCxnSpPr/>
      </xdr:nvCxnSpPr>
      <xdr:spPr>
        <a:xfrm flipV="1">
          <a:off x="4838700" y="3215640"/>
          <a:ext cx="0" cy="209550"/>
        </a:xfrm>
        <a:prstGeom prst="line"/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1057275</xdr:colOff>
      <xdr:row>0</xdr:row>
      <xdr:rowOff>361950</xdr:rowOff>
    </xdr:from>
    <xdr:to>
      <xdr:col>29</xdr:col>
      <xdr:colOff>352425</xdr:colOff>
      <xdr:row>1</xdr:row>
      <xdr:rowOff>95250</xdr:rowOff>
    </xdr:to>
    <xdr:sp>
      <xdr:nvSpPr>
        <xdr:cNvPr id="37255" name="Rectangle 39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656320" y="348615"/>
          <a:ext cx="714375" cy="31432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0</xdr:colOff>
      <xdr:row>5</xdr:row>
      <xdr:rowOff>0</xdr:rowOff>
    </xdr:to>
    <xdr:sp>
      <xdr:nvSpPr>
        <xdr:cNvPr id="67585" name="Rectangle 7"/>
        <xdr:cNvSpPr>
          <a:spLocks/>
        </xdr:cNvSpPr>
      </xdr:nvSpPr>
      <xdr:spPr>
        <a:xfrm>
          <a:off x="340995" y="1196340"/>
          <a:ext cx="3048000" cy="352425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12</xdr:row>
      <xdr:rowOff>7620</xdr:rowOff>
    </xdr:from>
    <xdr:to>
      <xdr:col>8</xdr:col>
      <xdr:colOff>0</xdr:colOff>
      <xdr:row>13</xdr:row>
      <xdr:rowOff>0</xdr:rowOff>
    </xdr:to>
    <xdr:sp>
      <xdr:nvSpPr>
        <xdr:cNvPr id="67586" name="Rectangle 8"/>
        <xdr:cNvSpPr>
          <a:spLocks/>
        </xdr:cNvSpPr>
      </xdr:nvSpPr>
      <xdr:spPr>
        <a:xfrm>
          <a:off x="340995" y="2847975"/>
          <a:ext cx="3048000" cy="37338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13</xdr:row>
      <xdr:rowOff>7620</xdr:rowOff>
    </xdr:from>
    <xdr:to>
      <xdr:col>8</xdr:col>
      <xdr:colOff>0</xdr:colOff>
      <xdr:row>14</xdr:row>
      <xdr:rowOff>0</xdr:rowOff>
    </xdr:to>
    <xdr:sp>
      <xdr:nvSpPr>
        <xdr:cNvPr id="67587" name="Rectangle 9"/>
        <xdr:cNvSpPr>
          <a:spLocks/>
        </xdr:cNvSpPr>
      </xdr:nvSpPr>
      <xdr:spPr>
        <a:xfrm>
          <a:off x="340995" y="3228975"/>
          <a:ext cx="3048000" cy="43053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7</xdr:col>
      <xdr:colOff>0</xdr:colOff>
      <xdr:row>6</xdr:row>
      <xdr:rowOff>7620</xdr:rowOff>
    </xdr:to>
    <xdr:sp>
      <xdr:nvSpPr>
        <xdr:cNvPr id="67588" name="Rectangle 10"/>
        <xdr:cNvSpPr>
          <a:spLocks/>
        </xdr:cNvSpPr>
      </xdr:nvSpPr>
      <xdr:spPr>
        <a:xfrm>
          <a:off x="922020" y="1548765"/>
          <a:ext cx="1885950" cy="21336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6</xdr:row>
      <xdr:rowOff>7620</xdr:rowOff>
    </xdr:from>
    <xdr:to>
      <xdr:col>7</xdr:col>
      <xdr:colOff>0</xdr:colOff>
      <xdr:row>7</xdr:row>
      <xdr:rowOff>0</xdr:rowOff>
    </xdr:to>
    <xdr:sp>
      <xdr:nvSpPr>
        <xdr:cNvPr id="67589" name="Rectangle 11"/>
        <xdr:cNvSpPr>
          <a:spLocks/>
        </xdr:cNvSpPr>
      </xdr:nvSpPr>
      <xdr:spPr>
        <a:xfrm>
          <a:off x="922020" y="1762125"/>
          <a:ext cx="1885950" cy="19812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8</xdr:row>
      <xdr:rowOff>0</xdr:rowOff>
    </xdr:from>
    <xdr:to>
      <xdr:col>7</xdr:col>
      <xdr:colOff>0</xdr:colOff>
      <xdr:row>9</xdr:row>
      <xdr:rowOff>0</xdr:rowOff>
    </xdr:to>
    <xdr:sp>
      <xdr:nvSpPr>
        <xdr:cNvPr id="67590" name="Rectangle 12"/>
        <xdr:cNvSpPr>
          <a:spLocks/>
        </xdr:cNvSpPr>
      </xdr:nvSpPr>
      <xdr:spPr>
        <a:xfrm>
          <a:off x="922020" y="2165985"/>
          <a:ext cx="1885950" cy="20574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>
      <xdr:nvSpPr>
        <xdr:cNvPr id="67591" name="Rectangle 13"/>
        <xdr:cNvSpPr>
          <a:spLocks/>
        </xdr:cNvSpPr>
      </xdr:nvSpPr>
      <xdr:spPr>
        <a:xfrm>
          <a:off x="922020" y="2428875"/>
          <a:ext cx="1885950" cy="20574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>
      <xdr:nvSpPr>
        <xdr:cNvPr id="67592" name="Rectangle 14"/>
        <xdr:cNvSpPr>
          <a:spLocks/>
        </xdr:cNvSpPr>
      </xdr:nvSpPr>
      <xdr:spPr>
        <a:xfrm>
          <a:off x="922020" y="2634615"/>
          <a:ext cx="1885950" cy="20574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160020</xdr:colOff>
      <xdr:row>7</xdr:row>
      <xdr:rowOff>0</xdr:rowOff>
    </xdr:from>
    <xdr:to>
      <xdr:col>2</xdr:col>
      <xdr:colOff>289560</xdr:colOff>
      <xdr:row>8</xdr:row>
      <xdr:rowOff>0</xdr:rowOff>
    </xdr:to>
    <xdr:sp>
      <xdr:nvSpPr>
        <xdr:cNvPr id="67593" name="Rectangle 15"/>
        <xdr:cNvSpPr>
          <a:spLocks/>
        </xdr:cNvSpPr>
      </xdr:nvSpPr>
      <xdr:spPr>
        <a:xfrm>
          <a:off x="1082040" y="1960245"/>
          <a:ext cx="129540" cy="20574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7</xdr:row>
      <xdr:rowOff>0</xdr:rowOff>
    </xdr:from>
    <xdr:to>
      <xdr:col>6</xdr:col>
      <xdr:colOff>213360</xdr:colOff>
      <xdr:row>8</xdr:row>
      <xdr:rowOff>0</xdr:rowOff>
    </xdr:to>
    <xdr:sp>
      <xdr:nvSpPr>
        <xdr:cNvPr id="67594" name="Rectangle 17"/>
        <xdr:cNvSpPr>
          <a:spLocks/>
        </xdr:cNvSpPr>
      </xdr:nvSpPr>
      <xdr:spPr>
        <a:xfrm>
          <a:off x="2529840" y="1960245"/>
          <a:ext cx="129540" cy="20574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182880</xdr:colOff>
      <xdr:row>5</xdr:row>
      <xdr:rowOff>0</xdr:rowOff>
    </xdr:from>
    <xdr:to>
      <xdr:col>1</xdr:col>
      <xdr:colOff>419100</xdr:colOff>
      <xdr:row>12</xdr:row>
      <xdr:rowOff>7620</xdr:rowOff>
    </xdr:to>
    <xdr:sp>
      <xdr:nvSpPr>
        <xdr:cNvPr id="67595" name="Rectangle 18"/>
        <xdr:cNvSpPr>
          <a:spLocks/>
        </xdr:cNvSpPr>
      </xdr:nvSpPr>
      <xdr:spPr>
        <a:xfrm>
          <a:off x="523875" y="1548765"/>
          <a:ext cx="236220" cy="129921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236220</xdr:colOff>
      <xdr:row>5</xdr:row>
      <xdr:rowOff>0</xdr:rowOff>
    </xdr:from>
    <xdr:to>
      <xdr:col>7</xdr:col>
      <xdr:colOff>480060</xdr:colOff>
      <xdr:row>12</xdr:row>
      <xdr:rowOff>7620</xdr:rowOff>
    </xdr:to>
    <xdr:sp>
      <xdr:nvSpPr>
        <xdr:cNvPr id="67596" name="Rectangle 19"/>
        <xdr:cNvSpPr>
          <a:spLocks/>
        </xdr:cNvSpPr>
      </xdr:nvSpPr>
      <xdr:spPr>
        <a:xfrm>
          <a:off x="3044190" y="1548765"/>
          <a:ext cx="243840" cy="129921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15</xdr:row>
      <xdr:rowOff>7620</xdr:rowOff>
    </xdr:from>
    <xdr:to>
      <xdr:col>8</xdr:col>
      <xdr:colOff>0</xdr:colOff>
      <xdr:row>23</xdr:row>
      <xdr:rowOff>198120</xdr:rowOff>
    </xdr:to>
    <xdr:sp>
      <xdr:nvSpPr>
        <xdr:cNvPr id="67597" name="Rectangle 20"/>
        <xdr:cNvSpPr>
          <a:spLocks/>
        </xdr:cNvSpPr>
      </xdr:nvSpPr>
      <xdr:spPr>
        <a:xfrm>
          <a:off x="340995" y="3872865"/>
          <a:ext cx="3048000" cy="184023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7620</xdr:colOff>
      <xdr:row>16</xdr:row>
      <xdr:rowOff>106680</xdr:rowOff>
    </xdr:from>
    <xdr:to>
      <xdr:col>7</xdr:col>
      <xdr:colOff>7620</xdr:colOff>
      <xdr:row>22</xdr:row>
      <xdr:rowOff>114300</xdr:rowOff>
    </xdr:to>
    <xdr:sp>
      <xdr:nvSpPr>
        <xdr:cNvPr id="67598" name="Rectangle 21"/>
        <xdr:cNvSpPr>
          <a:spLocks/>
        </xdr:cNvSpPr>
      </xdr:nvSpPr>
      <xdr:spPr>
        <a:xfrm>
          <a:off x="929640" y="4177665"/>
          <a:ext cx="1885950" cy="124587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dash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251460</xdr:colOff>
      <xdr:row>15</xdr:row>
      <xdr:rowOff>106680</xdr:rowOff>
    </xdr:from>
    <xdr:to>
      <xdr:col>7</xdr:col>
      <xdr:colOff>480060</xdr:colOff>
      <xdr:row>16</xdr:row>
      <xdr:rowOff>121920</xdr:rowOff>
    </xdr:to>
    <xdr:sp>
      <xdr:nvSpPr>
        <xdr:cNvPr id="67599" name="Oval 22"/>
        <xdr:cNvSpPr>
          <a:spLocks/>
        </xdr:cNvSpPr>
      </xdr:nvSpPr>
      <xdr:spPr>
        <a:xfrm>
          <a:off x="3059430" y="3971925"/>
          <a:ext cx="22860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251460</xdr:colOff>
      <xdr:row>22</xdr:row>
      <xdr:rowOff>99060</xdr:rowOff>
    </xdr:from>
    <xdr:to>
      <xdr:col>7</xdr:col>
      <xdr:colOff>480060</xdr:colOff>
      <xdr:row>23</xdr:row>
      <xdr:rowOff>114300</xdr:rowOff>
    </xdr:to>
    <xdr:sp>
      <xdr:nvSpPr>
        <xdr:cNvPr id="67600" name="Oval 23"/>
        <xdr:cNvSpPr>
          <a:spLocks/>
        </xdr:cNvSpPr>
      </xdr:nvSpPr>
      <xdr:spPr>
        <a:xfrm>
          <a:off x="3059430" y="5408295"/>
          <a:ext cx="22860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182880</xdr:colOff>
      <xdr:row>15</xdr:row>
      <xdr:rowOff>114300</xdr:rowOff>
    </xdr:from>
    <xdr:to>
      <xdr:col>1</xdr:col>
      <xdr:colOff>411480</xdr:colOff>
      <xdr:row>16</xdr:row>
      <xdr:rowOff>137160</xdr:rowOff>
    </xdr:to>
    <xdr:sp>
      <xdr:nvSpPr>
        <xdr:cNvPr id="67601" name="Oval 24"/>
        <xdr:cNvSpPr>
          <a:spLocks/>
        </xdr:cNvSpPr>
      </xdr:nvSpPr>
      <xdr:spPr>
        <a:xfrm>
          <a:off x="523875" y="3979545"/>
          <a:ext cx="228600" cy="22860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182880</xdr:colOff>
      <xdr:row>22</xdr:row>
      <xdr:rowOff>99060</xdr:rowOff>
    </xdr:from>
    <xdr:to>
      <xdr:col>1</xdr:col>
      <xdr:colOff>411480</xdr:colOff>
      <xdr:row>23</xdr:row>
      <xdr:rowOff>114300</xdr:rowOff>
    </xdr:to>
    <xdr:sp>
      <xdr:nvSpPr>
        <xdr:cNvPr id="67602" name="Oval 25"/>
        <xdr:cNvSpPr>
          <a:spLocks/>
        </xdr:cNvSpPr>
      </xdr:nvSpPr>
      <xdr:spPr>
        <a:xfrm>
          <a:off x="523875" y="5408295"/>
          <a:ext cx="228600" cy="22098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342900</xdr:colOff>
      <xdr:row>13</xdr:row>
      <xdr:rowOff>0</xdr:rowOff>
    </xdr:to>
    <xdr:cxnSp>
      <xdr:nvCxnSpPr>
        <xdr:cNvPr id="67603" name="Line 32"/>
        <xdr:cNvCxnSpPr/>
      </xdr:nvCxnSpPr>
      <xdr:spPr>
        <a:xfrm>
          <a:off x="3388995" y="3221355"/>
          <a:ext cx="3429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0</xdr:rowOff>
    </xdr:from>
    <xdr:to>
      <xdr:col>10</xdr:col>
      <xdr:colOff>373380</xdr:colOff>
      <xdr:row>14</xdr:row>
      <xdr:rowOff>0</xdr:rowOff>
    </xdr:to>
    <xdr:cxnSp>
      <xdr:nvCxnSpPr>
        <xdr:cNvPr id="67604" name="Line 33"/>
        <xdr:cNvCxnSpPr/>
      </xdr:nvCxnSpPr>
      <xdr:spPr>
        <a:xfrm>
          <a:off x="3388995" y="3659505"/>
          <a:ext cx="13163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350520</xdr:colOff>
      <xdr:row>5</xdr:row>
      <xdr:rowOff>0</xdr:rowOff>
    </xdr:to>
    <xdr:cxnSp>
      <xdr:nvCxnSpPr>
        <xdr:cNvPr id="67605" name="Line 34"/>
        <xdr:cNvCxnSpPr/>
      </xdr:nvCxnSpPr>
      <xdr:spPr>
        <a:xfrm>
          <a:off x="3388995" y="1548765"/>
          <a:ext cx="3505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4</xdr:row>
      <xdr:rowOff>0</xdr:rowOff>
    </xdr:from>
    <xdr:to>
      <xdr:col>10</xdr:col>
      <xdr:colOff>365760</xdr:colOff>
      <xdr:row>4</xdr:row>
      <xdr:rowOff>0</xdr:rowOff>
    </xdr:to>
    <xdr:cxnSp>
      <xdr:nvCxnSpPr>
        <xdr:cNvPr id="67606" name="Line 35"/>
        <xdr:cNvCxnSpPr/>
      </xdr:nvCxnSpPr>
      <xdr:spPr>
        <a:xfrm>
          <a:off x="3396615" y="1196340"/>
          <a:ext cx="130111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4</xdr:row>
      <xdr:rowOff>0</xdr:rowOff>
    </xdr:from>
    <xdr:to>
      <xdr:col>8</xdr:col>
      <xdr:colOff>251460</xdr:colOff>
      <xdr:row>4</xdr:row>
      <xdr:rowOff>342900</xdr:rowOff>
    </xdr:to>
    <xdr:cxnSp>
      <xdr:nvCxnSpPr>
        <xdr:cNvPr id="67607" name="Line 36"/>
        <xdr:cNvCxnSpPr/>
      </xdr:nvCxnSpPr>
      <xdr:spPr>
        <a:xfrm>
          <a:off x="3640455" y="1196340"/>
          <a:ext cx="0" cy="342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5</xdr:row>
      <xdr:rowOff>0</xdr:rowOff>
    </xdr:from>
    <xdr:to>
      <xdr:col>8</xdr:col>
      <xdr:colOff>251460</xdr:colOff>
      <xdr:row>12</xdr:row>
      <xdr:rowOff>0</xdr:rowOff>
    </xdr:to>
    <xdr:cxnSp>
      <xdr:nvCxnSpPr>
        <xdr:cNvPr id="67608" name="Line 38"/>
        <xdr:cNvCxnSpPr/>
      </xdr:nvCxnSpPr>
      <xdr:spPr>
        <a:xfrm>
          <a:off x="3640455" y="1548765"/>
          <a:ext cx="0" cy="12915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7620</xdr:rowOff>
    </xdr:from>
    <xdr:to>
      <xdr:col>8</xdr:col>
      <xdr:colOff>350520</xdr:colOff>
      <xdr:row>12</xdr:row>
      <xdr:rowOff>7620</xdr:rowOff>
    </xdr:to>
    <xdr:cxnSp>
      <xdr:nvCxnSpPr>
        <xdr:cNvPr id="67609" name="Line 39"/>
        <xdr:cNvCxnSpPr/>
      </xdr:nvCxnSpPr>
      <xdr:spPr>
        <a:xfrm>
          <a:off x="3388995" y="2847975"/>
          <a:ext cx="3505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12</xdr:row>
      <xdr:rowOff>7620</xdr:rowOff>
    </xdr:from>
    <xdr:to>
      <xdr:col>8</xdr:col>
      <xdr:colOff>251460</xdr:colOff>
      <xdr:row>13</xdr:row>
      <xdr:rowOff>7620</xdr:rowOff>
    </xdr:to>
    <xdr:cxnSp>
      <xdr:nvCxnSpPr>
        <xdr:cNvPr id="67610" name="Line 40"/>
        <xdr:cNvCxnSpPr/>
      </xdr:nvCxnSpPr>
      <xdr:spPr>
        <a:xfrm>
          <a:off x="3640455" y="2847975"/>
          <a:ext cx="0" cy="381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13</xdr:row>
      <xdr:rowOff>0</xdr:rowOff>
    </xdr:from>
    <xdr:to>
      <xdr:col>8</xdr:col>
      <xdr:colOff>251460</xdr:colOff>
      <xdr:row>13</xdr:row>
      <xdr:rowOff>426720</xdr:rowOff>
    </xdr:to>
    <xdr:cxnSp>
      <xdr:nvCxnSpPr>
        <xdr:cNvPr id="67611" name="Line 41"/>
        <xdr:cNvCxnSpPr/>
      </xdr:nvCxnSpPr>
      <xdr:spPr>
        <a:xfrm>
          <a:off x="3640455" y="3221355"/>
          <a:ext cx="0" cy="4267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12</xdr:row>
      <xdr:rowOff>198120</xdr:rowOff>
    </xdr:from>
    <xdr:to>
      <xdr:col>9</xdr:col>
      <xdr:colOff>0</xdr:colOff>
      <xdr:row>12</xdr:row>
      <xdr:rowOff>198120</xdr:rowOff>
    </xdr:to>
    <xdr:cxnSp>
      <xdr:nvCxnSpPr>
        <xdr:cNvPr id="67612" name="Line 42"/>
        <xdr:cNvCxnSpPr/>
      </xdr:nvCxnSpPr>
      <xdr:spPr>
        <a:xfrm>
          <a:off x="3640455" y="3038475"/>
          <a:ext cx="22479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7</xdr:row>
      <xdr:rowOff>106680</xdr:rowOff>
    </xdr:from>
    <xdr:to>
      <xdr:col>9</xdr:col>
      <xdr:colOff>0</xdr:colOff>
      <xdr:row>7</xdr:row>
      <xdr:rowOff>106680</xdr:rowOff>
    </xdr:to>
    <xdr:cxnSp>
      <xdr:nvCxnSpPr>
        <xdr:cNvPr id="67613" name="Line 43"/>
        <xdr:cNvCxnSpPr/>
      </xdr:nvCxnSpPr>
      <xdr:spPr>
        <a:xfrm>
          <a:off x="3640455" y="2066925"/>
          <a:ext cx="22479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4</xdr:row>
      <xdr:rowOff>182880</xdr:rowOff>
    </xdr:from>
    <xdr:to>
      <xdr:col>9</xdr:col>
      <xdr:colOff>0</xdr:colOff>
      <xdr:row>4</xdr:row>
      <xdr:rowOff>182880</xdr:rowOff>
    </xdr:to>
    <xdr:cxnSp>
      <xdr:nvCxnSpPr>
        <xdr:cNvPr id="67614" name="Line 44"/>
        <xdr:cNvCxnSpPr/>
      </xdr:nvCxnSpPr>
      <xdr:spPr>
        <a:xfrm>
          <a:off x="3640455" y="1379220"/>
          <a:ext cx="22479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13</xdr:row>
      <xdr:rowOff>220980</xdr:rowOff>
    </xdr:from>
    <xdr:to>
      <xdr:col>8</xdr:col>
      <xdr:colOff>487680</xdr:colOff>
      <xdr:row>13</xdr:row>
      <xdr:rowOff>220980</xdr:rowOff>
    </xdr:to>
    <xdr:cxnSp>
      <xdr:nvCxnSpPr>
        <xdr:cNvPr id="67615" name="Line 45"/>
        <xdr:cNvCxnSpPr/>
      </xdr:nvCxnSpPr>
      <xdr:spPr>
        <a:xfrm>
          <a:off x="3640455" y="3442335"/>
          <a:ext cx="2362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198120</xdr:rowOff>
    </xdr:from>
    <xdr:to>
      <xdr:col>1</xdr:col>
      <xdr:colOff>0</xdr:colOff>
      <xdr:row>26</xdr:row>
      <xdr:rowOff>175260</xdr:rowOff>
    </xdr:to>
    <xdr:cxnSp>
      <xdr:nvCxnSpPr>
        <xdr:cNvPr id="67616" name="Line 47"/>
        <xdr:cNvCxnSpPr/>
      </xdr:nvCxnSpPr>
      <xdr:spPr>
        <a:xfrm>
          <a:off x="340995" y="5713095"/>
          <a:ext cx="0" cy="5219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198120</xdr:rowOff>
    </xdr:from>
    <xdr:to>
      <xdr:col>8</xdr:col>
      <xdr:colOff>0</xdr:colOff>
      <xdr:row>26</xdr:row>
      <xdr:rowOff>182880</xdr:rowOff>
    </xdr:to>
    <xdr:cxnSp>
      <xdr:nvCxnSpPr>
        <xdr:cNvPr id="67617" name="Line 48"/>
        <xdr:cNvCxnSpPr/>
      </xdr:nvCxnSpPr>
      <xdr:spPr>
        <a:xfrm>
          <a:off x="3388995" y="5713095"/>
          <a:ext cx="0" cy="5295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25</xdr:row>
      <xdr:rowOff>106680</xdr:rowOff>
    </xdr:from>
    <xdr:to>
      <xdr:col>3</xdr:col>
      <xdr:colOff>449580</xdr:colOff>
      <xdr:row>25</xdr:row>
      <xdr:rowOff>106680</xdr:rowOff>
    </xdr:to>
    <xdr:cxnSp>
      <xdr:nvCxnSpPr>
        <xdr:cNvPr id="67618" name="Line 49"/>
        <xdr:cNvCxnSpPr/>
      </xdr:nvCxnSpPr>
      <xdr:spPr>
        <a:xfrm flipV="1">
          <a:off x="929640" y="5960745"/>
          <a:ext cx="8039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106680</xdr:rowOff>
    </xdr:from>
    <xdr:to>
      <xdr:col>7</xdr:col>
      <xdr:colOff>7620</xdr:colOff>
      <xdr:row>25</xdr:row>
      <xdr:rowOff>106680</xdr:rowOff>
    </xdr:to>
    <xdr:cxnSp>
      <xdr:nvCxnSpPr>
        <xdr:cNvPr id="67619" name="Line 50"/>
        <xdr:cNvCxnSpPr/>
      </xdr:nvCxnSpPr>
      <xdr:spPr>
        <a:xfrm flipH="1">
          <a:off x="2045970" y="5960745"/>
          <a:ext cx="7696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106680</xdr:rowOff>
    </xdr:from>
    <xdr:to>
      <xdr:col>5</xdr:col>
      <xdr:colOff>7620</xdr:colOff>
      <xdr:row>26</xdr:row>
      <xdr:rowOff>106680</xdr:rowOff>
    </xdr:to>
    <xdr:cxnSp>
      <xdr:nvCxnSpPr>
        <xdr:cNvPr id="67620" name="Line 51"/>
        <xdr:cNvCxnSpPr/>
      </xdr:nvCxnSpPr>
      <xdr:spPr>
        <a:xfrm flipH="1">
          <a:off x="340995" y="6166485"/>
          <a:ext cx="17125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26</xdr:row>
      <xdr:rowOff>106680</xdr:rowOff>
    </xdr:from>
    <xdr:to>
      <xdr:col>7</xdr:col>
      <xdr:colOff>647700</xdr:colOff>
      <xdr:row>26</xdr:row>
      <xdr:rowOff>106680</xdr:rowOff>
    </xdr:to>
    <xdr:cxnSp>
      <xdr:nvCxnSpPr>
        <xdr:cNvPr id="67621" name="Line 52"/>
        <xdr:cNvCxnSpPr/>
      </xdr:nvCxnSpPr>
      <xdr:spPr>
        <a:xfrm>
          <a:off x="2453640" y="6166485"/>
          <a:ext cx="100203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15</xdr:row>
      <xdr:rowOff>7620</xdr:rowOff>
    </xdr:from>
    <xdr:to>
      <xdr:col>10</xdr:col>
      <xdr:colOff>297180</xdr:colOff>
      <xdr:row>15</xdr:row>
      <xdr:rowOff>7620</xdr:rowOff>
    </xdr:to>
    <xdr:cxnSp>
      <xdr:nvCxnSpPr>
        <xdr:cNvPr id="67622" name="Line 53"/>
        <xdr:cNvCxnSpPr/>
      </xdr:nvCxnSpPr>
      <xdr:spPr>
        <a:xfrm>
          <a:off x="3455670" y="3872865"/>
          <a:ext cx="11734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198120</xdr:rowOff>
    </xdr:from>
    <xdr:to>
      <xdr:col>10</xdr:col>
      <xdr:colOff>289560</xdr:colOff>
      <xdr:row>23</xdr:row>
      <xdr:rowOff>198120</xdr:rowOff>
    </xdr:to>
    <xdr:cxnSp>
      <xdr:nvCxnSpPr>
        <xdr:cNvPr id="67623" name="Line 54"/>
        <xdr:cNvCxnSpPr/>
      </xdr:nvCxnSpPr>
      <xdr:spPr>
        <a:xfrm>
          <a:off x="3388995" y="5713095"/>
          <a:ext cx="123253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16</xdr:row>
      <xdr:rowOff>106680</xdr:rowOff>
    </xdr:from>
    <xdr:to>
      <xdr:col>9</xdr:col>
      <xdr:colOff>289560</xdr:colOff>
      <xdr:row>16</xdr:row>
      <xdr:rowOff>106680</xdr:rowOff>
    </xdr:to>
    <xdr:cxnSp>
      <xdr:nvCxnSpPr>
        <xdr:cNvPr id="67624" name="Line 55"/>
        <xdr:cNvCxnSpPr/>
      </xdr:nvCxnSpPr>
      <xdr:spPr>
        <a:xfrm>
          <a:off x="2830830" y="4177665"/>
          <a:ext cx="13239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22</xdr:row>
      <xdr:rowOff>114300</xdr:rowOff>
    </xdr:from>
    <xdr:to>
      <xdr:col>9</xdr:col>
      <xdr:colOff>304800</xdr:colOff>
      <xdr:row>22</xdr:row>
      <xdr:rowOff>114300</xdr:rowOff>
    </xdr:to>
    <xdr:cxnSp>
      <xdr:nvCxnSpPr>
        <xdr:cNvPr id="67625" name="Line 56"/>
        <xdr:cNvCxnSpPr/>
      </xdr:nvCxnSpPr>
      <xdr:spPr>
        <a:xfrm>
          <a:off x="2815590" y="5423535"/>
          <a:ext cx="135445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16</xdr:row>
      <xdr:rowOff>106680</xdr:rowOff>
    </xdr:from>
    <xdr:to>
      <xdr:col>9</xdr:col>
      <xdr:colOff>220980</xdr:colOff>
      <xdr:row>18</xdr:row>
      <xdr:rowOff>0</xdr:rowOff>
    </xdr:to>
    <xdr:cxnSp>
      <xdr:nvCxnSpPr>
        <xdr:cNvPr id="67626" name="Line 57"/>
        <xdr:cNvCxnSpPr/>
      </xdr:nvCxnSpPr>
      <xdr:spPr>
        <a:xfrm>
          <a:off x="4086225" y="4177665"/>
          <a:ext cx="0" cy="30861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19</xdr:row>
      <xdr:rowOff>0</xdr:rowOff>
    </xdr:from>
    <xdr:to>
      <xdr:col>9</xdr:col>
      <xdr:colOff>220980</xdr:colOff>
      <xdr:row>22</xdr:row>
      <xdr:rowOff>106680</xdr:rowOff>
    </xdr:to>
    <xdr:cxnSp>
      <xdr:nvCxnSpPr>
        <xdr:cNvPr id="67627" name="Line 58"/>
        <xdr:cNvCxnSpPr/>
      </xdr:nvCxnSpPr>
      <xdr:spPr>
        <a:xfrm>
          <a:off x="4086225" y="4692015"/>
          <a:ext cx="0" cy="7239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15</xdr:row>
      <xdr:rowOff>7620</xdr:rowOff>
    </xdr:from>
    <xdr:to>
      <xdr:col>10</xdr:col>
      <xdr:colOff>213360</xdr:colOff>
      <xdr:row>20</xdr:row>
      <xdr:rowOff>0</xdr:rowOff>
    </xdr:to>
    <xdr:cxnSp>
      <xdr:nvCxnSpPr>
        <xdr:cNvPr id="67628" name="Line 60"/>
        <xdr:cNvCxnSpPr/>
      </xdr:nvCxnSpPr>
      <xdr:spPr>
        <a:xfrm flipV="1">
          <a:off x="4545330" y="3872865"/>
          <a:ext cx="0" cy="102489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21</xdr:row>
      <xdr:rowOff>0</xdr:rowOff>
    </xdr:from>
    <xdr:to>
      <xdr:col>10</xdr:col>
      <xdr:colOff>213360</xdr:colOff>
      <xdr:row>24</xdr:row>
      <xdr:rowOff>0</xdr:rowOff>
    </xdr:to>
    <xdr:cxnSp>
      <xdr:nvCxnSpPr>
        <xdr:cNvPr id="67629" name="Line 61"/>
        <xdr:cNvCxnSpPr/>
      </xdr:nvCxnSpPr>
      <xdr:spPr>
        <a:xfrm>
          <a:off x="4545330" y="5103495"/>
          <a:ext cx="0" cy="6172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23</xdr:row>
      <xdr:rowOff>76200</xdr:rowOff>
    </xdr:from>
    <xdr:to>
      <xdr:col>8</xdr:col>
      <xdr:colOff>182880</xdr:colOff>
      <xdr:row>25</xdr:row>
      <xdr:rowOff>137160</xdr:rowOff>
    </xdr:to>
    <xdr:cxnSp>
      <xdr:nvCxnSpPr>
        <xdr:cNvPr id="67630" name="Line 62"/>
        <xdr:cNvCxnSpPr/>
      </xdr:nvCxnSpPr>
      <xdr:spPr>
        <a:xfrm>
          <a:off x="3265170" y="5591175"/>
          <a:ext cx="306705" cy="40005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22</xdr:row>
      <xdr:rowOff>114300</xdr:rowOff>
    </xdr:from>
    <xdr:to>
      <xdr:col>2</xdr:col>
      <xdr:colOff>7620</xdr:colOff>
      <xdr:row>26</xdr:row>
      <xdr:rowOff>0</xdr:rowOff>
    </xdr:to>
    <xdr:cxnSp>
      <xdr:nvCxnSpPr>
        <xdr:cNvPr id="67631" name="Line 64"/>
        <xdr:cNvCxnSpPr/>
      </xdr:nvCxnSpPr>
      <xdr:spPr>
        <a:xfrm>
          <a:off x="929640" y="5423535"/>
          <a:ext cx="0" cy="6362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22</xdr:row>
      <xdr:rowOff>106680</xdr:rowOff>
    </xdr:from>
    <xdr:to>
      <xdr:col>7</xdr:col>
      <xdr:colOff>7620</xdr:colOff>
      <xdr:row>25</xdr:row>
      <xdr:rowOff>198120</xdr:rowOff>
    </xdr:to>
    <xdr:cxnSp>
      <xdr:nvCxnSpPr>
        <xdr:cNvPr id="67632" name="Line 65"/>
        <xdr:cNvCxnSpPr/>
      </xdr:nvCxnSpPr>
      <xdr:spPr>
        <a:xfrm>
          <a:off x="2815590" y="5415915"/>
          <a:ext cx="0" cy="6362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388620</xdr:colOff>
      <xdr:row>4</xdr:row>
      <xdr:rowOff>0</xdr:rowOff>
    </xdr:from>
    <xdr:to>
      <xdr:col>17</xdr:col>
      <xdr:colOff>160020</xdr:colOff>
      <xdr:row>5</xdr:row>
      <xdr:rowOff>0</xdr:rowOff>
    </xdr:to>
    <xdr:sp>
      <xdr:nvSpPr>
        <xdr:cNvPr id="67633" name="Rectangle 67"/>
        <xdr:cNvSpPr>
          <a:spLocks/>
        </xdr:cNvSpPr>
      </xdr:nvSpPr>
      <xdr:spPr>
        <a:xfrm>
          <a:off x="5187315" y="1196340"/>
          <a:ext cx="2571750" cy="352425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350520</xdr:colOff>
      <xdr:row>12</xdr:row>
      <xdr:rowOff>7620</xdr:rowOff>
    </xdr:from>
    <xdr:to>
      <xdr:col>17</xdr:col>
      <xdr:colOff>175260</xdr:colOff>
      <xdr:row>13</xdr:row>
      <xdr:rowOff>7620</xdr:rowOff>
    </xdr:to>
    <xdr:sp>
      <xdr:nvSpPr>
        <xdr:cNvPr id="67634" name="Rectangle 68"/>
        <xdr:cNvSpPr>
          <a:spLocks/>
        </xdr:cNvSpPr>
      </xdr:nvSpPr>
      <xdr:spPr>
        <a:xfrm>
          <a:off x="5149215" y="2847975"/>
          <a:ext cx="2625090" cy="38100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236220</xdr:colOff>
      <xdr:row>13</xdr:row>
      <xdr:rowOff>7620</xdr:rowOff>
    </xdr:from>
    <xdr:to>
      <xdr:col>17</xdr:col>
      <xdr:colOff>175260</xdr:colOff>
      <xdr:row>14</xdr:row>
      <xdr:rowOff>0</xdr:rowOff>
    </xdr:to>
    <xdr:sp>
      <xdr:nvSpPr>
        <xdr:cNvPr id="67635" name="Rectangle 69"/>
        <xdr:cNvSpPr>
          <a:spLocks/>
        </xdr:cNvSpPr>
      </xdr:nvSpPr>
      <xdr:spPr>
        <a:xfrm>
          <a:off x="6901815" y="3228975"/>
          <a:ext cx="872490" cy="43053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5</xdr:row>
      <xdr:rowOff>7620</xdr:rowOff>
    </xdr:from>
    <xdr:to>
      <xdr:col>16</xdr:col>
      <xdr:colOff>0</xdr:colOff>
      <xdr:row>6</xdr:row>
      <xdr:rowOff>0</xdr:rowOff>
    </xdr:to>
    <xdr:sp>
      <xdr:nvSpPr>
        <xdr:cNvPr id="67636" name="Rectangle 70"/>
        <xdr:cNvSpPr>
          <a:spLocks/>
        </xdr:cNvSpPr>
      </xdr:nvSpPr>
      <xdr:spPr>
        <a:xfrm>
          <a:off x="5732145" y="1556385"/>
          <a:ext cx="1400175" cy="19812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6</xdr:row>
      <xdr:rowOff>7620</xdr:rowOff>
    </xdr:from>
    <xdr:to>
      <xdr:col>16</xdr:col>
      <xdr:colOff>0</xdr:colOff>
      <xdr:row>7</xdr:row>
      <xdr:rowOff>0</xdr:rowOff>
    </xdr:to>
    <xdr:sp>
      <xdr:nvSpPr>
        <xdr:cNvPr id="67637" name="Rectangle 71"/>
        <xdr:cNvSpPr>
          <a:spLocks/>
        </xdr:cNvSpPr>
      </xdr:nvSpPr>
      <xdr:spPr>
        <a:xfrm>
          <a:off x="5732145" y="1762125"/>
          <a:ext cx="1400175" cy="19812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0</xdr:colOff>
      <xdr:row>8</xdr:row>
      <xdr:rowOff>198120</xdr:rowOff>
    </xdr:to>
    <xdr:sp>
      <xdr:nvSpPr>
        <xdr:cNvPr id="67638" name="Rectangle 73"/>
        <xdr:cNvSpPr>
          <a:spLocks/>
        </xdr:cNvSpPr>
      </xdr:nvSpPr>
      <xdr:spPr>
        <a:xfrm>
          <a:off x="5732145" y="2165985"/>
          <a:ext cx="1400175" cy="19812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10</xdr:row>
      <xdr:rowOff>7620</xdr:rowOff>
    </xdr:from>
    <xdr:to>
      <xdr:col>16</xdr:col>
      <xdr:colOff>0</xdr:colOff>
      <xdr:row>11</xdr:row>
      <xdr:rowOff>0</xdr:rowOff>
    </xdr:to>
    <xdr:sp>
      <xdr:nvSpPr>
        <xdr:cNvPr id="67639" name="Rectangle 74"/>
        <xdr:cNvSpPr>
          <a:spLocks/>
        </xdr:cNvSpPr>
      </xdr:nvSpPr>
      <xdr:spPr>
        <a:xfrm>
          <a:off x="5732145" y="2436495"/>
          <a:ext cx="1400175" cy="19812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11</xdr:row>
      <xdr:rowOff>7620</xdr:rowOff>
    </xdr:from>
    <xdr:to>
      <xdr:col>16</xdr:col>
      <xdr:colOff>0</xdr:colOff>
      <xdr:row>12</xdr:row>
      <xdr:rowOff>0</xdr:rowOff>
    </xdr:to>
    <xdr:sp>
      <xdr:nvSpPr>
        <xdr:cNvPr id="67640" name="Rectangle 75"/>
        <xdr:cNvSpPr>
          <a:spLocks/>
        </xdr:cNvSpPr>
      </xdr:nvSpPr>
      <xdr:spPr>
        <a:xfrm>
          <a:off x="5732145" y="2642235"/>
          <a:ext cx="1400175" cy="19812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76200</xdr:colOff>
      <xdr:row>5</xdr:row>
      <xdr:rowOff>0</xdr:rowOff>
    </xdr:from>
    <xdr:to>
      <xdr:col>12</xdr:col>
      <xdr:colOff>312420</xdr:colOff>
      <xdr:row>12</xdr:row>
      <xdr:rowOff>7620</xdr:rowOff>
    </xdr:to>
    <xdr:sp>
      <xdr:nvSpPr>
        <xdr:cNvPr id="67641" name="Rectangle 78"/>
        <xdr:cNvSpPr>
          <a:spLocks/>
        </xdr:cNvSpPr>
      </xdr:nvSpPr>
      <xdr:spPr>
        <a:xfrm>
          <a:off x="5341620" y="1548765"/>
          <a:ext cx="236220" cy="129921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236220</xdr:colOff>
      <xdr:row>5</xdr:row>
      <xdr:rowOff>0</xdr:rowOff>
    </xdr:from>
    <xdr:to>
      <xdr:col>16</xdr:col>
      <xdr:colOff>480060</xdr:colOff>
      <xdr:row>12</xdr:row>
      <xdr:rowOff>7620</xdr:rowOff>
    </xdr:to>
    <xdr:sp>
      <xdr:nvSpPr>
        <xdr:cNvPr id="67642" name="Rectangle 79"/>
        <xdr:cNvSpPr>
          <a:spLocks/>
        </xdr:cNvSpPr>
      </xdr:nvSpPr>
      <xdr:spPr>
        <a:xfrm>
          <a:off x="7368540" y="1548765"/>
          <a:ext cx="243840" cy="129921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350520</xdr:colOff>
      <xdr:row>13</xdr:row>
      <xdr:rowOff>7620</xdr:rowOff>
    </xdr:from>
    <xdr:to>
      <xdr:col>13</xdr:col>
      <xdr:colOff>274320</xdr:colOff>
      <xdr:row>14</xdr:row>
      <xdr:rowOff>0</xdr:rowOff>
    </xdr:to>
    <xdr:sp>
      <xdr:nvSpPr>
        <xdr:cNvPr id="67643" name="Rectangle 80"/>
        <xdr:cNvSpPr>
          <a:spLocks/>
        </xdr:cNvSpPr>
      </xdr:nvSpPr>
      <xdr:spPr>
        <a:xfrm>
          <a:off x="5149215" y="3228975"/>
          <a:ext cx="857250" cy="430530"/>
        </a:xfrm>
        <a:prstGeom prst="rect"/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350520</xdr:colOff>
      <xdr:row>14</xdr:row>
      <xdr:rowOff>7620</xdr:rowOff>
    </xdr:from>
    <xdr:to>
      <xdr:col>11</xdr:col>
      <xdr:colOff>350520</xdr:colOff>
      <xdr:row>15</xdr:row>
      <xdr:rowOff>175260</xdr:rowOff>
    </xdr:to>
    <xdr:cxnSp>
      <xdr:nvCxnSpPr>
        <xdr:cNvPr id="67644" name="Line 81"/>
        <xdr:cNvCxnSpPr/>
      </xdr:nvCxnSpPr>
      <xdr:spPr>
        <a:xfrm>
          <a:off x="5149215" y="3667125"/>
          <a:ext cx="0" cy="3733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274320</xdr:colOff>
      <xdr:row>14</xdr:row>
      <xdr:rowOff>7620</xdr:rowOff>
    </xdr:from>
    <xdr:to>
      <xdr:col>13</xdr:col>
      <xdr:colOff>274320</xdr:colOff>
      <xdr:row>15</xdr:row>
      <xdr:rowOff>190500</xdr:rowOff>
    </xdr:to>
    <xdr:cxnSp>
      <xdr:nvCxnSpPr>
        <xdr:cNvPr id="67645" name="Line 82"/>
        <xdr:cNvCxnSpPr/>
      </xdr:nvCxnSpPr>
      <xdr:spPr>
        <a:xfrm>
          <a:off x="6006465" y="3667125"/>
          <a:ext cx="0" cy="3886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14</xdr:row>
      <xdr:rowOff>7620</xdr:rowOff>
    </xdr:from>
    <xdr:to>
      <xdr:col>15</xdr:col>
      <xdr:colOff>236220</xdr:colOff>
      <xdr:row>15</xdr:row>
      <xdr:rowOff>182880</xdr:rowOff>
    </xdr:to>
    <xdr:cxnSp>
      <xdr:nvCxnSpPr>
        <xdr:cNvPr id="67646" name="Line 83"/>
        <xdr:cNvCxnSpPr/>
      </xdr:nvCxnSpPr>
      <xdr:spPr>
        <a:xfrm>
          <a:off x="6901815" y="3667125"/>
          <a:ext cx="0" cy="3810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175260</xdr:colOff>
      <xdr:row>14</xdr:row>
      <xdr:rowOff>0</xdr:rowOff>
    </xdr:from>
    <xdr:to>
      <xdr:col>17</xdr:col>
      <xdr:colOff>175260</xdr:colOff>
      <xdr:row>15</xdr:row>
      <xdr:rowOff>182880</xdr:rowOff>
    </xdr:to>
    <xdr:cxnSp>
      <xdr:nvCxnSpPr>
        <xdr:cNvPr id="67647" name="Line 84"/>
        <xdr:cNvCxnSpPr/>
      </xdr:nvCxnSpPr>
      <xdr:spPr>
        <a:xfrm>
          <a:off x="7774305" y="3659505"/>
          <a:ext cx="0" cy="3886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15</xdr:row>
      <xdr:rowOff>114300</xdr:rowOff>
    </xdr:from>
    <xdr:to>
      <xdr:col>16</xdr:col>
      <xdr:colOff>0</xdr:colOff>
      <xdr:row>15</xdr:row>
      <xdr:rowOff>114300</xdr:rowOff>
    </xdr:to>
    <xdr:cxnSp>
      <xdr:nvCxnSpPr>
        <xdr:cNvPr id="67648" name="Line 85"/>
        <xdr:cNvCxnSpPr/>
      </xdr:nvCxnSpPr>
      <xdr:spPr>
        <a:xfrm>
          <a:off x="6901815" y="3979545"/>
          <a:ext cx="2305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114300</xdr:rowOff>
    </xdr:from>
    <xdr:to>
      <xdr:col>17</xdr:col>
      <xdr:colOff>175260</xdr:colOff>
      <xdr:row>15</xdr:row>
      <xdr:rowOff>114300</xdr:rowOff>
    </xdr:to>
    <xdr:cxnSp>
      <xdr:nvCxnSpPr>
        <xdr:cNvPr id="67649" name="Line 86"/>
        <xdr:cNvCxnSpPr/>
      </xdr:nvCxnSpPr>
      <xdr:spPr>
        <a:xfrm>
          <a:off x="7599045" y="3979545"/>
          <a:ext cx="1752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15</xdr:row>
      <xdr:rowOff>106680</xdr:rowOff>
    </xdr:from>
    <xdr:to>
      <xdr:col>13</xdr:col>
      <xdr:colOff>274320</xdr:colOff>
      <xdr:row>15</xdr:row>
      <xdr:rowOff>106680</xdr:rowOff>
    </xdr:to>
    <xdr:cxnSp>
      <xdr:nvCxnSpPr>
        <xdr:cNvPr id="67650" name="Line 87"/>
        <xdr:cNvCxnSpPr/>
      </xdr:nvCxnSpPr>
      <xdr:spPr>
        <a:xfrm>
          <a:off x="5739765" y="3971925"/>
          <a:ext cx="2667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350520</xdr:colOff>
      <xdr:row>15</xdr:row>
      <xdr:rowOff>114300</xdr:rowOff>
    </xdr:from>
    <xdr:to>
      <xdr:col>12</xdr:col>
      <xdr:colOff>0</xdr:colOff>
      <xdr:row>15</xdr:row>
      <xdr:rowOff>114300</xdr:rowOff>
    </xdr:to>
    <xdr:cxnSp>
      <xdr:nvCxnSpPr>
        <xdr:cNvPr id="67651" name="Line 88"/>
        <xdr:cNvCxnSpPr/>
      </xdr:nvCxnSpPr>
      <xdr:spPr>
        <a:xfrm flipH="1">
          <a:off x="5149215" y="3979545"/>
          <a:ext cx="11620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121920</xdr:colOff>
      <xdr:row>7</xdr:row>
      <xdr:rowOff>0</xdr:rowOff>
    </xdr:from>
    <xdr:to>
      <xdr:col>13</xdr:col>
      <xdr:colOff>251460</xdr:colOff>
      <xdr:row>8</xdr:row>
      <xdr:rowOff>0</xdr:rowOff>
    </xdr:to>
    <xdr:sp>
      <xdr:nvSpPr>
        <xdr:cNvPr id="67652" name="Rectangle 90"/>
        <xdr:cNvSpPr>
          <a:spLocks/>
        </xdr:cNvSpPr>
      </xdr:nvSpPr>
      <xdr:spPr>
        <a:xfrm>
          <a:off x="5854065" y="1960245"/>
          <a:ext cx="129540" cy="20574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266700</xdr:colOff>
      <xdr:row>7</xdr:row>
      <xdr:rowOff>0</xdr:rowOff>
    </xdr:from>
    <xdr:to>
      <xdr:col>15</xdr:col>
      <xdr:colOff>388620</xdr:colOff>
      <xdr:row>8</xdr:row>
      <xdr:rowOff>0</xdr:rowOff>
    </xdr:to>
    <xdr:sp>
      <xdr:nvSpPr>
        <xdr:cNvPr id="67653" name="Rectangle 91"/>
        <xdr:cNvSpPr>
          <a:spLocks/>
        </xdr:cNvSpPr>
      </xdr:nvSpPr>
      <xdr:spPr>
        <a:xfrm>
          <a:off x="6932295" y="1960245"/>
          <a:ext cx="121920" cy="205740"/>
        </a:xfrm>
        <a:prstGeom prst="rect"/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342900</xdr:colOff>
      <xdr:row>5</xdr:row>
      <xdr:rowOff>114300</xdr:rowOff>
    </xdr:from>
    <xdr:to>
      <xdr:col>18</xdr:col>
      <xdr:colOff>0</xdr:colOff>
      <xdr:row>5</xdr:row>
      <xdr:rowOff>114300</xdr:rowOff>
    </xdr:to>
    <xdr:cxnSp>
      <xdr:nvCxnSpPr>
        <xdr:cNvPr id="67654" name="Line 92"/>
        <xdr:cNvCxnSpPr/>
      </xdr:nvCxnSpPr>
      <xdr:spPr>
        <a:xfrm>
          <a:off x="7475220" y="1663065"/>
          <a:ext cx="52387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lg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259080</xdr:colOff>
      <xdr:row>12</xdr:row>
      <xdr:rowOff>198120</xdr:rowOff>
    </xdr:from>
    <xdr:to>
      <xdr:col>18</xdr:col>
      <xdr:colOff>0</xdr:colOff>
      <xdr:row>12</xdr:row>
      <xdr:rowOff>198120</xdr:rowOff>
    </xdr:to>
    <xdr:cxnSp>
      <xdr:nvCxnSpPr>
        <xdr:cNvPr id="67655" name="Line 93"/>
        <xdr:cNvCxnSpPr/>
      </xdr:nvCxnSpPr>
      <xdr:spPr>
        <a:xfrm>
          <a:off x="7391400" y="3038475"/>
          <a:ext cx="6076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lg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259080</xdr:colOff>
      <xdr:row>13</xdr:row>
      <xdr:rowOff>220980</xdr:rowOff>
    </xdr:from>
    <xdr:to>
      <xdr:col>18</xdr:col>
      <xdr:colOff>0</xdr:colOff>
      <xdr:row>13</xdr:row>
      <xdr:rowOff>220980</xdr:rowOff>
    </xdr:to>
    <xdr:cxnSp>
      <xdr:nvCxnSpPr>
        <xdr:cNvPr id="67656" name="Line 94"/>
        <xdr:cNvCxnSpPr/>
      </xdr:nvCxnSpPr>
      <xdr:spPr>
        <a:xfrm>
          <a:off x="7391400" y="3442335"/>
          <a:ext cx="6076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lg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106680</xdr:colOff>
      <xdr:row>5</xdr:row>
      <xdr:rowOff>60960</xdr:rowOff>
    </xdr:from>
    <xdr:to>
      <xdr:col>16</xdr:col>
      <xdr:colOff>106680</xdr:colOff>
      <xdr:row>11</xdr:row>
      <xdr:rowOff>152400</xdr:rowOff>
    </xdr:to>
    <xdr:cxnSp>
      <xdr:nvCxnSpPr>
        <xdr:cNvPr id="67657" name="Line 99"/>
        <xdr:cNvCxnSpPr/>
      </xdr:nvCxnSpPr>
      <xdr:spPr>
        <a:xfrm>
          <a:off x="7239000" y="1609725"/>
          <a:ext cx="0" cy="1177290"/>
        </a:xfrm>
        <a:prstGeom prst="line"/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106680</xdr:colOff>
      <xdr:row>10</xdr:row>
      <xdr:rowOff>144780</xdr:rowOff>
    </xdr:from>
    <xdr:to>
      <xdr:col>18</xdr:col>
      <xdr:colOff>0</xdr:colOff>
      <xdr:row>10</xdr:row>
      <xdr:rowOff>144780</xdr:rowOff>
    </xdr:to>
    <xdr:cxnSp>
      <xdr:nvCxnSpPr>
        <xdr:cNvPr id="67658" name="Line 100"/>
        <xdr:cNvCxnSpPr/>
      </xdr:nvCxnSpPr>
      <xdr:spPr>
        <a:xfrm>
          <a:off x="7239000" y="2573655"/>
          <a:ext cx="760095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5</xdr:row>
      <xdr:rowOff>30480</xdr:rowOff>
    </xdr:from>
    <xdr:to>
      <xdr:col>16</xdr:col>
      <xdr:colOff>106680</xdr:colOff>
      <xdr:row>5</xdr:row>
      <xdr:rowOff>60960</xdr:rowOff>
    </xdr:to>
    <xdr:cxnSp>
      <xdr:nvCxnSpPr>
        <xdr:cNvPr id="67659" name="Line 101"/>
        <xdr:cNvCxnSpPr/>
      </xdr:nvCxnSpPr>
      <xdr:spPr>
        <a:xfrm>
          <a:off x="7200900" y="1579245"/>
          <a:ext cx="38100" cy="30480"/>
        </a:xfrm>
        <a:prstGeom prst="line"/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137160</xdr:rowOff>
    </xdr:from>
    <xdr:to>
      <xdr:col>16</xdr:col>
      <xdr:colOff>106680</xdr:colOff>
      <xdr:row>11</xdr:row>
      <xdr:rowOff>190500</xdr:rowOff>
    </xdr:to>
    <xdr:cxnSp>
      <xdr:nvCxnSpPr>
        <xdr:cNvPr id="67660" name="Line 102"/>
        <xdr:cNvCxnSpPr/>
      </xdr:nvCxnSpPr>
      <xdr:spPr>
        <a:xfrm flipH="1">
          <a:off x="7208520" y="2771775"/>
          <a:ext cx="30480" cy="53340"/>
        </a:xfrm>
        <a:prstGeom prst="line"/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22</xdr:row>
      <xdr:rowOff>114300</xdr:rowOff>
    </xdr:from>
    <xdr:to>
      <xdr:col>7</xdr:col>
      <xdr:colOff>449580</xdr:colOff>
      <xdr:row>23</xdr:row>
      <xdr:rowOff>68580</xdr:rowOff>
    </xdr:to>
    <xdr:cxnSp>
      <xdr:nvCxnSpPr>
        <xdr:cNvPr id="67661" name="Line 103"/>
        <xdr:cNvCxnSpPr/>
      </xdr:nvCxnSpPr>
      <xdr:spPr>
        <a:xfrm>
          <a:off x="3097530" y="5423535"/>
          <a:ext cx="160020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259080</xdr:colOff>
      <xdr:row>11</xdr:row>
      <xdr:rowOff>7620</xdr:rowOff>
    </xdr:from>
    <xdr:to>
      <xdr:col>10</xdr:col>
      <xdr:colOff>259080</xdr:colOff>
      <xdr:row>14</xdr:row>
      <xdr:rowOff>0</xdr:rowOff>
    </xdr:to>
    <xdr:cxnSp>
      <xdr:nvCxnSpPr>
        <xdr:cNvPr id="67662" name="Line 104"/>
        <xdr:cNvCxnSpPr/>
      </xdr:nvCxnSpPr>
      <xdr:spPr>
        <a:xfrm>
          <a:off x="4591050" y="2642235"/>
          <a:ext cx="0" cy="101727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236220</xdr:colOff>
      <xdr:row>3</xdr:row>
      <xdr:rowOff>198120</xdr:rowOff>
    </xdr:from>
    <xdr:to>
      <xdr:col>10</xdr:col>
      <xdr:colOff>236220</xdr:colOff>
      <xdr:row>9</xdr:row>
      <xdr:rowOff>45720</xdr:rowOff>
    </xdr:to>
    <xdr:cxnSp>
      <xdr:nvCxnSpPr>
        <xdr:cNvPr id="67663" name="Line 105"/>
        <xdr:cNvCxnSpPr/>
      </xdr:nvCxnSpPr>
      <xdr:spPr>
        <a:xfrm flipV="1">
          <a:off x="4568190" y="1184910"/>
          <a:ext cx="0" cy="123253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0</xdr:row>
      <xdr:rowOff>295275</xdr:rowOff>
    </xdr:from>
    <xdr:to>
      <xdr:col>20</xdr:col>
      <xdr:colOff>257175</xdr:colOff>
      <xdr:row>1</xdr:row>
      <xdr:rowOff>28575</xdr:rowOff>
    </xdr:to>
    <xdr:sp>
      <xdr:nvSpPr>
        <xdr:cNvPr id="24682" name="Rectangle 106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199120" y="281940"/>
          <a:ext cx="800100" cy="276225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6</xdr:row>
      <xdr:rowOff>22860</xdr:rowOff>
    </xdr:from>
    <xdr:to>
      <xdr:col>18</xdr:col>
      <xdr:colOff>464820</xdr:colOff>
      <xdr:row>6</xdr:row>
      <xdr:rowOff>22860</xdr:rowOff>
    </xdr:to>
    <xdr:cxnSp>
      <xdr:nvCxnSpPr>
        <xdr:cNvPr id="68609" name="Line 1"/>
        <xdr:cNvCxnSpPr/>
      </xdr:nvCxnSpPr>
      <xdr:spPr>
        <a:xfrm>
          <a:off x="5368290" y="1754505"/>
          <a:ext cx="262890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12</xdr:row>
      <xdr:rowOff>190500</xdr:rowOff>
    </xdr:from>
    <xdr:to>
      <xdr:col>18</xdr:col>
      <xdr:colOff>480060</xdr:colOff>
      <xdr:row>12</xdr:row>
      <xdr:rowOff>190500</xdr:rowOff>
    </xdr:to>
    <xdr:cxnSp>
      <xdr:nvCxnSpPr>
        <xdr:cNvPr id="68610" name="Line 2"/>
        <xdr:cNvCxnSpPr/>
      </xdr:nvCxnSpPr>
      <xdr:spPr>
        <a:xfrm flipV="1">
          <a:off x="5391150" y="3156585"/>
          <a:ext cx="2621280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464820</xdr:colOff>
      <xdr:row>6</xdr:row>
      <xdr:rowOff>22860</xdr:rowOff>
    </xdr:from>
    <xdr:to>
      <xdr:col>18</xdr:col>
      <xdr:colOff>464820</xdr:colOff>
      <xdr:row>12</xdr:row>
      <xdr:rowOff>190500</xdr:rowOff>
    </xdr:to>
    <xdr:cxnSp>
      <xdr:nvCxnSpPr>
        <xdr:cNvPr id="68611" name="Line 3"/>
        <xdr:cNvCxnSpPr/>
      </xdr:nvCxnSpPr>
      <xdr:spPr>
        <a:xfrm>
          <a:off x="7997190" y="1754505"/>
          <a:ext cx="0" cy="140208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6</xdr:row>
      <xdr:rowOff>83820</xdr:rowOff>
    </xdr:from>
    <xdr:to>
      <xdr:col>15</xdr:col>
      <xdr:colOff>441960</xdr:colOff>
      <xdr:row>12</xdr:row>
      <xdr:rowOff>121920</xdr:rowOff>
    </xdr:to>
    <xdr:sp>
      <xdr:nvSpPr>
        <xdr:cNvPr id="68612" name="Oval 6"/>
        <xdr:cNvSpPr>
          <a:spLocks/>
        </xdr:cNvSpPr>
      </xdr:nvSpPr>
      <xdr:spPr>
        <a:xfrm>
          <a:off x="5505450" y="1815465"/>
          <a:ext cx="121158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22860</xdr:colOff>
      <xdr:row>6</xdr:row>
      <xdr:rowOff>83820</xdr:rowOff>
    </xdr:from>
    <xdr:to>
      <xdr:col>18</xdr:col>
      <xdr:colOff>388620</xdr:colOff>
      <xdr:row>12</xdr:row>
      <xdr:rowOff>121920</xdr:rowOff>
    </xdr:to>
    <xdr:sp>
      <xdr:nvSpPr>
        <xdr:cNvPr id="68613" name="Oval 7"/>
        <xdr:cNvSpPr>
          <a:spLocks/>
        </xdr:cNvSpPr>
      </xdr:nvSpPr>
      <xdr:spPr>
        <a:xfrm>
          <a:off x="6717030" y="1815465"/>
          <a:ext cx="120396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220980</xdr:colOff>
      <xdr:row>6</xdr:row>
      <xdr:rowOff>22860</xdr:rowOff>
    </xdr:from>
    <xdr:to>
      <xdr:col>12</xdr:col>
      <xdr:colOff>381000</xdr:colOff>
      <xdr:row>12</xdr:row>
      <xdr:rowOff>190500</xdr:rowOff>
    </xdr:to>
    <xdr:sp>
      <xdr:nvSpPr>
        <xdr:cNvPr id="68614" name="Freeform 9"/>
        <xdr:cNvSpPr>
          <a:spLocks/>
        </xdr:cNvSpPr>
      </xdr:nvSpPr>
      <xdr:spPr>
        <a:xfrm>
          <a:off x="5238750" y="1754505"/>
          <a:ext cx="160020" cy="1402080"/>
        </a:xfrm>
        <a:custGeom>
          <a:pathLst>
            <a:path w="17" h="150">
              <a:moveTo>
                <a:pt x="14" y="0"/>
              </a:moveTo>
              <a:cubicBezTo>
                <a:pt x="11" y="10"/>
                <a:pt x="8" y="20"/>
                <a:pt x="6" y="25"/>
              </a:cubicBezTo>
              <a:cubicBezTo>
                <a:pt x="4" y="30"/>
                <a:pt x="5" y="25"/>
                <a:pt x="4" y="31"/>
              </a:cubicBezTo>
              <a:cubicBezTo>
                <a:pt x="3" y="37"/>
                <a:pt x="0" y="51"/>
                <a:pt x="1" y="61"/>
              </a:cubicBezTo>
              <a:cubicBezTo>
                <a:pt x="2" y="71"/>
                <a:pt x="6" y="79"/>
                <a:pt x="8" y="89"/>
              </a:cubicBezTo>
              <a:cubicBezTo>
                <a:pt x="10" y="99"/>
                <a:pt x="15" y="112"/>
                <a:pt x="16" y="120"/>
              </a:cubicBezTo>
              <a:cubicBezTo>
                <a:pt x="17" y="128"/>
                <a:pt x="12" y="131"/>
                <a:pt x="12" y="136"/>
              </a:cubicBezTo>
              <a:cubicBezTo>
                <a:pt x="12" y="141"/>
                <a:pt x="14" y="145"/>
                <a:pt x="16" y="150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121920</xdr:colOff>
      <xdr:row>10</xdr:row>
      <xdr:rowOff>0</xdr:rowOff>
    </xdr:from>
    <xdr:to>
      <xdr:col>14</xdr:col>
      <xdr:colOff>7620</xdr:colOff>
      <xdr:row>10</xdr:row>
      <xdr:rowOff>160020</xdr:rowOff>
    </xdr:to>
    <xdr:cxnSp>
      <xdr:nvCxnSpPr>
        <xdr:cNvPr id="68615" name="Line 10"/>
        <xdr:cNvCxnSpPr/>
      </xdr:nvCxnSpPr>
      <xdr:spPr>
        <a:xfrm flipH="1">
          <a:off x="5558790" y="2554605"/>
          <a:ext cx="304800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8</xdr:row>
      <xdr:rowOff>45720</xdr:rowOff>
    </xdr:from>
    <xdr:to>
      <xdr:col>15</xdr:col>
      <xdr:colOff>388620</xdr:colOff>
      <xdr:row>9</xdr:row>
      <xdr:rowOff>0</xdr:rowOff>
    </xdr:to>
    <xdr:cxnSp>
      <xdr:nvCxnSpPr>
        <xdr:cNvPr id="68616" name="Line 11"/>
        <xdr:cNvCxnSpPr/>
      </xdr:nvCxnSpPr>
      <xdr:spPr>
        <a:xfrm flipV="1">
          <a:off x="6282690" y="2188845"/>
          <a:ext cx="381000" cy="1600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9</xdr:row>
      <xdr:rowOff>114300</xdr:rowOff>
    </xdr:from>
    <xdr:to>
      <xdr:col>17</xdr:col>
      <xdr:colOff>0</xdr:colOff>
      <xdr:row>9</xdr:row>
      <xdr:rowOff>114300</xdr:rowOff>
    </xdr:to>
    <xdr:cxnSp>
      <xdr:nvCxnSpPr>
        <xdr:cNvPr id="68617" name="Line 13"/>
        <xdr:cNvCxnSpPr/>
      </xdr:nvCxnSpPr>
      <xdr:spPr>
        <a:xfrm>
          <a:off x="6724650" y="2463165"/>
          <a:ext cx="3886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9</xdr:row>
      <xdr:rowOff>114300</xdr:rowOff>
    </xdr:from>
    <xdr:to>
      <xdr:col>15</xdr:col>
      <xdr:colOff>434340</xdr:colOff>
      <xdr:row>9</xdr:row>
      <xdr:rowOff>114300</xdr:rowOff>
    </xdr:to>
    <xdr:cxnSp>
      <xdr:nvCxnSpPr>
        <xdr:cNvPr id="68618" name="Line 14"/>
        <xdr:cNvCxnSpPr/>
      </xdr:nvCxnSpPr>
      <xdr:spPr>
        <a:xfrm>
          <a:off x="6511290" y="2463165"/>
          <a:ext cx="1981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441960</xdr:colOff>
      <xdr:row>9</xdr:row>
      <xdr:rowOff>114300</xdr:rowOff>
    </xdr:from>
    <xdr:to>
      <xdr:col>16</xdr:col>
      <xdr:colOff>30480</xdr:colOff>
      <xdr:row>9</xdr:row>
      <xdr:rowOff>114300</xdr:rowOff>
    </xdr:to>
    <xdr:cxnSp>
      <xdr:nvCxnSpPr>
        <xdr:cNvPr id="68619" name="Line 15"/>
        <xdr:cNvCxnSpPr/>
      </xdr:nvCxnSpPr>
      <xdr:spPr>
        <a:xfrm>
          <a:off x="6717030" y="2463165"/>
          <a:ext cx="76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121920</xdr:rowOff>
    </xdr:from>
    <xdr:to>
      <xdr:col>17</xdr:col>
      <xdr:colOff>228600</xdr:colOff>
      <xdr:row>12</xdr:row>
      <xdr:rowOff>190500</xdr:rowOff>
    </xdr:to>
    <xdr:cxnSp>
      <xdr:nvCxnSpPr>
        <xdr:cNvPr id="68620" name="Line 16"/>
        <xdr:cNvCxnSpPr/>
      </xdr:nvCxnSpPr>
      <xdr:spPr>
        <a:xfrm>
          <a:off x="7341870" y="3088005"/>
          <a:ext cx="0" cy="685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0</xdr:rowOff>
    </xdr:from>
    <xdr:to>
      <xdr:col>17</xdr:col>
      <xdr:colOff>228600</xdr:colOff>
      <xdr:row>12</xdr:row>
      <xdr:rowOff>121920</xdr:rowOff>
    </xdr:to>
    <xdr:cxnSp>
      <xdr:nvCxnSpPr>
        <xdr:cNvPr id="68621" name="Line 17"/>
        <xdr:cNvCxnSpPr/>
      </xdr:nvCxnSpPr>
      <xdr:spPr>
        <a:xfrm>
          <a:off x="7341870" y="2966085"/>
          <a:ext cx="0" cy="1219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190500</xdr:rowOff>
    </xdr:from>
    <xdr:to>
      <xdr:col>17</xdr:col>
      <xdr:colOff>228600</xdr:colOff>
      <xdr:row>13</xdr:row>
      <xdr:rowOff>182880</xdr:rowOff>
    </xdr:to>
    <xdr:cxnSp>
      <xdr:nvCxnSpPr>
        <xdr:cNvPr id="68622" name="Line 18"/>
        <xdr:cNvCxnSpPr/>
      </xdr:nvCxnSpPr>
      <xdr:spPr>
        <a:xfrm flipV="1">
          <a:off x="7341870" y="3156585"/>
          <a:ext cx="0" cy="1981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236220</xdr:colOff>
      <xdr:row>4</xdr:row>
      <xdr:rowOff>7620</xdr:rowOff>
    </xdr:from>
    <xdr:to>
      <xdr:col>14</xdr:col>
      <xdr:colOff>236220</xdr:colOff>
      <xdr:row>8</xdr:row>
      <xdr:rowOff>198120</xdr:rowOff>
    </xdr:to>
    <xdr:cxnSp>
      <xdr:nvCxnSpPr>
        <xdr:cNvPr id="68623" name="Line 20"/>
        <xdr:cNvCxnSpPr/>
      </xdr:nvCxnSpPr>
      <xdr:spPr>
        <a:xfrm flipV="1">
          <a:off x="6092190" y="1428750"/>
          <a:ext cx="0" cy="91249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251460</xdr:colOff>
      <xdr:row>4</xdr:row>
      <xdr:rowOff>7620</xdr:rowOff>
    </xdr:from>
    <xdr:to>
      <xdr:col>17</xdr:col>
      <xdr:colOff>251460</xdr:colOff>
      <xdr:row>9</xdr:row>
      <xdr:rowOff>0</xdr:rowOff>
    </xdr:to>
    <xdr:cxnSp>
      <xdr:nvCxnSpPr>
        <xdr:cNvPr id="68624" name="Line 21"/>
        <xdr:cNvCxnSpPr/>
      </xdr:nvCxnSpPr>
      <xdr:spPr>
        <a:xfrm flipV="1">
          <a:off x="7364730" y="1428750"/>
          <a:ext cx="0" cy="920115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4</xdr:row>
      <xdr:rowOff>106680</xdr:rowOff>
    </xdr:from>
    <xdr:to>
      <xdr:col>17</xdr:col>
      <xdr:colOff>251460</xdr:colOff>
      <xdr:row>4</xdr:row>
      <xdr:rowOff>106680</xdr:rowOff>
    </xdr:to>
    <xdr:cxnSp>
      <xdr:nvCxnSpPr>
        <xdr:cNvPr id="68625" name="Line 22"/>
        <xdr:cNvCxnSpPr/>
      </xdr:nvCxnSpPr>
      <xdr:spPr>
        <a:xfrm>
          <a:off x="7136130" y="1527810"/>
          <a:ext cx="2286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236220</xdr:colOff>
      <xdr:row>4</xdr:row>
      <xdr:rowOff>114300</xdr:rowOff>
    </xdr:from>
    <xdr:to>
      <xdr:col>16</xdr:col>
      <xdr:colOff>0</xdr:colOff>
      <xdr:row>4</xdr:row>
      <xdr:rowOff>114300</xdr:rowOff>
    </xdr:to>
    <xdr:cxnSp>
      <xdr:nvCxnSpPr>
        <xdr:cNvPr id="68626" name="Line 24"/>
        <xdr:cNvCxnSpPr/>
      </xdr:nvCxnSpPr>
      <xdr:spPr>
        <a:xfrm flipH="1">
          <a:off x="6092190" y="1535430"/>
          <a:ext cx="6019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220980</xdr:colOff>
      <xdr:row>6</xdr:row>
      <xdr:rowOff>22860</xdr:rowOff>
    </xdr:from>
    <xdr:to>
      <xdr:col>20</xdr:col>
      <xdr:colOff>220980</xdr:colOff>
      <xdr:row>9</xdr:row>
      <xdr:rowOff>0</xdr:rowOff>
    </xdr:to>
    <xdr:cxnSp>
      <xdr:nvCxnSpPr>
        <xdr:cNvPr id="68627" name="Line 26"/>
        <xdr:cNvCxnSpPr/>
      </xdr:nvCxnSpPr>
      <xdr:spPr>
        <a:xfrm flipV="1">
          <a:off x="8286750" y="1754505"/>
          <a:ext cx="0" cy="5943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236220</xdr:colOff>
      <xdr:row>9</xdr:row>
      <xdr:rowOff>198120</xdr:rowOff>
    </xdr:from>
    <xdr:to>
      <xdr:col>20</xdr:col>
      <xdr:colOff>236220</xdr:colOff>
      <xdr:row>12</xdr:row>
      <xdr:rowOff>190500</xdr:rowOff>
    </xdr:to>
    <xdr:cxnSp>
      <xdr:nvCxnSpPr>
        <xdr:cNvPr id="68628" name="Line 27"/>
        <xdr:cNvCxnSpPr/>
      </xdr:nvCxnSpPr>
      <xdr:spPr>
        <a:xfrm>
          <a:off x="8301990" y="2546985"/>
          <a:ext cx="0" cy="60960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480060</xdr:colOff>
      <xdr:row>12</xdr:row>
      <xdr:rowOff>190500</xdr:rowOff>
    </xdr:from>
    <xdr:to>
      <xdr:col>20</xdr:col>
      <xdr:colOff>381000</xdr:colOff>
      <xdr:row>12</xdr:row>
      <xdr:rowOff>190500</xdr:rowOff>
    </xdr:to>
    <xdr:cxnSp>
      <xdr:nvCxnSpPr>
        <xdr:cNvPr id="68629" name="Line 28"/>
        <xdr:cNvCxnSpPr/>
      </xdr:nvCxnSpPr>
      <xdr:spPr>
        <a:xfrm>
          <a:off x="8012430" y="3156585"/>
          <a:ext cx="4343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480060</xdr:colOff>
      <xdr:row>6</xdr:row>
      <xdr:rowOff>22860</xdr:rowOff>
    </xdr:from>
    <xdr:to>
      <xdr:col>20</xdr:col>
      <xdr:colOff>381000</xdr:colOff>
      <xdr:row>6</xdr:row>
      <xdr:rowOff>22860</xdr:rowOff>
    </xdr:to>
    <xdr:cxnSp>
      <xdr:nvCxnSpPr>
        <xdr:cNvPr id="68630" name="Line 29"/>
        <xdr:cNvCxnSpPr/>
      </xdr:nvCxnSpPr>
      <xdr:spPr>
        <a:xfrm>
          <a:off x="8012430" y="1754505"/>
          <a:ext cx="4343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6</xdr:row>
      <xdr:rowOff>83820</xdr:rowOff>
    </xdr:from>
    <xdr:to>
      <xdr:col>3</xdr:col>
      <xdr:colOff>411480</xdr:colOff>
      <xdr:row>12</xdr:row>
      <xdr:rowOff>121920</xdr:rowOff>
    </xdr:to>
    <xdr:sp>
      <xdr:nvSpPr>
        <xdr:cNvPr id="68631" name="Oval 42"/>
        <xdr:cNvSpPr>
          <a:spLocks/>
        </xdr:cNvSpPr>
      </xdr:nvSpPr>
      <xdr:spPr>
        <a:xfrm>
          <a:off x="807720" y="1815465"/>
          <a:ext cx="113538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22860</xdr:colOff>
      <xdr:row>6</xdr:row>
      <xdr:rowOff>83820</xdr:rowOff>
    </xdr:from>
    <xdr:to>
      <xdr:col>6</xdr:col>
      <xdr:colOff>388620</xdr:colOff>
      <xdr:row>12</xdr:row>
      <xdr:rowOff>121920</xdr:rowOff>
    </xdr:to>
    <xdr:sp>
      <xdr:nvSpPr>
        <xdr:cNvPr id="68632" name="Oval 43"/>
        <xdr:cNvSpPr>
          <a:spLocks/>
        </xdr:cNvSpPr>
      </xdr:nvSpPr>
      <xdr:spPr>
        <a:xfrm>
          <a:off x="1973580" y="1815465"/>
          <a:ext cx="120396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0</xdr:colOff>
      <xdr:row>6</xdr:row>
      <xdr:rowOff>83820</xdr:rowOff>
    </xdr:from>
    <xdr:to>
      <xdr:col>9</xdr:col>
      <xdr:colOff>373380</xdr:colOff>
      <xdr:row>12</xdr:row>
      <xdr:rowOff>121920</xdr:rowOff>
    </xdr:to>
    <xdr:sp>
      <xdr:nvSpPr>
        <xdr:cNvPr id="68633" name="Oval 44"/>
        <xdr:cNvSpPr>
          <a:spLocks/>
        </xdr:cNvSpPr>
      </xdr:nvSpPr>
      <xdr:spPr>
        <a:xfrm>
          <a:off x="3208020" y="1815465"/>
          <a:ext cx="121158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266700</xdr:colOff>
      <xdr:row>12</xdr:row>
      <xdr:rowOff>45720</xdr:rowOff>
    </xdr:from>
    <xdr:to>
      <xdr:col>5</xdr:col>
      <xdr:colOff>152400</xdr:colOff>
      <xdr:row>18</xdr:row>
      <xdr:rowOff>83820</xdr:rowOff>
    </xdr:to>
    <xdr:sp>
      <xdr:nvSpPr>
        <xdr:cNvPr id="68634" name="Oval 45"/>
        <xdr:cNvSpPr>
          <a:spLocks/>
        </xdr:cNvSpPr>
      </xdr:nvSpPr>
      <xdr:spPr>
        <a:xfrm>
          <a:off x="1379220" y="3011805"/>
          <a:ext cx="114300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259080</xdr:colOff>
      <xdr:row>12</xdr:row>
      <xdr:rowOff>45720</xdr:rowOff>
    </xdr:from>
    <xdr:to>
      <xdr:col>8</xdr:col>
      <xdr:colOff>144780</xdr:colOff>
      <xdr:row>18</xdr:row>
      <xdr:rowOff>83820</xdr:rowOff>
    </xdr:to>
    <xdr:sp>
      <xdr:nvSpPr>
        <xdr:cNvPr id="68635" name="Oval 46"/>
        <xdr:cNvSpPr>
          <a:spLocks/>
        </xdr:cNvSpPr>
      </xdr:nvSpPr>
      <xdr:spPr>
        <a:xfrm>
          <a:off x="2628900" y="3011805"/>
          <a:ext cx="114300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137160</xdr:colOff>
      <xdr:row>18</xdr:row>
      <xdr:rowOff>0</xdr:rowOff>
    </xdr:from>
    <xdr:to>
      <xdr:col>3</xdr:col>
      <xdr:colOff>411480</xdr:colOff>
      <xdr:row>24</xdr:row>
      <xdr:rowOff>38100</xdr:rowOff>
    </xdr:to>
    <xdr:sp>
      <xdr:nvSpPr>
        <xdr:cNvPr id="68636" name="Oval 48"/>
        <xdr:cNvSpPr>
          <a:spLocks/>
        </xdr:cNvSpPr>
      </xdr:nvSpPr>
      <xdr:spPr>
        <a:xfrm>
          <a:off x="830580" y="4200525"/>
          <a:ext cx="111252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22860</xdr:colOff>
      <xdr:row>18</xdr:row>
      <xdr:rowOff>0</xdr:rowOff>
    </xdr:from>
    <xdr:to>
      <xdr:col>6</xdr:col>
      <xdr:colOff>388620</xdr:colOff>
      <xdr:row>24</xdr:row>
      <xdr:rowOff>38100</xdr:rowOff>
    </xdr:to>
    <xdr:sp>
      <xdr:nvSpPr>
        <xdr:cNvPr id="68637" name="Oval 49"/>
        <xdr:cNvSpPr>
          <a:spLocks/>
        </xdr:cNvSpPr>
      </xdr:nvSpPr>
      <xdr:spPr>
        <a:xfrm>
          <a:off x="1973580" y="4200525"/>
          <a:ext cx="120396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22860</xdr:colOff>
      <xdr:row>18</xdr:row>
      <xdr:rowOff>0</xdr:rowOff>
    </xdr:from>
    <xdr:to>
      <xdr:col>9</xdr:col>
      <xdr:colOff>388620</xdr:colOff>
      <xdr:row>24</xdr:row>
      <xdr:rowOff>38100</xdr:rowOff>
    </xdr:to>
    <xdr:sp>
      <xdr:nvSpPr>
        <xdr:cNvPr id="68638" name="Oval 50"/>
        <xdr:cNvSpPr>
          <a:spLocks/>
        </xdr:cNvSpPr>
      </xdr:nvSpPr>
      <xdr:spPr>
        <a:xfrm>
          <a:off x="3230880" y="4200525"/>
          <a:ext cx="1203960" cy="1272540"/>
        </a:xfrm>
        <a:prstGeom prst="ellips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495300</xdr:colOff>
      <xdr:row>6</xdr:row>
      <xdr:rowOff>0</xdr:rowOff>
    </xdr:from>
    <xdr:to>
      <xdr:col>10</xdr:col>
      <xdr:colOff>0</xdr:colOff>
      <xdr:row>6</xdr:row>
      <xdr:rowOff>0</xdr:rowOff>
    </xdr:to>
    <xdr:cxnSp>
      <xdr:nvCxnSpPr>
        <xdr:cNvPr id="68639" name="Line 52"/>
        <xdr:cNvCxnSpPr/>
      </xdr:nvCxnSpPr>
      <xdr:spPr>
        <a:xfrm>
          <a:off x="474345" y="1731645"/>
          <a:ext cx="399097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99060</xdr:rowOff>
    </xdr:from>
    <xdr:to>
      <xdr:col>10</xdr:col>
      <xdr:colOff>0</xdr:colOff>
      <xdr:row>24</xdr:row>
      <xdr:rowOff>99060</xdr:rowOff>
    </xdr:to>
    <xdr:cxnSp>
      <xdr:nvCxnSpPr>
        <xdr:cNvPr id="68640" name="Line 53"/>
        <xdr:cNvCxnSpPr/>
      </xdr:nvCxnSpPr>
      <xdr:spPr>
        <a:xfrm>
          <a:off x="4465320" y="1725930"/>
          <a:ext cx="0" cy="3808095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335280</xdr:colOff>
      <xdr:row>24</xdr:row>
      <xdr:rowOff>99060</xdr:rowOff>
    </xdr:from>
    <xdr:to>
      <xdr:col>10</xdr:col>
      <xdr:colOff>7620</xdr:colOff>
      <xdr:row>24</xdr:row>
      <xdr:rowOff>99060</xdr:rowOff>
    </xdr:to>
    <xdr:cxnSp>
      <xdr:nvCxnSpPr>
        <xdr:cNvPr id="68641" name="Line 54"/>
        <xdr:cNvCxnSpPr/>
      </xdr:nvCxnSpPr>
      <xdr:spPr>
        <a:xfrm flipV="1">
          <a:off x="314325" y="5534025"/>
          <a:ext cx="4158615" cy="0"/>
        </a:xfrm>
        <a:prstGeom prst="line"/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251460</xdr:colOff>
      <xdr:row>6</xdr:row>
      <xdr:rowOff>0</xdr:rowOff>
    </xdr:from>
    <xdr:to>
      <xdr:col>0</xdr:col>
      <xdr:colOff>594360</xdr:colOff>
      <xdr:row>24</xdr:row>
      <xdr:rowOff>83820</xdr:rowOff>
    </xdr:to>
    <xdr:sp>
      <xdr:nvSpPr>
        <xdr:cNvPr id="68642" name="Freeform 55"/>
        <xdr:cNvSpPr>
          <a:spLocks/>
        </xdr:cNvSpPr>
      </xdr:nvSpPr>
      <xdr:spPr>
        <a:xfrm>
          <a:off x="230505" y="1731645"/>
          <a:ext cx="342900" cy="3787140"/>
        </a:xfrm>
        <a:custGeom>
          <a:pathLst>
            <a:path w="36" h="405">
              <a:moveTo>
                <a:pt x="9" y="405"/>
              </a:moveTo>
              <a:cubicBezTo>
                <a:pt x="4" y="384"/>
                <a:pt x="0" y="363"/>
                <a:pt x="1" y="343"/>
              </a:cubicBezTo>
              <a:cubicBezTo>
                <a:pt x="2" y="323"/>
                <a:pt x="8" y="308"/>
                <a:pt x="13" y="287"/>
              </a:cubicBezTo>
              <a:cubicBezTo>
                <a:pt x="18" y="266"/>
                <a:pt x="26" y="243"/>
                <a:pt x="30" y="214"/>
              </a:cubicBezTo>
              <a:cubicBezTo>
                <a:pt x="34" y="185"/>
                <a:pt x="36" y="139"/>
                <a:pt x="35" y="113"/>
              </a:cubicBezTo>
              <a:cubicBezTo>
                <a:pt x="34" y="87"/>
                <a:pt x="24" y="79"/>
                <a:pt x="23" y="60"/>
              </a:cubicBezTo>
              <a:cubicBezTo>
                <a:pt x="22" y="41"/>
                <a:pt x="26" y="10"/>
                <a:pt x="26" y="0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7620</xdr:colOff>
      <xdr:row>8</xdr:row>
      <xdr:rowOff>60960</xdr:rowOff>
    </xdr:from>
    <xdr:to>
      <xdr:col>3</xdr:col>
      <xdr:colOff>350520</xdr:colOff>
      <xdr:row>9</xdr:row>
      <xdr:rowOff>0</xdr:rowOff>
    </xdr:to>
    <xdr:cxnSp>
      <xdr:nvCxnSpPr>
        <xdr:cNvPr id="68643" name="Line 57"/>
        <xdr:cNvCxnSpPr/>
      </xdr:nvCxnSpPr>
      <xdr:spPr>
        <a:xfrm flipV="1">
          <a:off x="1539240" y="2204085"/>
          <a:ext cx="342900" cy="1447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</xdr:colOff>
      <xdr:row>10</xdr:row>
      <xdr:rowOff>7620</xdr:rowOff>
    </xdr:from>
    <xdr:to>
      <xdr:col>2</xdr:col>
      <xdr:colOff>7620</xdr:colOff>
      <xdr:row>10</xdr:row>
      <xdr:rowOff>144780</xdr:rowOff>
    </xdr:to>
    <xdr:cxnSp>
      <xdr:nvCxnSpPr>
        <xdr:cNvPr id="68644" name="Line 58"/>
        <xdr:cNvCxnSpPr/>
      </xdr:nvCxnSpPr>
      <xdr:spPr>
        <a:xfrm flipH="1">
          <a:off x="868680" y="2562225"/>
          <a:ext cx="251460" cy="1371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4</xdr:row>
      <xdr:rowOff>7620</xdr:rowOff>
    </xdr:from>
    <xdr:to>
      <xdr:col>5</xdr:col>
      <xdr:colOff>220980</xdr:colOff>
      <xdr:row>9</xdr:row>
      <xdr:rowOff>114300</xdr:rowOff>
    </xdr:to>
    <xdr:cxnSp>
      <xdr:nvCxnSpPr>
        <xdr:cNvPr id="68645" name="Line 59"/>
        <xdr:cNvCxnSpPr/>
      </xdr:nvCxnSpPr>
      <xdr:spPr>
        <a:xfrm flipV="1">
          <a:off x="2590800" y="1428750"/>
          <a:ext cx="0" cy="1034415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4</xdr:row>
      <xdr:rowOff>38100</xdr:rowOff>
    </xdr:from>
    <xdr:to>
      <xdr:col>8</xdr:col>
      <xdr:colOff>190500</xdr:colOff>
      <xdr:row>9</xdr:row>
      <xdr:rowOff>144780</xdr:rowOff>
    </xdr:to>
    <xdr:cxnSp>
      <xdr:nvCxnSpPr>
        <xdr:cNvPr id="68646" name="Line 60"/>
        <xdr:cNvCxnSpPr/>
      </xdr:nvCxnSpPr>
      <xdr:spPr>
        <a:xfrm flipV="1">
          <a:off x="3817620" y="1459230"/>
          <a:ext cx="0" cy="1034415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106680</xdr:rowOff>
    </xdr:from>
    <xdr:to>
      <xdr:col>8</xdr:col>
      <xdr:colOff>182880</xdr:colOff>
      <xdr:row>4</xdr:row>
      <xdr:rowOff>106680</xdr:rowOff>
    </xdr:to>
    <xdr:cxnSp>
      <xdr:nvCxnSpPr>
        <xdr:cNvPr id="68647" name="Line 61"/>
        <xdr:cNvCxnSpPr/>
      </xdr:nvCxnSpPr>
      <xdr:spPr>
        <a:xfrm>
          <a:off x="3208020" y="1527810"/>
          <a:ext cx="6019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4</xdr:row>
      <xdr:rowOff>106680</xdr:rowOff>
    </xdr:from>
    <xdr:to>
      <xdr:col>6</xdr:col>
      <xdr:colOff>0</xdr:colOff>
      <xdr:row>4</xdr:row>
      <xdr:rowOff>106680</xdr:rowOff>
    </xdr:to>
    <xdr:cxnSp>
      <xdr:nvCxnSpPr>
        <xdr:cNvPr id="68648" name="Line 62"/>
        <xdr:cNvCxnSpPr/>
      </xdr:nvCxnSpPr>
      <xdr:spPr>
        <a:xfrm flipH="1">
          <a:off x="2590800" y="1527810"/>
          <a:ext cx="19812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15</xdr:row>
      <xdr:rowOff>106680</xdr:rowOff>
    </xdr:from>
    <xdr:to>
      <xdr:col>6</xdr:col>
      <xdr:colOff>0</xdr:colOff>
      <xdr:row>15</xdr:row>
      <xdr:rowOff>106680</xdr:rowOff>
    </xdr:to>
    <xdr:cxnSp>
      <xdr:nvCxnSpPr>
        <xdr:cNvPr id="68649" name="Line 63"/>
        <xdr:cNvCxnSpPr/>
      </xdr:nvCxnSpPr>
      <xdr:spPr>
        <a:xfrm flipH="1">
          <a:off x="2636520" y="3689985"/>
          <a:ext cx="15240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15</xdr:row>
      <xdr:rowOff>106680</xdr:rowOff>
    </xdr:from>
    <xdr:to>
      <xdr:col>5</xdr:col>
      <xdr:colOff>274320</xdr:colOff>
      <xdr:row>15</xdr:row>
      <xdr:rowOff>106680</xdr:rowOff>
    </xdr:to>
    <xdr:cxnSp>
      <xdr:nvCxnSpPr>
        <xdr:cNvPr id="68650" name="Line 64"/>
        <xdr:cNvCxnSpPr/>
      </xdr:nvCxnSpPr>
      <xdr:spPr>
        <a:xfrm flipH="1">
          <a:off x="2514600" y="3689985"/>
          <a:ext cx="12954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15</xdr:row>
      <xdr:rowOff>106680</xdr:rowOff>
    </xdr:from>
    <xdr:to>
      <xdr:col>5</xdr:col>
      <xdr:colOff>144780</xdr:colOff>
      <xdr:row>15</xdr:row>
      <xdr:rowOff>106680</xdr:rowOff>
    </xdr:to>
    <xdr:cxnSp>
      <xdr:nvCxnSpPr>
        <xdr:cNvPr id="68651" name="Line 65"/>
        <xdr:cNvCxnSpPr/>
      </xdr:nvCxnSpPr>
      <xdr:spPr>
        <a:xfrm>
          <a:off x="2179320" y="3689985"/>
          <a:ext cx="33528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22</xdr:row>
      <xdr:rowOff>7620</xdr:rowOff>
    </xdr:from>
    <xdr:to>
      <xdr:col>5</xdr:col>
      <xdr:colOff>251460</xdr:colOff>
      <xdr:row>24</xdr:row>
      <xdr:rowOff>38100</xdr:rowOff>
    </xdr:to>
    <xdr:cxnSp>
      <xdr:nvCxnSpPr>
        <xdr:cNvPr id="68652" name="Line 66"/>
        <xdr:cNvCxnSpPr/>
      </xdr:nvCxnSpPr>
      <xdr:spPr>
        <a:xfrm>
          <a:off x="2621280" y="5031105"/>
          <a:ext cx="0" cy="441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24</xdr:row>
      <xdr:rowOff>45720</xdr:rowOff>
    </xdr:from>
    <xdr:to>
      <xdr:col>5</xdr:col>
      <xdr:colOff>251460</xdr:colOff>
      <xdr:row>24</xdr:row>
      <xdr:rowOff>106680</xdr:rowOff>
    </xdr:to>
    <xdr:cxnSp>
      <xdr:nvCxnSpPr>
        <xdr:cNvPr id="68653" name="Line 67"/>
        <xdr:cNvCxnSpPr/>
      </xdr:nvCxnSpPr>
      <xdr:spPr>
        <a:xfrm>
          <a:off x="2621280" y="5480685"/>
          <a:ext cx="0" cy="609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24</xdr:row>
      <xdr:rowOff>99060</xdr:rowOff>
    </xdr:from>
    <xdr:to>
      <xdr:col>5</xdr:col>
      <xdr:colOff>251460</xdr:colOff>
      <xdr:row>26</xdr:row>
      <xdr:rowOff>7620</xdr:rowOff>
    </xdr:to>
    <xdr:cxnSp>
      <xdr:nvCxnSpPr>
        <xdr:cNvPr id="68654" name="Line 68"/>
        <xdr:cNvCxnSpPr/>
      </xdr:nvCxnSpPr>
      <xdr:spPr>
        <a:xfrm flipV="1">
          <a:off x="2621280" y="5534025"/>
          <a:ext cx="0" cy="32004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6</xdr:row>
      <xdr:rowOff>0</xdr:rowOff>
    </xdr:from>
    <xdr:to>
      <xdr:col>11</xdr:col>
      <xdr:colOff>335280</xdr:colOff>
      <xdr:row>6</xdr:row>
      <xdr:rowOff>0</xdr:rowOff>
    </xdr:to>
    <xdr:cxnSp>
      <xdr:nvCxnSpPr>
        <xdr:cNvPr id="68655" name="Line 69"/>
        <xdr:cNvCxnSpPr/>
      </xdr:nvCxnSpPr>
      <xdr:spPr>
        <a:xfrm>
          <a:off x="4472940" y="1731645"/>
          <a:ext cx="46101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24</xdr:row>
      <xdr:rowOff>99060</xdr:rowOff>
    </xdr:from>
    <xdr:to>
      <xdr:col>11</xdr:col>
      <xdr:colOff>350520</xdr:colOff>
      <xdr:row>24</xdr:row>
      <xdr:rowOff>99060</xdr:rowOff>
    </xdr:to>
    <xdr:cxnSp>
      <xdr:nvCxnSpPr>
        <xdr:cNvPr id="68656" name="Line 70"/>
        <xdr:cNvCxnSpPr/>
      </xdr:nvCxnSpPr>
      <xdr:spPr>
        <a:xfrm>
          <a:off x="4472940" y="5534025"/>
          <a:ext cx="47625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16</xdr:row>
      <xdr:rowOff>7620</xdr:rowOff>
    </xdr:from>
    <xdr:to>
      <xdr:col>11</xdr:col>
      <xdr:colOff>236220</xdr:colOff>
      <xdr:row>24</xdr:row>
      <xdr:rowOff>106680</xdr:rowOff>
    </xdr:to>
    <xdr:cxnSp>
      <xdr:nvCxnSpPr>
        <xdr:cNvPr id="68657" name="Line 71"/>
        <xdr:cNvCxnSpPr/>
      </xdr:nvCxnSpPr>
      <xdr:spPr>
        <a:xfrm>
          <a:off x="4834890" y="3796665"/>
          <a:ext cx="0" cy="17449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259080</xdr:colOff>
      <xdr:row>6</xdr:row>
      <xdr:rowOff>0</xdr:rowOff>
    </xdr:from>
    <xdr:to>
      <xdr:col>11</xdr:col>
      <xdr:colOff>259080</xdr:colOff>
      <xdr:row>15</xdr:row>
      <xdr:rowOff>0</xdr:rowOff>
    </xdr:to>
    <xdr:cxnSp>
      <xdr:nvCxnSpPr>
        <xdr:cNvPr id="68658" name="Line 72"/>
        <xdr:cNvCxnSpPr/>
      </xdr:nvCxnSpPr>
      <xdr:spPr>
        <a:xfrm flipV="1">
          <a:off x="4857750" y="1731645"/>
          <a:ext cx="0" cy="185166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4</xdr:row>
      <xdr:rowOff>22860</xdr:rowOff>
    </xdr:from>
    <xdr:to>
      <xdr:col>3</xdr:col>
      <xdr:colOff>457200</xdr:colOff>
      <xdr:row>15</xdr:row>
      <xdr:rowOff>175260</xdr:rowOff>
    </xdr:to>
    <xdr:cxnSp>
      <xdr:nvCxnSpPr>
        <xdr:cNvPr id="68659" name="Line 74"/>
        <xdr:cNvCxnSpPr/>
      </xdr:nvCxnSpPr>
      <xdr:spPr>
        <a:xfrm flipV="1">
          <a:off x="1988820" y="1443990"/>
          <a:ext cx="0" cy="2314575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</xdr:row>
      <xdr:rowOff>114300</xdr:rowOff>
    </xdr:from>
    <xdr:to>
      <xdr:col>3</xdr:col>
      <xdr:colOff>434340</xdr:colOff>
      <xdr:row>4</xdr:row>
      <xdr:rowOff>114300</xdr:rowOff>
    </xdr:to>
    <xdr:cxnSp>
      <xdr:nvCxnSpPr>
        <xdr:cNvPr id="68660" name="Line 75"/>
        <xdr:cNvCxnSpPr/>
      </xdr:nvCxnSpPr>
      <xdr:spPr>
        <a:xfrm flipH="1">
          <a:off x="1676400" y="1535430"/>
          <a:ext cx="2895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106680</xdr:rowOff>
    </xdr:from>
    <xdr:to>
      <xdr:col>5</xdr:col>
      <xdr:colOff>213360</xdr:colOff>
      <xdr:row>4</xdr:row>
      <xdr:rowOff>106680</xdr:rowOff>
    </xdr:to>
    <xdr:cxnSp>
      <xdr:nvCxnSpPr>
        <xdr:cNvPr id="68661" name="Line 76"/>
        <xdr:cNvCxnSpPr/>
      </xdr:nvCxnSpPr>
      <xdr:spPr>
        <a:xfrm>
          <a:off x="2369820" y="1527810"/>
          <a:ext cx="213360" cy="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15</xdr:row>
      <xdr:rowOff>106680</xdr:rowOff>
    </xdr:from>
    <xdr:to>
      <xdr:col>4</xdr:col>
      <xdr:colOff>68580</xdr:colOff>
      <xdr:row>15</xdr:row>
      <xdr:rowOff>106680</xdr:rowOff>
    </xdr:to>
    <xdr:cxnSp>
      <xdr:nvCxnSpPr>
        <xdr:cNvPr id="68662" name="Line 77"/>
        <xdr:cNvCxnSpPr/>
      </xdr:nvCxnSpPr>
      <xdr:spPr>
        <a:xfrm flipH="1">
          <a:off x="664845" y="3689985"/>
          <a:ext cx="135445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678180</xdr:colOff>
      <xdr:row>21</xdr:row>
      <xdr:rowOff>22860</xdr:rowOff>
    </xdr:from>
    <xdr:to>
      <xdr:col>2</xdr:col>
      <xdr:colOff>312420</xdr:colOff>
      <xdr:row>21</xdr:row>
      <xdr:rowOff>22860</xdr:rowOff>
    </xdr:to>
    <xdr:cxnSp>
      <xdr:nvCxnSpPr>
        <xdr:cNvPr id="68663" name="Line 78"/>
        <xdr:cNvCxnSpPr/>
      </xdr:nvCxnSpPr>
      <xdr:spPr>
        <a:xfrm flipH="1">
          <a:off x="657225" y="4840605"/>
          <a:ext cx="767715" cy="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18</xdr:row>
      <xdr:rowOff>0</xdr:rowOff>
    </xdr:from>
    <xdr:to>
      <xdr:col>1</xdr:col>
      <xdr:colOff>266700</xdr:colOff>
      <xdr:row>21</xdr:row>
      <xdr:rowOff>22860</xdr:rowOff>
    </xdr:to>
    <xdr:cxnSp>
      <xdr:nvCxnSpPr>
        <xdr:cNvPr id="68664" name="Line 79"/>
        <xdr:cNvCxnSpPr/>
      </xdr:nvCxnSpPr>
      <xdr:spPr>
        <a:xfrm>
          <a:off x="960120" y="4200525"/>
          <a:ext cx="0" cy="64008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15</xdr:row>
      <xdr:rowOff>106680</xdr:rowOff>
    </xdr:from>
    <xdr:to>
      <xdr:col>1</xdr:col>
      <xdr:colOff>266700</xdr:colOff>
      <xdr:row>17</xdr:row>
      <xdr:rowOff>7620</xdr:rowOff>
    </xdr:to>
    <xdr:cxnSp>
      <xdr:nvCxnSpPr>
        <xdr:cNvPr id="68665" name="Line 80"/>
        <xdr:cNvCxnSpPr/>
      </xdr:nvCxnSpPr>
      <xdr:spPr>
        <a:xfrm flipV="1">
          <a:off x="960120" y="3689985"/>
          <a:ext cx="0" cy="312420"/>
        </a:xfrm>
        <a:prstGeom prst="line"/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20</xdr:row>
      <xdr:rowOff>83820</xdr:rowOff>
    </xdr:from>
    <xdr:to>
      <xdr:col>2</xdr:col>
      <xdr:colOff>251460</xdr:colOff>
      <xdr:row>21</xdr:row>
      <xdr:rowOff>137160</xdr:rowOff>
    </xdr:to>
    <xdr:cxnSp>
      <xdr:nvCxnSpPr>
        <xdr:cNvPr id="68666" name="Line 81"/>
        <xdr:cNvCxnSpPr/>
      </xdr:nvCxnSpPr>
      <xdr:spPr>
        <a:xfrm>
          <a:off x="1363980" y="4695825"/>
          <a:ext cx="0" cy="259080"/>
        </a:xfrm>
        <a:prstGeom prst="line"/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0</xdr:row>
      <xdr:rowOff>266700</xdr:rowOff>
    </xdr:from>
    <xdr:to>
      <xdr:col>21</xdr:col>
      <xdr:colOff>409575</xdr:colOff>
      <xdr:row>1</xdr:row>
      <xdr:rowOff>0</xdr:rowOff>
    </xdr:to>
    <xdr:sp>
      <xdr:nvSpPr>
        <xdr:cNvPr id="26709" name="Rectangle 85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065770" y="253365"/>
          <a:ext cx="828675" cy="361950"/>
        </a:xfrm>
        <a:prstGeom prst="rect"/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wrap="square" lIns="45720" tIns="36830" rIns="45720" bIns="0" anchor="t" vertOverflow="clip">
          <a:noAutofit/>
        </a:bodyPr>
        <a:p>
          <a:pPr algn="ctr">
            <a:buFontTx/>
            <a:buNone/>
          </a:pPr>
          <a:r>
            <a:rPr lang="ko-KR" altLang="en-US" sz="1800" kern="1200" cap="none" dirty="0" smtClean="0" b="0">
              <a:solidFill>
                <a:srgbClr val="000000"/>
              </a:solidFill>
              <a:latin typeface="华文新魏"/>
              <a:ea typeface="华文新魏"/>
            </a:rPr>
            <a:t>回首页</a:t>
          </a:r>
          <a:endParaRPr lang="ko-KR" altLang="en-US" sz="1800" kern="1200" dirty="0" smtClean="0" cap="none" b="0">
            <a:solidFill>
              <a:srgbClr val="000000"/>
            </a:solidFill>
            <a:latin typeface="华文新魏"/>
            <a:ea typeface="华文新魏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drawing" Target="../drawings/drawing10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2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drawing" Target="../drawings/drawing11.xml"></Relationship><Relationship Id="rId2" Type="http://schemas.openxmlformats.org/officeDocument/2006/relationships/vmlDrawing" Target="../drawings/vmlDrawing3.vml"></Relationship><Relationship Id="rId3" Type="http://schemas.openxmlformats.org/officeDocument/2006/relationships/comments" Target="../comments3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drawing" Target="../drawings/drawing12.xml"></Relationship><Relationship Id="rId2" Type="http://schemas.openxmlformats.org/officeDocument/2006/relationships/vmlDrawing" Target="../drawings/vmlDrawing4.vml"></Relationship><Relationship Id="rId3" Type="http://schemas.openxmlformats.org/officeDocument/2006/relationships/comments" Target="../comments4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drawing" Target="../drawings/drawing13.xml"></Relationship><Relationship Id="rId2" Type="http://schemas.openxmlformats.org/officeDocument/2006/relationships/vmlDrawing" Target="../drawings/vmlDrawing5.vml"></Relationship><Relationship Id="rId3" Type="http://schemas.openxmlformats.org/officeDocument/2006/relationships/comments" Target="../comments5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drawing" Target="../drawings/drawing14.xml"></Relationship><Relationship Id="rId2" Type="http://schemas.openxmlformats.org/officeDocument/2006/relationships/vmlDrawing" Target="../drawings/vmlDrawing6.vml"></Relationship><Relationship Id="rId3" Type="http://schemas.openxmlformats.org/officeDocument/2006/relationships/comments" Target="../comments6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drawing" Target="../drawings/drawing15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drawing" Target="../drawings/drawing16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drawing" Target="../drawings/drawing17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drawing" Target="../drawings/drawing18.xml"></Relationship><Relationship Id="rId2" Type="http://schemas.openxmlformats.org/officeDocument/2006/relationships/vmlDrawing" Target="../drawings/vmlDrawing7.vml"></Relationship><Relationship Id="rId3" Type="http://schemas.openxmlformats.org/officeDocument/2006/relationships/comments" Target="../comments7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drawing" Target="../drawings/drawing19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drawing" Target="../drawings/drawing20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drawing" Target="../drawings/drawing21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drawing" Target="../drawings/drawing22.xml"></Relationship><Relationship Id="rId2" Type="http://schemas.openxmlformats.org/officeDocument/2006/relationships/vmlDrawing" Target="../drawings/vmlDrawing8.vml"></Relationship><Relationship Id="rId3" Type="http://schemas.openxmlformats.org/officeDocument/2006/relationships/comments" Target="../comments8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drawing" Target="../drawings/drawing23.xml"></Relationship><Relationship Id="rId2" Type="http://schemas.openxmlformats.org/officeDocument/2006/relationships/vmlDrawing" Target="../drawings/vmlDrawing9.vml"></Relationship><Relationship Id="rId3" Type="http://schemas.openxmlformats.org/officeDocument/2006/relationships/comments" Target="../comments9.xml"></Relationship></Relationships>
</file>

<file path=xl/worksheets/_rels/sheet24.xml.rels><?xml version="1.0" encoding="UTF-8"?>
<Relationships xmlns="http://schemas.openxmlformats.org/package/2006/relationships"><Relationship Id="rId1" Type="http://schemas.openxmlformats.org/officeDocument/2006/relationships/drawing" Target="../drawings/drawing24.xml"></Relationship><Relationship Id="rId2" Type="http://schemas.openxmlformats.org/officeDocument/2006/relationships/vmlDrawing" Target="../drawings/vmlDrawing10.vml"></Relationship><Relationship Id="rId3" Type="http://schemas.openxmlformats.org/officeDocument/2006/relationships/comments" Target="../comments10.xml"></Relationship></Relationships>
</file>

<file path=xl/worksheets/_rels/sheet25.xml.rels><?xml version="1.0" encoding="UTF-8"?>
<Relationships xmlns="http://schemas.openxmlformats.org/package/2006/relationships"><Relationship Id="rId1" Type="http://schemas.openxmlformats.org/officeDocument/2006/relationships/drawing" Target="../drawings/drawing25.xml"></Relationship><Relationship Id="rId2" Type="http://schemas.openxmlformats.org/officeDocument/2006/relationships/vmlDrawing" Target="../drawings/vmlDrawing11.vml"></Relationship><Relationship Id="rId3" Type="http://schemas.openxmlformats.org/officeDocument/2006/relationships/comments" Target="../comments11.xml"></Relationship></Relationships>
</file>

<file path=xl/worksheets/_rels/sheet26.xml.rels><?xml version="1.0" encoding="UTF-8"?>
<Relationships xmlns="http://schemas.openxmlformats.org/package/2006/relationships"><Relationship Id="rId1" Type="http://schemas.openxmlformats.org/officeDocument/2006/relationships/drawing" Target="../drawings/drawing26.xml"></Relationship><Relationship Id="rId2" Type="http://schemas.openxmlformats.org/officeDocument/2006/relationships/vmlDrawing" Target="../drawings/vmlDrawing12.vml"></Relationship><Relationship Id="rId3" Type="http://schemas.openxmlformats.org/officeDocument/2006/relationships/comments" Target="../comments12.xml"></Relationship></Relationships>
</file>

<file path=xl/worksheets/_rels/sheet27.xml.rels><?xml version="1.0" encoding="UTF-8"?>
<Relationships xmlns="http://schemas.openxmlformats.org/package/2006/relationships"><Relationship Id="rId1" Type="http://schemas.openxmlformats.org/officeDocument/2006/relationships/drawing" Target="../drawings/drawing27.xml"></Relationship><Relationship Id="rId2" Type="http://schemas.openxmlformats.org/officeDocument/2006/relationships/vmlDrawing" Target="../drawings/vmlDrawing13.vml"></Relationship><Relationship Id="rId3" Type="http://schemas.openxmlformats.org/officeDocument/2006/relationships/comments" Target="../comments13.xml"></Relationship></Relationships>
</file>

<file path=xl/worksheets/_rels/sheet28.xml.rels><?xml version="1.0" encoding="UTF-8"?>
<Relationships xmlns="http://schemas.openxmlformats.org/package/2006/relationships"><Relationship Id="rId1" Type="http://schemas.openxmlformats.org/officeDocument/2006/relationships/drawing" Target="../drawings/drawing28.xml"></Relationship><Relationship Id="rId2" Type="http://schemas.openxmlformats.org/officeDocument/2006/relationships/vmlDrawing" Target="../drawings/vmlDrawing14.vml"></Relationship><Relationship Id="rId3" Type="http://schemas.openxmlformats.org/officeDocument/2006/relationships/comments" Target="../comments14.xml"></Relationship></Relationships>
</file>

<file path=xl/worksheets/_rels/sheet29.xml.rels><?xml version="1.0" encoding="UTF-8"?>
<Relationships xmlns="http://schemas.openxmlformats.org/package/2006/relationships"><Relationship Id="rId1" Type="http://schemas.openxmlformats.org/officeDocument/2006/relationships/drawing" Target="../drawings/drawing29.xml"></Relationship><Relationship Id="rId2" Type="http://schemas.openxmlformats.org/officeDocument/2006/relationships/vmlDrawing" Target="../drawings/vmlDrawing15.vml"></Relationship><Relationship Id="rId3" Type="http://schemas.openxmlformats.org/officeDocument/2006/relationships/comments" Target="../comments15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4.xm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drawing" Target="../drawings/drawing5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drawing" Target="../drawings/drawing6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drawing" Target="../drawings/drawing7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drawing" Target="../drawings/drawing8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drawing" Target="../drawings/drawing9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RowColHeaders="0" workbookViewId="0">
      <selection activeCell="A1" sqref="A1"/>
    </sheetView>
  </sheetViews>
  <sheetFormatPr defaultColWidth="9.00000000" defaultRowHeight="16.200000"/>
  <sheetData/>
  <phoneticPr fontId="1" type="noConversion"/>
  <pageMargins left="0.75" right="0.75" top="1.00" bottom="1.00" header="0.50" footer="0.5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78"/>
  <sheetViews>
    <sheetView showGridLines="0" showRowColHeaders="0" zoomScale="85" zoomScaleNormal="85" workbookViewId="0">
      <pane xSplit="25" ySplit="30" topLeftCell="Z31" activePane="bottomRight" state="frozen"/>
      <selection pane="topRight" activeCell="Z1" sqref="Z1"/>
      <selection pane="bottomLeft" activeCell="A31" sqref="A31"/>
      <selection pane="bottomRight" activeCell="A1" sqref="A1:W2"/>
    </sheetView>
  </sheetViews>
  <sheetFormatPr defaultColWidth="9.00000000" defaultRowHeight="16.200000"/>
  <cols>
    <col min="1" max="11" style="3" width="5.43357120" customWidth="1" outlineLevel="0"/>
    <col min="12" max="12" style="3" width="6.43357120" customWidth="1" outlineLevel="0"/>
    <col min="13" max="15" style="3" width="5.43357120" customWidth="1" outlineLevel="0"/>
    <col min="16" max="16" style="3" width="0.86214286" customWidth="1" outlineLevel="0"/>
    <col min="17" max="24" style="3" width="5.43357120" customWidth="1" outlineLevel="0"/>
    <col min="25" max="25" style="3" width="5.71928583" customWidth="1" outlineLevel="0"/>
    <col min="26" max="26" style="3" width="4.29071437" customWidth="1" outlineLevel="0"/>
    <col min="27" max="27" style="3" width="7.86214290" hidden="1" customWidth="1" outlineLevel="0"/>
    <col min="28" max="28" style="3" width="5.71928583" customWidth="1" outlineLevel="0"/>
    <col min="29" max="16384" style="3" width="9.00499998" customWidth="1" outlineLevel="0"/>
  </cols>
  <sheetData>
    <row r="1" spans="1:27" ht="27.750000" customHeight="1">
      <c r="A1" s="741" t="s">
        <v>237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  <c r="V1" s="741"/>
      <c r="W1" s="741"/>
      <c r="X1" s="16"/>
      <c r="Y1" s="16"/>
      <c r="Z1" s="16"/>
      <c r="AA1" s="16"/>
    </row>
    <row r="2" spans="1:27" ht="8.250000" customHeight="1">
      <c r="A2" s="741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16"/>
      <c r="Y2" s="16"/>
      <c r="Z2" s="16"/>
      <c r="AA2" s="16"/>
    </row>
    <row r="3" spans="1:27" s="3" customFormat="1" ht="27.750000" customHeight="1">
      <c r="A3" s="730" t="s">
        <v>238</v>
      </c>
      <c r="B3" s="742"/>
      <c r="C3" s="742"/>
      <c r="D3" s="743"/>
      <c r="E3" s="732">
        <f>((0.7854*((F26)^2-(F17)^2))*L16)*AA27/1000000000</f>
        <v>1165.9354232064</v>
      </c>
      <c r="F3" s="743"/>
      <c r="G3" s="386" t="s">
        <v>106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s="3" customFormat="1" ht="27.750000" customHeight="1">
      <c r="A4" s="730" t="s">
        <v>239</v>
      </c>
      <c r="B4" s="742"/>
      <c r="C4" s="742"/>
      <c r="D4" s="743"/>
      <c r="E4" s="732">
        <f>((0.7854*((F26)^2-(F17)^2))/(L12*L14))-100</f>
        <v>4541.462672</v>
      </c>
      <c r="F4" s="743"/>
      <c r="G4" s="386" t="s">
        <v>240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V4" s="397"/>
      <c r="W4" s="397" t="s">
        <v>146</v>
      </c>
      <c r="X4" s="738">
        <f>TODAY()</f>
        <v>43411</v>
      </c>
      <c r="Y4" s="738"/>
      <c r="Z4" s="16"/>
      <c r="AA4" s="16"/>
    </row>
    <row r="5" spans="1:27" s="3" customFormat="1" ht="11.250000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6.500000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P6" s="16"/>
      <c r="Q6" s="348" t="s">
        <v>241</v>
      </c>
      <c r="R6" s="739"/>
      <c r="S6" s="12"/>
      <c r="T6" s="12"/>
      <c r="U6" s="12"/>
      <c r="V6" s="12"/>
      <c r="W6" s="12"/>
      <c r="X6" s="12"/>
      <c r="Y6" s="62"/>
      <c r="Z6" s="16"/>
    </row>
    <row r="7" spans="1:27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63"/>
      <c r="P7" s="16"/>
      <c r="Q7" s="398"/>
      <c r="R7" s="399"/>
      <c r="S7" s="399"/>
      <c r="T7" s="399"/>
      <c r="U7" s="399"/>
      <c r="V7" s="399"/>
      <c r="W7" s="399"/>
      <c r="X7" s="399"/>
      <c r="Y7" s="403"/>
      <c r="Z7" s="16"/>
    </row>
    <row r="8" spans="1:27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63"/>
      <c r="P8" s="16"/>
      <c r="Q8" s="143"/>
      <c r="R8" s="399"/>
      <c r="S8" s="399"/>
      <c r="T8" s="399"/>
      <c r="U8" s="399"/>
      <c r="V8" s="399"/>
      <c r="W8" s="399"/>
      <c r="X8" s="399"/>
      <c r="Y8" s="403"/>
      <c r="Z8" s="16"/>
    </row>
    <row r="9" spans="1:27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63"/>
      <c r="P9" s="16"/>
      <c r="Q9" s="143"/>
      <c r="R9" s="399"/>
      <c r="S9" s="399"/>
      <c r="T9" s="399"/>
      <c r="U9" s="399"/>
      <c r="V9" s="399"/>
      <c r="W9" s="399"/>
      <c r="X9" s="399"/>
      <c r="Y9" s="403"/>
      <c r="Z9" s="16"/>
    </row>
    <row r="10" spans="1:27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63"/>
      <c r="P10" s="16"/>
      <c r="Q10" s="398"/>
      <c r="R10" s="399"/>
      <c r="S10" s="399"/>
      <c r="T10" s="399"/>
      <c r="U10" s="399"/>
      <c r="V10" s="399"/>
      <c r="W10" s="399"/>
      <c r="X10" s="399"/>
      <c r="Y10" s="403"/>
      <c r="Z10" s="16"/>
    </row>
    <row r="11" spans="1:27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63"/>
      <c r="P11" s="16"/>
      <c r="Q11" s="398"/>
      <c r="R11" s="399"/>
      <c r="S11" s="399"/>
      <c r="T11" s="399"/>
      <c r="U11" s="399"/>
      <c r="V11" s="399"/>
      <c r="W11" s="399"/>
      <c r="X11" s="399"/>
      <c r="Y11" s="403"/>
      <c r="Z11" s="16"/>
    </row>
    <row r="12" spans="1:27">
      <c r="A12" s="15"/>
      <c r="B12" s="16"/>
      <c r="C12" s="16"/>
      <c r="D12" s="16"/>
      <c r="E12" s="16"/>
      <c r="F12" s="16"/>
      <c r="G12" s="16"/>
      <c r="H12" s="16"/>
      <c r="I12" s="16"/>
      <c r="J12" s="150" t="s">
        <v>242</v>
      </c>
      <c r="K12" s="740"/>
      <c r="L12" s="387">
        <v>50</v>
      </c>
      <c r="M12" s="16"/>
      <c r="N12" s="16"/>
      <c r="O12" s="63"/>
      <c r="P12" s="16"/>
      <c r="Q12" s="398"/>
      <c r="R12" s="399"/>
      <c r="S12" s="399"/>
      <c r="T12" s="399"/>
      <c r="U12" s="399"/>
      <c r="V12" s="399"/>
      <c r="W12" s="399"/>
      <c r="X12" s="399"/>
      <c r="Y12" s="403"/>
      <c r="Z12" s="16"/>
    </row>
    <row r="13" spans="1:27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63"/>
      <c r="P13" s="16"/>
      <c r="Q13" s="398"/>
      <c r="R13" s="399"/>
      <c r="S13" s="399"/>
      <c r="T13" s="399"/>
      <c r="U13" s="399"/>
      <c r="V13" s="399"/>
      <c r="W13" s="399"/>
      <c r="X13" s="399"/>
      <c r="Y13" s="403"/>
      <c r="Z13" s="16"/>
    </row>
    <row r="14" spans="1:27">
      <c r="A14" s="15"/>
      <c r="B14" s="16"/>
      <c r="C14" s="16"/>
      <c r="D14" s="16"/>
      <c r="E14" s="16"/>
      <c r="F14" s="16"/>
      <c r="G14" s="16"/>
      <c r="H14" s="16"/>
      <c r="I14" s="56"/>
      <c r="J14" s="16"/>
      <c r="K14" s="150" t="s">
        <v>243</v>
      </c>
      <c r="L14" s="387">
        <v>4</v>
      </c>
      <c r="M14" s="16"/>
      <c r="N14" s="16"/>
      <c r="O14" s="63"/>
      <c r="P14" s="16"/>
      <c r="Q14" s="398"/>
      <c r="R14" s="399"/>
      <c r="S14" s="399"/>
      <c r="T14" s="399"/>
      <c r="U14" s="399"/>
      <c r="V14" s="399"/>
      <c r="W14" s="399"/>
      <c r="X14" s="399"/>
      <c r="Y14" s="403"/>
      <c r="Z14" s="16"/>
    </row>
    <row r="15" spans="1:27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63"/>
      <c r="P15" s="16"/>
      <c r="Q15" s="398"/>
      <c r="R15" s="399"/>
      <c r="S15" s="399"/>
      <c r="T15" s="399"/>
      <c r="U15" s="399"/>
      <c r="V15" s="399"/>
      <c r="W15" s="399"/>
      <c r="X15" s="399"/>
      <c r="Y15" s="403"/>
      <c r="Z15" s="16"/>
    </row>
    <row r="16" spans="1:27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50" t="s">
        <v>244</v>
      </c>
      <c r="L16" s="387">
        <v>160</v>
      </c>
      <c r="M16" s="16"/>
      <c r="N16" s="16"/>
      <c r="O16" s="63"/>
      <c r="P16" s="16"/>
      <c r="Q16" s="398"/>
      <c r="R16" s="399"/>
      <c r="S16" s="399"/>
      <c r="T16" s="399"/>
      <c r="U16" s="399"/>
      <c r="V16" s="399"/>
      <c r="W16" s="399"/>
      <c r="X16" s="399"/>
      <c r="Y16" s="403"/>
      <c r="Z16" s="16"/>
    </row>
    <row r="17" spans="1:32">
      <c r="A17" s="15"/>
      <c r="B17" s="16"/>
      <c r="C17" s="16"/>
      <c r="D17" s="150" t="s">
        <v>245</v>
      </c>
      <c r="E17" s="740"/>
      <c r="F17" s="387">
        <v>508</v>
      </c>
      <c r="G17" s="16"/>
      <c r="H17" s="16"/>
      <c r="I17" s="16"/>
      <c r="J17" s="16"/>
      <c r="K17" s="16"/>
      <c r="L17" s="16"/>
      <c r="M17" s="16"/>
      <c r="N17" s="16"/>
      <c r="O17" s="63"/>
      <c r="P17" s="16"/>
      <c r="Q17" s="398"/>
      <c r="R17" s="399"/>
      <c r="S17" s="400"/>
      <c r="T17" s="399"/>
      <c r="U17" s="399"/>
      <c r="V17" s="399"/>
      <c r="W17" s="399"/>
      <c r="X17" s="399"/>
      <c r="Y17" s="403"/>
      <c r="Z17" s="16"/>
    </row>
    <row r="18" spans="1:32">
      <c r="A18" s="15"/>
      <c r="B18" s="16"/>
      <c r="C18" s="16"/>
      <c r="D18" s="16"/>
      <c r="E18" s="16"/>
      <c r="F18" s="16"/>
      <c r="G18" s="16"/>
      <c r="H18" s="16"/>
      <c r="I18" s="16"/>
      <c r="J18" s="388"/>
      <c r="K18" s="389" t="s">
        <v>246</v>
      </c>
      <c r="L18" s="390"/>
      <c r="N18" s="16"/>
      <c r="O18" s="63"/>
      <c r="P18" s="16"/>
      <c r="Q18" s="398"/>
      <c r="R18" s="399"/>
      <c r="S18" s="400"/>
      <c r="T18" s="399"/>
      <c r="U18" s="399"/>
      <c r="V18" s="399"/>
      <c r="W18" s="399"/>
      <c r="X18" s="399"/>
      <c r="Y18" s="403"/>
      <c r="Z18" s="16"/>
      <c r="AA18" s="16"/>
    </row>
    <row r="19" spans="1:32">
      <c r="A19" s="15"/>
      <c r="B19" s="16"/>
      <c r="C19" s="16"/>
      <c r="D19" s="16"/>
      <c r="E19" s="16"/>
      <c r="F19" s="16"/>
      <c r="G19" s="16"/>
      <c r="H19" s="16"/>
      <c r="I19" s="16"/>
      <c r="J19" s="391"/>
      <c r="K19" s="150" t="s">
        <v>9</v>
      </c>
      <c r="L19" s="387">
        <v>4</v>
      </c>
      <c r="N19" s="16"/>
      <c r="O19" s="63"/>
      <c r="P19" s="16"/>
      <c r="Q19" s="398"/>
      <c r="R19" s="399"/>
      <c r="S19" s="400"/>
      <c r="T19" s="399"/>
      <c r="U19" s="399"/>
      <c r="V19" s="399"/>
      <c r="W19" s="399"/>
      <c r="X19" s="399"/>
      <c r="Y19" s="403"/>
      <c r="Z19" s="16"/>
      <c r="AA19" s="16"/>
    </row>
    <row r="20" spans="1:32">
      <c r="A20" s="15"/>
      <c r="B20" s="16"/>
      <c r="C20" s="16"/>
      <c r="D20" s="16"/>
      <c r="E20" s="16"/>
      <c r="F20" s="16"/>
      <c r="G20" s="16"/>
      <c r="H20" s="16"/>
      <c r="I20" s="16"/>
      <c r="J20" s="392" t="s">
        <v>247</v>
      </c>
      <c r="K20" s="16"/>
      <c r="L20" s="393"/>
      <c r="N20" s="16"/>
      <c r="O20" s="63"/>
      <c r="P20" s="16"/>
      <c r="Q20" s="398"/>
      <c r="R20" s="399"/>
      <c r="S20" s="399"/>
      <c r="T20" s="399"/>
      <c r="U20" s="399"/>
      <c r="V20" s="399"/>
      <c r="W20" s="399"/>
      <c r="X20" s="399"/>
      <c r="Y20" s="403"/>
      <c r="Z20" s="16"/>
      <c r="AA20" s="16">
        <f>IF(L19=1,2710,0)</f>
        <v>0</v>
      </c>
    </row>
    <row r="21" spans="1:32">
      <c r="A21" s="15"/>
      <c r="B21" s="16"/>
      <c r="C21" s="16"/>
      <c r="D21" s="16"/>
      <c r="E21" s="16"/>
      <c r="F21" s="16"/>
      <c r="G21" s="16"/>
      <c r="H21" s="16"/>
      <c r="I21" s="16"/>
      <c r="J21" s="392" t="s">
        <v>248</v>
      </c>
      <c r="K21" s="16"/>
      <c r="L21" s="393"/>
      <c r="N21" s="16"/>
      <c r="O21" s="63"/>
      <c r="P21" s="16"/>
      <c r="Q21" s="398"/>
      <c r="R21" s="399"/>
      <c r="S21" s="399"/>
      <c r="T21" s="399"/>
      <c r="U21" s="399"/>
      <c r="V21" s="399"/>
      <c r="W21" s="399"/>
      <c r="X21" s="399"/>
      <c r="Y21" s="403"/>
      <c r="Z21" s="16"/>
      <c r="AA21" s="16">
        <f>IF(L19=2,8600,0)</f>
        <v>0</v>
      </c>
    </row>
    <row r="22" spans="1:32">
      <c r="A22" s="15"/>
      <c r="B22" s="16"/>
      <c r="C22" s="16"/>
      <c r="D22" s="16"/>
      <c r="E22" s="16"/>
      <c r="F22" s="16"/>
      <c r="G22" s="16"/>
      <c r="H22" s="16"/>
      <c r="I22" s="16"/>
      <c r="J22" s="392" t="s">
        <v>249</v>
      </c>
      <c r="K22" s="16"/>
      <c r="L22" s="393"/>
      <c r="N22" s="16"/>
      <c r="O22" s="63"/>
      <c r="P22" s="16"/>
      <c r="Q22" s="398"/>
      <c r="R22" s="399"/>
      <c r="S22" s="399"/>
      <c r="T22" s="399"/>
      <c r="U22" s="399"/>
      <c r="V22" s="399"/>
      <c r="W22" s="399"/>
      <c r="X22" s="399"/>
      <c r="Y22" s="403"/>
      <c r="Z22" s="16"/>
      <c r="AA22" s="16">
        <f>IF(L19=3,8900,0)</f>
        <v>0</v>
      </c>
    </row>
    <row r="23" spans="1:32">
      <c r="A23" s="15"/>
      <c r="B23" s="16"/>
      <c r="C23" s="16"/>
      <c r="D23" s="16"/>
      <c r="E23" s="16"/>
      <c r="F23" s="16"/>
      <c r="G23" s="16"/>
      <c r="H23" s="16"/>
      <c r="I23" s="16"/>
      <c r="J23" s="392" t="s">
        <v>250</v>
      </c>
      <c r="K23" s="16"/>
      <c r="L23" s="393"/>
      <c r="N23" s="16"/>
      <c r="O23" s="63"/>
      <c r="P23" s="16"/>
      <c r="Q23" s="398"/>
      <c r="R23" s="399"/>
      <c r="S23" s="399"/>
      <c r="T23" s="399"/>
      <c r="U23" s="399"/>
      <c r="V23" s="399"/>
      <c r="W23" s="399"/>
      <c r="X23" s="399"/>
      <c r="Y23" s="403"/>
      <c r="Z23" s="16"/>
      <c r="AA23" s="16">
        <f>IF(L19=4,7850,0)</f>
        <v>7850</v>
      </c>
    </row>
    <row r="24" spans="1:32">
      <c r="A24" s="15"/>
      <c r="B24" s="16"/>
      <c r="C24" s="16"/>
      <c r="D24" s="16"/>
      <c r="E24" s="16"/>
      <c r="F24" s="16"/>
      <c r="G24" s="16"/>
      <c r="H24" s="16"/>
      <c r="I24" s="16"/>
      <c r="J24" s="392" t="s">
        <v>251</v>
      </c>
      <c r="K24" s="16"/>
      <c r="L24" s="393"/>
      <c r="N24" s="16"/>
      <c r="O24" s="63"/>
      <c r="P24" s="16"/>
      <c r="Q24" s="398"/>
      <c r="R24" s="399"/>
      <c r="S24" s="399"/>
      <c r="T24" s="399"/>
      <c r="U24" s="399"/>
      <c r="V24" s="399"/>
      <c r="W24" s="399"/>
      <c r="X24" s="399"/>
      <c r="Y24" s="403"/>
      <c r="Z24" s="16"/>
      <c r="AA24" s="16">
        <f>IF(L19=5,7700,0)</f>
        <v>0</v>
      </c>
    </row>
    <row r="25" spans="1:32">
      <c r="A25" s="15"/>
      <c r="B25" s="16"/>
      <c r="C25" s="16"/>
      <c r="D25" s="16"/>
      <c r="E25" s="16"/>
      <c r="F25" s="16"/>
      <c r="G25" s="16"/>
      <c r="H25" s="16"/>
      <c r="I25" s="16"/>
      <c r="J25" s="392" t="s">
        <v>252</v>
      </c>
      <c r="K25" s="16"/>
      <c r="L25" s="393"/>
      <c r="N25" s="16"/>
      <c r="O25" s="63"/>
      <c r="P25" s="16"/>
      <c r="Q25" s="398"/>
      <c r="R25" s="399"/>
      <c r="S25" s="399"/>
      <c r="T25" s="399"/>
      <c r="U25" s="399"/>
      <c r="V25" s="399"/>
      <c r="W25" s="399"/>
      <c r="X25" s="399"/>
      <c r="Y25" s="403"/>
      <c r="Z25" s="16"/>
      <c r="AA25" s="16">
        <f>IF(L19=6,8200,0)</f>
        <v>0</v>
      </c>
    </row>
    <row r="26" spans="1:32">
      <c r="A26" s="15"/>
      <c r="B26" s="16"/>
      <c r="C26" s="16"/>
      <c r="D26" s="150" t="s">
        <v>253</v>
      </c>
      <c r="E26" s="150"/>
      <c r="F26" s="387">
        <v>1200</v>
      </c>
      <c r="G26" s="16"/>
      <c r="H26" s="16"/>
      <c r="I26" s="16"/>
      <c r="J26" s="394" t="s">
        <v>254</v>
      </c>
      <c r="K26" s="395"/>
      <c r="L26" s="396"/>
      <c r="N26" s="16"/>
      <c r="O26" s="63"/>
      <c r="P26" s="16"/>
      <c r="Q26" s="398"/>
      <c r="R26" s="399"/>
      <c r="S26" s="399"/>
      <c r="T26" s="399"/>
      <c r="U26" s="399"/>
      <c r="V26" s="399"/>
      <c r="W26" s="399"/>
      <c r="X26" s="399"/>
      <c r="Y26" s="403"/>
      <c r="Z26" s="16"/>
      <c r="AA26" s="16">
        <f>IF(L19=7,7950,0)</f>
        <v>0</v>
      </c>
    </row>
    <row r="27" spans="1:32">
      <c r="A27" s="15"/>
      <c r="B27" s="16"/>
      <c r="C27" s="16"/>
      <c r="D27" s="16"/>
      <c r="E27" s="16"/>
      <c r="F27" s="16"/>
      <c r="G27" s="16"/>
      <c r="H27" s="16"/>
      <c r="I27" s="16"/>
      <c r="K27" s="16"/>
      <c r="L27" s="16"/>
      <c r="N27" s="16"/>
      <c r="O27" s="63"/>
      <c r="P27" s="16"/>
      <c r="Q27" s="398"/>
      <c r="R27" s="399"/>
      <c r="S27" s="399"/>
      <c r="T27" s="399"/>
      <c r="U27" s="399"/>
      <c r="V27" s="399"/>
      <c r="W27" s="399"/>
      <c r="X27" s="399"/>
      <c r="Y27" s="403"/>
      <c r="Z27" s="16"/>
      <c r="AA27" s="16">
        <f>SUM(AA20:AA26)</f>
        <v>7850</v>
      </c>
    </row>
    <row r="28" spans="1:3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63"/>
      <c r="P28" s="16"/>
      <c r="Q28" s="398"/>
      <c r="R28" s="399"/>
      <c r="S28" s="399"/>
      <c r="T28" s="399"/>
      <c r="U28" s="399"/>
      <c r="V28" s="399"/>
      <c r="W28" s="399"/>
      <c r="X28" s="399"/>
      <c r="Y28" s="403"/>
      <c r="Z28" s="16"/>
      <c r="AA28" s="16"/>
      <c r="AB28" s="16"/>
      <c r="AC28" s="16"/>
      <c r="AD28" s="16"/>
      <c r="AE28" s="16"/>
      <c r="AF28" s="16"/>
    </row>
    <row r="29" spans="1:3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63"/>
      <c r="P29" s="16"/>
      <c r="Q29" s="398"/>
      <c r="R29" s="399"/>
      <c r="S29" s="399"/>
      <c r="T29" s="399"/>
      <c r="U29" s="399"/>
      <c r="V29" s="399"/>
      <c r="W29" s="399"/>
      <c r="X29" s="399"/>
      <c r="Y29" s="403"/>
      <c r="Z29" s="16"/>
      <c r="AA29" s="16"/>
      <c r="AB29" s="16"/>
      <c r="AC29" s="16"/>
      <c r="AD29" s="16"/>
      <c r="AE29" s="16"/>
      <c r="AF29" s="16"/>
    </row>
    <row r="30" spans="1:32" ht="16.500000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64"/>
      <c r="P30" s="16"/>
      <c r="Q30" s="401"/>
      <c r="R30" s="402"/>
      <c r="S30" s="402"/>
      <c r="T30" s="402"/>
      <c r="U30" s="402"/>
      <c r="V30" s="402"/>
      <c r="W30" s="402"/>
      <c r="X30" s="402"/>
      <c r="Y30" s="404"/>
      <c r="Z30" s="16"/>
      <c r="AA30" s="16"/>
      <c r="AB30" s="16"/>
      <c r="AC30" s="16"/>
      <c r="AD30" s="16"/>
      <c r="AE30" s="16"/>
      <c r="AF30" s="16"/>
    </row>
    <row r="31" spans="1:3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>
      <c r="W41" s="16"/>
      <c r="X41" s="16"/>
      <c r="Y41" s="16"/>
      <c r="Z41" s="16"/>
    </row>
    <row r="42" spans="1:32">
      <c r="W42" s="16"/>
      <c r="X42" s="16"/>
      <c r="Y42" s="16"/>
      <c r="Z42" s="16"/>
    </row>
    <row r="43" spans="1:32">
      <c r="W43" s="16"/>
      <c r="X43" s="16"/>
      <c r="Y43" s="16"/>
      <c r="Z43" s="16"/>
    </row>
    <row r="44" spans="1:32">
      <c r="W44" s="16"/>
      <c r="X44" s="16"/>
      <c r="Y44" s="16"/>
      <c r="Z44" s="16"/>
    </row>
    <row r="45" spans="1:32">
      <c r="W45" s="16"/>
      <c r="X45" s="16"/>
      <c r="Y45" s="16"/>
      <c r="Z45" s="16"/>
    </row>
    <row r="46" spans="1:32">
      <c r="W46" s="16"/>
      <c r="X46" s="16"/>
      <c r="Y46" s="16"/>
      <c r="Z46" s="16"/>
    </row>
    <row r="47" spans="1:32">
      <c r="W47" s="16"/>
      <c r="X47" s="16"/>
      <c r="Y47" s="16"/>
      <c r="Z47" s="16"/>
    </row>
    <row r="48" spans="1:32">
      <c r="W48" s="16"/>
      <c r="X48" s="16"/>
      <c r="Y48" s="16"/>
      <c r="Z48" s="16"/>
    </row>
    <row r="49" spans="23:26">
      <c r="W49" s="16"/>
      <c r="X49" s="16"/>
      <c r="Y49" s="16"/>
      <c r="Z49" s="16"/>
    </row>
    <row r="50" spans="23:26">
      <c r="W50" s="16"/>
      <c r="X50" s="16"/>
      <c r="Y50" s="16"/>
      <c r="Z50" s="16"/>
    </row>
    <row r="51" spans="23:26">
      <c r="W51" s="16"/>
      <c r="X51" s="16"/>
      <c r="Y51" s="16"/>
      <c r="Z51" s="16"/>
    </row>
    <row r="52" spans="23:26">
      <c r="W52" s="16"/>
      <c r="X52" s="16"/>
      <c r="Y52" s="16"/>
      <c r="Z52" s="16"/>
    </row>
    <row r="53" spans="23:26">
      <c r="W53" s="16"/>
      <c r="X53" s="16"/>
      <c r="Y53" s="16"/>
      <c r="Z53" s="16"/>
    </row>
    <row r="54" spans="23:26">
      <c r="W54" s="16"/>
      <c r="X54" s="16"/>
      <c r="Y54" s="16"/>
      <c r="Z54" s="16"/>
    </row>
    <row r="55" spans="23:26">
      <c r="W55" s="16"/>
      <c r="X55" s="16"/>
      <c r="Y55" s="16"/>
      <c r="Z55" s="16"/>
    </row>
    <row r="56" spans="23:26">
      <c r="W56" s="16"/>
      <c r="X56" s="16"/>
      <c r="Y56" s="16"/>
      <c r="Z56" s="16"/>
    </row>
    <row r="57" spans="23:26">
      <c r="W57" s="16"/>
      <c r="X57" s="16"/>
      <c r="Y57" s="16"/>
      <c r="Z57" s="16"/>
    </row>
    <row r="58" spans="23:26">
      <c r="W58" s="16"/>
      <c r="X58" s="16"/>
      <c r="Y58" s="16"/>
      <c r="Z58" s="16"/>
    </row>
    <row r="59" spans="23:26">
      <c r="W59" s="16"/>
      <c r="X59" s="16"/>
      <c r="Y59" s="16"/>
      <c r="Z59" s="16"/>
    </row>
    <row r="60" spans="23:26">
      <c r="W60" s="16"/>
      <c r="X60" s="16"/>
      <c r="Y60" s="16"/>
      <c r="Z60" s="16"/>
    </row>
    <row r="61" spans="23:26">
      <c r="W61" s="16"/>
      <c r="X61" s="16"/>
      <c r="Y61" s="16"/>
      <c r="Z61" s="16"/>
    </row>
    <row r="62" spans="23:26">
      <c r="W62" s="16"/>
      <c r="X62" s="16"/>
      <c r="Y62" s="16"/>
      <c r="Z62" s="16"/>
    </row>
    <row r="63" spans="23:26">
      <c r="W63" s="16"/>
      <c r="X63" s="16"/>
      <c r="Y63" s="16"/>
      <c r="Z63" s="16"/>
    </row>
    <row r="64" spans="23:26">
      <c r="W64" s="16"/>
      <c r="X64" s="16"/>
      <c r="Y64" s="16"/>
      <c r="Z64" s="16"/>
    </row>
    <row r="65" spans="23:26">
      <c r="W65" s="16"/>
      <c r="X65" s="16"/>
      <c r="Y65" s="16"/>
      <c r="Z65" s="16"/>
    </row>
    <row r="66" spans="23:26">
      <c r="W66" s="16"/>
      <c r="X66" s="16"/>
      <c r="Y66" s="16"/>
      <c r="Z66" s="16"/>
    </row>
    <row r="67" spans="23:26">
      <c r="W67" s="16"/>
      <c r="X67" s="16"/>
      <c r="Y67" s="16"/>
      <c r="Z67" s="16"/>
    </row>
    <row r="68" spans="23:26">
      <c r="W68" s="16"/>
      <c r="X68" s="16"/>
      <c r="Y68" s="16"/>
      <c r="Z68" s="16"/>
    </row>
    <row r="69" spans="23:26">
      <c r="W69" s="16"/>
      <c r="X69" s="16"/>
      <c r="Y69" s="16"/>
      <c r="Z69" s="16"/>
    </row>
    <row r="70" spans="23:26">
      <c r="W70" s="16"/>
      <c r="X70" s="16"/>
      <c r="Y70" s="16"/>
      <c r="Z70" s="16"/>
    </row>
    <row r="71" spans="23:26">
      <c r="W71" s="16"/>
      <c r="X71" s="16"/>
      <c r="Y71" s="16"/>
      <c r="Z71" s="16"/>
    </row>
    <row r="72" spans="23:26">
      <c r="W72" s="16"/>
      <c r="X72" s="16"/>
      <c r="Y72" s="16"/>
      <c r="Z72" s="16"/>
    </row>
    <row r="73" spans="23:26">
      <c r="W73" s="16"/>
      <c r="X73" s="16"/>
      <c r="Y73" s="16"/>
      <c r="Z73" s="16"/>
    </row>
    <row r="74" spans="23:26">
      <c r="W74" s="16"/>
      <c r="X74" s="16"/>
      <c r="Y74" s="16"/>
      <c r="Z74" s="16"/>
    </row>
    <row r="75" spans="23:26">
      <c r="W75" s="16"/>
      <c r="X75" s="16"/>
      <c r="Y75" s="16"/>
      <c r="Z75" s="16"/>
    </row>
    <row r="76" spans="23:26">
      <c r="W76" s="16"/>
      <c r="X76" s="16"/>
      <c r="Y76" s="16"/>
      <c r="Z76" s="16"/>
    </row>
    <row r="77" spans="23:26">
      <c r="W77" s="16"/>
      <c r="X77" s="16"/>
      <c r="Y77" s="16"/>
      <c r="Z77" s="16"/>
    </row>
    <row r="78" spans="23:26">
      <c r="W78" s="16"/>
      <c r="X78" s="16"/>
      <c r="Y78" s="16"/>
      <c r="Z78" s="16"/>
    </row>
  </sheetData>
  <sheetProtection sheet="1" password="ce28" objects="1" scenarios="1"/>
  <mergeCells count="10">
    <mergeCell ref="A1:W2"/>
    <mergeCell ref="A3:D3"/>
    <mergeCell ref="E3:F3"/>
    <mergeCell ref="A4:D4"/>
    <mergeCell ref="E4:F4"/>
    <mergeCell ref="X4:Y4"/>
    <mergeCell ref="Q6:R6"/>
    <mergeCell ref="J12:K12"/>
    <mergeCell ref="D17:E17"/>
    <mergeCell ref="D26:E26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30"/>
  <sheetViews>
    <sheetView showGridLines="0" showRowColHeaders="0" zoomScale="70" zoomScaleNormal="70" workbookViewId="0">
      <pane xSplit="27" ySplit="30" topLeftCell="AB31" activePane="bottomRight" state="frozen"/>
      <selection pane="topRight" activeCell="AB1" sqref="AB1"/>
      <selection pane="bottomLeft" activeCell="A31" sqref="A31"/>
      <selection pane="bottomRight" activeCell="A1" sqref="A1:X1"/>
    </sheetView>
  </sheetViews>
  <sheetFormatPr defaultColWidth="9.00000000" defaultRowHeight="16.200000"/>
  <cols>
    <col min="1" max="3" style="3" width="5.14785705" customWidth="1" outlineLevel="0"/>
    <col min="4" max="4" style="3" width="7.00499998" customWidth="1" outlineLevel="0"/>
    <col min="5" max="5" style="3" width="6.43357120" customWidth="1" outlineLevel="0"/>
    <col min="6" max="6" style="3" width="4.43357144" customWidth="1" outlineLevel="0"/>
    <col min="7" max="7" style="3" width="5.14785705" customWidth="1" outlineLevel="0"/>
    <col min="8" max="8" style="3" width="6.43357120" customWidth="1" outlineLevel="0"/>
    <col min="9" max="9" style="3" width="5.14785705" customWidth="1" outlineLevel="0"/>
    <col min="10" max="10" style="3" width="6.43357120" customWidth="1" outlineLevel="0"/>
    <col min="11" max="11" style="3" width="5.14785705" customWidth="1" outlineLevel="0"/>
    <col min="12" max="12" style="3" width="1.29071431" customWidth="1" outlineLevel="0"/>
    <col min="13" max="27" style="3" width="4.71928583" customWidth="1" outlineLevel="0"/>
    <col min="28" max="16384" style="3" width="9.00499998" customWidth="1" outlineLevel="0"/>
  </cols>
  <sheetData>
    <row r="1" spans="1:27" ht="45.750000">
      <c r="A1" s="646" t="s">
        <v>255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</row>
    <row r="2" spans="1:27" ht="34.500000" customHeight="1">
      <c r="A2" s="745" t="s">
        <v>256</v>
      </c>
      <c r="B2" s="746"/>
      <c r="C2" s="746"/>
      <c r="D2" s="746"/>
      <c r="E2" s="746"/>
      <c r="F2" s="747">
        <f>(((E9-E16)^2)+4*(E9-E16)*((J17+J11-E16-E20)+(0.57*E20)))^0.5</f>
        <v>36.9782097998267</v>
      </c>
      <c r="G2" s="748"/>
      <c r="H2" s="382" t="s">
        <v>51</v>
      </c>
      <c r="I2" s="134"/>
      <c r="J2" s="347"/>
      <c r="K2" s="134"/>
      <c r="W2" s="252" t="s">
        <v>88</v>
      </c>
      <c r="X2" s="749"/>
      <c r="Y2" s="253">
        <f>TODAY()</f>
        <v>43411</v>
      </c>
      <c r="Z2" s="744"/>
    </row>
    <row r="3" spans="1:27" ht="10.500000" customHeight="1">
      <c r="D3" s="334"/>
    </row>
    <row r="4" spans="1:27" ht="16.950000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348" t="s">
        <v>107</v>
      </c>
      <c r="N4" s="73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62"/>
    </row>
    <row r="5" spans="1:27">
      <c r="A5" s="15"/>
      <c r="B5" s="16"/>
      <c r="C5" s="16"/>
      <c r="D5" s="16"/>
      <c r="E5" s="16"/>
      <c r="F5" s="16"/>
      <c r="G5" s="16"/>
      <c r="H5" s="16"/>
      <c r="I5" s="16"/>
      <c r="J5" s="16"/>
      <c r="K5" s="63"/>
      <c r="M5" s="145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73"/>
    </row>
    <row r="6" spans="1:27">
      <c r="A6" s="15"/>
      <c r="B6" s="16"/>
      <c r="C6" s="16"/>
      <c r="D6" s="16"/>
      <c r="E6" s="16"/>
      <c r="F6" s="16"/>
      <c r="G6" s="16"/>
      <c r="H6" s="16"/>
      <c r="I6" s="16"/>
      <c r="J6" s="16"/>
      <c r="K6" s="63"/>
      <c r="M6" s="143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73"/>
    </row>
    <row r="7" spans="1:27">
      <c r="A7" s="15"/>
      <c r="B7" s="16"/>
      <c r="C7" s="16"/>
      <c r="D7" s="16"/>
      <c r="E7" s="16"/>
      <c r="F7" s="16"/>
      <c r="G7" s="16"/>
      <c r="H7" s="16"/>
      <c r="I7" s="16"/>
      <c r="J7" s="16"/>
      <c r="K7" s="63"/>
      <c r="M7" s="143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73"/>
    </row>
    <row r="8" spans="1:27">
      <c r="A8" s="15"/>
      <c r="B8" s="16"/>
      <c r="C8" s="16"/>
      <c r="D8" s="16"/>
      <c r="E8" s="16"/>
      <c r="F8" s="16"/>
      <c r="G8" s="16"/>
      <c r="H8" s="16"/>
      <c r="I8" s="16"/>
      <c r="J8" s="16"/>
      <c r="K8" s="63"/>
      <c r="M8" s="145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73"/>
    </row>
    <row r="9" spans="1:27">
      <c r="A9" s="15"/>
      <c r="B9" s="16"/>
      <c r="C9" s="16"/>
      <c r="D9" s="150" t="s">
        <v>257</v>
      </c>
      <c r="E9" s="311">
        <v>30.8</v>
      </c>
      <c r="F9" s="16"/>
      <c r="G9" s="16"/>
      <c r="H9" s="16"/>
      <c r="I9" s="16"/>
      <c r="J9" s="16"/>
      <c r="K9" s="63"/>
      <c r="M9" s="145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73"/>
    </row>
    <row r="10" spans="1:27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63"/>
      <c r="M10" s="145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73"/>
    </row>
    <row r="11" spans="1:27">
      <c r="A11" s="15"/>
      <c r="B11" s="16"/>
      <c r="C11" s="16"/>
      <c r="D11" s="16"/>
      <c r="E11" s="306"/>
      <c r="F11" s="16"/>
      <c r="G11" s="16"/>
      <c r="H11" s="16"/>
      <c r="I11" s="375" t="s">
        <v>258</v>
      </c>
      <c r="J11" s="311">
        <v>0</v>
      </c>
      <c r="K11" s="63"/>
      <c r="M11" s="145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73"/>
    </row>
    <row r="12" spans="1:27">
      <c r="A12" s="15"/>
      <c r="B12" s="16"/>
      <c r="C12" s="16"/>
      <c r="D12" s="16"/>
      <c r="E12" s="384"/>
      <c r="F12" s="16"/>
      <c r="G12" s="16"/>
      <c r="H12" s="16"/>
      <c r="I12" s="16"/>
      <c r="J12" s="16"/>
      <c r="K12" s="63"/>
      <c r="M12" s="145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73"/>
    </row>
    <row r="13" spans="1:27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63"/>
      <c r="M13" s="145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73"/>
    </row>
    <row r="14" spans="1:27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63"/>
      <c r="M14" s="145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73"/>
    </row>
    <row r="15" spans="1:27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63"/>
      <c r="M15" s="145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73"/>
    </row>
    <row r="16" spans="1:27">
      <c r="A16" s="15"/>
      <c r="B16" s="16"/>
      <c r="D16" s="150" t="s">
        <v>259</v>
      </c>
      <c r="E16" s="313">
        <v>1.1</v>
      </c>
      <c r="F16" s="16"/>
      <c r="G16" s="16"/>
      <c r="H16" s="16"/>
      <c r="I16" s="16"/>
      <c r="J16" s="16"/>
      <c r="K16" s="63"/>
      <c r="M16" s="145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73"/>
    </row>
    <row r="17" spans="1:27">
      <c r="A17" s="15"/>
      <c r="B17" s="16"/>
      <c r="C17" s="16"/>
      <c r="D17" s="16"/>
      <c r="E17" s="16"/>
      <c r="F17" s="16"/>
      <c r="G17" s="16"/>
      <c r="H17" s="16"/>
      <c r="I17" s="150" t="s">
        <v>260</v>
      </c>
      <c r="J17" s="311">
        <v>5.4</v>
      </c>
      <c r="K17" s="63"/>
      <c r="M17" s="145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73"/>
    </row>
    <row r="18" spans="1:27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63"/>
      <c r="M18" s="145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73"/>
    </row>
    <row r="19" spans="1:27">
      <c r="A19" s="15"/>
      <c r="B19" s="16"/>
      <c r="C19" s="16"/>
      <c r="D19" s="16"/>
      <c r="G19" s="16"/>
      <c r="H19" s="16"/>
      <c r="I19" s="16"/>
      <c r="J19" s="16"/>
      <c r="K19" s="63"/>
      <c r="M19" s="145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73"/>
    </row>
    <row r="20" spans="1:27">
      <c r="A20" s="15"/>
      <c r="B20" s="16"/>
      <c r="C20" s="16"/>
      <c r="D20" s="150" t="s">
        <v>261</v>
      </c>
      <c r="E20" s="311">
        <v>0.5</v>
      </c>
      <c r="G20" s="16"/>
      <c r="H20" s="16"/>
      <c r="I20" s="16"/>
      <c r="J20" s="16"/>
      <c r="K20" s="63"/>
      <c r="M20" s="145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73"/>
    </row>
    <row r="21" spans="1:27">
      <c r="A21" s="15"/>
      <c r="B21" s="16"/>
      <c r="C21" s="16"/>
      <c r="F21" s="16"/>
      <c r="G21" s="16"/>
      <c r="H21" s="16"/>
      <c r="I21" s="16"/>
      <c r="J21" s="16"/>
      <c r="K21" s="63"/>
      <c r="M21" s="145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73"/>
    </row>
    <row r="22" spans="1:27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63"/>
      <c r="M22" s="145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73"/>
    </row>
    <row r="23" spans="1:27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63"/>
      <c r="M23" s="145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73"/>
    </row>
    <row r="24" spans="1:27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63"/>
      <c r="M24" s="145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73"/>
    </row>
    <row r="25" spans="1:27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63"/>
      <c r="M25" s="145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73"/>
    </row>
    <row r="26" spans="1:27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63"/>
      <c r="M26" s="145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73"/>
    </row>
    <row r="27" spans="1:27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63"/>
      <c r="M27" s="145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73"/>
    </row>
    <row r="28" spans="1:27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73"/>
    </row>
    <row r="29" spans="1:27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73"/>
    </row>
    <row r="30" spans="1:27" ht="16.950000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74"/>
    </row>
  </sheetData>
  <sheetProtection sheet="1" password="ce28" objects="1" scenarios="1"/>
  <mergeCells count="6">
    <mergeCell ref="A1:X1"/>
    <mergeCell ref="A2:E2"/>
    <mergeCell ref="F2:G2"/>
    <mergeCell ref="W2:X2"/>
    <mergeCell ref="Y2:Z2"/>
    <mergeCell ref="M4:N4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40"/>
  <sheetViews>
    <sheetView showZeros="0" showGridLines="0" showRowColHeaders="0" zoomScale="70" zoomScaleNormal="70" workbookViewId="0">
      <pane xSplit="26" ySplit="30" topLeftCell="AA31" activePane="bottomRight" state="frozen"/>
      <selection pane="topRight" activeCell="AA1" sqref="AA1"/>
      <selection pane="bottomLeft" activeCell="A31" sqref="A31"/>
      <selection pane="bottomRight" activeCell="Y1" sqref="Y1"/>
    </sheetView>
  </sheetViews>
  <sheetFormatPr defaultColWidth="9.00000000" defaultRowHeight="16.200000"/>
  <cols>
    <col min="1" max="1" style="3" width="4.43357144" customWidth="1" outlineLevel="0"/>
    <col min="2" max="4" style="3" width="5.14785705" customWidth="1" outlineLevel="0"/>
    <col min="5" max="5" style="3" width="7.14785705" customWidth="1" outlineLevel="0"/>
    <col min="6" max="6" style="3" width="10.29071413" customWidth="1" outlineLevel="0"/>
    <col min="7" max="7" style="3" width="7.00499998" customWidth="1" outlineLevel="0"/>
    <col min="8" max="8" style="3" width="5.14785705" customWidth="1" outlineLevel="0"/>
    <col min="9" max="9" style="3" width="6.43357120" customWidth="1" outlineLevel="0"/>
    <col min="10" max="10" style="3" width="5.14785705" customWidth="1" outlineLevel="0"/>
    <col min="11" max="12" style="3" width="6.43357120" customWidth="1" outlineLevel="0"/>
    <col min="13" max="13" style="3" width="5.14785705" customWidth="1" outlineLevel="0"/>
    <col min="14" max="14" style="3" width="1.29071431" customWidth="1" outlineLevel="0"/>
    <col min="15" max="26" style="3" width="4.43357144" customWidth="1" outlineLevel="0"/>
    <col min="27" max="29" style="3" width="4.86214290" customWidth="1" outlineLevel="0"/>
    <col min="30" max="16384" style="3" width="9.00499998" customWidth="1" outlineLevel="0"/>
  </cols>
  <sheetData>
    <row r="1" spans="1:29" ht="46.500000">
      <c r="A1" s="646" t="s">
        <v>262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</row>
    <row r="2" spans="1:29" ht="34.500000" customHeight="1">
      <c r="A2" s="745" t="s">
        <v>256</v>
      </c>
      <c r="B2" s="746"/>
      <c r="C2" s="746"/>
      <c r="D2" s="746"/>
      <c r="E2" s="746"/>
      <c r="F2" s="381">
        <f>(((0.57*(B13+F22))+(K18-F19-F19-F22-B13))*(F15+F19)*4+((G8+L9+L9)^2))^0.5</f>
        <v>119.037190827069</v>
      </c>
      <c r="G2" s="382" t="s">
        <v>51</v>
      </c>
      <c r="I2" s="366"/>
      <c r="J2" s="198"/>
      <c r="K2" s="347"/>
      <c r="L2" s="347"/>
      <c r="M2" s="198"/>
      <c r="V2" s="252" t="s">
        <v>88</v>
      </c>
      <c r="W2" s="252"/>
      <c r="X2" s="253">
        <f>TODAY()</f>
        <v>43411</v>
      </c>
      <c r="Y2" s="750"/>
      <c r="Z2" s="750"/>
    </row>
    <row r="3" spans="1:29" ht="6.750000" customHeight="1">
      <c r="F3" s="334"/>
    </row>
    <row r="4" spans="1:29" ht="16.500000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62"/>
      <c r="O4" s="348" t="s">
        <v>107</v>
      </c>
      <c r="P4" s="131"/>
      <c r="Q4" s="12"/>
      <c r="R4" s="12"/>
      <c r="S4" s="12"/>
      <c r="T4" s="12"/>
      <c r="U4" s="12"/>
      <c r="V4" s="12"/>
      <c r="W4" s="12"/>
      <c r="X4" s="12"/>
      <c r="Y4" s="12"/>
      <c r="Z4" s="62"/>
      <c r="AA4" s="16"/>
      <c r="AB4" s="16"/>
      <c r="AC4" s="16"/>
    </row>
    <row r="5" spans="1:29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63"/>
      <c r="O5" s="349"/>
      <c r="P5" s="350"/>
      <c r="Q5" s="144"/>
      <c r="R5" s="144"/>
      <c r="S5" s="144"/>
      <c r="T5" s="144"/>
      <c r="U5" s="144"/>
      <c r="V5" s="144"/>
      <c r="W5" s="144"/>
      <c r="X5" s="144"/>
      <c r="Y5" s="144"/>
      <c r="Z5" s="63"/>
      <c r="AA5" s="16"/>
      <c r="AB5" s="16"/>
      <c r="AC5" s="16"/>
    </row>
    <row r="6" spans="1:29" ht="17.250000" customHeight="1">
      <c r="A6" s="15"/>
      <c r="B6" s="16"/>
      <c r="C6" s="16"/>
      <c r="D6" s="16"/>
      <c r="E6" s="16"/>
      <c r="F6" s="16"/>
      <c r="G6" s="383"/>
      <c r="H6" s="16"/>
      <c r="I6" s="16"/>
      <c r="J6" s="16"/>
      <c r="K6" s="16"/>
      <c r="L6" s="16"/>
      <c r="M6" s="63"/>
      <c r="O6" s="145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63"/>
      <c r="AA6" s="16"/>
      <c r="AB6" s="16"/>
      <c r="AC6" s="16"/>
    </row>
    <row r="7" spans="1:29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63"/>
      <c r="O7" s="145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63"/>
      <c r="AA7" s="16"/>
      <c r="AB7" s="16"/>
      <c r="AC7" s="16"/>
    </row>
    <row r="8" spans="1:29">
      <c r="A8" s="15"/>
      <c r="B8" s="16"/>
      <c r="C8" s="16"/>
      <c r="D8" s="16"/>
      <c r="E8" s="21"/>
      <c r="F8" s="375" t="s">
        <v>257</v>
      </c>
      <c r="G8" s="311">
        <v>83</v>
      </c>
      <c r="H8" s="16"/>
      <c r="I8" s="16"/>
      <c r="J8" s="16"/>
      <c r="K8" s="16"/>
      <c r="L8" s="375" t="s">
        <v>258</v>
      </c>
      <c r="M8" s="63"/>
      <c r="O8" s="145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63"/>
      <c r="AA8" s="16"/>
      <c r="AB8" s="16"/>
      <c r="AC8" s="16"/>
    </row>
    <row r="9" spans="1:29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288">
        <v>0</v>
      </c>
      <c r="M9" s="63"/>
      <c r="O9" s="145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63"/>
      <c r="AA9" s="16"/>
      <c r="AB9" s="16"/>
      <c r="AC9" s="16"/>
    </row>
    <row r="10" spans="1:29">
      <c r="A10" s="15"/>
      <c r="B10" s="16"/>
      <c r="C10" s="16"/>
      <c r="D10" s="16"/>
      <c r="E10" s="16"/>
      <c r="G10" s="335"/>
      <c r="H10" s="16"/>
      <c r="I10" s="16"/>
      <c r="J10" s="16"/>
      <c r="K10" s="16"/>
      <c r="M10" s="63"/>
      <c r="O10" s="145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63"/>
      <c r="AA10" s="16"/>
      <c r="AB10" s="16"/>
      <c r="AC10" s="16"/>
    </row>
    <row r="11" spans="1:29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63"/>
      <c r="O11" s="145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63"/>
      <c r="AA11" s="16"/>
      <c r="AB11" s="16"/>
      <c r="AC11" s="16"/>
    </row>
    <row r="12" spans="1:29">
      <c r="A12" s="15"/>
      <c r="B12" s="83" t="s">
        <v>263</v>
      </c>
      <c r="C12" s="16"/>
      <c r="D12" s="16"/>
      <c r="E12" s="16"/>
      <c r="F12" s="16"/>
      <c r="G12" s="306"/>
      <c r="H12" s="16"/>
      <c r="I12" s="16"/>
      <c r="M12" s="63"/>
      <c r="O12" s="145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63"/>
      <c r="AA12" s="16"/>
      <c r="AB12" s="16"/>
      <c r="AC12" s="16"/>
    </row>
    <row r="13" spans="1:29">
      <c r="A13" s="15"/>
      <c r="B13" s="288">
        <v>0.1</v>
      </c>
      <c r="C13" s="16"/>
      <c r="D13" s="16"/>
      <c r="E13" s="16"/>
      <c r="F13" s="83" t="s">
        <v>264</v>
      </c>
      <c r="G13" s="306"/>
      <c r="H13" s="16"/>
      <c r="I13" s="16"/>
      <c r="M13" s="63"/>
      <c r="O13" s="145"/>
      <c r="P13" s="385"/>
      <c r="Q13" s="357"/>
      <c r="R13" s="144"/>
      <c r="S13" s="144"/>
      <c r="T13" s="144"/>
      <c r="U13" s="144"/>
      <c r="V13" s="144"/>
      <c r="W13" s="144"/>
      <c r="X13" s="144"/>
      <c r="Y13" s="144"/>
      <c r="Z13" s="63"/>
      <c r="AA13" s="16"/>
      <c r="AB13" s="16"/>
      <c r="AC13" s="16"/>
    </row>
    <row r="14" spans="1:29" ht="8.250000" customHeight="1">
      <c r="A14" s="15"/>
      <c r="B14" s="16"/>
      <c r="C14" s="16"/>
      <c r="D14" s="16"/>
      <c r="E14" s="16"/>
      <c r="F14" s="199"/>
      <c r="G14" s="306"/>
      <c r="H14" s="16"/>
      <c r="I14" s="16"/>
      <c r="M14" s="63"/>
      <c r="O14" s="145"/>
      <c r="P14" s="385"/>
      <c r="Q14" s="357"/>
      <c r="R14" s="144"/>
      <c r="S14" s="144"/>
      <c r="T14" s="144"/>
      <c r="U14" s="144"/>
      <c r="V14" s="144"/>
      <c r="W14" s="144"/>
      <c r="X14" s="144"/>
      <c r="Y14" s="144"/>
      <c r="Z14" s="63"/>
      <c r="AA14" s="16"/>
      <c r="AB14" s="16"/>
      <c r="AC14" s="16"/>
    </row>
    <row r="15" spans="1:29">
      <c r="A15" s="15"/>
      <c r="B15" s="16"/>
      <c r="C15" s="16"/>
      <c r="D15" s="16"/>
      <c r="E15" s="16"/>
      <c r="F15" s="291">
        <v>79.2</v>
      </c>
      <c r="G15" s="306"/>
      <c r="H15" s="16"/>
      <c r="I15" s="16"/>
      <c r="M15" s="63"/>
      <c r="O15" s="145"/>
      <c r="P15" s="385"/>
      <c r="Q15" s="357"/>
      <c r="R15" s="144"/>
      <c r="S15" s="144"/>
      <c r="T15" s="144"/>
      <c r="U15" s="144"/>
      <c r="V15" s="144"/>
      <c r="W15" s="144"/>
      <c r="X15" s="144"/>
      <c r="Y15" s="144"/>
      <c r="Z15" s="63"/>
      <c r="AA15" s="16"/>
      <c r="AB15" s="16"/>
      <c r="AC15" s="16"/>
    </row>
    <row r="16" spans="1:29">
      <c r="A16" s="15"/>
      <c r="B16" s="16"/>
      <c r="C16" s="16"/>
      <c r="D16" s="16"/>
      <c r="E16" s="16"/>
      <c r="F16" s="16"/>
      <c r="G16" s="384"/>
      <c r="H16" s="16"/>
      <c r="I16" s="16"/>
      <c r="J16" s="16"/>
      <c r="K16" s="16"/>
      <c r="L16" s="16"/>
      <c r="M16" s="63"/>
      <c r="O16" s="145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63"/>
      <c r="AA16" s="16"/>
      <c r="AB16" s="16"/>
      <c r="AC16" s="16"/>
    </row>
    <row r="17" spans="1:29">
      <c r="A17" s="15"/>
      <c r="B17" s="16"/>
      <c r="C17" s="16"/>
      <c r="D17" s="16"/>
      <c r="E17" s="16"/>
      <c r="G17" s="16"/>
      <c r="H17" s="16"/>
      <c r="I17" s="16"/>
      <c r="K17" s="83" t="s">
        <v>260</v>
      </c>
      <c r="M17" s="63"/>
      <c r="O17" s="145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63"/>
      <c r="AA17" s="16"/>
      <c r="AB17" s="16"/>
      <c r="AC17" s="16"/>
    </row>
    <row r="18" spans="1:29">
      <c r="A18" s="15"/>
      <c r="B18" s="16"/>
      <c r="C18" s="16"/>
      <c r="D18" s="16"/>
      <c r="F18" s="83" t="s">
        <v>265</v>
      </c>
      <c r="H18" s="16"/>
      <c r="I18" s="16"/>
      <c r="J18" s="16"/>
      <c r="K18" s="288">
        <v>25</v>
      </c>
      <c r="L18" s="16"/>
      <c r="M18" s="63"/>
      <c r="O18" s="145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63"/>
      <c r="AA18" s="16"/>
      <c r="AB18" s="16"/>
      <c r="AC18" s="16"/>
    </row>
    <row r="19" spans="1:29">
      <c r="A19" s="15"/>
      <c r="B19" s="16"/>
      <c r="C19" s="16"/>
      <c r="D19" s="16"/>
      <c r="E19" s="16"/>
      <c r="F19" s="291">
        <v>0.4</v>
      </c>
      <c r="G19" s="16"/>
      <c r="H19" s="16"/>
      <c r="I19" s="16"/>
      <c r="M19" s="63"/>
      <c r="O19" s="145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63"/>
      <c r="AA19" s="16"/>
      <c r="AB19" s="16"/>
      <c r="AC19" s="16"/>
    </row>
    <row r="20" spans="1:29">
      <c r="A20" s="15"/>
      <c r="B20" s="16"/>
      <c r="C20" s="16"/>
      <c r="D20" s="16"/>
      <c r="E20" s="16"/>
      <c r="F20" s="16"/>
      <c r="H20" s="16"/>
      <c r="I20" s="16"/>
      <c r="J20" s="16"/>
      <c r="K20" s="16"/>
      <c r="L20" s="16"/>
      <c r="M20" s="63"/>
      <c r="O20" s="145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63"/>
      <c r="AA20" s="16"/>
      <c r="AB20" s="16"/>
      <c r="AC20" s="16"/>
    </row>
    <row r="21" spans="1:29">
      <c r="A21" s="15"/>
      <c r="B21" s="16"/>
      <c r="C21" s="16"/>
      <c r="D21" s="16"/>
      <c r="E21" s="16"/>
      <c r="F21" s="375" t="s">
        <v>261</v>
      </c>
      <c r="H21" s="16"/>
      <c r="I21" s="16"/>
      <c r="J21" s="16"/>
      <c r="K21" s="16"/>
      <c r="L21" s="16"/>
      <c r="M21" s="63"/>
      <c r="O21" s="145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63"/>
      <c r="AA21" s="16"/>
      <c r="AB21" s="16"/>
      <c r="AC21" s="16"/>
    </row>
    <row r="22" spans="1:29">
      <c r="A22" s="15"/>
      <c r="B22" s="16"/>
      <c r="C22" s="16"/>
      <c r="D22" s="16"/>
      <c r="E22" s="16"/>
      <c r="F22" s="288">
        <v>3</v>
      </c>
      <c r="H22" s="16"/>
      <c r="I22" s="16"/>
      <c r="J22" s="16"/>
      <c r="K22" s="16"/>
      <c r="L22" s="16"/>
      <c r="M22" s="63"/>
      <c r="O22" s="145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63"/>
      <c r="AA22" s="16"/>
      <c r="AB22" s="16"/>
      <c r="AC22" s="16"/>
    </row>
    <row r="23" spans="1:29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63"/>
      <c r="O23" s="145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63"/>
      <c r="AA23" s="16"/>
      <c r="AB23" s="16"/>
      <c r="AC23" s="16"/>
    </row>
    <row r="24" spans="1:29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63"/>
      <c r="O24" s="145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63"/>
      <c r="AA24" s="16"/>
      <c r="AB24" s="16"/>
      <c r="AC24" s="16"/>
    </row>
    <row r="25" spans="1:29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63"/>
      <c r="O25" s="145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63"/>
      <c r="AA25" s="16"/>
      <c r="AB25" s="16"/>
      <c r="AC25" s="16"/>
    </row>
    <row r="26" spans="1:29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63"/>
      <c r="O26" s="145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63"/>
      <c r="AA26" s="16"/>
      <c r="AB26" s="16"/>
      <c r="AC26" s="16"/>
    </row>
    <row r="27" spans="1:29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63"/>
      <c r="O27" s="145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63"/>
      <c r="AA27" s="16"/>
      <c r="AB27" s="16"/>
      <c r="AC27" s="16"/>
    </row>
    <row r="28" spans="1:29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63"/>
      <c r="O28" s="145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63"/>
      <c r="AA28" s="16"/>
      <c r="AB28" s="16"/>
      <c r="AC28" s="16"/>
    </row>
    <row r="29" spans="1:29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63"/>
      <c r="O29" s="145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63"/>
      <c r="AA29" s="16"/>
      <c r="AB29" s="16"/>
      <c r="AC29" s="16"/>
    </row>
    <row r="30" spans="1:29" ht="27.750000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64"/>
      <c r="O30" s="147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64"/>
      <c r="AA30" s="16"/>
      <c r="AB30" s="16"/>
      <c r="AC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5">
    <mergeCell ref="A1:X1"/>
    <mergeCell ref="A2:E2"/>
    <mergeCell ref="V2:W2"/>
    <mergeCell ref="X2:Z2"/>
    <mergeCell ref="O4:P4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40"/>
  <sheetViews>
    <sheetView showZeros="0" showGridLines="0" showRowColHeaders="0" zoomScale="70" zoomScaleNormal="70" workbookViewId="0">
      <pane xSplit="28" ySplit="30" topLeftCell="AC31" activePane="bottomRight" state="frozen"/>
      <selection pane="topRight" activeCell="AC1" sqref="AC1"/>
      <selection pane="bottomLeft" activeCell="A31" sqref="A31"/>
      <selection pane="bottomRight" activeCell="A1" sqref="A1:AB1"/>
    </sheetView>
  </sheetViews>
  <sheetFormatPr defaultColWidth="9.00000000" defaultRowHeight="16.200000"/>
  <cols>
    <col min="1" max="5" style="3" width="5.14785705" customWidth="1" outlineLevel="0"/>
    <col min="6" max="6" style="3" width="3.71928583" customWidth="1" outlineLevel="0"/>
    <col min="7" max="8" style="3" width="3.14785705" customWidth="1" outlineLevel="0"/>
    <col min="9" max="9" style="3" width="7.14785705" customWidth="1" outlineLevel="0"/>
    <col min="10" max="11" style="3" width="5.14785705" customWidth="1" outlineLevel="0"/>
    <col min="12" max="12" style="3" width="6.00499998" customWidth="1" outlineLevel="0"/>
    <col min="13" max="15" style="3" width="5.14785705" customWidth="1" outlineLevel="0"/>
    <col min="16" max="16" style="3" width="1.00500001" customWidth="1" outlineLevel="0"/>
    <col min="17" max="31" style="3" width="4.86214290" customWidth="1" outlineLevel="0"/>
    <col min="32" max="16384" style="3" width="9.00499998" customWidth="1" outlineLevel="0"/>
  </cols>
  <sheetData>
    <row r="1" spans="1:31" ht="49.500000">
      <c r="A1" s="646" t="s">
        <v>266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</row>
    <row r="2" spans="1:31" ht="34.500000" customHeight="1">
      <c r="A2" s="754" t="s">
        <v>256</v>
      </c>
      <c r="B2" s="754"/>
      <c r="C2" s="754"/>
      <c r="D2" s="754"/>
      <c r="E2" s="754"/>
      <c r="F2" s="755">
        <f>IF(G6=1,((G21^2)+(2*(G23+G10)*((G21-G15)+(G12+G15))))^0.5,IF(G6=2,(((G21^2)+(2*(G23+G10)*(G21+G12+G15))+((G12+L12+L12+G15)^2)-((G12+G15)^2))^0.5),"??????"))</f>
        <v>75.2130307858951</v>
      </c>
      <c r="G2" s="755"/>
      <c r="H2" s="756"/>
      <c r="I2" s="346" t="s">
        <v>51</v>
      </c>
      <c r="J2" s="366"/>
      <c r="K2" s="198"/>
      <c r="L2" s="347"/>
      <c r="M2" s="347"/>
      <c r="N2" s="347"/>
      <c r="O2" s="347"/>
      <c r="X2" s="252" t="s">
        <v>88</v>
      </c>
      <c r="Y2" s="252"/>
      <c r="Z2" s="253">
        <v>36801</v>
      </c>
      <c r="AA2" s="253"/>
      <c r="AB2" s="253"/>
    </row>
    <row r="3" spans="1:31" ht="6.750000" customHeight="1">
      <c r="F3" s="334"/>
      <c r="G3" s="334"/>
    </row>
    <row r="4" spans="1:31" ht="16.50000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62"/>
      <c r="Q4" s="348" t="s">
        <v>107</v>
      </c>
      <c r="R4" s="131"/>
      <c r="S4" s="12"/>
      <c r="T4" s="12"/>
      <c r="U4" s="12"/>
      <c r="V4" s="12"/>
      <c r="W4" s="12"/>
      <c r="X4" s="12"/>
      <c r="Y4" s="12"/>
      <c r="Z4" s="12"/>
      <c r="AA4" s="12"/>
      <c r="AB4" s="62"/>
      <c r="AC4" s="16"/>
      <c r="AD4" s="16"/>
      <c r="AE4" s="16"/>
    </row>
    <row r="5" spans="1:31" ht="16.500000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31"/>
      <c r="L5" s="16"/>
      <c r="M5" s="16"/>
      <c r="N5" s="16"/>
      <c r="O5" s="63"/>
      <c r="Q5" s="349"/>
      <c r="R5" s="350"/>
      <c r="S5" s="144"/>
      <c r="T5" s="144"/>
      <c r="U5" s="144"/>
      <c r="V5" s="144"/>
      <c r="W5" s="144"/>
      <c r="X5" s="144"/>
      <c r="Y5" s="144"/>
      <c r="Z5" s="144"/>
      <c r="AA5" s="144"/>
      <c r="AB5" s="173"/>
      <c r="AC5" s="16"/>
      <c r="AD5" s="16"/>
      <c r="AE5" s="16"/>
    </row>
    <row r="6" spans="1:31" ht="16.500000" customHeight="1">
      <c r="A6" s="15"/>
      <c r="C6" s="751" t="s">
        <v>267</v>
      </c>
      <c r="D6" s="752"/>
      <c r="E6" s="752"/>
      <c r="F6" s="752"/>
      <c r="G6" s="753">
        <v>2</v>
      </c>
      <c r="H6" s="753"/>
      <c r="I6" s="757" t="str">
        <f>IF(G6=1,"無凸緣胴體",IF(G6=2,"帶凸緣胴體","是不正確的選擇"))</f>
        <v>帶凸緣胴體</v>
      </c>
      <c r="J6" s="757"/>
      <c r="K6" s="757"/>
      <c r="L6" s="757"/>
      <c r="M6" s="757"/>
      <c r="N6" s="56"/>
      <c r="O6" s="63"/>
      <c r="Q6" s="349"/>
      <c r="R6" s="350"/>
      <c r="S6" s="144"/>
      <c r="T6" s="144"/>
      <c r="U6" s="144"/>
      <c r="V6" s="144"/>
      <c r="W6" s="144"/>
      <c r="X6" s="144"/>
      <c r="Y6" s="144"/>
      <c r="Z6" s="144"/>
      <c r="AA6" s="144"/>
      <c r="AB6" s="173"/>
      <c r="AC6" s="16"/>
      <c r="AD6" s="16"/>
      <c r="AE6" s="16"/>
    </row>
    <row r="7" spans="1:31" ht="16.500000" customHeight="1">
      <c r="A7" s="15"/>
      <c r="C7" s="758" t="s">
        <v>268</v>
      </c>
      <c r="D7" s="759"/>
      <c r="E7" s="759"/>
      <c r="F7" s="759"/>
      <c r="G7" s="760"/>
      <c r="H7" s="761" t="s">
        <v>269</v>
      </c>
      <c r="I7" s="759"/>
      <c r="J7" s="759"/>
      <c r="K7" s="759"/>
      <c r="L7" s="759"/>
      <c r="M7" s="759"/>
      <c r="N7" s="368"/>
      <c r="O7" s="63"/>
      <c r="Q7" s="349"/>
      <c r="R7" s="350"/>
      <c r="S7" s="144"/>
      <c r="T7" s="144"/>
      <c r="U7" s="144"/>
      <c r="V7" s="144"/>
      <c r="W7" s="144"/>
      <c r="X7" s="144"/>
      <c r="Y7" s="144"/>
      <c r="Z7" s="144"/>
      <c r="AA7" s="144"/>
      <c r="AB7" s="173"/>
      <c r="AC7" s="16"/>
      <c r="AD7" s="16"/>
      <c r="AE7" s="16"/>
    </row>
    <row r="8" spans="1:31" ht="16.500000" customHeight="1">
      <c r="A8" s="15"/>
      <c r="B8" s="16"/>
      <c r="C8" s="16"/>
      <c r="D8" s="16"/>
      <c r="E8" s="16"/>
      <c r="F8" s="16"/>
      <c r="G8" s="371"/>
      <c r="H8" s="372"/>
      <c r="I8" s="16"/>
      <c r="J8" s="16"/>
      <c r="K8" s="16"/>
      <c r="L8" s="16"/>
      <c r="M8" s="16"/>
      <c r="N8" s="16"/>
      <c r="O8" s="63"/>
      <c r="Q8" s="349"/>
      <c r="R8" s="350"/>
      <c r="S8" s="144"/>
      <c r="T8" s="144"/>
      <c r="U8" s="144"/>
      <c r="V8" s="144"/>
      <c r="W8" s="144"/>
      <c r="X8" s="144"/>
      <c r="Y8" s="144"/>
      <c r="Z8" s="144"/>
      <c r="AA8" s="144"/>
      <c r="AB8" s="173"/>
      <c r="AC8" s="16"/>
      <c r="AD8" s="16"/>
      <c r="AE8" s="16"/>
    </row>
    <row r="9" spans="1:31" ht="16.500000" customHeight="1">
      <c r="A9" s="15"/>
      <c r="B9" s="16"/>
      <c r="C9" s="16"/>
      <c r="D9" s="16"/>
      <c r="E9" s="16"/>
      <c r="F9" s="16"/>
      <c r="G9" s="373"/>
      <c r="H9" s="374"/>
      <c r="I9" s="16"/>
      <c r="J9" s="16"/>
      <c r="K9" s="16"/>
      <c r="L9" s="16"/>
      <c r="M9" s="16"/>
      <c r="N9" s="16"/>
      <c r="O9" s="63"/>
      <c r="Q9" s="349"/>
      <c r="R9" s="350"/>
      <c r="S9" s="144"/>
      <c r="T9" s="144"/>
      <c r="U9" s="144"/>
      <c r="V9" s="144"/>
      <c r="W9" s="144"/>
      <c r="X9" s="144"/>
      <c r="Y9" s="144"/>
      <c r="Z9" s="144"/>
      <c r="AA9" s="144"/>
      <c r="AB9" s="173"/>
      <c r="AC9" s="16"/>
      <c r="AD9" s="16"/>
      <c r="AE9" s="16"/>
    </row>
    <row r="10" spans="1:31" ht="16.500000" customHeight="1">
      <c r="A10" s="15"/>
      <c r="B10" s="16"/>
      <c r="C10" s="16"/>
      <c r="D10" s="16"/>
      <c r="E10" s="16"/>
      <c r="F10" s="375" t="s">
        <v>258</v>
      </c>
      <c r="G10" s="763">
        <v>1</v>
      </c>
      <c r="H10" s="764"/>
      <c r="I10" s="16"/>
      <c r="J10" s="16"/>
      <c r="K10" s="16"/>
      <c r="L10" s="16"/>
      <c r="M10" s="16"/>
      <c r="N10" s="16"/>
      <c r="O10" s="63"/>
      <c r="Q10" s="145"/>
      <c r="R10" s="351"/>
      <c r="S10" s="144"/>
      <c r="T10" s="144"/>
      <c r="U10" s="144"/>
      <c r="V10" s="144"/>
      <c r="W10" s="144"/>
      <c r="X10" s="144"/>
      <c r="Y10" s="144"/>
      <c r="Z10" s="144"/>
      <c r="AA10" s="144"/>
      <c r="AB10" s="173"/>
      <c r="AC10" s="16"/>
      <c r="AD10" s="16"/>
      <c r="AE10" s="16"/>
    </row>
    <row r="11" spans="1:31" ht="16.500000" customHeight="1">
      <c r="A11" s="15"/>
      <c r="B11" s="16"/>
      <c r="C11" s="16"/>
      <c r="D11" s="16"/>
      <c r="E11" s="16"/>
      <c r="F11" s="16"/>
      <c r="G11" s="376"/>
      <c r="H11" s="377"/>
      <c r="I11" s="16"/>
      <c r="J11" s="16"/>
      <c r="K11" s="16"/>
      <c r="L11" s="16"/>
      <c r="M11" s="16"/>
      <c r="N11" s="16"/>
      <c r="O11" s="63"/>
      <c r="Q11" s="353"/>
      <c r="R11" s="354"/>
      <c r="S11" s="355"/>
      <c r="T11" s="356"/>
      <c r="U11" s="357"/>
      <c r="V11" s="355"/>
      <c r="W11" s="355"/>
      <c r="X11" s="144"/>
      <c r="Y11" s="144"/>
      <c r="Z11" s="144"/>
      <c r="AA11" s="144"/>
      <c r="AB11" s="173"/>
      <c r="AC11" s="16"/>
      <c r="AD11" s="16"/>
      <c r="AE11" s="16"/>
    </row>
    <row r="12" spans="1:31" ht="16.500000" customHeight="1">
      <c r="A12" s="15"/>
      <c r="B12" s="16"/>
      <c r="C12" s="16"/>
      <c r="D12" s="16"/>
      <c r="E12" s="21"/>
      <c r="F12" s="375" t="s">
        <v>270</v>
      </c>
      <c r="G12" s="763">
        <v>10</v>
      </c>
      <c r="H12" s="764"/>
      <c r="I12" s="16"/>
      <c r="J12" s="16"/>
      <c r="K12" s="375" t="s">
        <v>271</v>
      </c>
      <c r="L12" s="288">
        <v>25</v>
      </c>
      <c r="M12" s="16"/>
      <c r="N12" s="16"/>
      <c r="O12" s="63"/>
      <c r="Q12" s="353"/>
      <c r="R12" s="355"/>
      <c r="S12" s="355"/>
      <c r="T12" s="355"/>
      <c r="U12" s="355"/>
      <c r="V12" s="355"/>
      <c r="W12" s="355"/>
      <c r="X12" s="144"/>
      <c r="Y12" s="144"/>
      <c r="Z12" s="144"/>
      <c r="AA12" s="144"/>
      <c r="AB12" s="173"/>
      <c r="AC12" s="16"/>
      <c r="AD12" s="16"/>
      <c r="AE12" s="16"/>
    </row>
    <row r="13" spans="1:31" ht="16.500000" customHeight="1">
      <c r="A13" s="15"/>
      <c r="B13" s="16"/>
      <c r="C13" s="16"/>
      <c r="D13" s="16"/>
      <c r="E13" s="16"/>
      <c r="F13" s="16"/>
      <c r="G13" s="378"/>
      <c r="H13" s="379"/>
      <c r="I13" s="16"/>
      <c r="J13" s="16"/>
      <c r="K13" s="16"/>
      <c r="L13" s="16"/>
      <c r="M13" s="16"/>
      <c r="N13" s="16"/>
      <c r="O13" s="63"/>
      <c r="Q13" s="353"/>
      <c r="R13" s="355"/>
      <c r="S13" s="355"/>
      <c r="T13" s="355"/>
      <c r="U13" s="355"/>
      <c r="V13" s="355"/>
      <c r="W13" s="355"/>
      <c r="X13" s="144"/>
      <c r="Y13" s="144"/>
      <c r="Z13" s="144"/>
      <c r="AA13" s="144"/>
      <c r="AB13" s="173"/>
      <c r="AC13" s="16"/>
      <c r="AD13" s="16"/>
      <c r="AE13" s="16"/>
    </row>
    <row r="14" spans="1:31" ht="16.500000" customHeight="1">
      <c r="A14" s="15"/>
      <c r="B14" s="16"/>
      <c r="C14" s="16"/>
      <c r="D14" s="16"/>
      <c r="E14" s="16"/>
      <c r="F14" s="16"/>
      <c r="G14" s="373"/>
      <c r="H14" s="335"/>
      <c r="I14" s="16"/>
      <c r="J14" s="16"/>
      <c r="K14" s="16"/>
      <c r="L14" s="16"/>
      <c r="M14" s="16"/>
      <c r="N14" s="16"/>
      <c r="O14" s="63"/>
      <c r="Q14" s="358"/>
      <c r="R14" s="355"/>
      <c r="S14" s="359"/>
      <c r="T14" s="355"/>
      <c r="U14" s="355"/>
      <c r="V14" s="355"/>
      <c r="W14" s="355"/>
      <c r="X14" s="144"/>
      <c r="Y14" s="144"/>
      <c r="Z14" s="144"/>
      <c r="AA14" s="144"/>
      <c r="AB14" s="173"/>
      <c r="AC14" s="16"/>
      <c r="AD14" s="16"/>
      <c r="AE14" s="16"/>
    </row>
    <row r="15" spans="1:31" ht="16.500000" customHeight="1">
      <c r="A15" s="15"/>
      <c r="B15" s="16"/>
      <c r="C15" s="16"/>
      <c r="D15" s="16"/>
      <c r="E15" s="16"/>
      <c r="F15" s="375" t="s">
        <v>272</v>
      </c>
      <c r="G15" s="763">
        <v>1</v>
      </c>
      <c r="H15" s="764"/>
      <c r="I15" s="16"/>
      <c r="J15" s="16"/>
      <c r="K15" s="16"/>
      <c r="L15" s="16"/>
      <c r="M15" s="16"/>
      <c r="N15" s="16"/>
      <c r="O15" s="63"/>
      <c r="Q15" s="360"/>
      <c r="R15" s="355"/>
      <c r="S15" s="361"/>
      <c r="T15" s="355"/>
      <c r="U15" s="355"/>
      <c r="V15" s="359"/>
      <c r="W15" s="355"/>
      <c r="X15" s="144"/>
      <c r="Y15" s="144"/>
      <c r="Z15" s="144"/>
      <c r="AA15" s="144"/>
      <c r="AB15" s="173"/>
      <c r="AC15" s="16"/>
      <c r="AD15" s="16"/>
      <c r="AE15" s="16"/>
    </row>
    <row r="16" spans="1:31" ht="16.500000" customHeight="1">
      <c r="A16" s="15"/>
      <c r="B16" s="16"/>
      <c r="C16" s="16"/>
      <c r="D16" s="16"/>
      <c r="E16" s="16"/>
      <c r="F16" s="16"/>
      <c r="G16" s="378"/>
      <c r="H16" s="306"/>
      <c r="I16" s="16"/>
      <c r="J16" s="16"/>
      <c r="K16" s="16"/>
      <c r="L16" s="16"/>
      <c r="M16" s="16"/>
      <c r="N16" s="16"/>
      <c r="O16" s="63"/>
      <c r="Q16" s="353"/>
      <c r="R16" s="355"/>
      <c r="S16" s="362"/>
      <c r="T16" s="355"/>
      <c r="U16" s="355"/>
      <c r="V16" s="354"/>
      <c r="W16" s="355"/>
      <c r="X16" s="144"/>
      <c r="Y16" s="144"/>
      <c r="Z16" s="144"/>
      <c r="AA16" s="144"/>
      <c r="AB16" s="173"/>
      <c r="AC16" s="16"/>
      <c r="AD16" s="16"/>
      <c r="AE16" s="16"/>
    </row>
    <row r="17" spans="1:31" ht="16.500000" customHeight="1">
      <c r="A17" s="15"/>
      <c r="B17" s="16"/>
      <c r="C17" s="16"/>
      <c r="D17" s="16"/>
      <c r="E17" s="16"/>
      <c r="F17" s="16"/>
      <c r="G17" s="371"/>
      <c r="H17" s="306"/>
      <c r="I17" s="16"/>
      <c r="J17" s="16"/>
      <c r="K17" s="16"/>
      <c r="L17" s="16"/>
      <c r="M17" s="16"/>
      <c r="N17" s="16"/>
      <c r="O17" s="63"/>
      <c r="Q17" s="353"/>
      <c r="R17" s="363"/>
      <c r="S17" s="357"/>
      <c r="T17" s="355"/>
      <c r="U17" s="355"/>
      <c r="V17" s="355"/>
      <c r="W17" s="355"/>
      <c r="X17" s="144"/>
      <c r="Y17" s="144"/>
      <c r="Z17" s="144"/>
      <c r="AA17" s="144"/>
      <c r="AB17" s="173"/>
      <c r="AC17" s="16"/>
      <c r="AD17" s="16"/>
      <c r="AE17" s="16"/>
    </row>
    <row r="18" spans="1:31" ht="16.500000" customHeight="1">
      <c r="A18" s="15"/>
      <c r="B18" s="16"/>
      <c r="C18" s="16"/>
      <c r="D18" s="16"/>
      <c r="E18" s="765" t="s">
        <v>273</v>
      </c>
      <c r="F18" s="766"/>
      <c r="G18" s="766"/>
      <c r="H18" s="766"/>
      <c r="I18" s="766"/>
      <c r="J18" s="16"/>
      <c r="K18" s="16"/>
      <c r="L18" s="16"/>
      <c r="M18" s="16"/>
      <c r="N18" s="16"/>
      <c r="O18" s="63"/>
      <c r="Q18" s="353"/>
      <c r="R18" s="363"/>
      <c r="S18" s="359"/>
      <c r="T18" s="355"/>
      <c r="U18" s="355"/>
      <c r="V18" s="355"/>
      <c r="W18" s="355"/>
      <c r="X18" s="144"/>
      <c r="Y18" s="144"/>
      <c r="Z18" s="144"/>
      <c r="AA18" s="144"/>
      <c r="AB18" s="173"/>
      <c r="AC18" s="16"/>
      <c r="AD18" s="16"/>
      <c r="AE18" s="16"/>
    </row>
    <row r="19" spans="1:31" ht="16.500000" customHeight="1">
      <c r="A19" s="15"/>
      <c r="B19" s="16"/>
      <c r="C19" s="16"/>
      <c r="D19" s="16"/>
      <c r="E19" s="16"/>
      <c r="F19" s="16"/>
      <c r="G19" s="371"/>
      <c r="H19" s="306"/>
      <c r="I19" s="16"/>
      <c r="J19" s="16"/>
      <c r="K19" s="16"/>
      <c r="L19" s="16"/>
      <c r="M19" s="16"/>
      <c r="N19" s="16"/>
      <c r="O19" s="63"/>
      <c r="Q19" s="353"/>
      <c r="R19" s="363"/>
      <c r="S19" s="362"/>
      <c r="T19" s="355"/>
      <c r="U19" s="355"/>
      <c r="V19" s="355"/>
      <c r="W19" s="355"/>
      <c r="X19" s="144"/>
      <c r="Y19" s="144"/>
      <c r="Z19" s="144"/>
      <c r="AA19" s="144"/>
      <c r="AB19" s="173"/>
      <c r="AC19" s="16"/>
      <c r="AD19" s="16"/>
      <c r="AE19" s="16"/>
    </row>
    <row r="20" spans="1:31" ht="16.500000" customHeight="1">
      <c r="A20" s="15"/>
      <c r="B20" s="16"/>
      <c r="C20" s="16"/>
      <c r="D20" s="16"/>
      <c r="E20" s="16"/>
      <c r="F20" s="16"/>
      <c r="G20" s="373"/>
      <c r="H20" s="380"/>
      <c r="I20" s="16"/>
      <c r="J20" s="16"/>
      <c r="K20" s="16"/>
      <c r="L20" s="16"/>
      <c r="M20" s="16"/>
      <c r="N20" s="16"/>
      <c r="O20" s="63"/>
      <c r="Q20" s="353"/>
      <c r="R20" s="355"/>
      <c r="S20" s="355"/>
      <c r="T20" s="355"/>
      <c r="U20" s="355"/>
      <c r="V20" s="355"/>
      <c r="W20" s="355"/>
      <c r="X20" s="144"/>
      <c r="Y20" s="144"/>
      <c r="Z20" s="144"/>
      <c r="AA20" s="144"/>
      <c r="AB20" s="173"/>
      <c r="AC20" s="16"/>
      <c r="AD20" s="16"/>
      <c r="AE20" s="16"/>
    </row>
    <row r="21" spans="1:31" ht="16.500000" customHeight="1">
      <c r="A21" s="15"/>
      <c r="B21" s="16"/>
      <c r="C21" s="16"/>
      <c r="D21" s="16"/>
      <c r="E21" s="16"/>
      <c r="F21" s="375" t="s">
        <v>274</v>
      </c>
      <c r="G21" s="763">
        <v>33</v>
      </c>
      <c r="H21" s="764"/>
      <c r="I21" s="16"/>
      <c r="J21" s="16"/>
      <c r="K21" s="16"/>
      <c r="L21" s="16"/>
      <c r="M21" s="16"/>
      <c r="N21" s="16"/>
      <c r="O21" s="63"/>
      <c r="Q21" s="353"/>
      <c r="R21" s="355"/>
      <c r="S21" s="356"/>
      <c r="T21" s="355"/>
      <c r="U21" s="355"/>
      <c r="V21" s="355"/>
      <c r="W21" s="355"/>
      <c r="X21" s="144"/>
      <c r="Y21" s="144"/>
      <c r="Z21" s="144"/>
      <c r="AA21" s="144"/>
      <c r="AB21" s="173"/>
      <c r="AC21" s="16"/>
      <c r="AD21" s="16"/>
      <c r="AE21" s="16"/>
    </row>
    <row r="22" spans="1:31" ht="16.500000" customHeight="1">
      <c r="A22" s="15"/>
      <c r="B22" s="16"/>
      <c r="C22" s="16"/>
      <c r="D22" s="16"/>
      <c r="E22" s="16"/>
      <c r="F22" s="16"/>
      <c r="G22" s="376"/>
      <c r="H22" s="379"/>
      <c r="I22" s="16"/>
      <c r="J22" s="16"/>
      <c r="K22" s="16"/>
      <c r="L22" s="16"/>
      <c r="M22" s="16"/>
      <c r="N22" s="16"/>
      <c r="O22" s="63"/>
      <c r="Q22" s="353"/>
      <c r="R22" s="355"/>
      <c r="S22" s="354"/>
      <c r="T22" s="355"/>
      <c r="U22" s="355"/>
      <c r="V22" s="355"/>
      <c r="W22" s="355"/>
      <c r="X22" s="144"/>
      <c r="Y22" s="144"/>
      <c r="Z22" s="144"/>
      <c r="AA22" s="144"/>
      <c r="AB22" s="173"/>
      <c r="AC22" s="16"/>
      <c r="AD22" s="16"/>
      <c r="AE22" s="16"/>
    </row>
    <row r="23" spans="1:31" ht="16.500000" customHeight="1">
      <c r="A23" s="15"/>
      <c r="B23" s="16"/>
      <c r="C23" s="16"/>
      <c r="D23" s="16"/>
      <c r="E23" s="56" t="s">
        <v>275</v>
      </c>
      <c r="F23" s="762"/>
      <c r="G23" s="763">
        <v>10</v>
      </c>
      <c r="H23" s="764"/>
      <c r="I23" s="16"/>
      <c r="J23" s="16"/>
      <c r="K23" s="16"/>
      <c r="L23" s="16"/>
      <c r="M23" s="16"/>
      <c r="N23" s="16"/>
      <c r="O23" s="63"/>
      <c r="Q23" s="353"/>
      <c r="R23" s="355"/>
      <c r="S23" s="354"/>
      <c r="T23" s="355"/>
      <c r="U23" s="355"/>
      <c r="V23" s="355"/>
      <c r="W23" s="355"/>
      <c r="X23" s="144"/>
      <c r="Y23" s="144"/>
      <c r="Z23" s="144"/>
      <c r="AA23" s="144"/>
      <c r="AB23" s="173"/>
      <c r="AC23" s="16"/>
      <c r="AD23" s="16"/>
      <c r="AE23" s="16"/>
    </row>
    <row r="24" spans="1:31" ht="16.500000" customHeight="1">
      <c r="A24" s="15"/>
      <c r="B24" s="16"/>
      <c r="C24" s="16"/>
      <c r="D24" s="16"/>
      <c r="E24" s="16"/>
      <c r="F24" s="16"/>
      <c r="G24" s="378"/>
      <c r="H24" s="16"/>
      <c r="I24" s="16"/>
      <c r="J24" s="16"/>
      <c r="K24" s="16"/>
      <c r="L24" s="16"/>
      <c r="M24" s="16"/>
      <c r="N24" s="16"/>
      <c r="O24" s="63"/>
      <c r="Q24" s="353"/>
      <c r="R24" s="355"/>
      <c r="S24" s="354"/>
      <c r="T24" s="355"/>
      <c r="U24" s="355"/>
      <c r="V24" s="355"/>
      <c r="W24" s="355"/>
      <c r="X24" s="144"/>
      <c r="Y24" s="144"/>
      <c r="Z24" s="144"/>
      <c r="AA24" s="144"/>
      <c r="AB24" s="173"/>
      <c r="AC24" s="16"/>
      <c r="AD24" s="16"/>
      <c r="AE24" s="16"/>
    </row>
    <row r="25" spans="1:31" ht="16.500000" customHeight="1">
      <c r="A25" s="15"/>
      <c r="B25" s="16"/>
      <c r="C25" s="16"/>
      <c r="D25" s="16"/>
      <c r="E25" s="16"/>
      <c r="F25" s="16"/>
      <c r="G25" s="371"/>
      <c r="H25" s="16"/>
      <c r="I25" s="16"/>
      <c r="J25" s="16"/>
      <c r="K25" s="16"/>
      <c r="L25" s="16"/>
      <c r="M25" s="16"/>
      <c r="N25" s="16"/>
      <c r="O25" s="63"/>
      <c r="Q25" s="353"/>
      <c r="R25" s="355"/>
      <c r="S25" s="355"/>
      <c r="T25" s="355"/>
      <c r="U25" s="355"/>
      <c r="V25" s="355"/>
      <c r="W25" s="355"/>
      <c r="X25" s="144"/>
      <c r="Y25" s="144"/>
      <c r="Z25" s="144"/>
      <c r="AA25" s="144"/>
      <c r="AB25" s="173"/>
      <c r="AC25" s="16"/>
      <c r="AD25" s="16"/>
      <c r="AE25" s="16"/>
    </row>
    <row r="26" spans="1:31" ht="16.500000" customHeight="1">
      <c r="A26" s="15"/>
      <c r="B26" s="16"/>
      <c r="C26" s="16"/>
      <c r="D26" s="16"/>
      <c r="E26" s="16"/>
      <c r="G26" s="371"/>
      <c r="H26" s="16"/>
      <c r="I26" s="16"/>
      <c r="J26" s="16"/>
      <c r="K26" s="16"/>
      <c r="L26" s="16"/>
      <c r="M26" s="16"/>
      <c r="N26" s="16"/>
      <c r="O26" s="63"/>
      <c r="Q26" s="145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73"/>
      <c r="AC26" s="16"/>
      <c r="AD26" s="16"/>
      <c r="AE26" s="16"/>
    </row>
    <row r="27" spans="1:31" ht="16.500000" customHeight="1">
      <c r="A27" s="15"/>
      <c r="B27" s="16"/>
      <c r="C27" s="16"/>
      <c r="D27" s="16"/>
      <c r="E27" s="16"/>
      <c r="G27" s="371"/>
      <c r="H27" s="16"/>
      <c r="I27" s="16"/>
      <c r="J27" s="16"/>
      <c r="K27" s="16"/>
      <c r="L27" s="16"/>
      <c r="M27" s="16"/>
      <c r="N27" s="16"/>
      <c r="O27" s="63"/>
      <c r="Q27" s="145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73"/>
      <c r="AC27" s="16"/>
      <c r="AD27" s="16"/>
      <c r="AE27" s="16"/>
    </row>
    <row r="28" spans="1:31" ht="16.500000" customHeight="1">
      <c r="A28" s="15"/>
      <c r="B28" s="16"/>
      <c r="C28" s="16"/>
      <c r="D28" s="16"/>
      <c r="E28" s="16"/>
      <c r="I28" s="16"/>
      <c r="J28" s="16"/>
      <c r="K28" s="16"/>
      <c r="L28" s="16"/>
      <c r="M28" s="16"/>
      <c r="N28" s="16"/>
      <c r="O28" s="63"/>
      <c r="Q28" s="145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73"/>
      <c r="AC28" s="16"/>
      <c r="AD28" s="16"/>
      <c r="AE28" s="16"/>
    </row>
    <row r="29" spans="1:31" ht="16.500000" customHeight="1">
      <c r="A29" s="345" t="s">
        <v>276</v>
      </c>
      <c r="C29" s="16"/>
      <c r="D29" s="16"/>
      <c r="E29" s="16"/>
      <c r="I29" s="16"/>
      <c r="J29" s="16"/>
      <c r="K29" s="16"/>
      <c r="L29" s="16"/>
      <c r="M29" s="16"/>
      <c r="N29" s="16"/>
      <c r="O29" s="63"/>
      <c r="Q29" s="145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73"/>
      <c r="AC29" s="16"/>
      <c r="AD29" s="16"/>
      <c r="AE29" s="16"/>
    </row>
    <row r="30" spans="1:31" ht="16.500000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64"/>
      <c r="Q30" s="147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74"/>
      <c r="AC30" s="16"/>
      <c r="AD30" s="16"/>
      <c r="AE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18">
    <mergeCell ref="A1:AB1"/>
    <mergeCell ref="A2:E2"/>
    <mergeCell ref="F2:H2"/>
    <mergeCell ref="X2:Y2"/>
    <mergeCell ref="Z2:AB2"/>
    <mergeCell ref="Q4:R4"/>
    <mergeCell ref="C6:F6"/>
    <mergeCell ref="G6:H6"/>
    <mergeCell ref="I6:M6"/>
    <mergeCell ref="C7:G7"/>
    <mergeCell ref="H7:M7"/>
    <mergeCell ref="G10:H10"/>
    <mergeCell ref="G12:H12"/>
    <mergeCell ref="G15:H15"/>
    <mergeCell ref="E18:I18"/>
    <mergeCell ref="G21:H21"/>
    <mergeCell ref="E23:F23"/>
    <mergeCell ref="G23:H23"/>
  </mergeCells>
  <phoneticPr fontId="1" type="noConversion"/>
  <pageMargins left="0.55" right="0.55" top="0.79" bottom="0.59" header="0.51" footer="0.51"/>
  <pageSetup paperSize="9" orientation="landscape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40"/>
  <sheetViews>
    <sheetView showZeros="0" showGridLines="0" showRowColHeaders="0" zoomScale="70" zoomScaleNormal="70" workbookViewId="0">
      <pane xSplit="24" ySplit="30" topLeftCell="Y31" activePane="bottomRight" state="frozen"/>
      <selection pane="topRight" activeCell="Y1" sqref="Y1"/>
      <selection pane="bottomLeft" activeCell="A31" sqref="A31"/>
      <selection pane="bottomRight" activeCell="A1" sqref="A1:X1"/>
    </sheetView>
  </sheetViews>
  <sheetFormatPr defaultColWidth="9.00000000" defaultRowHeight="16.200000"/>
  <cols>
    <col min="1" max="1" style="3" width="4.00499998" customWidth="1" outlineLevel="0"/>
    <col min="2" max="5" style="3" width="5.14785705" customWidth="1" outlineLevel="0"/>
    <col min="6" max="6" style="3" width="8.29071413" customWidth="1" outlineLevel="0"/>
    <col min="7" max="8" style="3" width="4.71928583" customWidth="1" outlineLevel="0"/>
    <col min="9" max="9" style="3" width="6.43357120" customWidth="1" outlineLevel="0"/>
    <col min="10" max="10" style="3" width="5.14785705" customWidth="1" outlineLevel="0"/>
    <col min="11" max="11" style="3" width="4.71928583" customWidth="1" outlineLevel="0"/>
    <col min="12" max="12" style="3" width="1.00500001" customWidth="1" outlineLevel="0"/>
    <col min="13" max="24" style="3" width="6.29071413" customWidth="1" outlineLevel="0"/>
    <col min="25" max="27" style="3" width="4.86214290" customWidth="1" outlineLevel="0"/>
    <col min="28" max="16384" style="3" width="9.00499998" customWidth="1" outlineLevel="0"/>
  </cols>
  <sheetData>
    <row r="1" spans="1:27" ht="49.500000">
      <c r="A1" s="646" t="s">
        <v>277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</row>
    <row r="2" spans="1:27" ht="34.500000" customHeight="1">
      <c r="A2" s="754" t="s">
        <v>256</v>
      </c>
      <c r="B2" s="754"/>
      <c r="C2" s="754"/>
      <c r="D2" s="767"/>
      <c r="E2" s="767"/>
      <c r="F2" s="364">
        <f>((((F10-D17)^2)+(2*(F10-D17)*(I17+I13)))^0.5)*1.414</f>
        <v>82.2189629951631</v>
      </c>
      <c r="G2" s="346" t="s">
        <v>51</v>
      </c>
      <c r="H2" s="366"/>
      <c r="I2" s="198"/>
      <c r="J2" s="347"/>
      <c r="K2" s="347"/>
      <c r="U2" s="195"/>
      <c r="V2" s="252" t="s">
        <v>88</v>
      </c>
      <c r="W2" s="253">
        <f>TODAY()</f>
        <v>43411</v>
      </c>
      <c r="X2" s="253"/>
    </row>
    <row r="3" spans="1:27" ht="6.750000" customHeight="1">
      <c r="D3" s="334"/>
      <c r="E3" s="334"/>
      <c r="F3" s="72"/>
    </row>
    <row r="4" spans="1:27" ht="16.50000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348" t="s">
        <v>107</v>
      </c>
      <c r="N4" s="131"/>
      <c r="O4" s="12"/>
      <c r="P4" s="12"/>
      <c r="Q4" s="12"/>
      <c r="R4" s="12"/>
      <c r="S4" s="12"/>
      <c r="T4" s="12"/>
      <c r="U4" s="12"/>
      <c r="V4" s="12"/>
      <c r="W4" s="12"/>
      <c r="X4" s="62"/>
      <c r="Y4" s="16"/>
      <c r="Z4" s="16"/>
      <c r="AA4" s="16"/>
    </row>
    <row r="5" spans="1:27" ht="16.500000" customHeight="1">
      <c r="A5" s="15"/>
      <c r="B5" s="69"/>
      <c r="C5" s="69"/>
      <c r="D5" s="69"/>
      <c r="E5" s="69"/>
      <c r="F5" s="69"/>
      <c r="G5" s="69"/>
      <c r="H5" s="69"/>
      <c r="I5" s="138"/>
      <c r="J5" s="69"/>
      <c r="K5" s="63"/>
      <c r="M5" s="349"/>
      <c r="N5" s="350"/>
      <c r="O5" s="144"/>
      <c r="P5" s="144"/>
      <c r="Q5" s="144"/>
      <c r="R5" s="144"/>
      <c r="S5" s="144"/>
      <c r="T5" s="144"/>
      <c r="U5" s="144"/>
      <c r="V5" s="144"/>
      <c r="W5" s="144"/>
      <c r="X5" s="173"/>
      <c r="Y5" s="16"/>
      <c r="Z5" s="16"/>
      <c r="AA5" s="16"/>
    </row>
    <row r="6" spans="1:27" ht="16.500000" customHeight="1">
      <c r="A6" s="15"/>
      <c r="B6" s="69"/>
      <c r="C6" s="69"/>
      <c r="D6" s="69"/>
      <c r="E6" s="69"/>
      <c r="F6" s="69"/>
      <c r="G6" s="69"/>
      <c r="H6" s="69"/>
      <c r="I6" s="138"/>
      <c r="J6" s="69"/>
      <c r="K6" s="63"/>
      <c r="M6" s="349"/>
      <c r="N6" s="350"/>
      <c r="O6" s="144"/>
      <c r="P6" s="144"/>
      <c r="Q6" s="144"/>
      <c r="R6" s="144"/>
      <c r="S6" s="144"/>
      <c r="T6" s="144"/>
      <c r="U6" s="144"/>
      <c r="V6" s="144"/>
      <c r="W6" s="144"/>
      <c r="X6" s="173"/>
      <c r="Y6" s="16"/>
      <c r="Z6" s="16"/>
      <c r="AA6" s="16"/>
    </row>
    <row r="7" spans="1:27" ht="16.500000" customHeight="1">
      <c r="A7" s="15"/>
      <c r="B7" s="69"/>
      <c r="C7" s="69"/>
      <c r="D7" s="69"/>
      <c r="E7" s="69"/>
      <c r="F7" s="69"/>
      <c r="G7" s="69"/>
      <c r="H7" s="69"/>
      <c r="I7" s="138"/>
      <c r="J7" s="69"/>
      <c r="K7" s="63"/>
      <c r="M7" s="349"/>
      <c r="N7" s="350"/>
      <c r="O7" s="144"/>
      <c r="P7" s="144"/>
      <c r="Q7" s="144"/>
      <c r="R7" s="144"/>
      <c r="S7" s="144"/>
      <c r="T7" s="144"/>
      <c r="U7" s="144"/>
      <c r="V7" s="144"/>
      <c r="W7" s="144"/>
      <c r="X7" s="173"/>
      <c r="Y7" s="16"/>
      <c r="Z7" s="16"/>
      <c r="AA7" s="16"/>
    </row>
    <row r="8" spans="1:27" ht="16.500000" customHeight="1">
      <c r="A8" s="15"/>
      <c r="B8" s="69"/>
      <c r="C8" s="368"/>
      <c r="D8" s="368"/>
      <c r="E8" s="368"/>
      <c r="F8" s="166"/>
      <c r="G8" s="368"/>
      <c r="H8" s="368"/>
      <c r="I8" s="368"/>
      <c r="J8" s="368"/>
      <c r="K8" s="63"/>
      <c r="M8" s="349"/>
      <c r="N8" s="350"/>
      <c r="O8" s="144"/>
      <c r="P8" s="144"/>
      <c r="Q8" s="144"/>
      <c r="R8" s="144"/>
      <c r="S8" s="144"/>
      <c r="T8" s="144"/>
      <c r="U8" s="144"/>
      <c r="V8" s="144"/>
      <c r="W8" s="144"/>
      <c r="X8" s="173"/>
      <c r="Y8" s="16"/>
      <c r="Z8" s="16"/>
      <c r="AA8" s="16"/>
    </row>
    <row r="9" spans="1:27" ht="16.500000" customHeight="1">
      <c r="A9" s="15"/>
      <c r="B9" s="69"/>
      <c r="C9" s="69"/>
      <c r="D9" s="69"/>
      <c r="E9" s="69"/>
      <c r="F9" s="69"/>
      <c r="G9" s="69"/>
      <c r="H9" s="69"/>
      <c r="I9" s="69"/>
      <c r="J9" s="69"/>
      <c r="K9" s="63"/>
      <c r="M9" s="349"/>
      <c r="N9" s="350"/>
      <c r="O9" s="144"/>
      <c r="P9" s="144"/>
      <c r="Q9" s="144"/>
      <c r="R9" s="144"/>
      <c r="S9" s="144"/>
      <c r="T9" s="144"/>
      <c r="U9" s="144"/>
      <c r="V9" s="144"/>
      <c r="W9" s="144"/>
      <c r="X9" s="173"/>
      <c r="Y9" s="16"/>
      <c r="Z9" s="16"/>
      <c r="AA9" s="16"/>
    </row>
    <row r="10" spans="1:27" ht="16.500000" customHeight="1">
      <c r="A10" s="15"/>
      <c r="B10" s="69"/>
      <c r="C10" s="69"/>
      <c r="D10" s="69"/>
      <c r="E10" s="113" t="s">
        <v>257</v>
      </c>
      <c r="F10" s="311">
        <v>50</v>
      </c>
      <c r="G10" s="69"/>
      <c r="H10" s="69"/>
      <c r="I10" s="69"/>
      <c r="J10" s="69"/>
      <c r="K10" s="63"/>
      <c r="M10" s="349"/>
      <c r="N10" s="350"/>
      <c r="O10" s="144"/>
      <c r="P10" s="144"/>
      <c r="Q10" s="144"/>
      <c r="R10" s="144"/>
      <c r="S10" s="144"/>
      <c r="T10" s="144"/>
      <c r="U10" s="144"/>
      <c r="V10" s="144"/>
      <c r="W10" s="144"/>
      <c r="X10" s="173"/>
      <c r="Y10" s="16"/>
      <c r="Z10" s="16"/>
      <c r="AA10" s="16"/>
    </row>
    <row r="11" spans="1:27" ht="16.500000" customHeight="1">
      <c r="A11" s="15"/>
      <c r="B11" s="69"/>
      <c r="C11" s="69"/>
      <c r="D11" s="114"/>
      <c r="E11" s="354"/>
      <c r="F11" s="354"/>
      <c r="G11" s="69"/>
      <c r="H11" s="69"/>
      <c r="I11" s="69"/>
      <c r="J11" s="69"/>
      <c r="K11" s="63"/>
      <c r="M11" s="145"/>
      <c r="N11" s="351"/>
      <c r="O11" s="144"/>
      <c r="P11" s="144"/>
      <c r="Q11" s="144"/>
      <c r="R11" s="144"/>
      <c r="S11" s="144"/>
      <c r="T11" s="144"/>
      <c r="U11" s="144"/>
      <c r="V11" s="144"/>
      <c r="W11" s="144"/>
      <c r="X11" s="173"/>
      <c r="Y11" s="16"/>
      <c r="Z11" s="16"/>
      <c r="AA11" s="16"/>
    </row>
    <row r="12" spans="1:27" ht="16.500000" customHeight="1">
      <c r="A12" s="15"/>
      <c r="B12" s="69"/>
      <c r="C12" s="69"/>
      <c r="D12" s="114"/>
      <c r="E12" s="354"/>
      <c r="F12" s="354"/>
      <c r="G12" s="69"/>
      <c r="H12" s="69"/>
      <c r="I12" s="352" t="s">
        <v>258</v>
      </c>
      <c r="J12" s="69"/>
      <c r="K12" s="63"/>
      <c r="M12" s="145"/>
      <c r="N12" s="351"/>
      <c r="O12" s="144"/>
      <c r="P12" s="144"/>
      <c r="Q12" s="144"/>
      <c r="R12" s="144"/>
      <c r="S12" s="144"/>
      <c r="T12" s="144"/>
      <c r="U12" s="144"/>
      <c r="V12" s="144"/>
      <c r="W12" s="144"/>
      <c r="X12" s="173"/>
      <c r="Y12" s="16"/>
      <c r="Z12" s="16"/>
      <c r="AA12" s="16"/>
    </row>
    <row r="13" spans="1:27" ht="16.500000" customHeight="1">
      <c r="A13" s="15"/>
      <c r="B13" s="69"/>
      <c r="C13" s="69"/>
      <c r="D13" s="114"/>
      <c r="E13" s="354"/>
      <c r="F13" s="354"/>
      <c r="G13" s="69"/>
      <c r="H13" s="69"/>
      <c r="I13" s="311">
        <v>0</v>
      </c>
      <c r="J13" s="69"/>
      <c r="K13" s="63"/>
      <c r="M13" s="145"/>
      <c r="N13" s="351"/>
      <c r="O13" s="144"/>
      <c r="P13" s="144"/>
      <c r="Q13" s="144"/>
      <c r="R13" s="144"/>
      <c r="S13" s="144"/>
      <c r="T13" s="144"/>
      <c r="U13" s="144"/>
      <c r="V13" s="144"/>
      <c r="W13" s="144"/>
      <c r="X13" s="173"/>
      <c r="Y13" s="16"/>
      <c r="Z13" s="16"/>
      <c r="AA13" s="16"/>
    </row>
    <row r="14" spans="1:27" ht="16.500000" customHeight="1">
      <c r="A14" s="15"/>
      <c r="B14" s="69"/>
      <c r="C14" s="69"/>
      <c r="D14" s="69"/>
      <c r="E14" s="69"/>
      <c r="F14" s="69"/>
      <c r="G14" s="69"/>
      <c r="H14" s="69"/>
      <c r="I14" s="69"/>
      <c r="J14" s="69"/>
      <c r="K14" s="63"/>
      <c r="M14" s="353"/>
      <c r="N14" s="354"/>
      <c r="O14" s="355"/>
      <c r="P14" s="356"/>
      <c r="Q14" s="357"/>
      <c r="R14" s="355"/>
      <c r="S14" s="355"/>
      <c r="T14" s="144"/>
      <c r="U14" s="144"/>
      <c r="V14" s="144"/>
      <c r="W14" s="144"/>
      <c r="X14" s="173"/>
      <c r="Y14" s="16"/>
      <c r="Z14" s="16"/>
      <c r="AA14" s="16"/>
    </row>
    <row r="15" spans="1:27" ht="16.500000" customHeight="1">
      <c r="A15" s="15"/>
      <c r="B15" s="69"/>
      <c r="C15" s="115"/>
      <c r="D15" s="114"/>
      <c r="E15" s="354"/>
      <c r="F15" s="354"/>
      <c r="G15" s="69"/>
      <c r="H15" s="69"/>
      <c r="J15" s="354"/>
      <c r="K15" s="63"/>
      <c r="M15" s="353"/>
      <c r="N15" s="355"/>
      <c r="O15" s="355"/>
      <c r="P15" s="355"/>
      <c r="Q15" s="355"/>
      <c r="R15" s="355"/>
      <c r="S15" s="355"/>
      <c r="T15" s="144"/>
      <c r="U15" s="144"/>
      <c r="V15" s="144"/>
      <c r="W15" s="144"/>
      <c r="X15" s="173"/>
      <c r="Y15" s="16"/>
      <c r="Z15" s="16"/>
      <c r="AA15" s="16"/>
    </row>
    <row r="16" spans="1:27" ht="16.500000" customHeight="1">
      <c r="A16" s="15"/>
      <c r="B16" s="69"/>
      <c r="C16" s="69"/>
      <c r="D16" s="115" t="s">
        <v>272</v>
      </c>
      <c r="E16" s="69"/>
      <c r="F16" s="69"/>
      <c r="G16" s="69"/>
      <c r="H16" s="69"/>
      <c r="I16" s="110" t="s">
        <v>260</v>
      </c>
      <c r="J16" s="69"/>
      <c r="K16" s="63"/>
      <c r="M16" s="353"/>
      <c r="N16" s="355"/>
      <c r="O16" s="355"/>
      <c r="P16" s="355"/>
      <c r="Q16" s="355"/>
      <c r="R16" s="355"/>
      <c r="S16" s="355"/>
      <c r="T16" s="144"/>
      <c r="U16" s="144"/>
      <c r="V16" s="144"/>
      <c r="W16" s="144"/>
      <c r="X16" s="173"/>
      <c r="Y16" s="16"/>
      <c r="Z16" s="16"/>
      <c r="AA16" s="16"/>
    </row>
    <row r="17" spans="1:27" ht="16.500000" customHeight="1">
      <c r="A17" s="15"/>
      <c r="B17" s="69"/>
      <c r="C17" s="69"/>
      <c r="D17" s="313">
        <v>1</v>
      </c>
      <c r="E17" s="69"/>
      <c r="F17" s="335"/>
      <c r="G17" s="69"/>
      <c r="H17" s="69"/>
      <c r="I17" s="311">
        <v>10</v>
      </c>
      <c r="J17" s="69"/>
      <c r="K17" s="63"/>
      <c r="M17" s="358"/>
      <c r="N17" s="355"/>
      <c r="O17" s="359"/>
      <c r="P17" s="355"/>
      <c r="Q17" s="355"/>
      <c r="R17" s="355"/>
      <c r="S17" s="355"/>
      <c r="T17" s="144"/>
      <c r="U17" s="144"/>
      <c r="V17" s="144"/>
      <c r="W17" s="144"/>
      <c r="X17" s="173"/>
      <c r="Y17" s="16"/>
      <c r="Z17" s="16"/>
      <c r="AA17" s="16"/>
    </row>
    <row r="18" spans="1:27" ht="16.500000" customHeight="1">
      <c r="A18" s="15"/>
      <c r="B18" s="69"/>
      <c r="C18" s="69"/>
      <c r="D18" s="114"/>
      <c r="E18" s="354"/>
      <c r="F18" s="354"/>
      <c r="G18" s="69"/>
      <c r="H18" s="69"/>
      <c r="I18" s="69"/>
      <c r="J18" s="69"/>
      <c r="K18" s="63"/>
      <c r="M18" s="360"/>
      <c r="N18" s="355"/>
      <c r="O18" s="361"/>
      <c r="P18" s="355"/>
      <c r="Q18" s="355"/>
      <c r="R18" s="359"/>
      <c r="S18" s="355"/>
      <c r="T18" s="144"/>
      <c r="U18" s="144"/>
      <c r="V18" s="144"/>
      <c r="W18" s="144"/>
      <c r="X18" s="173"/>
      <c r="Y18" s="16"/>
      <c r="Z18" s="16"/>
      <c r="AA18" s="16"/>
    </row>
    <row r="19" spans="1:27" ht="16.500000" customHeight="1">
      <c r="A19" s="15"/>
      <c r="B19" s="69"/>
      <c r="C19" s="69"/>
      <c r="D19" s="69"/>
      <c r="E19" s="69"/>
      <c r="F19" s="341"/>
      <c r="G19" s="69"/>
      <c r="H19" s="69"/>
      <c r="I19" s="69"/>
      <c r="J19" s="69"/>
      <c r="K19" s="63"/>
      <c r="M19" s="353"/>
      <c r="N19" s="355"/>
      <c r="O19" s="362"/>
      <c r="P19" s="355"/>
      <c r="Q19" s="355"/>
      <c r="R19" s="354"/>
      <c r="S19" s="355"/>
      <c r="T19" s="144"/>
      <c r="U19" s="144"/>
      <c r="V19" s="144"/>
      <c r="W19" s="144"/>
      <c r="X19" s="173"/>
      <c r="Y19" s="16"/>
      <c r="Z19" s="16"/>
      <c r="AA19" s="16"/>
    </row>
    <row r="20" spans="1:27" ht="16.500000" customHeight="1">
      <c r="A20" s="15"/>
      <c r="B20" s="69"/>
      <c r="C20" s="69"/>
      <c r="D20" s="69"/>
      <c r="E20" s="69"/>
      <c r="F20" s="341"/>
      <c r="G20" s="69"/>
      <c r="H20" s="69"/>
      <c r="I20" s="69"/>
      <c r="J20" s="69"/>
      <c r="K20" s="63"/>
      <c r="M20" s="353"/>
      <c r="N20" s="363"/>
      <c r="O20" s="357"/>
      <c r="P20" s="355"/>
      <c r="Q20" s="355"/>
      <c r="R20" s="355"/>
      <c r="S20" s="355"/>
      <c r="T20" s="144"/>
      <c r="U20" s="144"/>
      <c r="V20" s="144"/>
      <c r="W20" s="144"/>
      <c r="X20" s="173"/>
      <c r="Y20" s="16"/>
      <c r="Z20" s="16"/>
      <c r="AA20" s="16"/>
    </row>
    <row r="21" spans="1:27" ht="16.500000" customHeight="1">
      <c r="A21" s="15"/>
      <c r="B21" s="69"/>
      <c r="C21" s="342"/>
      <c r="D21" s="369"/>
      <c r="E21" s="369"/>
      <c r="F21" s="370" t="s">
        <v>167</v>
      </c>
      <c r="G21" s="369"/>
      <c r="H21" s="69"/>
      <c r="I21" s="69"/>
      <c r="J21" s="69"/>
      <c r="K21" s="63"/>
      <c r="M21" s="353"/>
      <c r="N21" s="363"/>
      <c r="O21" s="359"/>
      <c r="P21" s="355"/>
      <c r="Q21" s="355"/>
      <c r="R21" s="355"/>
      <c r="S21" s="355"/>
      <c r="T21" s="144"/>
      <c r="U21" s="144"/>
      <c r="V21" s="144"/>
      <c r="W21" s="144"/>
      <c r="X21" s="173"/>
      <c r="Y21" s="16"/>
      <c r="Z21" s="16"/>
      <c r="AA21" s="16"/>
    </row>
    <row r="22" spans="1:27" ht="16.500000" customHeight="1">
      <c r="A22" s="15"/>
      <c r="B22" s="69"/>
      <c r="C22" s="69"/>
      <c r="D22" s="69"/>
      <c r="E22" s="69"/>
      <c r="F22" s="336"/>
      <c r="G22" s="69"/>
      <c r="H22" s="69"/>
      <c r="I22" s="69"/>
      <c r="J22" s="69"/>
      <c r="K22" s="63"/>
      <c r="M22" s="353"/>
      <c r="N22" s="363"/>
      <c r="O22" s="362"/>
      <c r="P22" s="355"/>
      <c r="Q22" s="355"/>
      <c r="R22" s="355"/>
      <c r="S22" s="355"/>
      <c r="T22" s="144"/>
      <c r="U22" s="144"/>
      <c r="V22" s="144"/>
      <c r="W22" s="144"/>
      <c r="X22" s="173"/>
      <c r="Y22" s="16"/>
      <c r="Z22" s="16"/>
      <c r="AA22" s="16"/>
    </row>
    <row r="23" spans="1:27" ht="16.500000" customHeight="1">
      <c r="A23" s="15"/>
      <c r="B23" s="69"/>
      <c r="C23" s="69"/>
      <c r="D23" s="69"/>
      <c r="E23" s="69"/>
      <c r="F23" s="367"/>
      <c r="G23" s="69"/>
      <c r="H23" s="69"/>
      <c r="I23" s="69"/>
      <c r="J23" s="69"/>
      <c r="K23" s="63"/>
      <c r="M23" s="353"/>
      <c r="N23" s="355"/>
      <c r="O23" s="355"/>
      <c r="P23" s="355"/>
      <c r="Q23" s="355"/>
      <c r="R23" s="355"/>
      <c r="S23" s="355"/>
      <c r="T23" s="144"/>
      <c r="U23" s="144"/>
      <c r="V23" s="144"/>
      <c r="W23" s="144"/>
      <c r="X23" s="173"/>
      <c r="Y23" s="16"/>
      <c r="Z23" s="16"/>
      <c r="AA23" s="16"/>
    </row>
    <row r="24" spans="1:27" ht="16.500000" customHeight="1">
      <c r="A24" s="15"/>
      <c r="B24" s="69"/>
      <c r="C24" s="69"/>
      <c r="D24" s="114"/>
      <c r="E24" s="354"/>
      <c r="F24" s="354"/>
      <c r="G24" s="344"/>
      <c r="H24" s="69"/>
      <c r="I24" s="69"/>
      <c r="J24" s="69"/>
      <c r="K24" s="63"/>
      <c r="M24" s="353"/>
      <c r="N24" s="355"/>
      <c r="O24" s="356"/>
      <c r="P24" s="355"/>
      <c r="Q24" s="355"/>
      <c r="R24" s="355"/>
      <c r="S24" s="355"/>
      <c r="T24" s="144"/>
      <c r="U24" s="144"/>
      <c r="V24" s="144"/>
      <c r="W24" s="144"/>
      <c r="X24" s="173"/>
      <c r="Y24" s="16"/>
      <c r="Z24" s="16"/>
      <c r="AA24" s="16"/>
    </row>
    <row r="25" spans="1:27" ht="16.500000" customHeight="1">
      <c r="A25" s="15"/>
      <c r="B25" s="69"/>
      <c r="C25" s="69"/>
      <c r="D25" s="69"/>
      <c r="E25" s="69"/>
      <c r="F25" s="69"/>
      <c r="G25" s="69"/>
      <c r="H25" s="69"/>
      <c r="I25" s="69"/>
      <c r="J25" s="69"/>
      <c r="K25" s="63"/>
      <c r="M25" s="353"/>
      <c r="N25" s="355"/>
      <c r="O25" s="354"/>
      <c r="P25" s="355"/>
      <c r="Q25" s="355"/>
      <c r="R25" s="355"/>
      <c r="S25" s="355"/>
      <c r="T25" s="144"/>
      <c r="U25" s="144"/>
      <c r="V25" s="144"/>
      <c r="W25" s="144"/>
      <c r="X25" s="173"/>
      <c r="Y25" s="16"/>
      <c r="Z25" s="16"/>
      <c r="AA25" s="16"/>
    </row>
    <row r="26" spans="1:27" ht="16.500000" customHeight="1">
      <c r="A26" s="15"/>
      <c r="B26" s="69"/>
      <c r="C26" s="69"/>
      <c r="D26" s="69"/>
      <c r="E26" s="354"/>
      <c r="F26" s="354"/>
      <c r="G26" s="69"/>
      <c r="H26" s="69"/>
      <c r="I26" s="69"/>
      <c r="J26" s="69"/>
      <c r="K26" s="63"/>
      <c r="M26" s="353"/>
      <c r="N26" s="355"/>
      <c r="O26" s="354"/>
      <c r="P26" s="355"/>
      <c r="Q26" s="355"/>
      <c r="R26" s="355"/>
      <c r="S26" s="355"/>
      <c r="T26" s="144"/>
      <c r="U26" s="144"/>
      <c r="V26" s="144"/>
      <c r="W26" s="144"/>
      <c r="X26" s="173"/>
      <c r="Y26" s="16"/>
      <c r="Z26" s="16"/>
      <c r="AA26" s="16"/>
    </row>
    <row r="27" spans="1:27" ht="16.500000" customHeight="1">
      <c r="A27" s="15"/>
      <c r="B27" s="69"/>
      <c r="C27" s="69"/>
      <c r="D27" s="69"/>
      <c r="E27" s="354"/>
      <c r="F27" s="354"/>
      <c r="G27" s="69"/>
      <c r="H27" s="69"/>
      <c r="I27" s="69"/>
      <c r="J27" s="69"/>
      <c r="K27" s="63"/>
      <c r="M27" s="353"/>
      <c r="N27" s="355"/>
      <c r="O27" s="354"/>
      <c r="P27" s="355"/>
      <c r="Q27" s="355"/>
      <c r="R27" s="355"/>
      <c r="S27" s="355"/>
      <c r="T27" s="144"/>
      <c r="U27" s="144"/>
      <c r="V27" s="144"/>
      <c r="W27" s="144"/>
      <c r="X27" s="173"/>
      <c r="Y27" s="16"/>
      <c r="Z27" s="16"/>
      <c r="AA27" s="16"/>
    </row>
    <row r="28" spans="1:27" ht="16.500000" customHeight="1">
      <c r="A28" s="15"/>
      <c r="B28" s="16"/>
      <c r="C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73"/>
      <c r="Y28" s="16"/>
      <c r="Z28" s="16"/>
      <c r="AA28" s="16"/>
    </row>
    <row r="29" spans="1:27" ht="16.500000" customHeight="1">
      <c r="A29" s="345"/>
      <c r="C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73"/>
      <c r="Y29" s="16"/>
      <c r="Z29" s="16"/>
      <c r="AA29" s="16"/>
    </row>
    <row r="30" spans="1:27" ht="16.500000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74"/>
      <c r="Y30" s="16"/>
      <c r="Z30" s="16"/>
      <c r="AA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4">
    <mergeCell ref="A1:X1"/>
    <mergeCell ref="A2:E2"/>
    <mergeCell ref="W2:X2"/>
    <mergeCell ref="M4:N4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40"/>
  <sheetViews>
    <sheetView showGridLines="0" showRowColHeaders="0" zoomScale="70" zoomScaleNormal="70" workbookViewId="0">
      <pane xSplit="25" ySplit="36" topLeftCell="Z37" activePane="bottomRight" state="frozen"/>
      <selection pane="topRight" activeCell="Z1" sqref="Z1"/>
      <selection pane="bottomLeft" activeCell="A37" sqref="A37"/>
      <selection pane="bottomRight" activeCell="A1" sqref="A1:X1"/>
    </sheetView>
  </sheetViews>
  <sheetFormatPr defaultColWidth="9.00000000" defaultRowHeight="16.200000"/>
  <cols>
    <col min="1" max="1" style="3" width="3.71928583" customWidth="1" outlineLevel="0"/>
    <col min="2" max="5" style="3" width="5.14785705" customWidth="1" outlineLevel="0"/>
    <col min="6" max="6" style="3" width="10.14785753" customWidth="1" outlineLevel="0"/>
    <col min="7" max="7" style="3" width="4.71928583" customWidth="1" outlineLevel="0"/>
    <col min="8" max="8" style="3" width="5.71928583" customWidth="1" outlineLevel="0"/>
    <col min="9" max="9" style="3" width="6.43357120" customWidth="1" outlineLevel="0"/>
    <col min="10" max="10" style="3" width="5.14785705" customWidth="1" outlineLevel="0"/>
    <col min="11" max="11" style="3" width="2.71928583" customWidth="1" outlineLevel="0"/>
    <col min="12" max="12" style="3" width="1.00500001" customWidth="1" outlineLevel="0"/>
    <col min="13" max="24" style="3" width="6.29071413" customWidth="1" outlineLevel="0"/>
    <col min="25" max="27" style="3" width="4.86214290" customWidth="1" outlineLevel="0"/>
    <col min="28" max="16384" style="3" width="9.00499998" customWidth="1" outlineLevel="0"/>
  </cols>
  <sheetData>
    <row r="1" spans="1:27" ht="49.500000">
      <c r="A1" s="646" t="s">
        <v>278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</row>
    <row r="2" spans="1:27" ht="34.500000" customHeight="1">
      <c r="A2" s="754" t="s">
        <v>256</v>
      </c>
      <c r="B2" s="754"/>
      <c r="C2" s="754"/>
      <c r="D2" s="199"/>
      <c r="E2" s="199"/>
      <c r="F2" s="364">
        <f>(((F12+J14)^2)+((F14+H19)^2))^0.5</f>
        <v>114.934764105557</v>
      </c>
      <c r="G2" s="346" t="s">
        <v>51</v>
      </c>
      <c r="H2" s="366"/>
      <c r="I2" s="198"/>
      <c r="J2" s="347"/>
      <c r="K2" s="347"/>
      <c r="U2" s="195"/>
      <c r="V2" s="252" t="s">
        <v>88</v>
      </c>
      <c r="W2" s="253">
        <f>TODAY()</f>
        <v>43411</v>
      </c>
      <c r="X2" s="253"/>
    </row>
    <row r="3" spans="1:27" ht="6.750000" customHeight="1">
      <c r="D3" s="334"/>
      <c r="E3" s="334"/>
      <c r="F3" s="72"/>
    </row>
    <row r="4" spans="1:27" ht="16.50000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348" t="s">
        <v>107</v>
      </c>
      <c r="N4" s="131"/>
      <c r="O4" s="12"/>
      <c r="P4" s="12"/>
      <c r="Q4" s="12"/>
      <c r="R4" s="12"/>
      <c r="S4" s="12"/>
      <c r="T4" s="12"/>
      <c r="U4" s="12"/>
      <c r="V4" s="12"/>
      <c r="W4" s="12"/>
      <c r="X4" s="62"/>
      <c r="Y4" s="16"/>
      <c r="Z4" s="16"/>
      <c r="AA4" s="16"/>
    </row>
    <row r="5" spans="1:27" ht="16.500000" customHeight="1">
      <c r="A5" s="15"/>
      <c r="B5" s="69"/>
      <c r="C5" s="69"/>
      <c r="D5" s="69"/>
      <c r="E5" s="69"/>
      <c r="F5" s="69"/>
      <c r="G5" s="69"/>
      <c r="H5" s="69"/>
      <c r="I5" s="138"/>
      <c r="J5" s="69"/>
      <c r="K5" s="63"/>
      <c r="M5" s="349"/>
      <c r="N5" s="350"/>
      <c r="O5" s="144"/>
      <c r="P5" s="144"/>
      <c r="Q5" s="144"/>
      <c r="R5" s="144"/>
      <c r="S5" s="144"/>
      <c r="T5" s="144"/>
      <c r="U5" s="144"/>
      <c r="V5" s="144"/>
      <c r="W5" s="144"/>
      <c r="X5" s="173"/>
      <c r="Y5" s="16"/>
      <c r="Z5" s="16"/>
      <c r="AA5" s="16"/>
    </row>
    <row r="6" spans="1:27" ht="16.500000" customHeight="1">
      <c r="A6" s="15"/>
      <c r="B6" s="69"/>
      <c r="C6" s="69"/>
      <c r="D6" s="69"/>
      <c r="E6" s="69"/>
      <c r="F6" s="69"/>
      <c r="G6" s="69"/>
      <c r="H6" s="69"/>
      <c r="I6" s="138"/>
      <c r="J6" s="69"/>
      <c r="K6" s="63"/>
      <c r="M6" s="349"/>
      <c r="N6" s="350"/>
      <c r="O6" s="144"/>
      <c r="P6" s="144"/>
      <c r="Q6" s="144"/>
      <c r="R6" s="144"/>
      <c r="S6" s="144"/>
      <c r="T6" s="144"/>
      <c r="U6" s="144"/>
      <c r="V6" s="144"/>
      <c r="W6" s="144"/>
      <c r="X6" s="173"/>
      <c r="Y6" s="16"/>
      <c r="Z6" s="16"/>
      <c r="AA6" s="16"/>
    </row>
    <row r="7" spans="1:27" ht="16.500000" customHeight="1">
      <c r="A7" s="15"/>
      <c r="B7" s="69"/>
      <c r="C7" s="69"/>
      <c r="D7" s="69"/>
      <c r="E7" s="69"/>
      <c r="F7" s="69"/>
      <c r="G7" s="69"/>
      <c r="H7" s="69"/>
      <c r="I7" s="138"/>
      <c r="J7" s="69"/>
      <c r="K7" s="63"/>
      <c r="M7" s="349"/>
      <c r="N7" s="350"/>
      <c r="O7" s="144"/>
      <c r="P7" s="144"/>
      <c r="Q7" s="144"/>
      <c r="R7" s="144"/>
      <c r="S7" s="144"/>
      <c r="T7" s="144"/>
      <c r="U7" s="144"/>
      <c r="V7" s="144"/>
      <c r="W7" s="144"/>
      <c r="X7" s="173"/>
      <c r="Y7" s="16"/>
      <c r="Z7" s="16"/>
      <c r="AA7" s="16"/>
    </row>
    <row r="8" spans="1:27" ht="16.500000" customHeight="1">
      <c r="A8" s="15"/>
      <c r="B8" s="69"/>
      <c r="C8" s="69"/>
      <c r="D8" s="69"/>
      <c r="E8" s="69"/>
      <c r="F8" s="69"/>
      <c r="G8" s="69"/>
      <c r="H8" s="69"/>
      <c r="I8" s="138"/>
      <c r="J8" s="69"/>
      <c r="K8" s="63"/>
      <c r="M8" s="349"/>
      <c r="N8" s="350"/>
      <c r="O8" s="144"/>
      <c r="P8" s="144"/>
      <c r="Q8" s="144"/>
      <c r="R8" s="144"/>
      <c r="S8" s="144"/>
      <c r="T8" s="144"/>
      <c r="U8" s="144"/>
      <c r="V8" s="144"/>
      <c r="W8" s="144"/>
      <c r="X8" s="173"/>
      <c r="Y8" s="16"/>
      <c r="Z8" s="16"/>
      <c r="AA8" s="16"/>
    </row>
    <row r="9" spans="1:27" ht="16.500000" customHeight="1">
      <c r="A9" s="15"/>
      <c r="B9" s="69"/>
      <c r="C9" s="115"/>
      <c r="D9" s="115"/>
      <c r="E9" s="115"/>
      <c r="F9" s="166"/>
      <c r="G9" s="115"/>
      <c r="H9" s="115"/>
      <c r="I9" s="115"/>
      <c r="J9" s="115"/>
      <c r="K9" s="63"/>
      <c r="M9" s="349"/>
      <c r="N9" s="350"/>
      <c r="O9" s="144"/>
      <c r="P9" s="144"/>
      <c r="Q9" s="144"/>
      <c r="R9" s="144"/>
      <c r="S9" s="144"/>
      <c r="T9" s="144"/>
      <c r="U9" s="144"/>
      <c r="V9" s="144"/>
      <c r="W9" s="144"/>
      <c r="X9" s="173"/>
      <c r="Y9" s="16"/>
      <c r="Z9" s="16"/>
      <c r="AA9" s="16"/>
    </row>
    <row r="10" spans="1:27" ht="16.500000" customHeight="1">
      <c r="A10" s="15"/>
      <c r="B10" s="69"/>
      <c r="C10" s="69"/>
      <c r="D10" s="69"/>
      <c r="E10" s="69"/>
      <c r="F10" s="69"/>
      <c r="G10" s="69"/>
      <c r="H10" s="69"/>
      <c r="I10" s="69"/>
      <c r="J10" s="69"/>
      <c r="K10" s="63"/>
      <c r="M10" s="349"/>
      <c r="N10" s="350"/>
      <c r="O10" s="144"/>
      <c r="P10" s="144"/>
      <c r="Q10" s="144"/>
      <c r="R10" s="144"/>
      <c r="S10" s="144"/>
      <c r="T10" s="144"/>
      <c r="U10" s="144"/>
      <c r="V10" s="144"/>
      <c r="W10" s="144"/>
      <c r="X10" s="173"/>
      <c r="Y10" s="16"/>
      <c r="Z10" s="16"/>
      <c r="AA10" s="16"/>
    </row>
    <row r="11" spans="1:27" ht="16.500000" customHeight="1">
      <c r="A11" s="15"/>
      <c r="B11" s="69"/>
      <c r="C11" s="69"/>
      <c r="D11" s="69"/>
      <c r="E11" s="113"/>
      <c r="F11" s="335"/>
      <c r="G11" s="69"/>
      <c r="H11" s="69"/>
      <c r="I11" s="69"/>
      <c r="J11" s="69"/>
      <c r="K11" s="63"/>
      <c r="M11" s="349"/>
      <c r="N11" s="350"/>
      <c r="O11" s="144"/>
      <c r="P11" s="144"/>
      <c r="Q11" s="144"/>
      <c r="R11" s="144"/>
      <c r="S11" s="144"/>
      <c r="T11" s="144"/>
      <c r="U11" s="144"/>
      <c r="V11" s="144"/>
      <c r="W11" s="144"/>
      <c r="X11" s="173"/>
      <c r="Y11" s="16"/>
      <c r="Z11" s="16"/>
      <c r="AA11" s="16"/>
    </row>
    <row r="12" spans="1:27" ht="16.500000" customHeight="1">
      <c r="A12" s="15"/>
      <c r="B12" s="69"/>
      <c r="C12" s="69"/>
      <c r="D12" s="114"/>
      <c r="E12" s="336" t="s">
        <v>279</v>
      </c>
      <c r="F12" s="288">
        <v>100</v>
      </c>
      <c r="G12" s="69"/>
      <c r="H12" s="69"/>
      <c r="I12" s="69"/>
      <c r="J12" s="69"/>
      <c r="K12" s="63"/>
      <c r="M12" s="145"/>
      <c r="N12" s="351"/>
      <c r="O12" s="144"/>
      <c r="P12" s="144"/>
      <c r="Q12" s="144"/>
      <c r="R12" s="144"/>
      <c r="S12" s="144"/>
      <c r="T12" s="144"/>
      <c r="U12" s="144"/>
      <c r="V12" s="144"/>
      <c r="W12" s="144"/>
      <c r="X12" s="173"/>
      <c r="Y12" s="16"/>
      <c r="Z12" s="16"/>
      <c r="AA12" s="16"/>
    </row>
    <row r="13" spans="1:27" ht="16.500000" customHeight="1">
      <c r="A13" s="15"/>
      <c r="B13" s="69"/>
      <c r="C13" s="69"/>
      <c r="D13" s="114"/>
      <c r="E13" s="337"/>
      <c r="F13" s="337"/>
      <c r="G13" s="69"/>
      <c r="H13" s="69"/>
      <c r="I13" s="352"/>
      <c r="J13" s="69"/>
      <c r="K13" s="63"/>
      <c r="M13" s="145"/>
      <c r="N13" s="351"/>
      <c r="O13" s="144"/>
      <c r="P13" s="144"/>
      <c r="Q13" s="144"/>
      <c r="R13" s="144"/>
      <c r="S13" s="144"/>
      <c r="T13" s="144"/>
      <c r="U13" s="144"/>
      <c r="V13" s="144"/>
      <c r="W13" s="144"/>
      <c r="X13" s="173"/>
      <c r="Y13" s="16"/>
      <c r="Z13" s="16"/>
      <c r="AA13" s="16"/>
    </row>
    <row r="14" spans="1:27" ht="16.500000" customHeight="1">
      <c r="A14" s="15"/>
      <c r="B14" s="69"/>
      <c r="C14" s="69"/>
      <c r="D14" s="114"/>
      <c r="E14" s="339" t="s">
        <v>280</v>
      </c>
      <c r="F14" s="288">
        <v>50</v>
      </c>
      <c r="G14" s="69"/>
      <c r="H14" s="69"/>
      <c r="I14" s="336" t="s">
        <v>258</v>
      </c>
      <c r="J14" s="311">
        <v>3</v>
      </c>
      <c r="K14" s="63"/>
      <c r="M14" s="145"/>
      <c r="N14" s="351"/>
      <c r="O14" s="144"/>
      <c r="P14" s="144"/>
      <c r="Q14" s="144"/>
      <c r="R14" s="144"/>
      <c r="S14" s="144"/>
      <c r="T14" s="144"/>
      <c r="U14" s="144"/>
      <c r="V14" s="144"/>
      <c r="W14" s="144"/>
      <c r="X14" s="173"/>
      <c r="Y14" s="16"/>
      <c r="Z14" s="16"/>
      <c r="AA14" s="16"/>
    </row>
    <row r="15" spans="1:27" ht="16.500000" customHeight="1">
      <c r="A15" s="15"/>
      <c r="B15" s="69"/>
      <c r="C15" s="69"/>
      <c r="D15" s="69"/>
      <c r="G15" s="69"/>
      <c r="H15" s="69"/>
      <c r="I15" s="69"/>
      <c r="J15" s="69"/>
      <c r="K15" s="63"/>
      <c r="M15" s="353"/>
      <c r="N15" s="354"/>
      <c r="O15" s="355"/>
      <c r="P15" s="356"/>
      <c r="Q15" s="357"/>
      <c r="R15" s="355"/>
      <c r="S15" s="355"/>
      <c r="T15" s="144"/>
      <c r="U15" s="144"/>
      <c r="V15" s="144"/>
      <c r="W15" s="144"/>
      <c r="X15" s="173"/>
      <c r="Y15" s="16"/>
      <c r="Z15" s="16"/>
      <c r="AA15" s="16"/>
    </row>
    <row r="16" spans="1:27" ht="16.500000" customHeight="1">
      <c r="A16" s="15"/>
      <c r="B16" s="69"/>
      <c r="C16" s="115"/>
      <c r="D16" s="114"/>
      <c r="E16" s="337"/>
      <c r="F16" s="337"/>
      <c r="G16" s="69"/>
      <c r="H16" s="69"/>
      <c r="I16" s="118"/>
      <c r="J16" s="337"/>
      <c r="K16" s="63"/>
      <c r="M16" s="353"/>
      <c r="N16" s="355"/>
      <c r="O16" s="355"/>
      <c r="P16" s="355"/>
      <c r="Q16" s="355"/>
      <c r="R16" s="355"/>
      <c r="S16" s="355"/>
      <c r="T16" s="144"/>
      <c r="U16" s="144"/>
      <c r="V16" s="144"/>
      <c r="W16" s="144"/>
      <c r="X16" s="173"/>
      <c r="Y16" s="16"/>
      <c r="Z16" s="16"/>
      <c r="AA16" s="16"/>
    </row>
    <row r="17" spans="1:27" ht="16.500000" customHeight="1">
      <c r="A17" s="15"/>
      <c r="B17" s="69" t="s">
        <v>281</v>
      </c>
      <c r="C17" s="69"/>
      <c r="D17" s="115"/>
      <c r="E17" s="69"/>
      <c r="F17" s="69"/>
      <c r="G17" s="69"/>
      <c r="H17" s="69"/>
      <c r="I17" s="110"/>
      <c r="J17" s="69"/>
      <c r="K17" s="63"/>
      <c r="M17" s="353"/>
      <c r="N17" s="355"/>
      <c r="O17" s="355"/>
      <c r="P17" s="355"/>
      <c r="Q17" s="355"/>
      <c r="R17" s="355"/>
      <c r="S17" s="355"/>
      <c r="T17" s="144"/>
      <c r="U17" s="144"/>
      <c r="V17" s="144"/>
      <c r="W17" s="144"/>
      <c r="X17" s="173"/>
      <c r="Y17" s="16"/>
      <c r="Z17" s="16"/>
      <c r="AA17" s="16"/>
    </row>
    <row r="18" spans="1:27" ht="16.500000" customHeight="1">
      <c r="A18" s="15"/>
      <c r="C18" s="69"/>
      <c r="D18" s="340"/>
      <c r="E18" s="69"/>
      <c r="F18" s="335"/>
      <c r="G18" s="69"/>
      <c r="H18" s="69" t="s">
        <v>208</v>
      </c>
      <c r="I18" s="335"/>
      <c r="J18" s="69"/>
      <c r="K18" s="63"/>
      <c r="M18" s="358"/>
      <c r="N18" s="355"/>
      <c r="O18" s="359"/>
      <c r="P18" s="355"/>
      <c r="Q18" s="355"/>
      <c r="R18" s="355"/>
      <c r="S18" s="355"/>
      <c r="T18" s="144"/>
      <c r="U18" s="144"/>
      <c r="V18" s="144"/>
      <c r="W18" s="144"/>
      <c r="X18" s="173"/>
      <c r="Y18" s="16"/>
      <c r="Z18" s="16"/>
      <c r="AA18" s="16"/>
    </row>
    <row r="19" spans="1:27" ht="16.500000" customHeight="1">
      <c r="A19" s="15"/>
      <c r="B19" s="69"/>
      <c r="C19" s="69"/>
      <c r="D19" s="114"/>
      <c r="E19" s="337"/>
      <c r="F19" s="337"/>
      <c r="G19" s="69"/>
      <c r="H19" s="313">
        <v>1</v>
      </c>
      <c r="I19" s="69"/>
      <c r="J19" s="69"/>
      <c r="K19" s="63"/>
      <c r="M19" s="360"/>
      <c r="N19" s="355"/>
      <c r="O19" s="361"/>
      <c r="P19" s="355"/>
      <c r="Q19" s="355"/>
      <c r="R19" s="359"/>
      <c r="S19" s="355"/>
      <c r="T19" s="144"/>
      <c r="U19" s="144"/>
      <c r="V19" s="144"/>
      <c r="W19" s="144"/>
      <c r="X19" s="173"/>
      <c r="Y19" s="16"/>
      <c r="Z19" s="16"/>
      <c r="AA19" s="16"/>
    </row>
    <row r="20" spans="1:27" ht="16.500000" customHeight="1">
      <c r="A20" s="15"/>
      <c r="B20" s="69"/>
      <c r="C20" s="69"/>
      <c r="D20" s="69"/>
      <c r="E20" s="69"/>
      <c r="F20" s="341"/>
      <c r="G20" s="69"/>
      <c r="H20" s="69"/>
      <c r="I20" s="69"/>
      <c r="J20" s="69"/>
      <c r="K20" s="63"/>
      <c r="M20" s="353"/>
      <c r="N20" s="355"/>
      <c r="O20" s="362"/>
      <c r="P20" s="355"/>
      <c r="Q20" s="355"/>
      <c r="R20" s="354"/>
      <c r="S20" s="355"/>
      <c r="T20" s="144"/>
      <c r="U20" s="144"/>
      <c r="V20" s="144"/>
      <c r="W20" s="144"/>
      <c r="X20" s="173"/>
      <c r="Y20" s="16"/>
      <c r="Z20" s="16"/>
      <c r="AA20" s="16"/>
    </row>
    <row r="21" spans="1:27" ht="16.500000" customHeight="1">
      <c r="A21" s="15"/>
      <c r="B21" s="69"/>
      <c r="C21" s="69"/>
      <c r="D21" s="69"/>
      <c r="E21" s="69"/>
      <c r="F21" s="341"/>
      <c r="G21" s="69"/>
      <c r="H21" s="69"/>
      <c r="I21" s="69"/>
      <c r="J21" s="69"/>
      <c r="K21" s="63"/>
      <c r="M21" s="353"/>
      <c r="N21" s="363"/>
      <c r="O21" s="357"/>
      <c r="P21" s="355"/>
      <c r="Q21" s="355"/>
      <c r="R21" s="355"/>
      <c r="S21" s="355"/>
      <c r="T21" s="144"/>
      <c r="U21" s="144"/>
      <c r="V21" s="144"/>
      <c r="W21" s="144"/>
      <c r="X21" s="173"/>
      <c r="Y21" s="16"/>
      <c r="Z21" s="16"/>
      <c r="AA21" s="16"/>
    </row>
    <row r="22" spans="1:27" ht="16.500000" customHeight="1">
      <c r="A22" s="15"/>
      <c r="B22" s="69"/>
      <c r="C22" s="342"/>
      <c r="D22" s="181"/>
      <c r="E22" s="181"/>
      <c r="F22" s="343"/>
      <c r="G22" s="181"/>
      <c r="H22" s="69"/>
      <c r="I22" s="69"/>
      <c r="J22" s="69"/>
      <c r="K22" s="63"/>
      <c r="M22" s="353"/>
      <c r="N22" s="363"/>
      <c r="O22" s="359"/>
      <c r="P22" s="355"/>
      <c r="Q22" s="355"/>
      <c r="R22" s="355"/>
      <c r="S22" s="355"/>
      <c r="T22" s="144"/>
      <c r="U22" s="144"/>
      <c r="V22" s="144"/>
      <c r="W22" s="144"/>
      <c r="X22" s="173"/>
      <c r="Y22" s="16"/>
      <c r="Z22" s="16"/>
      <c r="AA22" s="16"/>
    </row>
    <row r="23" spans="1:27" ht="16.500000" customHeight="1">
      <c r="A23" s="15"/>
      <c r="B23" s="69"/>
      <c r="C23" s="69"/>
      <c r="D23" s="69"/>
      <c r="E23" s="69"/>
      <c r="F23" s="336"/>
      <c r="G23" s="69"/>
      <c r="H23" s="69"/>
      <c r="I23" s="69"/>
      <c r="J23" s="69"/>
      <c r="K23" s="63"/>
      <c r="M23" s="353"/>
      <c r="N23" s="363"/>
      <c r="O23" s="362"/>
      <c r="P23" s="355"/>
      <c r="Q23" s="355"/>
      <c r="R23" s="355"/>
      <c r="S23" s="355"/>
      <c r="T23" s="144"/>
      <c r="U23" s="144"/>
      <c r="V23" s="144"/>
      <c r="W23" s="144"/>
      <c r="X23" s="173"/>
      <c r="Y23" s="16"/>
      <c r="Z23" s="16"/>
      <c r="AA23" s="16"/>
    </row>
    <row r="24" spans="1:27" ht="16.500000" customHeight="1">
      <c r="A24" s="15"/>
      <c r="B24" s="69"/>
      <c r="C24" s="69"/>
      <c r="D24" s="69"/>
      <c r="E24" s="69"/>
      <c r="F24" s="367"/>
      <c r="G24" s="69"/>
      <c r="H24" s="69"/>
      <c r="I24" s="69"/>
      <c r="J24" s="69"/>
      <c r="K24" s="63"/>
      <c r="M24" s="353"/>
      <c r="N24" s="355"/>
      <c r="O24" s="355"/>
      <c r="P24" s="355"/>
      <c r="Q24" s="355"/>
      <c r="R24" s="355"/>
      <c r="S24" s="355"/>
      <c r="T24" s="144"/>
      <c r="U24" s="144"/>
      <c r="V24" s="144"/>
      <c r="W24" s="144"/>
      <c r="X24" s="173"/>
      <c r="Y24" s="16"/>
      <c r="Z24" s="16"/>
      <c r="AA24" s="16"/>
    </row>
    <row r="25" spans="1:27" ht="16.500000" customHeight="1">
      <c r="A25" s="15"/>
      <c r="B25" s="69"/>
      <c r="C25" s="69"/>
      <c r="D25" s="114"/>
      <c r="E25" s="337"/>
      <c r="F25" s="337"/>
      <c r="G25" s="344"/>
      <c r="H25" s="69"/>
      <c r="I25" s="69"/>
      <c r="J25" s="69"/>
      <c r="K25" s="63"/>
      <c r="M25" s="353"/>
      <c r="N25" s="355"/>
      <c r="O25" s="356"/>
      <c r="P25" s="355"/>
      <c r="Q25" s="355"/>
      <c r="R25" s="355"/>
      <c r="S25" s="355"/>
      <c r="T25" s="144"/>
      <c r="U25" s="144"/>
      <c r="V25" s="144"/>
      <c r="W25" s="144"/>
      <c r="X25" s="173"/>
      <c r="Y25" s="16"/>
      <c r="Z25" s="16"/>
      <c r="AA25" s="16"/>
    </row>
    <row r="26" spans="1:27" ht="16.500000" customHeight="1">
      <c r="A26" s="15"/>
      <c r="B26" s="69"/>
      <c r="C26" s="69"/>
      <c r="D26" s="69"/>
      <c r="E26" s="337"/>
      <c r="F26" s="337"/>
      <c r="G26" s="69"/>
      <c r="H26" s="69"/>
      <c r="I26" s="69"/>
      <c r="J26" s="69"/>
      <c r="K26" s="63"/>
      <c r="M26" s="353"/>
      <c r="N26" s="355"/>
      <c r="O26" s="354"/>
      <c r="P26" s="355"/>
      <c r="Q26" s="355"/>
      <c r="R26" s="355"/>
      <c r="S26" s="355"/>
      <c r="T26" s="144"/>
      <c r="U26" s="144"/>
      <c r="V26" s="144"/>
      <c r="W26" s="144"/>
      <c r="X26" s="173"/>
      <c r="Y26" s="16"/>
      <c r="Z26" s="16"/>
      <c r="AA26" s="16"/>
    </row>
    <row r="27" spans="1:27" ht="16.500000" customHeight="1">
      <c r="A27" s="15"/>
      <c r="B27" s="69"/>
      <c r="C27" s="69"/>
      <c r="D27" s="69"/>
      <c r="E27" s="337"/>
      <c r="F27" s="337"/>
      <c r="G27" s="69"/>
      <c r="H27" s="69"/>
      <c r="I27" s="69"/>
      <c r="J27" s="69"/>
      <c r="K27" s="63"/>
      <c r="M27" s="353"/>
      <c r="N27" s="355"/>
      <c r="O27" s="354"/>
      <c r="P27" s="355"/>
      <c r="Q27" s="355"/>
      <c r="R27" s="355"/>
      <c r="S27" s="355"/>
      <c r="T27" s="144"/>
      <c r="U27" s="144"/>
      <c r="V27" s="144"/>
      <c r="W27" s="144"/>
      <c r="X27" s="173"/>
      <c r="Y27" s="16"/>
      <c r="Z27" s="16"/>
      <c r="AA27" s="16"/>
    </row>
    <row r="28" spans="1:27" ht="16.500000" customHeight="1">
      <c r="A28" s="15"/>
      <c r="B28" s="16"/>
      <c r="C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73"/>
      <c r="Y28" s="16"/>
      <c r="Z28" s="16"/>
      <c r="AA28" s="16"/>
    </row>
    <row r="29" spans="1:27" ht="16.500000" customHeight="1">
      <c r="A29" s="345"/>
      <c r="C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73"/>
      <c r="Y29" s="16"/>
      <c r="Z29" s="16"/>
      <c r="AA29" s="16"/>
    </row>
    <row r="30" spans="1:27" ht="16.500000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74"/>
      <c r="Y30" s="16"/>
      <c r="Z30" s="16"/>
      <c r="AA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4">
    <mergeCell ref="A1:X1"/>
    <mergeCell ref="A2:E2"/>
    <mergeCell ref="W2:X2"/>
    <mergeCell ref="M4:N4"/>
  </mergeCells>
  <phoneticPr fontId="1" type="noConversion"/>
  <pageMargins left="0.55" right="0.55" top="0.79" bottom="0.59" header="0.51" footer="0.51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A40"/>
  <sheetViews>
    <sheetView showGridLines="0" showRowColHeaders="0" zoomScale="70" zoomScaleNormal="70" workbookViewId="0">
      <pane xSplit="24" ySplit="37" topLeftCell="Y38" activePane="bottomRight" state="frozen"/>
      <selection pane="topRight" activeCell="Y1" sqref="Y1"/>
      <selection pane="bottomLeft" activeCell="A38" sqref="A38"/>
      <selection pane="bottomRight" activeCell="A1" sqref="A1:X1"/>
    </sheetView>
  </sheetViews>
  <sheetFormatPr defaultColWidth="9.00000000" defaultRowHeight="16.200000"/>
  <cols>
    <col min="1" max="1" style="3" width="4.14785705" customWidth="1" outlineLevel="0"/>
    <col min="2" max="5" style="3" width="5.14785705" customWidth="1" outlineLevel="0"/>
    <col min="6" max="6" style="3" width="11.14785753" customWidth="1" outlineLevel="0"/>
    <col min="7" max="7" style="3" width="4.71928583" customWidth="1" outlineLevel="0"/>
    <col min="8" max="8" style="3" width="5.71928583" customWidth="1" outlineLevel="0"/>
    <col min="9" max="10" style="3" width="6.43357120" customWidth="1" outlineLevel="0"/>
    <col min="11" max="11" style="3" width="4.14785705" customWidth="1" outlineLevel="0"/>
    <col min="12" max="12" style="3" width="1.00500001" customWidth="1" outlineLevel="0"/>
    <col min="13" max="24" style="3" width="5.86214290" customWidth="1" outlineLevel="0"/>
    <col min="25" max="27" style="3" width="4.86214290" customWidth="1" outlineLevel="0"/>
    <col min="28" max="16384" style="3" width="9.00499998" customWidth="1" outlineLevel="0"/>
  </cols>
  <sheetData>
    <row r="1" spans="1:27" ht="49.500000">
      <c r="A1" s="646" t="s">
        <v>282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</row>
    <row r="2" spans="1:27" ht="34.500000" customHeight="1">
      <c r="A2" s="754" t="s">
        <v>256</v>
      </c>
      <c r="B2" s="754"/>
      <c r="C2" s="754"/>
      <c r="D2" s="199"/>
      <c r="E2" s="199"/>
      <c r="F2" s="364">
        <f>(((F15+J15)^2)+(((J18-(H21/2))^2)*4))^0.5</f>
        <v>110.136279218067</v>
      </c>
      <c r="G2" s="346" t="s">
        <v>51</v>
      </c>
      <c r="H2" s="366"/>
      <c r="I2" s="198"/>
      <c r="J2" s="347"/>
      <c r="K2" s="347"/>
      <c r="U2" s="195"/>
      <c r="V2" s="252" t="s">
        <v>88</v>
      </c>
      <c r="W2" s="253">
        <f>TODAY()</f>
        <v>43411</v>
      </c>
      <c r="X2" s="253"/>
    </row>
    <row r="3" spans="1:27" ht="6.750000" customHeight="1">
      <c r="D3" s="334"/>
      <c r="E3" s="334"/>
      <c r="F3" s="72"/>
    </row>
    <row r="4" spans="1:27" ht="16.50000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348" t="s">
        <v>107</v>
      </c>
      <c r="N4" s="131"/>
      <c r="O4" s="12"/>
      <c r="P4" s="12"/>
      <c r="Q4" s="12"/>
      <c r="R4" s="12"/>
      <c r="S4" s="12"/>
      <c r="T4" s="12"/>
      <c r="U4" s="12"/>
      <c r="V4" s="12"/>
      <c r="W4" s="12"/>
      <c r="X4" s="62"/>
      <c r="Y4" s="16"/>
      <c r="Z4" s="16"/>
      <c r="AA4" s="16"/>
    </row>
    <row r="5" spans="1:27" ht="16.500000" customHeight="1">
      <c r="A5" s="15"/>
      <c r="B5" s="69"/>
      <c r="C5" s="69"/>
      <c r="D5" s="69"/>
      <c r="E5" s="69"/>
      <c r="F5" s="69"/>
      <c r="G5" s="69"/>
      <c r="H5" s="69"/>
      <c r="I5" s="138"/>
      <c r="J5" s="69"/>
      <c r="K5" s="63"/>
      <c r="M5" s="349"/>
      <c r="N5" s="350"/>
      <c r="O5" s="144"/>
      <c r="P5" s="144"/>
      <c r="Q5" s="144"/>
      <c r="R5" s="144"/>
      <c r="S5" s="144"/>
      <c r="T5" s="144"/>
      <c r="U5" s="144"/>
      <c r="V5" s="144"/>
      <c r="W5" s="144"/>
      <c r="X5" s="173"/>
      <c r="Y5" s="16"/>
      <c r="Z5" s="16"/>
      <c r="AA5" s="16"/>
    </row>
    <row r="6" spans="1:27" ht="16.500000" customHeight="1">
      <c r="A6" s="15"/>
      <c r="B6" s="69"/>
      <c r="C6" s="69"/>
      <c r="D6" s="69"/>
      <c r="E6" s="69"/>
      <c r="F6" s="69"/>
      <c r="G6" s="69"/>
      <c r="H6" s="69"/>
      <c r="I6" s="138"/>
      <c r="J6" s="69"/>
      <c r="K6" s="63"/>
      <c r="M6" s="349"/>
      <c r="N6" s="350"/>
      <c r="O6" s="144"/>
      <c r="P6" s="144"/>
      <c r="Q6" s="144"/>
      <c r="R6" s="144"/>
      <c r="S6" s="144"/>
      <c r="T6" s="144"/>
      <c r="U6" s="144"/>
      <c r="V6" s="144"/>
      <c r="W6" s="144"/>
      <c r="X6" s="173"/>
      <c r="Y6" s="16"/>
      <c r="Z6" s="16"/>
      <c r="AA6" s="16"/>
    </row>
    <row r="7" spans="1:27" ht="16.500000" customHeight="1">
      <c r="A7" s="15"/>
      <c r="B7" s="69"/>
      <c r="C7" s="69"/>
      <c r="D7" s="69"/>
      <c r="E7" s="69"/>
      <c r="F7" s="69"/>
      <c r="G7" s="69"/>
      <c r="H7" s="69"/>
      <c r="I7" s="138"/>
      <c r="J7" s="69"/>
      <c r="K7" s="63"/>
      <c r="M7" s="349"/>
      <c r="N7" s="350"/>
      <c r="O7" s="144"/>
      <c r="P7" s="144"/>
      <c r="Q7" s="144"/>
      <c r="R7" s="144"/>
      <c r="S7" s="144"/>
      <c r="T7" s="144"/>
      <c r="U7" s="144"/>
      <c r="V7" s="144"/>
      <c r="W7" s="144"/>
      <c r="X7" s="173"/>
      <c r="Y7" s="16"/>
      <c r="Z7" s="16"/>
      <c r="AA7" s="16"/>
    </row>
    <row r="8" spans="1:27" ht="16.500000" customHeight="1">
      <c r="A8" s="15"/>
      <c r="B8" s="69"/>
      <c r="C8" s="69"/>
      <c r="D8" s="69"/>
      <c r="E8" s="69"/>
      <c r="F8" s="69"/>
      <c r="G8" s="69"/>
      <c r="H8" s="69"/>
      <c r="I8" s="138"/>
      <c r="J8" s="69"/>
      <c r="K8" s="63"/>
      <c r="M8" s="349"/>
      <c r="N8" s="350"/>
      <c r="O8" s="144"/>
      <c r="P8" s="144"/>
      <c r="Q8" s="144"/>
      <c r="R8" s="144"/>
      <c r="S8" s="144"/>
      <c r="T8" s="144"/>
      <c r="U8" s="144"/>
      <c r="V8" s="144"/>
      <c r="W8" s="144"/>
      <c r="X8" s="173"/>
      <c r="Y8" s="16"/>
      <c r="Z8" s="16"/>
      <c r="AA8" s="16"/>
    </row>
    <row r="9" spans="1:27" ht="16.500000" customHeight="1">
      <c r="A9" s="15"/>
      <c r="B9" s="69"/>
      <c r="C9" s="69"/>
      <c r="D9" s="69"/>
      <c r="E9" s="69"/>
      <c r="F9" s="69"/>
      <c r="G9" s="69"/>
      <c r="H9" s="69"/>
      <c r="I9" s="138"/>
      <c r="J9" s="69"/>
      <c r="K9" s="63"/>
      <c r="M9" s="349"/>
      <c r="N9" s="350"/>
      <c r="O9" s="144"/>
      <c r="P9" s="144"/>
      <c r="Q9" s="144"/>
      <c r="R9" s="144"/>
      <c r="S9" s="144"/>
      <c r="T9" s="144"/>
      <c r="U9" s="144"/>
      <c r="V9" s="144"/>
      <c r="W9" s="144"/>
      <c r="X9" s="173"/>
      <c r="Y9" s="16"/>
      <c r="Z9" s="16"/>
      <c r="AA9" s="16"/>
    </row>
    <row r="10" spans="1:27" ht="16.500000" customHeight="1">
      <c r="A10" s="15"/>
      <c r="B10" s="69"/>
      <c r="C10" s="115"/>
      <c r="D10" s="115"/>
      <c r="E10" s="115"/>
      <c r="F10" s="166"/>
      <c r="G10" s="115"/>
      <c r="H10" s="115"/>
      <c r="I10" s="115"/>
      <c r="J10" s="115"/>
      <c r="K10" s="63"/>
      <c r="M10" s="349"/>
      <c r="N10" s="350"/>
      <c r="O10" s="144"/>
      <c r="P10" s="144"/>
      <c r="Q10" s="144"/>
      <c r="R10" s="144"/>
      <c r="S10" s="144"/>
      <c r="T10" s="144"/>
      <c r="U10" s="144"/>
      <c r="V10" s="144"/>
      <c r="W10" s="144"/>
      <c r="X10" s="173"/>
      <c r="Y10" s="16"/>
      <c r="Z10" s="16"/>
      <c r="AA10" s="16"/>
    </row>
    <row r="11" spans="1:27" ht="16.500000" customHeight="1">
      <c r="A11" s="15"/>
      <c r="B11" s="69"/>
      <c r="C11" s="69"/>
      <c r="D11" s="69"/>
      <c r="E11" s="69"/>
      <c r="F11" s="69"/>
      <c r="G11" s="69"/>
      <c r="H11" s="69"/>
      <c r="I11" s="69"/>
      <c r="J11" s="69"/>
      <c r="K11" s="63"/>
      <c r="M11" s="349"/>
      <c r="N11" s="350"/>
      <c r="O11" s="144"/>
      <c r="P11" s="144"/>
      <c r="Q11" s="144"/>
      <c r="R11" s="144"/>
      <c r="S11" s="144"/>
      <c r="T11" s="144"/>
      <c r="U11" s="144"/>
      <c r="V11" s="144"/>
      <c r="W11" s="144"/>
      <c r="X11" s="173"/>
      <c r="Y11" s="16"/>
      <c r="Z11" s="16"/>
      <c r="AA11" s="16"/>
    </row>
    <row r="12" spans="1:27" ht="16.500000" customHeight="1">
      <c r="A12" s="15"/>
      <c r="B12" s="69"/>
      <c r="C12" s="69"/>
      <c r="D12" s="69"/>
      <c r="E12" s="113"/>
      <c r="F12" s="335"/>
      <c r="G12" s="69"/>
      <c r="H12" s="69"/>
      <c r="I12" s="69"/>
      <c r="J12" s="69"/>
      <c r="K12" s="63"/>
      <c r="M12" s="349"/>
      <c r="N12" s="350"/>
      <c r="O12" s="144"/>
      <c r="P12" s="144"/>
      <c r="Q12" s="144"/>
      <c r="R12" s="144"/>
      <c r="S12" s="144"/>
      <c r="T12" s="144"/>
      <c r="U12" s="144"/>
      <c r="V12" s="144"/>
      <c r="W12" s="144"/>
      <c r="X12" s="173"/>
      <c r="Y12" s="16"/>
      <c r="Z12" s="16"/>
      <c r="AA12" s="16"/>
    </row>
    <row r="13" spans="1:27" ht="16.500000" customHeight="1">
      <c r="A13" s="15"/>
      <c r="B13" s="69"/>
      <c r="C13" s="69"/>
      <c r="D13" s="114"/>
      <c r="E13" s="336"/>
      <c r="F13" s="337"/>
      <c r="G13" s="69"/>
      <c r="H13" s="69"/>
      <c r="I13" s="69"/>
      <c r="J13" s="69"/>
      <c r="K13" s="63"/>
      <c r="M13" s="145"/>
      <c r="N13" s="351"/>
      <c r="O13" s="144"/>
      <c r="P13" s="144"/>
      <c r="Q13" s="144"/>
      <c r="R13" s="144"/>
      <c r="S13" s="144"/>
      <c r="T13" s="144"/>
      <c r="U13" s="144"/>
      <c r="V13" s="144"/>
      <c r="W13" s="144"/>
      <c r="X13" s="173"/>
      <c r="Y13" s="16"/>
      <c r="Z13" s="16"/>
      <c r="AA13" s="16"/>
    </row>
    <row r="14" spans="1:27" ht="16.500000" customHeight="1">
      <c r="A14" s="15"/>
      <c r="B14" s="69"/>
      <c r="C14" s="69"/>
      <c r="D14" s="114"/>
      <c r="E14" s="337"/>
      <c r="F14" s="335" t="s">
        <v>279</v>
      </c>
      <c r="G14" s="69"/>
      <c r="H14" s="69"/>
      <c r="I14" s="352"/>
      <c r="J14" s="69"/>
      <c r="K14" s="63"/>
      <c r="M14" s="145"/>
      <c r="N14" s="351"/>
      <c r="O14" s="144"/>
      <c r="P14" s="144"/>
      <c r="Q14" s="144"/>
      <c r="R14" s="144"/>
      <c r="S14" s="144"/>
      <c r="T14" s="144"/>
      <c r="U14" s="144"/>
      <c r="V14" s="144"/>
      <c r="W14" s="144"/>
      <c r="X14" s="173"/>
      <c r="Y14" s="16"/>
      <c r="Z14" s="16"/>
      <c r="AA14" s="16"/>
    </row>
    <row r="15" spans="1:27" ht="16.500000" customHeight="1">
      <c r="A15" s="15"/>
      <c r="B15" s="69"/>
      <c r="C15" s="69"/>
      <c r="D15" s="114"/>
      <c r="E15" s="339"/>
      <c r="F15" s="288">
        <v>100</v>
      </c>
      <c r="G15" s="69"/>
      <c r="H15" s="69"/>
      <c r="I15" s="336" t="s">
        <v>258</v>
      </c>
      <c r="J15" s="311">
        <v>3</v>
      </c>
      <c r="K15" s="63"/>
      <c r="M15" s="145"/>
      <c r="N15" s="351"/>
      <c r="O15" s="144"/>
      <c r="P15" s="144"/>
      <c r="Q15" s="144"/>
      <c r="R15" s="144"/>
      <c r="S15" s="144"/>
      <c r="T15" s="144"/>
      <c r="U15" s="144"/>
      <c r="V15" s="144"/>
      <c r="W15" s="144"/>
      <c r="X15" s="173"/>
      <c r="Y15" s="16"/>
      <c r="Z15" s="16"/>
      <c r="AA15" s="16"/>
    </row>
    <row r="16" spans="1:27" ht="16.500000" customHeight="1">
      <c r="A16" s="15"/>
      <c r="B16" s="69"/>
      <c r="C16" s="69"/>
      <c r="D16" s="69"/>
      <c r="G16" s="69"/>
      <c r="H16" s="69"/>
      <c r="I16" s="69"/>
      <c r="J16" s="69"/>
      <c r="K16" s="63"/>
      <c r="M16" s="353"/>
      <c r="N16" s="354"/>
      <c r="O16" s="355"/>
      <c r="P16" s="356"/>
      <c r="Q16" s="357"/>
      <c r="R16" s="355"/>
      <c r="S16" s="355"/>
      <c r="T16" s="144"/>
      <c r="U16" s="144"/>
      <c r="V16" s="144"/>
      <c r="W16" s="144"/>
      <c r="X16" s="173"/>
      <c r="Y16" s="16"/>
      <c r="Z16" s="16"/>
      <c r="AA16" s="16"/>
    </row>
    <row r="17" spans="1:27" ht="16.500000" customHeight="1">
      <c r="A17" s="15"/>
      <c r="B17" s="69"/>
      <c r="C17" s="115"/>
      <c r="D17" s="114"/>
      <c r="E17" s="337"/>
      <c r="F17" s="337"/>
      <c r="G17" s="69"/>
      <c r="H17" s="69"/>
      <c r="I17" s="118"/>
      <c r="J17" s="337"/>
      <c r="K17" s="63"/>
      <c r="M17" s="353"/>
      <c r="N17" s="355"/>
      <c r="O17" s="355"/>
      <c r="P17" s="355"/>
      <c r="Q17" s="355"/>
      <c r="R17" s="355"/>
      <c r="S17" s="355"/>
      <c r="T17" s="144"/>
      <c r="U17" s="144"/>
      <c r="V17" s="144"/>
      <c r="W17" s="144"/>
      <c r="X17" s="173"/>
      <c r="Y17" s="16"/>
      <c r="Z17" s="16"/>
      <c r="AA17" s="16"/>
    </row>
    <row r="18" spans="1:27" ht="16.500000" customHeight="1">
      <c r="A18" s="15"/>
      <c r="B18" s="69" t="s">
        <v>281</v>
      </c>
      <c r="C18" s="69"/>
      <c r="D18" s="115"/>
      <c r="E18" s="69"/>
      <c r="F18" s="69"/>
      <c r="G18" s="69"/>
      <c r="H18" s="69"/>
      <c r="I18" s="114" t="s">
        <v>43</v>
      </c>
      <c r="J18" s="311">
        <v>20</v>
      </c>
      <c r="K18" s="63"/>
      <c r="M18" s="353"/>
      <c r="N18" s="355"/>
      <c r="O18" s="355"/>
      <c r="P18" s="355"/>
      <c r="Q18" s="355"/>
      <c r="R18" s="355"/>
      <c r="S18" s="355"/>
      <c r="T18" s="144"/>
      <c r="U18" s="144"/>
      <c r="V18" s="144"/>
      <c r="W18" s="144"/>
      <c r="X18" s="173"/>
      <c r="Y18" s="16"/>
      <c r="Z18" s="16"/>
      <c r="AA18" s="16"/>
    </row>
    <row r="19" spans="1:27" ht="16.500000" customHeight="1">
      <c r="A19" s="15"/>
      <c r="C19" s="69"/>
      <c r="D19" s="340"/>
      <c r="E19" s="69"/>
      <c r="F19" s="335"/>
      <c r="G19" s="69"/>
      <c r="I19" s="335"/>
      <c r="J19" s="69"/>
      <c r="K19" s="63"/>
      <c r="M19" s="358"/>
      <c r="N19" s="355"/>
      <c r="O19" s="359"/>
      <c r="P19" s="355"/>
      <c r="Q19" s="355"/>
      <c r="R19" s="355"/>
      <c r="S19" s="355"/>
      <c r="T19" s="144"/>
      <c r="U19" s="144"/>
      <c r="V19" s="144"/>
      <c r="W19" s="144"/>
      <c r="X19" s="173"/>
      <c r="Y19" s="16"/>
      <c r="Z19" s="16"/>
      <c r="AA19" s="16"/>
    </row>
    <row r="20" spans="1:27" ht="16.500000" customHeight="1">
      <c r="A20" s="15"/>
      <c r="B20" s="69"/>
      <c r="C20" s="69"/>
      <c r="D20" s="114"/>
      <c r="E20" s="337"/>
      <c r="F20" s="337"/>
      <c r="G20" s="69"/>
      <c r="I20" s="69"/>
      <c r="J20" s="69"/>
      <c r="K20" s="63"/>
      <c r="M20" s="360"/>
      <c r="N20" s="355"/>
      <c r="O20" s="361"/>
      <c r="P20" s="355"/>
      <c r="Q20" s="355"/>
      <c r="R20" s="359"/>
      <c r="S20" s="355"/>
      <c r="T20" s="144"/>
      <c r="U20" s="144"/>
      <c r="V20" s="144"/>
      <c r="W20" s="144"/>
      <c r="X20" s="173"/>
      <c r="Y20" s="16"/>
      <c r="Z20" s="16"/>
      <c r="AA20" s="16"/>
    </row>
    <row r="21" spans="1:27" ht="16.500000" customHeight="1">
      <c r="A21" s="15"/>
      <c r="B21" s="69"/>
      <c r="C21" s="69"/>
      <c r="D21" s="69"/>
      <c r="E21" s="69"/>
      <c r="F21" s="341"/>
      <c r="G21" s="69" t="s">
        <v>208</v>
      </c>
      <c r="H21" s="313">
        <v>1</v>
      </c>
      <c r="I21" s="69"/>
      <c r="J21" s="69"/>
      <c r="K21" s="63"/>
      <c r="M21" s="353"/>
      <c r="N21" s="355"/>
      <c r="O21" s="362"/>
      <c r="P21" s="355"/>
      <c r="Q21" s="355"/>
      <c r="R21" s="354"/>
      <c r="S21" s="355"/>
      <c r="T21" s="144"/>
      <c r="U21" s="144"/>
      <c r="V21" s="144"/>
      <c r="W21" s="144"/>
      <c r="X21" s="173"/>
      <c r="Y21" s="16"/>
      <c r="Z21" s="16"/>
      <c r="AA21" s="16"/>
    </row>
    <row r="22" spans="1:27" ht="16.500000" customHeight="1">
      <c r="A22" s="15"/>
      <c r="B22" s="69"/>
      <c r="C22" s="69"/>
      <c r="D22" s="69"/>
      <c r="E22" s="69"/>
      <c r="F22" s="341"/>
      <c r="G22" s="69"/>
      <c r="H22" s="69"/>
      <c r="I22" s="69"/>
      <c r="J22" s="69"/>
      <c r="K22" s="63"/>
      <c r="M22" s="353"/>
      <c r="N22" s="363"/>
      <c r="O22" s="357"/>
      <c r="P22" s="355"/>
      <c r="Q22" s="355"/>
      <c r="R22" s="355"/>
      <c r="S22" s="355"/>
      <c r="T22" s="144"/>
      <c r="U22" s="144"/>
      <c r="V22" s="144"/>
      <c r="W22" s="144"/>
      <c r="X22" s="173"/>
      <c r="Y22" s="16"/>
      <c r="Z22" s="16"/>
      <c r="AA22" s="16"/>
    </row>
    <row r="23" spans="1:27" ht="16.500000" customHeight="1">
      <c r="A23" s="15"/>
      <c r="B23" s="69"/>
      <c r="C23" s="342"/>
      <c r="D23" s="181"/>
      <c r="E23" s="181"/>
      <c r="F23" s="343"/>
      <c r="G23" s="181"/>
      <c r="H23" s="69"/>
      <c r="I23" s="69"/>
      <c r="J23" s="69"/>
      <c r="K23" s="63"/>
      <c r="M23" s="353"/>
      <c r="N23" s="363"/>
      <c r="O23" s="359"/>
      <c r="P23" s="355"/>
      <c r="Q23" s="355"/>
      <c r="R23" s="355"/>
      <c r="S23" s="355"/>
      <c r="T23" s="144"/>
      <c r="U23" s="144"/>
      <c r="V23" s="144"/>
      <c r="W23" s="144"/>
      <c r="X23" s="173"/>
      <c r="Y23" s="16"/>
      <c r="Z23" s="16"/>
      <c r="AA23" s="16"/>
    </row>
    <row r="24" spans="1:27" ht="16.500000" customHeight="1">
      <c r="A24" s="15"/>
      <c r="B24" s="69"/>
      <c r="C24" s="69"/>
      <c r="D24" s="69"/>
      <c r="E24" s="69"/>
      <c r="F24" s="336"/>
      <c r="G24" s="69"/>
      <c r="H24" s="69"/>
      <c r="I24" s="69"/>
      <c r="J24" s="69"/>
      <c r="K24" s="63"/>
      <c r="M24" s="353"/>
      <c r="N24" s="363"/>
      <c r="O24" s="362"/>
      <c r="P24" s="355"/>
      <c r="Q24" s="355"/>
      <c r="R24" s="355"/>
      <c r="S24" s="355"/>
      <c r="T24" s="144"/>
      <c r="U24" s="144"/>
      <c r="V24" s="144"/>
      <c r="W24" s="144"/>
      <c r="X24" s="173"/>
      <c r="Y24" s="16"/>
      <c r="Z24" s="16"/>
      <c r="AA24" s="16"/>
    </row>
    <row r="25" spans="1:27" ht="16.500000" customHeight="1">
      <c r="A25" s="15"/>
      <c r="B25" s="69"/>
      <c r="C25" s="69"/>
      <c r="D25" s="114"/>
      <c r="E25" s="337"/>
      <c r="F25" s="337"/>
      <c r="G25" s="344"/>
      <c r="H25" s="69"/>
      <c r="I25" s="69"/>
      <c r="J25" s="69"/>
      <c r="K25" s="63"/>
      <c r="M25" s="353"/>
      <c r="N25" s="355"/>
      <c r="O25" s="356"/>
      <c r="P25" s="355"/>
      <c r="Q25" s="355"/>
      <c r="R25" s="355"/>
      <c r="S25" s="355"/>
      <c r="T25" s="144"/>
      <c r="U25" s="144"/>
      <c r="V25" s="144"/>
      <c r="W25" s="144"/>
      <c r="X25" s="173"/>
      <c r="Y25" s="16"/>
      <c r="Z25" s="16"/>
      <c r="AA25" s="16"/>
    </row>
    <row r="26" spans="1:27" ht="16.500000" customHeight="1">
      <c r="A26" s="15"/>
      <c r="B26" s="69"/>
      <c r="C26" s="69"/>
      <c r="D26" s="69"/>
      <c r="E26" s="337"/>
      <c r="F26" s="337"/>
      <c r="G26" s="69"/>
      <c r="H26" s="69"/>
      <c r="I26" s="69"/>
      <c r="J26" s="69"/>
      <c r="K26" s="63"/>
      <c r="M26" s="353"/>
      <c r="N26" s="355"/>
      <c r="O26" s="354"/>
      <c r="P26" s="355"/>
      <c r="Q26" s="355"/>
      <c r="R26" s="355"/>
      <c r="S26" s="355"/>
      <c r="T26" s="144"/>
      <c r="U26" s="144"/>
      <c r="V26" s="144"/>
      <c r="W26" s="144"/>
      <c r="X26" s="173"/>
      <c r="Y26" s="16"/>
      <c r="Z26" s="16"/>
      <c r="AA26" s="16"/>
    </row>
    <row r="27" spans="1:27" ht="16.500000" customHeight="1">
      <c r="A27" s="15"/>
      <c r="B27" s="69"/>
      <c r="C27" s="69"/>
      <c r="D27" s="69"/>
      <c r="E27" s="337"/>
      <c r="F27" s="337"/>
      <c r="G27" s="69"/>
      <c r="H27" s="69"/>
      <c r="I27" s="69"/>
      <c r="J27" s="69"/>
      <c r="K27" s="63"/>
      <c r="M27" s="353"/>
      <c r="N27" s="355"/>
      <c r="O27" s="354"/>
      <c r="P27" s="355"/>
      <c r="Q27" s="355"/>
      <c r="R27" s="355"/>
      <c r="S27" s="355"/>
      <c r="T27" s="144"/>
      <c r="U27" s="144"/>
      <c r="V27" s="144"/>
      <c r="W27" s="144"/>
      <c r="X27" s="173"/>
      <c r="Y27" s="16"/>
      <c r="Z27" s="16"/>
      <c r="AA27" s="16"/>
    </row>
    <row r="28" spans="1:27" ht="16.500000" customHeight="1">
      <c r="A28" s="15"/>
      <c r="B28" s="16"/>
      <c r="C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73"/>
      <c r="Y28" s="16"/>
      <c r="Z28" s="16"/>
      <c r="AA28" s="16"/>
    </row>
    <row r="29" spans="1:27" ht="16.500000" customHeight="1">
      <c r="A29" s="345"/>
      <c r="C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73"/>
      <c r="Y29" s="16"/>
      <c r="Z29" s="16"/>
      <c r="AA29" s="16"/>
    </row>
    <row r="30" spans="1:27" ht="16.500000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74"/>
      <c r="Y30" s="16"/>
      <c r="Z30" s="16"/>
      <c r="AA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4">
    <mergeCell ref="A1:X1"/>
    <mergeCell ref="A2:E2"/>
    <mergeCell ref="W2:X2"/>
    <mergeCell ref="M4:N4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40"/>
  <sheetViews>
    <sheetView showGridLines="0" showRowColHeaders="0" zoomScale="70" zoomScaleNormal="70" workbookViewId="0">
      <pane xSplit="24" ySplit="37" topLeftCell="Y38" activePane="bottomRight" state="frozen"/>
      <selection pane="topRight" activeCell="Y1" sqref="Y1"/>
      <selection pane="bottomLeft" activeCell="A38" sqref="A38"/>
      <selection pane="bottomRight" activeCell="A1" sqref="A1:T1"/>
    </sheetView>
  </sheetViews>
  <sheetFormatPr defaultColWidth="9.00000000" defaultRowHeight="16.200000"/>
  <cols>
    <col min="1" max="1" style="3" width="7.71928583" customWidth="1" outlineLevel="0"/>
    <col min="2" max="3" style="3" width="5.14785705" customWidth="1" outlineLevel="0"/>
    <col min="4" max="4" style="3" width="6.43357120" customWidth="1" outlineLevel="0"/>
    <col min="5" max="6" style="3" width="4.71928583" customWidth="1" outlineLevel="0"/>
    <col min="7" max="7" style="3" width="6.43357120" customWidth="1" outlineLevel="0"/>
    <col min="8" max="8" style="3" width="5.43357120" customWidth="1" outlineLevel="0"/>
    <col min="9" max="9" style="3" width="8.71928583" customWidth="1" outlineLevel="0"/>
    <col min="10" max="10" style="3" width="1.00500001" customWidth="1" outlineLevel="0"/>
    <col min="11" max="22" style="3" width="6.71928583" customWidth="1" outlineLevel="0"/>
    <col min="23" max="25" style="3" width="4.86214290" customWidth="1" outlineLevel="0"/>
    <col min="26" max="16384" style="3" width="9.00499998" customWidth="1" outlineLevel="0"/>
  </cols>
  <sheetData>
    <row r="1" spans="1:25" ht="49.500000">
      <c r="A1" s="646" t="s">
        <v>283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</row>
    <row r="2" spans="1:25" ht="34.500000" customHeight="1">
      <c r="A2" s="754" t="s">
        <v>256</v>
      </c>
      <c r="B2" s="199"/>
      <c r="C2" s="199"/>
      <c r="D2" s="199"/>
      <c r="E2" s="199"/>
      <c r="F2" s="364">
        <f>IF(G21="底高度過高","----------",((((D11-D15)^2))+(4*(((H20)^2)+((G17+H13)*(D11-D15)))))^0.5)</f>
        <v>404.343220544131</v>
      </c>
      <c r="G2" s="65"/>
      <c r="H2" s="346" t="s">
        <v>51</v>
      </c>
      <c r="I2" s="347"/>
      <c r="S2" s="195"/>
      <c r="T2" s="252" t="s">
        <v>88</v>
      </c>
      <c r="U2" s="253">
        <f>TODAY()</f>
        <v>43411</v>
      </c>
      <c r="V2" s="253"/>
    </row>
    <row r="3" spans="1:25" ht="6.750000" customHeight="1">
      <c r="B3" s="334"/>
      <c r="C3" s="334"/>
      <c r="D3" s="72"/>
    </row>
    <row r="4" spans="1:25" ht="16.500000" customHeight="1">
      <c r="A4" s="11"/>
      <c r="B4" s="12"/>
      <c r="C4" s="12"/>
      <c r="D4" s="12"/>
      <c r="E4" s="12"/>
      <c r="F4" s="12"/>
      <c r="G4" s="12"/>
      <c r="H4" s="12"/>
      <c r="I4" s="62"/>
      <c r="K4" s="348" t="s">
        <v>107</v>
      </c>
      <c r="L4" s="131"/>
      <c r="M4" s="12"/>
      <c r="N4" s="12"/>
      <c r="O4" s="12"/>
      <c r="P4" s="12"/>
      <c r="Q4" s="12"/>
      <c r="R4" s="12"/>
      <c r="S4" s="12"/>
      <c r="T4" s="12"/>
      <c r="U4" s="12"/>
      <c r="V4" s="62"/>
      <c r="W4" s="16"/>
      <c r="X4" s="16"/>
      <c r="Y4" s="16"/>
    </row>
    <row r="5" spans="1:25" ht="16.500000" customHeight="1">
      <c r="A5" s="15"/>
      <c r="B5" s="69"/>
      <c r="C5" s="69"/>
      <c r="D5" s="69"/>
      <c r="E5" s="69"/>
      <c r="F5" s="69"/>
      <c r="G5" s="138"/>
      <c r="H5" s="69"/>
      <c r="I5" s="63"/>
      <c r="K5" s="349"/>
      <c r="L5" s="350"/>
      <c r="M5" s="144"/>
      <c r="N5" s="144"/>
      <c r="O5" s="144"/>
      <c r="P5" s="144"/>
      <c r="Q5" s="144"/>
      <c r="R5" s="144"/>
      <c r="S5" s="144"/>
      <c r="T5" s="144"/>
      <c r="U5" s="144"/>
      <c r="V5" s="173"/>
      <c r="W5" s="16"/>
      <c r="X5" s="16"/>
      <c r="Y5" s="16"/>
    </row>
    <row r="6" spans="1:25" ht="16.500000" customHeight="1">
      <c r="A6" s="15"/>
      <c r="B6" s="69"/>
      <c r="C6" s="69"/>
      <c r="D6" s="69"/>
      <c r="E6" s="69"/>
      <c r="F6" s="69"/>
      <c r="G6" s="138"/>
      <c r="H6" s="69"/>
      <c r="I6" s="63"/>
      <c r="K6" s="349"/>
      <c r="L6" s="350"/>
      <c r="M6" s="144"/>
      <c r="N6" s="144"/>
      <c r="O6" s="144"/>
      <c r="P6" s="144"/>
      <c r="Q6" s="144"/>
      <c r="R6" s="144"/>
      <c r="S6" s="144"/>
      <c r="T6" s="144"/>
      <c r="U6" s="144"/>
      <c r="V6" s="173"/>
      <c r="W6" s="16"/>
      <c r="X6" s="16"/>
      <c r="Y6" s="16"/>
    </row>
    <row r="7" spans="1:25" ht="16.500000" customHeight="1">
      <c r="A7" s="15"/>
      <c r="B7" s="69"/>
      <c r="C7" s="69"/>
      <c r="D7" s="69"/>
      <c r="E7" s="69"/>
      <c r="F7" s="69"/>
      <c r="G7" s="138"/>
      <c r="H7" s="69"/>
      <c r="I7" s="63"/>
      <c r="K7" s="349"/>
      <c r="L7" s="350"/>
      <c r="M7" s="144"/>
      <c r="N7" s="144"/>
      <c r="O7" s="144"/>
      <c r="P7" s="144"/>
      <c r="Q7" s="144"/>
      <c r="R7" s="144"/>
      <c r="S7" s="144"/>
      <c r="T7" s="144"/>
      <c r="U7" s="144"/>
      <c r="V7" s="173"/>
      <c r="W7" s="16"/>
      <c r="X7" s="16"/>
      <c r="Y7" s="16"/>
    </row>
    <row r="8" spans="1:25" ht="16.500000" customHeight="1">
      <c r="A8" s="15"/>
      <c r="B8" s="69"/>
      <c r="C8" s="69"/>
      <c r="D8" s="69"/>
      <c r="E8" s="69"/>
      <c r="F8" s="69"/>
      <c r="G8" s="138"/>
      <c r="H8" s="69"/>
      <c r="I8" s="63"/>
      <c r="K8" s="349"/>
      <c r="L8" s="350"/>
      <c r="M8" s="144"/>
      <c r="N8" s="144"/>
      <c r="O8" s="144"/>
      <c r="P8" s="144"/>
      <c r="Q8" s="144"/>
      <c r="R8" s="144"/>
      <c r="S8" s="144"/>
      <c r="T8" s="144"/>
      <c r="U8" s="144"/>
      <c r="V8" s="173"/>
      <c r="W8" s="16"/>
      <c r="X8" s="16"/>
      <c r="Y8" s="16"/>
    </row>
    <row r="9" spans="1:25" ht="16.500000" customHeight="1">
      <c r="A9" s="15"/>
      <c r="B9" s="69"/>
      <c r="C9" s="69"/>
      <c r="D9" s="69"/>
      <c r="E9" s="69"/>
      <c r="F9" s="69"/>
      <c r="G9" s="138"/>
      <c r="H9" s="69"/>
      <c r="I9" s="63"/>
      <c r="K9" s="349"/>
      <c r="L9" s="350"/>
      <c r="M9" s="144"/>
      <c r="N9" s="144"/>
      <c r="O9" s="144"/>
      <c r="P9" s="144"/>
      <c r="Q9" s="144"/>
      <c r="R9" s="144"/>
      <c r="S9" s="144"/>
      <c r="T9" s="144"/>
      <c r="U9" s="144"/>
      <c r="V9" s="173"/>
      <c r="W9" s="16"/>
      <c r="X9" s="16"/>
      <c r="Y9" s="16"/>
    </row>
    <row r="10" spans="1:25" ht="16.500000" customHeight="1">
      <c r="A10" s="15"/>
      <c r="B10" s="69"/>
      <c r="C10" s="69"/>
      <c r="D10" s="335" t="s">
        <v>279</v>
      </c>
      <c r="E10" s="69"/>
      <c r="F10" s="69"/>
      <c r="G10" s="138"/>
      <c r="H10" s="69"/>
      <c r="I10" s="63"/>
      <c r="K10" s="349"/>
      <c r="L10" s="350"/>
      <c r="M10" s="144"/>
      <c r="N10" s="144"/>
      <c r="O10" s="144"/>
      <c r="P10" s="144"/>
      <c r="Q10" s="144"/>
      <c r="R10" s="144"/>
      <c r="S10" s="144"/>
      <c r="T10" s="144"/>
      <c r="U10" s="144"/>
      <c r="V10" s="173"/>
      <c r="W10" s="16"/>
      <c r="X10" s="16"/>
      <c r="Y10" s="16"/>
    </row>
    <row r="11" spans="1:25" ht="16.500000" customHeight="1">
      <c r="A11" s="15"/>
      <c r="B11" s="69"/>
      <c r="C11" s="69"/>
      <c r="D11" s="288">
        <v>162</v>
      </c>
      <c r="E11" s="69"/>
      <c r="F11" s="69"/>
      <c r="G11" s="138"/>
      <c r="H11" s="69"/>
      <c r="I11" s="63"/>
      <c r="K11" s="349"/>
      <c r="L11" s="350"/>
      <c r="M11" s="144"/>
      <c r="N11" s="144"/>
      <c r="O11" s="144"/>
      <c r="P11" s="144"/>
      <c r="Q11" s="144"/>
      <c r="R11" s="144"/>
      <c r="S11" s="144"/>
      <c r="T11" s="144"/>
      <c r="U11" s="144"/>
      <c r="V11" s="173"/>
      <c r="W11" s="16"/>
      <c r="X11" s="16"/>
      <c r="Y11" s="16"/>
    </row>
    <row r="12" spans="1:25" ht="16.500000" customHeight="1">
      <c r="A12" s="15"/>
      <c r="B12" s="115"/>
      <c r="C12" s="115"/>
      <c r="E12" s="115"/>
      <c r="F12" s="115"/>
      <c r="I12" s="63"/>
      <c r="K12" s="349"/>
      <c r="L12" s="350"/>
      <c r="M12" s="144"/>
      <c r="N12" s="144"/>
      <c r="O12" s="144"/>
      <c r="P12" s="144"/>
      <c r="Q12" s="144"/>
      <c r="R12" s="144"/>
      <c r="S12" s="144"/>
      <c r="T12" s="144"/>
      <c r="U12" s="144"/>
      <c r="V12" s="173"/>
      <c r="W12" s="16"/>
      <c r="X12" s="16"/>
      <c r="Y12" s="16"/>
    </row>
    <row r="13" spans="1:25" ht="16.500000" customHeight="1">
      <c r="A13" s="15"/>
      <c r="B13" s="69"/>
      <c r="C13" s="69"/>
      <c r="D13" s="69"/>
      <c r="E13" s="69"/>
      <c r="F13" s="69"/>
      <c r="G13" s="114" t="s">
        <v>258</v>
      </c>
      <c r="H13" s="311">
        <v>0</v>
      </c>
      <c r="I13" s="63"/>
      <c r="K13" s="349"/>
      <c r="L13" s="350"/>
      <c r="M13" s="144"/>
      <c r="N13" s="144"/>
      <c r="O13" s="144"/>
      <c r="P13" s="144"/>
      <c r="Q13" s="144"/>
      <c r="R13" s="144"/>
      <c r="S13" s="144"/>
      <c r="T13" s="144"/>
      <c r="U13" s="144"/>
      <c r="V13" s="173"/>
      <c r="W13" s="16"/>
      <c r="X13" s="16"/>
      <c r="Y13" s="16"/>
    </row>
    <row r="14" spans="1:25" ht="16.500000" customHeight="1">
      <c r="A14" s="15"/>
      <c r="B14" s="69"/>
      <c r="C14" s="113"/>
      <c r="D14" s="69" t="s">
        <v>272</v>
      </c>
      <c r="E14" s="69"/>
      <c r="F14" s="69"/>
      <c r="G14" s="69"/>
      <c r="H14" s="69"/>
      <c r="I14" s="63"/>
      <c r="K14" s="349"/>
      <c r="L14" s="350"/>
      <c r="M14" s="144"/>
      <c r="N14" s="144"/>
      <c r="O14" s="144"/>
      <c r="P14" s="144"/>
      <c r="Q14" s="144"/>
      <c r="R14" s="144"/>
      <c r="S14" s="144"/>
      <c r="T14" s="144"/>
      <c r="U14" s="144"/>
      <c r="V14" s="173"/>
      <c r="W14" s="16"/>
      <c r="X14" s="16"/>
      <c r="Y14" s="16"/>
    </row>
    <row r="15" spans="1:25" ht="16.500000" customHeight="1">
      <c r="A15" s="15"/>
      <c r="B15" s="114"/>
      <c r="C15" s="336"/>
      <c r="D15" s="313">
        <v>3.2</v>
      </c>
      <c r="F15" s="69"/>
      <c r="G15" s="69"/>
      <c r="H15" s="69"/>
      <c r="I15" s="63"/>
      <c r="K15" s="145"/>
      <c r="L15" s="351"/>
      <c r="M15" s="144"/>
      <c r="N15" s="144"/>
      <c r="O15" s="144"/>
      <c r="P15" s="144"/>
      <c r="Q15" s="144"/>
      <c r="R15" s="144"/>
      <c r="S15" s="144"/>
      <c r="T15" s="144"/>
      <c r="U15" s="144"/>
      <c r="V15" s="173"/>
      <c r="W15" s="16"/>
      <c r="X15" s="16"/>
      <c r="Y15" s="16"/>
    </row>
    <row r="16" spans="1:25" ht="16.500000" customHeight="1">
      <c r="A16" s="15"/>
      <c r="B16" s="114"/>
      <c r="C16" s="337"/>
      <c r="E16" s="69"/>
      <c r="F16" s="69"/>
      <c r="G16" s="336" t="s">
        <v>284</v>
      </c>
      <c r="H16" s="69"/>
      <c r="I16" s="63"/>
      <c r="K16" s="145"/>
      <c r="L16" s="351"/>
      <c r="M16" s="144"/>
      <c r="N16" s="144"/>
      <c r="O16" s="144"/>
      <c r="P16" s="144"/>
      <c r="Q16" s="144"/>
      <c r="R16" s="144"/>
      <c r="S16" s="144"/>
      <c r="T16" s="144"/>
      <c r="U16" s="144"/>
      <c r="V16" s="173"/>
      <c r="W16" s="16"/>
      <c r="X16" s="16"/>
      <c r="Y16" s="16"/>
    </row>
    <row r="17" spans="1:25" ht="16.500000" customHeight="1">
      <c r="A17" s="15"/>
      <c r="B17" s="114"/>
      <c r="C17" s="339"/>
      <c r="E17" s="69"/>
      <c r="F17" s="69"/>
      <c r="G17" s="311">
        <v>200</v>
      </c>
      <c r="I17" s="63"/>
      <c r="K17" s="145"/>
      <c r="L17" s="351"/>
      <c r="M17" s="144"/>
      <c r="N17" s="144"/>
      <c r="O17" s="144"/>
      <c r="P17" s="144"/>
      <c r="Q17" s="144"/>
      <c r="R17" s="144"/>
      <c r="S17" s="144"/>
      <c r="T17" s="144"/>
      <c r="U17" s="144"/>
      <c r="V17" s="173"/>
      <c r="W17" s="16"/>
      <c r="X17" s="16"/>
      <c r="Y17" s="16"/>
    </row>
    <row r="18" spans="1:25" ht="16.500000" customHeight="1">
      <c r="A18" s="15"/>
      <c r="B18" s="69"/>
      <c r="C18" s="69" t="s">
        <v>281</v>
      </c>
      <c r="E18" s="138" t="s">
        <v>285</v>
      </c>
      <c r="F18" s="69"/>
      <c r="H18" s="69"/>
      <c r="I18" s="63"/>
      <c r="K18" s="353"/>
      <c r="L18" s="354"/>
      <c r="M18" s="355"/>
      <c r="N18" s="356"/>
      <c r="O18" s="357"/>
      <c r="P18" s="355"/>
      <c r="Q18" s="355"/>
      <c r="R18" s="144"/>
      <c r="S18" s="144"/>
      <c r="T18" s="144"/>
      <c r="U18" s="144"/>
      <c r="V18" s="173"/>
      <c r="W18" s="16"/>
      <c r="X18" s="16"/>
      <c r="Y18" s="16"/>
    </row>
    <row r="19" spans="1:25" ht="16.500000" customHeight="1">
      <c r="A19" s="15"/>
      <c r="B19" s="114"/>
      <c r="C19" s="337"/>
      <c r="D19" s="337"/>
      <c r="E19" s="69"/>
      <c r="F19" s="69"/>
      <c r="G19" s="118"/>
      <c r="H19" s="337"/>
      <c r="I19" s="63"/>
      <c r="K19" s="353"/>
      <c r="L19" s="355"/>
      <c r="M19" s="355"/>
      <c r="N19" s="355"/>
      <c r="O19" s="355"/>
      <c r="P19" s="355"/>
      <c r="Q19" s="355"/>
      <c r="R19" s="144"/>
      <c r="S19" s="144"/>
      <c r="T19" s="144"/>
      <c r="U19" s="144"/>
      <c r="V19" s="173"/>
      <c r="W19" s="16"/>
      <c r="X19" s="16"/>
      <c r="Y19" s="16"/>
    </row>
    <row r="20" spans="1:25" ht="16.500000" customHeight="1">
      <c r="A20" s="15"/>
      <c r="B20" s="115"/>
      <c r="C20" s="69"/>
      <c r="D20" s="69"/>
      <c r="E20" s="69"/>
      <c r="F20" s="69"/>
      <c r="G20" s="114" t="s">
        <v>286</v>
      </c>
      <c r="H20" s="311">
        <v>53</v>
      </c>
      <c r="I20" s="63"/>
      <c r="K20" s="353"/>
      <c r="L20" s="355"/>
      <c r="M20" s="355"/>
      <c r="N20" s="355"/>
      <c r="O20" s="355"/>
      <c r="P20" s="355"/>
      <c r="Q20" s="355"/>
      <c r="R20" s="144"/>
      <c r="S20" s="144"/>
      <c r="T20" s="144"/>
      <c r="U20" s="144"/>
      <c r="V20" s="173"/>
      <c r="W20" s="16"/>
      <c r="X20" s="16"/>
      <c r="Y20" s="16"/>
    </row>
    <row r="21" spans="1:25" ht="16.500000" customHeight="1">
      <c r="A21" s="15"/>
      <c r="B21" s="340"/>
      <c r="C21" s="69"/>
      <c r="D21" s="335"/>
      <c r="E21" s="69"/>
      <c r="G21" s="768" t="str">
        <f>IF((H20+D15)&gt;=(D11*0.5),"底高度過高","    ")</f>
        <v>    </v>
      </c>
      <c r="H21" s="769"/>
      <c r="I21" s="365"/>
      <c r="K21" s="358"/>
      <c r="L21" s="355"/>
      <c r="M21" s="359"/>
      <c r="N21" s="355"/>
      <c r="O21" s="355"/>
      <c r="P21" s="355"/>
      <c r="Q21" s="355"/>
      <c r="R21" s="144"/>
      <c r="S21" s="144"/>
      <c r="T21" s="144"/>
      <c r="U21" s="144"/>
      <c r="V21" s="173"/>
      <c r="W21" s="16"/>
      <c r="X21" s="16"/>
      <c r="Y21" s="16"/>
    </row>
    <row r="22" spans="1:25" ht="16.500000" customHeight="1">
      <c r="A22" s="15"/>
      <c r="B22" s="114"/>
      <c r="C22" s="337"/>
      <c r="D22" s="337"/>
      <c r="E22" s="69"/>
      <c r="G22" s="69"/>
      <c r="H22" s="69"/>
      <c r="I22" s="63"/>
      <c r="K22" s="360"/>
      <c r="L22" s="355"/>
      <c r="M22" s="361"/>
      <c r="N22" s="355"/>
      <c r="O22" s="355"/>
      <c r="P22" s="359"/>
      <c r="Q22" s="355"/>
      <c r="R22" s="144"/>
      <c r="S22" s="144"/>
      <c r="T22" s="144"/>
      <c r="U22" s="144"/>
      <c r="V22" s="173"/>
      <c r="W22" s="16"/>
      <c r="X22" s="16"/>
      <c r="Y22" s="16"/>
    </row>
    <row r="23" spans="1:25" ht="16.500000" customHeight="1">
      <c r="A23" s="15"/>
      <c r="B23" s="69"/>
      <c r="C23" s="69"/>
      <c r="D23" s="341"/>
      <c r="G23" s="69"/>
      <c r="H23" s="69"/>
      <c r="I23" s="63"/>
      <c r="K23" s="353"/>
      <c r="L23" s="355"/>
      <c r="M23" s="362"/>
      <c r="N23" s="355"/>
      <c r="O23" s="355"/>
      <c r="P23" s="354"/>
      <c r="Q23" s="355"/>
      <c r="R23" s="144"/>
      <c r="S23" s="144"/>
      <c r="T23" s="144"/>
      <c r="U23" s="144"/>
      <c r="V23" s="173"/>
      <c r="W23" s="16"/>
      <c r="X23" s="16"/>
      <c r="Y23" s="16"/>
    </row>
    <row r="24" spans="1:25" ht="16.500000" customHeight="1">
      <c r="A24" s="15"/>
      <c r="B24" s="69"/>
      <c r="C24" s="69"/>
      <c r="D24" s="341"/>
      <c r="E24" s="69"/>
      <c r="F24" s="69"/>
      <c r="G24" s="69"/>
      <c r="H24" s="69"/>
      <c r="I24" s="63"/>
      <c r="K24" s="353"/>
      <c r="L24" s="363"/>
      <c r="M24" s="357"/>
      <c r="N24" s="355"/>
      <c r="O24" s="355"/>
      <c r="P24" s="355"/>
      <c r="Q24" s="355"/>
      <c r="R24" s="144"/>
      <c r="S24" s="144"/>
      <c r="T24" s="144"/>
      <c r="U24" s="144"/>
      <c r="V24" s="173"/>
      <c r="W24" s="16"/>
      <c r="X24" s="16"/>
      <c r="Y24" s="16"/>
    </row>
    <row r="25" spans="1:25" ht="16.500000" customHeight="1">
      <c r="A25" s="15"/>
      <c r="B25" s="181"/>
      <c r="C25" s="181"/>
      <c r="D25" s="343"/>
      <c r="E25" s="181"/>
      <c r="F25" s="69"/>
      <c r="G25" s="69"/>
      <c r="H25" s="69"/>
      <c r="I25" s="63"/>
      <c r="K25" s="353"/>
      <c r="L25" s="363"/>
      <c r="M25" s="359"/>
      <c r="N25" s="355"/>
      <c r="O25" s="355"/>
      <c r="P25" s="355"/>
      <c r="Q25" s="355"/>
      <c r="R25" s="144"/>
      <c r="S25" s="144"/>
      <c r="T25" s="144"/>
      <c r="U25" s="144"/>
      <c r="V25" s="173"/>
      <c r="W25" s="16"/>
      <c r="X25" s="16"/>
      <c r="Y25" s="16"/>
    </row>
    <row r="26" spans="1:25" ht="16.500000" customHeight="1">
      <c r="A26" s="15"/>
      <c r="B26" s="69"/>
      <c r="C26" s="69"/>
      <c r="D26" s="336"/>
      <c r="E26" s="69"/>
      <c r="F26" s="69"/>
      <c r="G26" s="69"/>
      <c r="H26" s="69"/>
      <c r="I26" s="63"/>
      <c r="K26" s="353"/>
      <c r="L26" s="363"/>
      <c r="M26" s="362"/>
      <c r="N26" s="355"/>
      <c r="O26" s="355"/>
      <c r="P26" s="355"/>
      <c r="Q26" s="355"/>
      <c r="R26" s="144"/>
      <c r="S26" s="144"/>
      <c r="T26" s="144"/>
      <c r="U26" s="144"/>
      <c r="V26" s="173"/>
      <c r="W26" s="16"/>
      <c r="X26" s="16"/>
      <c r="Y26" s="16"/>
    </row>
    <row r="27" spans="1:25" ht="16.500000" customHeight="1">
      <c r="A27" s="15"/>
      <c r="B27" s="69"/>
      <c r="C27" s="337"/>
      <c r="D27" s="337"/>
      <c r="E27" s="69"/>
      <c r="F27" s="69"/>
      <c r="G27" s="69"/>
      <c r="H27" s="69"/>
      <c r="I27" s="63"/>
      <c r="K27" s="353"/>
      <c r="L27" s="355"/>
      <c r="M27" s="354"/>
      <c r="N27" s="355"/>
      <c r="O27" s="355"/>
      <c r="P27" s="355"/>
      <c r="Q27" s="355"/>
      <c r="R27" s="144"/>
      <c r="S27" s="144"/>
      <c r="T27" s="144"/>
      <c r="U27" s="144"/>
      <c r="V27" s="173"/>
      <c r="W27" s="16"/>
      <c r="X27" s="16"/>
      <c r="Y27" s="16"/>
    </row>
    <row r="28" spans="1:25" ht="16.500000" customHeight="1">
      <c r="A28" s="15"/>
      <c r="E28" s="16"/>
      <c r="F28" s="16"/>
      <c r="G28" s="16"/>
      <c r="H28" s="16"/>
      <c r="I28" s="63"/>
      <c r="K28" s="145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73"/>
      <c r="W28" s="16"/>
      <c r="X28" s="16"/>
      <c r="Y28" s="16"/>
    </row>
    <row r="29" spans="1:25" ht="16.500000" customHeight="1">
      <c r="A29" s="345"/>
      <c r="E29" s="16"/>
      <c r="F29" s="16"/>
      <c r="G29" s="16"/>
      <c r="H29" s="16"/>
      <c r="I29" s="63"/>
      <c r="K29" s="145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73"/>
      <c r="W29" s="16"/>
      <c r="X29" s="16"/>
      <c r="Y29" s="16"/>
    </row>
    <row r="30" spans="1:25" ht="16.500000" customHeight="1">
      <c r="A30" s="34"/>
      <c r="B30" s="35"/>
      <c r="C30" s="35"/>
      <c r="D30" s="35"/>
      <c r="E30" s="35"/>
      <c r="F30" s="35"/>
      <c r="G30" s="35"/>
      <c r="H30" s="35"/>
      <c r="I30" s="64"/>
      <c r="K30" s="147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74"/>
      <c r="W30" s="16"/>
      <c r="X30" s="16"/>
      <c r="Y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6">
    <mergeCell ref="A1:T1"/>
    <mergeCell ref="A2:E2"/>
    <mergeCell ref="F2:G2"/>
    <mergeCell ref="U2:V2"/>
    <mergeCell ref="K4:L4"/>
    <mergeCell ref="G21:H21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0"/>
  <sheetViews>
    <sheetView showGridLines="0" showRowColHeaders="0" zoomScale="70" zoomScaleNormal="70" workbookViewId="0">
      <pane xSplit="24" ySplit="36" topLeftCell="Y37" activePane="bottomRight" state="frozen"/>
      <selection pane="topRight" activeCell="Y1" sqref="Y1"/>
      <selection pane="bottomLeft" activeCell="A37" sqref="A37"/>
      <selection pane="bottomRight" activeCell="A1" sqref="A1:W1"/>
    </sheetView>
  </sheetViews>
  <sheetFormatPr defaultColWidth="9.00000000" defaultRowHeight="16.200000"/>
  <cols>
    <col min="1" max="1" style="3" width="3.71928583" customWidth="1" outlineLevel="0"/>
    <col min="2" max="2" style="3" width="5.14785705" customWidth="1" outlineLevel="0"/>
    <col min="3" max="3" style="3" width="7.71928583" customWidth="1" outlineLevel="0"/>
    <col min="4" max="7" style="3" width="5.14785705" customWidth="1" outlineLevel="0"/>
    <col min="8" max="8" style="3" width="4.71928583" customWidth="1" outlineLevel="0"/>
    <col min="9" max="9" style="3" width="5.14785705" customWidth="1" outlineLevel="0"/>
    <col min="10" max="10" style="3" width="6.43357120" customWidth="1" outlineLevel="0"/>
    <col min="11" max="11" style="3" width="1.00500001" customWidth="1" outlineLevel="0"/>
    <col min="12" max="23" style="3" width="6.71928583" customWidth="1" outlineLevel="0"/>
    <col min="24" max="26" style="3" width="4.86214290" customWidth="1" outlineLevel="0"/>
    <col min="27" max="16384" style="3" width="9.00499998" customWidth="1" outlineLevel="0"/>
  </cols>
  <sheetData>
    <row r="1" spans="1:26" ht="49.500000">
      <c r="A1" s="646" t="s">
        <v>287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</row>
    <row r="2" spans="1:26" ht="34.500000" customHeight="1">
      <c r="A2" s="754" t="s">
        <v>256</v>
      </c>
      <c r="B2" s="754"/>
      <c r="C2" s="754"/>
      <c r="D2" s="199"/>
      <c r="E2" s="199"/>
      <c r="F2" s="199"/>
      <c r="G2" s="770">
        <f>(8*(C15-C19*0.5)*(I18+I15))^0.5</f>
        <v>165.577776286554</v>
      </c>
      <c r="H2" s="770"/>
      <c r="I2" s="346" t="s">
        <v>51</v>
      </c>
      <c r="J2" s="347"/>
      <c r="T2" s="195"/>
      <c r="U2" s="252" t="s">
        <v>88</v>
      </c>
      <c r="V2" s="253">
        <v>36810</v>
      </c>
      <c r="W2" s="253"/>
    </row>
    <row r="3" spans="1:26" ht="6.750000" customHeight="1">
      <c r="D3" s="334"/>
      <c r="E3" s="334"/>
      <c r="F3" s="72"/>
    </row>
    <row r="4" spans="1:26" ht="16.500000" customHeight="1">
      <c r="A4" s="11"/>
      <c r="B4" s="12"/>
      <c r="C4" s="12"/>
      <c r="D4" s="12"/>
      <c r="E4" s="12"/>
      <c r="F4" s="12"/>
      <c r="G4" s="12"/>
      <c r="H4" s="12"/>
      <c r="I4" s="12"/>
      <c r="J4" s="62"/>
      <c r="L4" s="348" t="s">
        <v>107</v>
      </c>
      <c r="M4" s="131"/>
      <c r="N4" s="12"/>
      <c r="O4" s="12"/>
      <c r="P4" s="12"/>
      <c r="Q4" s="12"/>
      <c r="R4" s="12"/>
      <c r="S4" s="12"/>
      <c r="T4" s="12"/>
      <c r="U4" s="12"/>
      <c r="V4" s="12"/>
      <c r="W4" s="62"/>
      <c r="X4" s="16"/>
      <c r="Y4" s="16"/>
      <c r="Z4" s="16"/>
    </row>
    <row r="5" spans="1:26" ht="16.500000" customHeight="1">
      <c r="A5" s="15"/>
      <c r="B5" s="69"/>
      <c r="C5" s="69"/>
      <c r="D5" s="69"/>
      <c r="E5" s="69"/>
      <c r="F5" s="69"/>
      <c r="G5" s="69"/>
      <c r="H5" s="69"/>
      <c r="I5" s="138"/>
      <c r="J5" s="63"/>
      <c r="L5" s="349"/>
      <c r="M5" s="350"/>
      <c r="N5" s="144"/>
      <c r="O5" s="144"/>
      <c r="P5" s="144"/>
      <c r="Q5" s="144"/>
      <c r="R5" s="144"/>
      <c r="S5" s="144"/>
      <c r="T5" s="144"/>
      <c r="U5" s="144"/>
      <c r="V5" s="144"/>
      <c r="W5" s="173"/>
      <c r="X5" s="16"/>
      <c r="Y5" s="16"/>
      <c r="Z5" s="16"/>
    </row>
    <row r="6" spans="1:26" ht="16.500000" customHeight="1">
      <c r="A6" s="15"/>
      <c r="B6" s="69"/>
      <c r="C6" s="69"/>
      <c r="D6" s="69"/>
      <c r="E6" s="69"/>
      <c r="F6" s="69"/>
      <c r="G6" s="69"/>
      <c r="H6" s="69"/>
      <c r="I6" s="138"/>
      <c r="J6" s="63"/>
      <c r="L6" s="349"/>
      <c r="M6" s="350"/>
      <c r="N6" s="144"/>
      <c r="O6" s="144"/>
      <c r="P6" s="144"/>
      <c r="Q6" s="144"/>
      <c r="R6" s="144"/>
      <c r="S6" s="144"/>
      <c r="T6" s="144"/>
      <c r="U6" s="144"/>
      <c r="V6" s="144"/>
      <c r="W6" s="173"/>
      <c r="X6" s="16"/>
      <c r="Y6" s="16"/>
      <c r="Z6" s="16"/>
    </row>
    <row r="7" spans="1:26" ht="16.500000" customHeight="1">
      <c r="A7" s="15"/>
      <c r="B7" s="69"/>
      <c r="C7" s="69"/>
      <c r="D7" s="69"/>
      <c r="E7" s="69"/>
      <c r="F7" s="69"/>
      <c r="G7" s="69"/>
      <c r="H7" s="69"/>
      <c r="I7" s="138"/>
      <c r="J7" s="63"/>
      <c r="L7" s="349"/>
      <c r="M7" s="350"/>
      <c r="N7" s="144"/>
      <c r="O7" s="144"/>
      <c r="P7" s="144"/>
      <c r="Q7" s="144"/>
      <c r="R7" s="144"/>
      <c r="S7" s="144"/>
      <c r="T7" s="144"/>
      <c r="U7" s="144"/>
      <c r="V7" s="144"/>
      <c r="W7" s="173"/>
      <c r="X7" s="16"/>
      <c r="Y7" s="16"/>
      <c r="Z7" s="16"/>
    </row>
    <row r="8" spans="1:26" ht="16.500000" customHeight="1">
      <c r="A8" s="15"/>
      <c r="B8" s="69"/>
      <c r="C8" s="69"/>
      <c r="D8" s="69"/>
      <c r="E8" s="69"/>
      <c r="F8" s="69"/>
      <c r="G8" s="69"/>
      <c r="H8" s="69"/>
      <c r="I8" s="138"/>
      <c r="J8" s="63"/>
      <c r="L8" s="349"/>
      <c r="M8" s="350"/>
      <c r="N8" s="144"/>
      <c r="O8" s="144"/>
      <c r="P8" s="144"/>
      <c r="Q8" s="144"/>
      <c r="R8" s="144"/>
      <c r="S8" s="144"/>
      <c r="T8" s="144"/>
      <c r="U8" s="144"/>
      <c r="V8" s="144"/>
      <c r="W8" s="173"/>
      <c r="X8" s="16"/>
      <c r="Y8" s="16"/>
      <c r="Z8" s="16"/>
    </row>
    <row r="9" spans="1:26" ht="16.500000" customHeight="1">
      <c r="A9" s="15"/>
      <c r="B9" s="69"/>
      <c r="C9" s="69"/>
      <c r="D9" s="69"/>
      <c r="E9" s="69"/>
      <c r="F9" s="69"/>
      <c r="G9" s="69"/>
      <c r="H9" s="69"/>
      <c r="I9" s="138"/>
      <c r="J9" s="63"/>
      <c r="L9" s="349"/>
      <c r="M9" s="350"/>
      <c r="N9" s="144"/>
      <c r="O9" s="144"/>
      <c r="P9" s="144"/>
      <c r="Q9" s="144"/>
      <c r="R9" s="144"/>
      <c r="S9" s="144"/>
      <c r="T9" s="144"/>
      <c r="U9" s="144"/>
      <c r="V9" s="144"/>
      <c r="W9" s="173"/>
      <c r="X9" s="16"/>
      <c r="Y9" s="16"/>
      <c r="Z9" s="16"/>
    </row>
    <row r="10" spans="1:26" ht="16.500000" customHeight="1">
      <c r="A10" s="15"/>
      <c r="B10" s="69"/>
      <c r="C10" s="115"/>
      <c r="D10" s="115"/>
      <c r="E10" s="115"/>
      <c r="F10" s="166"/>
      <c r="G10" s="115"/>
      <c r="H10" s="115"/>
      <c r="I10" s="115"/>
      <c r="J10" s="63"/>
      <c r="L10" s="349"/>
      <c r="M10" s="350"/>
      <c r="N10" s="144"/>
      <c r="O10" s="144"/>
      <c r="P10" s="144"/>
      <c r="Q10" s="144"/>
      <c r="R10" s="144"/>
      <c r="S10" s="144"/>
      <c r="T10" s="144"/>
      <c r="U10" s="144"/>
      <c r="V10" s="144"/>
      <c r="W10" s="173"/>
      <c r="X10" s="16"/>
      <c r="Y10" s="16"/>
      <c r="Z10" s="16"/>
    </row>
    <row r="11" spans="1:26" ht="16.500000" customHeight="1">
      <c r="A11" s="15"/>
      <c r="B11" s="69"/>
      <c r="C11" s="69"/>
      <c r="D11" s="69"/>
      <c r="E11" s="69"/>
      <c r="F11" s="69"/>
      <c r="G11" s="69"/>
      <c r="H11" s="69"/>
      <c r="I11" s="69"/>
      <c r="J11" s="63"/>
      <c r="L11" s="349"/>
      <c r="M11" s="350"/>
      <c r="N11" s="144"/>
      <c r="O11" s="144"/>
      <c r="P11" s="144"/>
      <c r="Q11" s="144"/>
      <c r="R11" s="144"/>
      <c r="S11" s="144"/>
      <c r="T11" s="144"/>
      <c r="U11" s="144"/>
      <c r="V11" s="144"/>
      <c r="W11" s="173"/>
      <c r="X11" s="16"/>
      <c r="Y11" s="16"/>
      <c r="Z11" s="16"/>
    </row>
    <row r="12" spans="1:26" ht="16.500000" customHeight="1">
      <c r="A12" s="15"/>
      <c r="B12" s="69"/>
      <c r="C12" s="69"/>
      <c r="D12" s="69"/>
      <c r="E12" s="113"/>
      <c r="F12" s="335"/>
      <c r="G12" s="69"/>
      <c r="H12" s="69"/>
      <c r="I12" s="69"/>
      <c r="J12" s="63"/>
      <c r="L12" s="349"/>
      <c r="M12" s="350"/>
      <c r="N12" s="144"/>
      <c r="O12" s="144"/>
      <c r="P12" s="144"/>
      <c r="Q12" s="144"/>
      <c r="R12" s="144"/>
      <c r="S12" s="144"/>
      <c r="T12" s="144"/>
      <c r="U12" s="144"/>
      <c r="V12" s="144"/>
      <c r="W12" s="173"/>
      <c r="X12" s="16"/>
      <c r="Y12" s="16"/>
      <c r="Z12" s="16"/>
    </row>
    <row r="13" spans="1:26" ht="16.500000" customHeight="1">
      <c r="A13" s="15"/>
      <c r="B13" s="69"/>
      <c r="C13" s="69"/>
      <c r="D13" s="114"/>
      <c r="E13" s="336"/>
      <c r="F13" s="337"/>
      <c r="G13" s="69"/>
      <c r="H13" s="69"/>
      <c r="I13" s="69"/>
      <c r="J13" s="63"/>
      <c r="L13" s="145"/>
      <c r="M13" s="351"/>
      <c r="N13" s="144"/>
      <c r="O13" s="144"/>
      <c r="P13" s="144"/>
      <c r="Q13" s="144"/>
      <c r="R13" s="144"/>
      <c r="S13" s="144"/>
      <c r="T13" s="144"/>
      <c r="U13" s="144"/>
      <c r="V13" s="144"/>
      <c r="W13" s="173"/>
      <c r="X13" s="16"/>
      <c r="Y13" s="16"/>
      <c r="Z13" s="16"/>
    </row>
    <row r="14" spans="1:26" ht="16.500000" customHeight="1">
      <c r="A14" s="15"/>
      <c r="B14" s="69"/>
      <c r="C14" s="115" t="s">
        <v>288</v>
      </c>
      <c r="D14" s="338"/>
      <c r="E14" s="337"/>
      <c r="F14" s="335"/>
      <c r="G14" s="69"/>
      <c r="H14" s="69"/>
      <c r="I14" s="352"/>
      <c r="J14" s="63"/>
      <c r="L14" s="145"/>
      <c r="M14" s="351"/>
      <c r="N14" s="144"/>
      <c r="O14" s="144"/>
      <c r="P14" s="144"/>
      <c r="Q14" s="144"/>
      <c r="R14" s="144"/>
      <c r="S14" s="144"/>
      <c r="T14" s="144"/>
      <c r="U14" s="144"/>
      <c r="V14" s="144"/>
      <c r="W14" s="173"/>
      <c r="X14" s="16"/>
      <c r="Y14" s="16"/>
      <c r="Z14" s="16"/>
    </row>
    <row r="15" spans="1:26" ht="16.500000" customHeight="1">
      <c r="A15" s="15"/>
      <c r="B15" s="69"/>
      <c r="C15" s="311">
        <v>150</v>
      </c>
      <c r="D15" s="114"/>
      <c r="E15" s="339"/>
      <c r="F15" s="337"/>
      <c r="G15" s="69"/>
      <c r="H15" s="336" t="s">
        <v>258</v>
      </c>
      <c r="I15" s="311">
        <v>3</v>
      </c>
      <c r="J15" s="63"/>
      <c r="L15" s="145"/>
      <c r="M15" s="351"/>
      <c r="N15" s="144"/>
      <c r="O15" s="144"/>
      <c r="P15" s="144"/>
      <c r="Q15" s="144"/>
      <c r="R15" s="144"/>
      <c r="S15" s="144"/>
      <c r="T15" s="144"/>
      <c r="U15" s="144"/>
      <c r="V15" s="144"/>
      <c r="W15" s="173"/>
      <c r="X15" s="16"/>
      <c r="Y15" s="16"/>
      <c r="Z15" s="16"/>
    </row>
    <row r="16" spans="1:26" ht="16.500000" customHeight="1">
      <c r="A16" s="15"/>
      <c r="B16" s="69"/>
      <c r="C16" s="69"/>
      <c r="D16" s="69"/>
      <c r="G16" s="69"/>
      <c r="J16" s="63"/>
      <c r="L16" s="353"/>
      <c r="M16" s="354"/>
      <c r="N16" s="355"/>
      <c r="O16" s="356"/>
      <c r="P16" s="357"/>
      <c r="Q16" s="355"/>
      <c r="R16" s="355"/>
      <c r="S16" s="144"/>
      <c r="T16" s="144"/>
      <c r="U16" s="144"/>
      <c r="V16" s="144"/>
      <c r="W16" s="173"/>
      <c r="X16" s="16"/>
      <c r="Y16" s="16"/>
      <c r="Z16" s="16"/>
    </row>
    <row r="17" spans="1:26" ht="16.500000" customHeight="1">
      <c r="A17" s="15"/>
      <c r="B17" s="69"/>
      <c r="C17" s="115"/>
      <c r="D17" s="114"/>
      <c r="E17" s="337"/>
      <c r="F17" s="337"/>
      <c r="G17" s="69"/>
      <c r="H17" s="69"/>
      <c r="I17" s="118"/>
      <c r="J17" s="63"/>
      <c r="L17" s="353"/>
      <c r="M17" s="355"/>
      <c r="N17" s="355"/>
      <c r="O17" s="355"/>
      <c r="P17" s="355"/>
      <c r="Q17" s="355"/>
      <c r="R17" s="355"/>
      <c r="S17" s="144"/>
      <c r="T17" s="144"/>
      <c r="U17" s="144"/>
      <c r="V17" s="144"/>
      <c r="W17" s="173"/>
      <c r="X17" s="16"/>
      <c r="Y17" s="16"/>
      <c r="Z17" s="16"/>
    </row>
    <row r="18" spans="1:26" ht="16.500000" customHeight="1">
      <c r="A18" s="15"/>
      <c r="B18" s="69"/>
      <c r="C18" s="69"/>
      <c r="D18" s="115"/>
      <c r="E18" s="69"/>
      <c r="F18" s="69"/>
      <c r="G18" s="69"/>
      <c r="H18" s="114" t="s">
        <v>43</v>
      </c>
      <c r="I18" s="311">
        <v>20</v>
      </c>
      <c r="J18" s="63"/>
      <c r="L18" s="353"/>
      <c r="M18" s="355"/>
      <c r="N18" s="355"/>
      <c r="O18" s="355"/>
      <c r="P18" s="355"/>
      <c r="Q18" s="355"/>
      <c r="R18" s="355"/>
      <c r="S18" s="144"/>
      <c r="T18" s="144"/>
      <c r="U18" s="144"/>
      <c r="V18" s="144"/>
      <c r="W18" s="173"/>
      <c r="X18" s="16"/>
      <c r="Y18" s="16"/>
      <c r="Z18" s="16"/>
    </row>
    <row r="19" spans="1:26" ht="16.500000" customHeight="1">
      <c r="A19" s="15"/>
      <c r="B19" s="3" t="s">
        <v>208</v>
      </c>
      <c r="C19" s="311">
        <v>2</v>
      </c>
      <c r="D19" s="340"/>
      <c r="E19" s="69"/>
      <c r="F19" s="335"/>
      <c r="G19" s="69"/>
      <c r="I19" s="335"/>
      <c r="J19" s="63"/>
      <c r="L19" s="358"/>
      <c r="M19" s="355"/>
      <c r="N19" s="359"/>
      <c r="O19" s="355"/>
      <c r="P19" s="355"/>
      <c r="Q19" s="355"/>
      <c r="R19" s="355"/>
      <c r="S19" s="144"/>
      <c r="T19" s="144"/>
      <c r="U19" s="144"/>
      <c r="V19" s="144"/>
      <c r="W19" s="173"/>
      <c r="X19" s="16"/>
      <c r="Y19" s="16"/>
      <c r="Z19" s="16"/>
    </row>
    <row r="20" spans="1:26" ht="16.500000" customHeight="1">
      <c r="A20" s="15"/>
      <c r="B20" s="69"/>
      <c r="C20" s="69"/>
      <c r="D20" s="114"/>
      <c r="E20" s="337"/>
      <c r="F20" s="337"/>
      <c r="G20" s="69"/>
      <c r="I20" s="69"/>
      <c r="J20" s="63"/>
      <c r="L20" s="360"/>
      <c r="M20" s="355"/>
      <c r="N20" s="361"/>
      <c r="O20" s="355"/>
      <c r="P20" s="355"/>
      <c r="Q20" s="359"/>
      <c r="R20" s="355"/>
      <c r="S20" s="144"/>
      <c r="T20" s="144"/>
      <c r="U20" s="144"/>
      <c r="V20" s="144"/>
      <c r="W20" s="173"/>
      <c r="X20" s="16"/>
      <c r="Y20" s="16"/>
      <c r="Z20" s="16"/>
    </row>
    <row r="21" spans="1:26" ht="16.500000" customHeight="1">
      <c r="A21" s="15"/>
      <c r="B21" s="69"/>
      <c r="C21" s="69"/>
      <c r="D21" s="69"/>
      <c r="E21" s="69"/>
      <c r="F21" s="341"/>
      <c r="G21" s="69"/>
      <c r="H21" s="340"/>
      <c r="I21" s="69"/>
      <c r="J21" s="63"/>
      <c r="L21" s="353"/>
      <c r="M21" s="355"/>
      <c r="N21" s="362"/>
      <c r="O21" s="355"/>
      <c r="P21" s="355"/>
      <c r="Q21" s="354"/>
      <c r="R21" s="355"/>
      <c r="S21" s="144"/>
      <c r="T21" s="144"/>
      <c r="U21" s="144"/>
      <c r="V21" s="144"/>
      <c r="W21" s="173"/>
      <c r="X21" s="16"/>
      <c r="Y21" s="16"/>
      <c r="Z21" s="16"/>
    </row>
    <row r="22" spans="1:26" ht="16.500000" customHeight="1">
      <c r="A22" s="15"/>
      <c r="B22" s="69"/>
      <c r="C22" s="69"/>
      <c r="D22" s="69"/>
      <c r="E22" s="69"/>
      <c r="F22" s="341"/>
      <c r="G22" s="69"/>
      <c r="H22" s="69"/>
      <c r="I22" s="69"/>
      <c r="J22" s="63"/>
      <c r="L22" s="353"/>
      <c r="M22" s="363"/>
      <c r="N22" s="357"/>
      <c r="O22" s="355"/>
      <c r="P22" s="355"/>
      <c r="Q22" s="355"/>
      <c r="R22" s="355"/>
      <c r="S22" s="144"/>
      <c r="T22" s="144"/>
      <c r="U22" s="144"/>
      <c r="V22" s="144"/>
      <c r="W22" s="173"/>
      <c r="X22" s="16"/>
      <c r="Y22" s="16"/>
      <c r="Z22" s="16"/>
    </row>
    <row r="23" spans="1:26" ht="16.500000" customHeight="1">
      <c r="A23" s="15"/>
      <c r="B23" s="69"/>
      <c r="C23" s="342"/>
      <c r="D23" s="181"/>
      <c r="E23" s="181"/>
      <c r="F23" s="343"/>
      <c r="G23" s="181"/>
      <c r="H23" s="69"/>
      <c r="I23" s="69"/>
      <c r="J23" s="63"/>
      <c r="L23" s="353"/>
      <c r="M23" s="363"/>
      <c r="N23" s="359"/>
      <c r="O23" s="355"/>
      <c r="P23" s="355"/>
      <c r="Q23" s="355"/>
      <c r="R23" s="355"/>
      <c r="S23" s="144"/>
      <c r="T23" s="144"/>
      <c r="U23" s="144"/>
      <c r="V23" s="144"/>
      <c r="W23" s="173"/>
      <c r="X23" s="16"/>
      <c r="Y23" s="16"/>
      <c r="Z23" s="16"/>
    </row>
    <row r="24" spans="1:26" ht="16.500000" customHeight="1">
      <c r="A24" s="15"/>
      <c r="B24" s="69"/>
      <c r="C24" s="69"/>
      <c r="D24" s="69"/>
      <c r="E24" s="69"/>
      <c r="F24" s="336"/>
      <c r="G24" s="69"/>
      <c r="H24" s="69"/>
      <c r="I24" s="69"/>
      <c r="J24" s="63"/>
      <c r="L24" s="353"/>
      <c r="M24" s="363"/>
      <c r="N24" s="362"/>
      <c r="O24" s="355"/>
      <c r="P24" s="355"/>
      <c r="Q24" s="355"/>
      <c r="R24" s="355"/>
      <c r="S24" s="144"/>
      <c r="T24" s="144"/>
      <c r="U24" s="144"/>
      <c r="V24" s="144"/>
      <c r="W24" s="173"/>
      <c r="X24" s="16"/>
      <c r="Y24" s="16"/>
      <c r="Z24" s="16"/>
    </row>
    <row r="25" spans="1:26" ht="16.500000" customHeight="1">
      <c r="A25" s="15"/>
      <c r="B25" s="69"/>
      <c r="C25" s="69"/>
      <c r="D25" s="114"/>
      <c r="E25" s="337"/>
      <c r="F25" s="337"/>
      <c r="G25" s="344"/>
      <c r="H25" s="69"/>
      <c r="I25" s="69"/>
      <c r="J25" s="63"/>
      <c r="L25" s="353"/>
      <c r="M25" s="355"/>
      <c r="N25" s="356"/>
      <c r="O25" s="355"/>
      <c r="P25" s="355"/>
      <c r="Q25" s="355"/>
      <c r="R25" s="355"/>
      <c r="S25" s="144"/>
      <c r="T25" s="144"/>
      <c r="U25" s="144"/>
      <c r="V25" s="144"/>
      <c r="W25" s="173"/>
      <c r="X25" s="16"/>
      <c r="Y25" s="16"/>
      <c r="Z25" s="16"/>
    </row>
    <row r="26" spans="1:26" ht="16.500000" customHeight="1">
      <c r="A26" s="15"/>
      <c r="B26" s="69"/>
      <c r="C26" s="69"/>
      <c r="D26" s="69"/>
      <c r="E26" s="337"/>
      <c r="F26" s="337"/>
      <c r="G26" s="69"/>
      <c r="H26" s="69"/>
      <c r="I26" s="69"/>
      <c r="J26" s="63"/>
      <c r="L26" s="353"/>
      <c r="M26" s="355"/>
      <c r="N26" s="354"/>
      <c r="O26" s="355"/>
      <c r="P26" s="355"/>
      <c r="Q26" s="355"/>
      <c r="R26" s="355"/>
      <c r="S26" s="144"/>
      <c r="T26" s="144"/>
      <c r="U26" s="144"/>
      <c r="V26" s="144"/>
      <c r="W26" s="173"/>
      <c r="X26" s="16"/>
      <c r="Y26" s="16"/>
      <c r="Z26" s="16"/>
    </row>
    <row r="27" spans="1:26" ht="16.500000" customHeight="1">
      <c r="A27" s="15"/>
      <c r="B27" s="69"/>
      <c r="C27" s="69"/>
      <c r="D27" s="69"/>
      <c r="E27" s="337"/>
      <c r="F27" s="337"/>
      <c r="G27" s="69"/>
      <c r="H27" s="69"/>
      <c r="I27" s="69"/>
      <c r="J27" s="63"/>
      <c r="L27" s="353"/>
      <c r="M27" s="355"/>
      <c r="N27" s="354"/>
      <c r="O27" s="355"/>
      <c r="P27" s="355"/>
      <c r="Q27" s="355"/>
      <c r="R27" s="355"/>
      <c r="S27" s="144"/>
      <c r="T27" s="144"/>
      <c r="U27" s="144"/>
      <c r="V27" s="144"/>
      <c r="W27" s="173"/>
      <c r="X27" s="16"/>
      <c r="Y27" s="16"/>
      <c r="Z27" s="16"/>
    </row>
    <row r="28" spans="1:26" ht="16.500000" customHeight="1">
      <c r="A28" s="15"/>
      <c r="B28" s="16"/>
      <c r="C28" s="16"/>
      <c r="G28" s="16"/>
      <c r="H28" s="16"/>
      <c r="I28" s="16"/>
      <c r="J28" s="63"/>
      <c r="L28" s="145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73"/>
      <c r="X28" s="16"/>
      <c r="Y28" s="16"/>
      <c r="Z28" s="16"/>
    </row>
    <row r="29" spans="1:26" ht="16.500000" customHeight="1">
      <c r="A29" s="345"/>
      <c r="C29" s="16"/>
      <c r="G29" s="16"/>
      <c r="H29" s="16"/>
      <c r="I29" s="16"/>
      <c r="J29" s="63"/>
      <c r="L29" s="145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73"/>
      <c r="X29" s="16"/>
      <c r="Y29" s="16"/>
      <c r="Z29" s="16"/>
    </row>
    <row r="30" spans="1:26" ht="16.500000" customHeight="1">
      <c r="A30" s="34"/>
      <c r="B30" s="35"/>
      <c r="C30" s="35"/>
      <c r="D30" s="35"/>
      <c r="E30" s="35"/>
      <c r="F30" s="35"/>
      <c r="G30" s="35"/>
      <c r="H30" s="35"/>
      <c r="I30" s="35"/>
      <c r="J30" s="64"/>
      <c r="L30" s="147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74"/>
      <c r="X30" s="16"/>
      <c r="Y30" s="16"/>
      <c r="Z30" s="16"/>
    </row>
    <row r="31" s="16" customFormat="1" ht="15.750000" customHeight="1"/>
    <row r="32" s="16" customFormat="1" ht="15.750000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sheet="1" password="ce28" objects="1" scenarios="1"/>
  <mergeCells count="5">
    <mergeCell ref="A1:W1"/>
    <mergeCell ref="A2:F2"/>
    <mergeCell ref="G2:H2"/>
    <mergeCell ref="V2:W2"/>
    <mergeCell ref="L4:M4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44"/>
  <sheetViews>
    <sheetView showGridLines="0" showRowColHeaders="0" zoomScale="85" zoomScaleNormal="85" workbookViewId="0">
      <pane xSplit="18" ySplit="29" topLeftCell="S30" activePane="bottomRight" state="frozen"/>
      <selection pane="topRight" activeCell="S1" sqref="S1"/>
      <selection pane="bottomLeft" activeCell="A30" sqref="A30"/>
      <selection pane="bottomRight" activeCell="A1" sqref="A1:R1"/>
    </sheetView>
  </sheetViews>
  <sheetFormatPr defaultColWidth="9.00000000" defaultRowHeight="16.200000"/>
  <cols>
    <col min="1" max="1" style="3" width="5.00499998" customWidth="1" outlineLevel="0"/>
    <col min="2" max="2" style="3" width="10.14785753" customWidth="1" outlineLevel="0"/>
    <col min="3" max="4" style="3" width="4.71928583" customWidth="1" outlineLevel="0"/>
    <col min="5" max="5" style="3" width="10.14785753" customWidth="1" outlineLevel="0"/>
    <col min="6" max="7" style="3" width="7.00499998" customWidth="1" outlineLevel="0"/>
    <col min="8" max="8" style="3" width="3.14785705" customWidth="1" outlineLevel="0"/>
    <col min="9" max="10" style="3" width="8.86214243" customWidth="1" outlineLevel="0"/>
    <col min="11" max="12" style="3" width="9.00499998" customWidth="1" outlineLevel="0"/>
    <col min="13" max="13" style="3" width="9.14785753" customWidth="1" outlineLevel="0"/>
    <col min="14" max="14" style="3" width="10.29071413" customWidth="1" outlineLevel="0"/>
    <col min="15" max="15" style="3" width="1.71928571" customWidth="1" outlineLevel="0"/>
    <col min="16" max="16" style="3" width="10.29071413" customWidth="1" outlineLevel="0"/>
    <col min="17" max="17" style="3" width="9.00499998" customWidth="1" outlineLevel="0"/>
    <col min="18" max="18" style="3" width="9.14785753" customWidth="1" outlineLevel="0"/>
    <col min="19" max="19" style="3" width="9.00499998" customWidth="1" outlineLevel="0"/>
    <col min="20" max="20" style="3" width="8.71928583" customWidth="1" outlineLevel="0"/>
    <col min="21" max="16384" style="3" width="9.00499998" customWidth="1" outlineLevel="0"/>
  </cols>
  <sheetData>
    <row r="1" spans="1:20" ht="49.500000">
      <c r="A1" s="646" t="s">
        <v>289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</row>
    <row r="2" spans="1:20" ht="21.750000">
      <c r="A2" s="2"/>
      <c r="F2" s="771" t="str">
        <f>IF(C10/(F8-G19)&lt;=0.17,"   ","本計算式不適用")</f>
        <v>   </v>
      </c>
      <c r="G2" s="771"/>
      <c r="H2" s="772"/>
      <c r="P2" s="263" t="s">
        <v>290</v>
      </c>
      <c r="Q2" s="322">
        <f>TODAY()</f>
        <v>43411</v>
      </c>
    </row>
    <row r="3" spans="1:20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62"/>
      <c r="T3" s="72"/>
    </row>
    <row r="4" spans="1:20" ht="15.000000" customHeight="1">
      <c r="A4" s="15"/>
      <c r="R4" s="63"/>
      <c r="T4" s="72"/>
    </row>
    <row r="5" spans="1:20">
      <c r="A5" s="15"/>
      <c r="R5" s="63"/>
      <c r="T5" s="72"/>
    </row>
    <row r="6" spans="1:20">
      <c r="A6" s="15"/>
      <c r="R6" s="63"/>
      <c r="T6" s="72"/>
    </row>
    <row r="7" spans="1:20">
      <c r="A7" s="15"/>
      <c r="J7" s="323">
        <f>G19+0.57*C19</f>
        <v>24.56</v>
      </c>
      <c r="R7" s="63"/>
    </row>
    <row r="8" spans="1:20">
      <c r="A8" s="15"/>
      <c r="C8" s="146">
        <v>0.6</v>
      </c>
      <c r="F8" s="146">
        <v>100</v>
      </c>
      <c r="R8" s="63"/>
    </row>
    <row r="9" spans="1:20">
      <c r="A9" s="15"/>
      <c r="R9" s="63"/>
    </row>
    <row r="10" spans="1:20">
      <c r="A10" s="15"/>
      <c r="C10" s="146">
        <v>10</v>
      </c>
      <c r="D10" s="191"/>
      <c r="R10" s="63"/>
    </row>
    <row r="11" spans="1:20">
      <c r="A11" s="15"/>
      <c r="J11" s="323">
        <f>I13-(2*J7)</f>
        <v>84</v>
      </c>
      <c r="R11" s="63"/>
    </row>
    <row r="12" spans="1:20">
      <c r="A12" s="15"/>
      <c r="I12" s="16"/>
      <c r="R12" s="63"/>
    </row>
    <row r="13" spans="1:20">
      <c r="A13" s="15"/>
      <c r="C13" s="773">
        <v>150</v>
      </c>
      <c r="D13" s="774"/>
      <c r="I13" s="323">
        <f>F8+2*(J7-C19)</f>
        <v>133.12</v>
      </c>
      <c r="R13" s="63"/>
    </row>
    <row r="14" spans="1:20">
      <c r="A14" s="15"/>
      <c r="M14" s="328"/>
      <c r="R14" s="63"/>
    </row>
    <row r="15" spans="1:20">
      <c r="A15" s="15"/>
      <c r="M15" s="323">
        <f>((C10^2)+(2*C10*G19)-(0.86*C19*(C10+0.16*C19)))^0.5</f>
        <v>20.5522164254856</v>
      </c>
      <c r="R15" s="63"/>
    </row>
    <row r="16" spans="1:20">
      <c r="A16" s="15"/>
      <c r="R16" s="63"/>
    </row>
    <row r="17" spans="1:18">
      <c r="A17" s="15"/>
      <c r="F17" s="317">
        <f>G19-C19-C8</f>
        <v>11.4</v>
      </c>
      <c r="R17" s="63"/>
    </row>
    <row r="18" spans="1:18">
      <c r="A18" s="15"/>
      <c r="J18" s="328"/>
      <c r="R18" s="63"/>
    </row>
    <row r="19" spans="1:18">
      <c r="A19" s="15"/>
      <c r="C19" s="146">
        <v>8</v>
      </c>
      <c r="G19" s="146">
        <v>20</v>
      </c>
      <c r="R19" s="63"/>
    </row>
    <row r="20" spans="1:18">
      <c r="A20" s="15"/>
      <c r="R20" s="63"/>
    </row>
    <row r="21" spans="1:18">
      <c r="A21" s="15"/>
      <c r="R21" s="63"/>
    </row>
    <row r="22" spans="1:18">
      <c r="A22" s="15"/>
      <c r="C22" s="317">
        <f>C13-(2*C19)-(2*C8)</f>
        <v>132.8</v>
      </c>
      <c r="D22" s="317"/>
      <c r="J22" s="323">
        <f>G19+0.57*C19</f>
        <v>24.56</v>
      </c>
      <c r="N22" s="323">
        <f>P23-(2*J22)</f>
        <v>134</v>
      </c>
      <c r="P22" s="325"/>
      <c r="R22" s="63"/>
    </row>
    <row r="23" spans="1:18">
      <c r="A23" s="15"/>
      <c r="P23" s="323">
        <f>C13+2*(J22-C19)</f>
        <v>183.12</v>
      </c>
      <c r="R23" s="63"/>
    </row>
    <row r="24" spans="1:18" ht="18.000000" customHeight="1">
      <c r="A24" s="15"/>
      <c r="O24" s="325"/>
      <c r="R24" s="63"/>
    </row>
    <row r="25" spans="1:18" ht="18.000000" customHeigh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64"/>
    </row>
    <row r="26" spans="1:18" ht="4.500000" customHeight="1">
      <c r="I26" s="35"/>
      <c r="J26" s="35"/>
    </row>
    <row r="27" spans="1:18">
      <c r="A27" s="318" t="s">
        <v>291</v>
      </c>
      <c r="B27" s="142"/>
      <c r="C27" s="142"/>
      <c r="D27" s="142"/>
      <c r="E27" s="142"/>
      <c r="F27" s="142"/>
      <c r="G27" s="14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62"/>
    </row>
    <row r="28" spans="1:18">
      <c r="A28" s="145"/>
      <c r="B28" s="259"/>
      <c r="C28" s="238"/>
      <c r="D28" s="238"/>
      <c r="E28" s="238"/>
      <c r="F28" s="144"/>
      <c r="G28" s="144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63"/>
    </row>
    <row r="29" spans="1:18">
      <c r="A29" s="145"/>
      <c r="B29" s="144"/>
      <c r="C29" s="144"/>
      <c r="D29" s="144"/>
      <c r="E29" s="144"/>
      <c r="F29" s="144"/>
      <c r="G29" s="14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63"/>
    </row>
    <row r="30" spans="1:18">
      <c r="A30" s="145"/>
      <c r="B30" s="144"/>
      <c r="C30" s="144"/>
      <c r="D30" s="144"/>
      <c r="E30" s="144"/>
      <c r="F30" s="144"/>
      <c r="G30" s="14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63"/>
    </row>
    <row r="31" spans="1:18">
      <c r="A31" s="147"/>
      <c r="B31" s="148"/>
      <c r="C31" s="148"/>
      <c r="D31" s="148"/>
      <c r="E31" s="148"/>
      <c r="F31" s="148"/>
      <c r="G31" s="148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64"/>
    </row>
    <row r="33" spans="1:6">
      <c r="A33" s="31"/>
      <c r="B33" s="16"/>
      <c r="C33" s="16"/>
      <c r="D33" s="16"/>
      <c r="E33" s="320"/>
      <c r="F33" s="16"/>
    </row>
    <row r="34" spans="1:6">
      <c r="A34" s="321"/>
      <c r="B34" s="16"/>
      <c r="C34" s="16"/>
      <c r="D34" s="16"/>
      <c r="E34" s="16"/>
      <c r="F34" s="16"/>
    </row>
    <row r="35" spans="1:6">
      <c r="A35" s="56"/>
      <c r="B35" s="16"/>
      <c r="C35" s="16"/>
      <c r="D35" s="16"/>
      <c r="E35" s="16"/>
      <c r="F35" s="16"/>
    </row>
    <row r="36" spans="1:6">
      <c r="A36" s="56"/>
      <c r="B36" s="16"/>
      <c r="C36" s="16"/>
      <c r="D36" s="16"/>
      <c r="E36" s="16"/>
      <c r="F36" s="16"/>
    </row>
    <row r="37" spans="1:6">
      <c r="A37" s="321"/>
      <c r="B37" s="320"/>
      <c r="C37" s="16"/>
      <c r="D37" s="16"/>
      <c r="E37" s="16"/>
      <c r="F37" s="16"/>
    </row>
    <row r="38" spans="1:6">
      <c r="A38" s="56"/>
      <c r="B38" s="16"/>
      <c r="C38" s="16"/>
      <c r="D38" s="16"/>
      <c r="E38" s="16"/>
      <c r="F38" s="16"/>
    </row>
    <row r="39" spans="1:6">
      <c r="A39" s="56"/>
      <c r="B39" s="16"/>
      <c r="C39" s="16"/>
      <c r="D39" s="16"/>
      <c r="E39" s="16"/>
      <c r="F39" s="16"/>
    </row>
    <row r="40" spans="1:6">
      <c r="A40" s="31"/>
      <c r="B40" s="16"/>
      <c r="C40" s="16"/>
      <c r="D40" s="16"/>
      <c r="E40" s="320"/>
      <c r="F40" s="16"/>
    </row>
    <row r="41" spans="1:6">
      <c r="A41" s="16"/>
      <c r="B41" s="320"/>
      <c r="C41" s="16"/>
      <c r="D41" s="16"/>
      <c r="E41" s="16"/>
      <c r="F41" s="16"/>
    </row>
    <row r="42" spans="1:6">
      <c r="A42" s="16"/>
      <c r="B42" s="16"/>
      <c r="C42" s="16"/>
      <c r="D42" s="16"/>
      <c r="E42" s="16"/>
      <c r="F42" s="16"/>
    </row>
    <row r="43" spans="1:6">
      <c r="A43" s="16"/>
      <c r="B43" s="16"/>
      <c r="C43" s="16"/>
      <c r="D43" s="16"/>
      <c r="E43" s="16"/>
      <c r="F43" s="16"/>
    </row>
    <row r="44" spans="1:6">
      <c r="A44" s="16"/>
      <c r="B44" s="16"/>
      <c r="C44" s="16"/>
      <c r="D44" s="16"/>
      <c r="E44" s="16"/>
      <c r="F44" s="16"/>
    </row>
  </sheetData>
  <sheetProtection sheet="1" password="ce28" objects="1" scenarios="1"/>
  <mergeCells count="4">
    <mergeCell ref="A1:R1"/>
    <mergeCell ref="F2:H2"/>
    <mergeCell ref="C13:D13"/>
    <mergeCell ref="C22:D22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zoomScale="102" zoomScaleNormal="102" workbookViewId="0">
      <selection activeCell="A1" sqref="A1"/>
    </sheetView>
  </sheetViews>
  <sheetFormatPr defaultColWidth="9.00000000" defaultRowHeight="16.200000"/>
  <sheetData/>
  <phoneticPr fontId="1" type="noConversion"/>
  <pageMargins left="0.75" right="0.75" top="1.00" bottom="1.00" header="0.50" footer="0.50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showGridLines="0" showRowColHeaders="0" zoomScale="85" zoomScaleNormal="85" workbookViewId="0">
      <pane xSplit="16" ySplit="29" topLeftCell="Q30" activePane="bottomRight" state="frozen"/>
      <selection pane="topRight" activeCell="Q1" sqref="Q1"/>
      <selection pane="bottomLeft" activeCell="A30" sqref="A30"/>
      <selection pane="bottomRight" activeCell="A1" sqref="A1:P1"/>
    </sheetView>
  </sheetViews>
  <sheetFormatPr defaultColWidth="9.00000000" defaultRowHeight="16.200000"/>
  <cols>
    <col min="1" max="1" style="3" width="6.71928583" customWidth="1" outlineLevel="0"/>
    <col min="2" max="2" style="3" width="10.14785753" customWidth="1" outlineLevel="0"/>
    <col min="3" max="4" style="3" width="4.71928583" customWidth="1" outlineLevel="0"/>
    <col min="5" max="5" style="3" width="10.14785753" customWidth="1" outlineLevel="0"/>
    <col min="6" max="7" style="3" width="7.00499998" customWidth="1" outlineLevel="0"/>
    <col min="8" max="9" style="3" width="8.86214243" customWidth="1" outlineLevel="0"/>
    <col min="10" max="11" style="3" width="9.00499998" customWidth="1" outlineLevel="0"/>
    <col min="12" max="12" style="3" width="9.14785753" customWidth="1" outlineLevel="0"/>
    <col min="13" max="13" style="3" width="9.00499998" customWidth="1" outlineLevel="0"/>
    <col min="14" max="14" style="3" width="9.29071413" customWidth="1" outlineLevel="0"/>
    <col min="15" max="15" style="3" width="9.00499998" customWidth="1" outlineLevel="0"/>
    <col min="16" max="16" style="3" width="12.71928583" customWidth="1" outlineLevel="0"/>
    <col min="17" max="17" style="3" width="8.71928583" customWidth="1" outlineLevel="0"/>
    <col min="18" max="18" style="3" width="9.71928583" hidden="1" customWidth="1" outlineLevel="0"/>
    <col min="19" max="19" style="3" width="9.29071413" hidden="1" customWidth="1" outlineLevel="0"/>
    <col min="20" max="20" style="3" width="9.71928583" hidden="1" customWidth="1" outlineLevel="0"/>
    <col min="21" max="22" style="3" width="10.29071413" hidden="1" customWidth="1" outlineLevel="0"/>
    <col min="23" max="23" style="3" width="9.71928583" hidden="1" customWidth="1" outlineLevel="0"/>
    <col min="24" max="16384" style="3" width="9.00499998" customWidth="1" outlineLevel="0"/>
  </cols>
  <sheetData>
    <row r="1" spans="1:26" ht="49.500000">
      <c r="A1" s="646" t="s">
        <v>292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</row>
    <row r="2" spans="1:26" ht="21.750000">
      <c r="A2" s="2"/>
      <c r="G2" s="775" t="str">
        <f>IF(C10/(F8-G19)&lt;0.17,"本計算式不適用",IF(C10/(F8-G19)&gt;0.4,"本計算式不適用","    "))</f>
        <v>    </v>
      </c>
      <c r="H2" s="776"/>
      <c r="I2" s="653"/>
      <c r="N2" s="263" t="s">
        <v>290</v>
      </c>
      <c r="O2" s="322">
        <f>TODAY()</f>
        <v>43411</v>
      </c>
    </row>
    <row r="3" spans="1:26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2"/>
      <c r="R3" s="329" t="s">
        <v>293</v>
      </c>
      <c r="S3" s="330">
        <v>0.25</v>
      </c>
      <c r="T3" s="330">
        <v>0.3</v>
      </c>
      <c r="U3" s="330">
        <v>0.4</v>
      </c>
      <c r="V3" s="330">
        <v>0.5</v>
      </c>
      <c r="W3" s="330">
        <v>0.6</v>
      </c>
      <c r="X3" s="330"/>
      <c r="Y3" s="330"/>
      <c r="Z3" s="330"/>
    </row>
    <row r="4" spans="1:26" ht="15.000000" customHeight="1">
      <c r="A4" s="15"/>
      <c r="P4" s="63"/>
      <c r="R4" s="330">
        <v>0.3</v>
      </c>
      <c r="S4" s="3">
        <v>1.018</v>
      </c>
      <c r="T4" s="3">
        <v>1.03</v>
      </c>
      <c r="U4" s="3">
        <v>1.04</v>
      </c>
      <c r="V4" s="3">
        <v>1.05</v>
      </c>
      <c r="W4" s="3">
        <v>1.06</v>
      </c>
    </row>
    <row r="5" spans="1:26">
      <c r="A5" s="15"/>
      <c r="P5" s="63"/>
      <c r="R5" s="330">
        <v>0.25</v>
      </c>
      <c r="S5" s="3">
        <v>1.02</v>
      </c>
      <c r="T5" s="3">
        <v>1.035</v>
      </c>
      <c r="U5" s="3">
        <v>1.05</v>
      </c>
      <c r="V5" s="3">
        <v>1.06</v>
      </c>
      <c r="W5" s="3">
        <v>1.08</v>
      </c>
    </row>
    <row r="6" spans="1:26">
      <c r="A6" s="15"/>
      <c r="P6" s="63"/>
      <c r="R6" s="330">
        <v>0.2</v>
      </c>
      <c r="S6" s="3">
        <v>1.022</v>
      </c>
      <c r="T6" s="3">
        <v>1.04</v>
      </c>
      <c r="U6" s="3">
        <v>1.06</v>
      </c>
      <c r="V6" s="3">
        <v>1.08</v>
      </c>
      <c r="W6" s="3">
        <v>1.1</v>
      </c>
    </row>
    <row r="7" spans="1:26">
      <c r="A7" s="15"/>
      <c r="I7" s="316"/>
      <c r="P7" s="63"/>
      <c r="R7" s="330">
        <v>0.15</v>
      </c>
      <c r="S7" s="3">
        <v>1.03</v>
      </c>
      <c r="T7" s="3">
        <v>1.05</v>
      </c>
      <c r="U7" s="3">
        <v>1.07</v>
      </c>
      <c r="V7" s="3">
        <v>1.1</v>
      </c>
      <c r="W7" s="3">
        <v>1.14</v>
      </c>
    </row>
    <row r="8" spans="1:26">
      <c r="A8" s="15"/>
      <c r="C8" s="146">
        <v>0.6</v>
      </c>
      <c r="F8" s="146">
        <v>40</v>
      </c>
      <c r="P8" s="63"/>
      <c r="R8" s="330">
        <v>0.1</v>
      </c>
      <c r="S8" s="3">
        <v>1.04</v>
      </c>
      <c r="T8" s="3">
        <v>1.07</v>
      </c>
      <c r="U8" s="3">
        <v>1.09</v>
      </c>
      <c r="V8" s="3">
        <v>1.12</v>
      </c>
      <c r="W8" s="3">
        <v>1.15</v>
      </c>
    </row>
    <row r="9" spans="1:26">
      <c r="A9" s="15"/>
      <c r="P9" s="63"/>
      <c r="R9" s="331">
        <f>C10/F8</f>
        <v>0.125</v>
      </c>
      <c r="S9" s="332">
        <f>IF($R$9&lt;=$R$8,S8,IF($R$9&lt;=$R$7,S7,IF($R$9&lt;=$R$6,S6,IF($R$9&lt;=$R$5,S5,IF($R$9&lt;=$R$4,S4,"0.23")))))</f>
        <v>1.03</v>
      </c>
      <c r="T9" s="332">
        <f>IF($R$9&lt;=$R$8,T8,IF($R$9&lt;=$R$7,T7,IF($R$9&lt;=$R$6,T6,IF($R$9&lt;=$R$5,T5,IF($R$9&lt;=$R$4,T4,"0.45")))))</f>
        <v>1.05</v>
      </c>
      <c r="U9" s="332">
        <f>IF($R$9&lt;=$R$8,U8,IF($R$9&lt;=$R$7,U7,IF($R$9&lt;=$R$6,U6,IF($R$9&lt;=$R$5,U5,IF($R$9&lt;=$R$4,U4,"0.62")))))</f>
        <v>1.07</v>
      </c>
      <c r="V9" s="332">
        <f>IF($R$9&lt;=$R$8,V8,IF($R$9&lt;=$R$7,V7,IF($R$9&lt;=$R$6,V6,IF($R$9&lt;=$R$5,V5,IF($R$9&lt;=$R$4,V4,"0.73")))))</f>
        <v>1.1</v>
      </c>
      <c r="W9" s="332">
        <f>IF($R$9&lt;=$R$8,W8,IF($R$9&lt;=$R$7,W7,IF($R$9&lt;=$R$6,W6,IF($R$9&lt;=$R$5,W5,IF($R$9&lt;=$R$4,W4,"0.77")))))</f>
        <v>1.14</v>
      </c>
      <c r="X9" s="332"/>
      <c r="Y9" s="332"/>
      <c r="Z9" s="332"/>
    </row>
    <row r="10" spans="1:26">
      <c r="A10" s="15"/>
      <c r="C10" s="146">
        <v>5</v>
      </c>
      <c r="D10" s="191"/>
      <c r="P10" s="63"/>
      <c r="R10" s="331">
        <f>F8/F17</f>
        <v>4.04040404040404</v>
      </c>
      <c r="S10" s="333">
        <f>IF(R10&lt;=S3,S9,IF(R10&lt;=T3,T9,IF(R10&lt;=U3,U9,IF(R10&lt;=V3,V9,W9))))</f>
        <v>1.14</v>
      </c>
    </row>
    <row r="11" spans="1:26">
      <c r="A11" s="15"/>
      <c r="P11" s="63"/>
    </row>
    <row r="12" spans="1:26">
      <c r="A12" s="15"/>
      <c r="H12" s="16"/>
      <c r="I12" s="323">
        <f>F8+(2*(S20-C19))-(2*S24)</f>
        <v>76.0854432544</v>
      </c>
      <c r="L12" s="324"/>
      <c r="P12" s="63"/>
      <c r="R12" s="329" t="s">
        <v>294</v>
      </c>
      <c r="S12" s="330">
        <v>0.25</v>
      </c>
      <c r="T12" s="330">
        <v>0.3</v>
      </c>
      <c r="U12" s="330">
        <v>0.4</v>
      </c>
      <c r="V12" s="330">
        <v>0.5</v>
      </c>
      <c r="W12" s="330">
        <v>0.6</v>
      </c>
      <c r="X12" s="330"/>
    </row>
    <row r="13" spans="1:26">
      <c r="A13" s="15"/>
      <c r="C13" s="773">
        <v>50</v>
      </c>
      <c r="D13" s="774"/>
      <c r="L13" s="118"/>
      <c r="M13" s="316"/>
      <c r="P13" s="63"/>
      <c r="R13" s="330">
        <v>0.3</v>
      </c>
      <c r="S13" s="3">
        <v>0.01</v>
      </c>
      <c r="T13" s="3">
        <v>0.04</v>
      </c>
      <c r="U13" s="3">
        <v>0.06</v>
      </c>
      <c r="V13" s="3">
        <v>0.08</v>
      </c>
      <c r="W13" s="3">
        <v>0.1</v>
      </c>
    </row>
    <row r="14" spans="1:26">
      <c r="A14" s="15"/>
      <c r="H14" s="316"/>
      <c r="L14" s="325"/>
      <c r="M14" s="118"/>
      <c r="P14" s="63"/>
      <c r="R14" s="330">
        <v>0.25</v>
      </c>
      <c r="S14" s="3">
        <v>0.02</v>
      </c>
      <c r="T14" s="3">
        <v>0.05</v>
      </c>
      <c r="U14" s="3">
        <v>0.07</v>
      </c>
      <c r="V14" s="3">
        <v>0.1</v>
      </c>
      <c r="W14" s="3">
        <v>0.12</v>
      </c>
    </row>
    <row r="15" spans="1:26">
      <c r="A15" s="15"/>
      <c r="L15" s="326">
        <f>S22</f>
        <v>15.4863870544424</v>
      </c>
      <c r="M15" s="118"/>
      <c r="P15" s="63"/>
      <c r="R15" s="330">
        <v>0.2</v>
      </c>
      <c r="S15" s="3">
        <v>0.03</v>
      </c>
      <c r="T15" s="3">
        <v>0.06</v>
      </c>
      <c r="U15" s="3">
        <v>0.09</v>
      </c>
      <c r="V15" s="3">
        <v>0.12</v>
      </c>
      <c r="W15" s="3">
        <v>0.16</v>
      </c>
    </row>
    <row r="16" spans="1:26">
      <c r="A16" s="15"/>
      <c r="L16" s="327"/>
      <c r="M16" s="118"/>
      <c r="P16" s="63"/>
      <c r="R16" s="330">
        <v>0.15</v>
      </c>
      <c r="S16" s="3">
        <v>0.05</v>
      </c>
      <c r="T16" s="3">
        <v>0.08</v>
      </c>
      <c r="U16" s="3">
        <v>0.12</v>
      </c>
      <c r="V16" s="3">
        <v>0.15</v>
      </c>
      <c r="W16" s="3">
        <v>0.21</v>
      </c>
    </row>
    <row r="17" spans="1:24">
      <c r="A17" s="15"/>
      <c r="F17" s="317">
        <f>G19-C19-C8</f>
        <v>9.9</v>
      </c>
      <c r="P17" s="63"/>
      <c r="R17" s="330">
        <v>0.1</v>
      </c>
      <c r="S17" s="3">
        <v>0.06</v>
      </c>
      <c r="T17" s="3">
        <v>0.11</v>
      </c>
      <c r="U17" s="3">
        <v>0.15</v>
      </c>
      <c r="V17" s="3">
        <v>0.19</v>
      </c>
      <c r="W17" s="3">
        <v>0.26</v>
      </c>
    </row>
    <row r="18" spans="1:24">
      <c r="A18" s="15"/>
      <c r="I18" s="328"/>
      <c r="P18" s="63"/>
      <c r="R18" s="331">
        <f>C10/F8</f>
        <v>0.125</v>
      </c>
      <c r="S18" s="332">
        <f>IF($R$18&lt;=$R$17,S17,IF($R$18&lt;=$R$16,S16,IF($R$18&lt;=$R$15,S15,IF($R$18&lt;=$R$14,S14,S13))))</f>
        <v>0.05</v>
      </c>
      <c r="T18" s="332">
        <f>IF($R$18&lt;=$R$17,T17,IF($R$18&lt;=$R$16,T16,IF($R$18&lt;=$R$15,T15,IF($R$18&lt;=$R$14,T14,T13))))</f>
        <v>0.08</v>
      </c>
      <c r="U18" s="332">
        <f>IF($R$18&lt;=$R$17,U17,IF($R$18&lt;=$R$16,U16,IF($R$18&lt;=$R$15,U15,IF($R$18&lt;=$R$14,U14,U13))))</f>
        <v>0.12</v>
      </c>
      <c r="V18" s="332">
        <f>IF($R$18&lt;=$R$17,V17,IF($R$18&lt;=$R$16,V16,IF($R$18&lt;=$R$15,V15,IF($R$18&lt;=$R$14,V14,V13))))</f>
        <v>0.15</v>
      </c>
      <c r="W18" s="332">
        <f>IF($R$18&lt;=$R$17,W17,IF($R$18&lt;=$R$16,W16,IF($R$18&lt;=$R$15,W15,IF($R$18&lt;=$R$14,W14,W13))))</f>
        <v>0.21</v>
      </c>
      <c r="X18" s="332"/>
    </row>
    <row r="19" spans="1:24">
      <c r="A19" s="15"/>
      <c r="C19" s="146">
        <v>15</v>
      </c>
      <c r="G19" s="146">
        <v>25.5</v>
      </c>
      <c r="P19" s="63"/>
      <c r="R19" s="331">
        <f>F8/F17</f>
        <v>4.04040404040404</v>
      </c>
      <c r="S19" s="333">
        <f>IF(R19&lt;=S12,S18,IF(R19&lt;=T12,T18,IF(R19&lt;=U12,U18,IF(R19&lt;=V12,V18,W18))))</f>
        <v>0.21</v>
      </c>
    </row>
    <row r="20" spans="1:24">
      <c r="A20" s="15"/>
      <c r="P20" s="63"/>
      <c r="R20" s="190" t="s">
        <v>295</v>
      </c>
      <c r="S20" s="3">
        <f>G19+C19*0.57</f>
        <v>34.05</v>
      </c>
    </row>
    <row r="21" spans="1:24">
      <c r="A21" s="15"/>
      <c r="P21" s="63"/>
      <c r="R21" s="190" t="s">
        <v>296</v>
      </c>
      <c r="S21" s="3">
        <f>(((C10^2)+2*C10*G19)-(0.86*C19*(C10+0.16*C19)))^0.5</f>
        <v>13.5845500477565</v>
      </c>
    </row>
    <row r="22" spans="1:24">
      <c r="A22" s="15"/>
      <c r="C22" s="317">
        <v>50</v>
      </c>
      <c r="D22" s="317"/>
      <c r="I22" s="316"/>
      <c r="M22" s="323">
        <f>C13+(2*(S20-C19))-(2*S23)</f>
        <v>84.742405424</v>
      </c>
      <c r="N22" s="325"/>
      <c r="P22" s="63"/>
      <c r="R22" s="190" t="s">
        <v>297</v>
      </c>
      <c r="S22" s="3">
        <f>S21*S10</f>
        <v>15.4863870544424</v>
      </c>
    </row>
    <row r="23" spans="1:24">
      <c r="A23" s="15"/>
      <c r="N23" s="316"/>
      <c r="P23" s="63"/>
      <c r="R23" s="190" t="s">
        <v>298</v>
      </c>
      <c r="S23" s="3">
        <f>((S22^2)/(F8-2*C10))*S19</f>
        <v>1.678797288</v>
      </c>
    </row>
    <row r="24" spans="1:24" ht="18.000000" customHeight="1">
      <c r="A24" s="15"/>
      <c r="P24" s="63"/>
      <c r="R24" s="190" t="s">
        <v>299</v>
      </c>
      <c r="S24" s="3">
        <f>((S22^2)/(C13-2*C11))*S19</f>
        <v>1.0072783728</v>
      </c>
    </row>
    <row r="25" spans="1:24" ht="18.000000" customHeigh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64"/>
      <c r="R25" s="3">
        <f>C10/(F8-G19)</f>
        <v>0.344827586206897</v>
      </c>
    </row>
    <row r="26" spans="1:24" ht="4.500000" customHeight="1">
      <c r="H26" s="35"/>
      <c r="I26" s="35"/>
    </row>
    <row r="27" spans="1:24">
      <c r="A27" s="318" t="s">
        <v>291</v>
      </c>
      <c r="B27" s="142"/>
      <c r="C27" s="142"/>
      <c r="D27" s="142"/>
      <c r="E27" s="142"/>
      <c r="F27" s="142"/>
      <c r="G27" s="142"/>
      <c r="H27" s="12"/>
      <c r="I27" s="12"/>
      <c r="J27" s="12"/>
      <c r="K27" s="12"/>
      <c r="L27" s="12"/>
      <c r="M27" s="12"/>
      <c r="N27" s="12"/>
      <c r="O27" s="12"/>
      <c r="P27" s="62"/>
    </row>
    <row r="28" spans="1:24">
      <c r="A28" s="145"/>
      <c r="B28" s="259"/>
      <c r="C28" s="319"/>
      <c r="D28" s="238"/>
      <c r="E28" s="238"/>
      <c r="F28" s="144"/>
      <c r="G28" s="144"/>
      <c r="H28" s="16"/>
      <c r="I28" s="16"/>
      <c r="J28" s="16"/>
      <c r="K28" s="16"/>
      <c r="L28" s="16"/>
      <c r="M28" s="16"/>
      <c r="N28" s="16"/>
      <c r="O28" s="16"/>
      <c r="P28" s="63"/>
    </row>
    <row r="29" spans="1:24">
      <c r="A29" s="145"/>
      <c r="B29" s="144"/>
      <c r="C29" s="144"/>
      <c r="D29" s="144"/>
      <c r="E29" s="144"/>
      <c r="F29" s="144"/>
      <c r="G29" s="144"/>
      <c r="H29" s="16"/>
      <c r="I29" s="16"/>
      <c r="J29" s="16"/>
      <c r="K29" s="16"/>
      <c r="L29" s="16"/>
      <c r="M29" s="16"/>
      <c r="N29" s="16"/>
      <c r="O29" s="16"/>
      <c r="P29" s="63"/>
    </row>
    <row r="30" spans="1:24">
      <c r="A30" s="145"/>
      <c r="B30" s="144"/>
      <c r="C30" s="144"/>
      <c r="D30" s="144"/>
      <c r="E30" s="144"/>
      <c r="F30" s="144"/>
      <c r="G30" s="144"/>
      <c r="H30" s="16"/>
      <c r="I30" s="16"/>
      <c r="J30" s="16"/>
      <c r="K30" s="16"/>
      <c r="L30" s="16"/>
      <c r="M30" s="16"/>
      <c r="N30" s="16"/>
      <c r="O30" s="16"/>
      <c r="P30" s="63"/>
    </row>
    <row r="31" spans="1:24">
      <c r="A31" s="147"/>
      <c r="B31" s="148"/>
      <c r="C31" s="148"/>
      <c r="D31" s="148"/>
      <c r="E31" s="148"/>
      <c r="F31" s="148"/>
      <c r="G31" s="148"/>
      <c r="H31" s="35"/>
      <c r="I31" s="35"/>
      <c r="J31" s="35"/>
      <c r="K31" s="35"/>
      <c r="L31" s="35"/>
      <c r="M31" s="35"/>
      <c r="N31" s="35"/>
      <c r="O31" s="35"/>
      <c r="P31" s="64"/>
    </row>
    <row r="33" spans="1:6">
      <c r="A33" s="31"/>
      <c r="B33" s="16"/>
      <c r="C33" s="16"/>
      <c r="D33" s="16"/>
      <c r="E33" s="320"/>
      <c r="F33" s="16"/>
    </row>
    <row r="34" spans="1:6">
      <c r="A34" s="321"/>
      <c r="B34" s="16"/>
      <c r="C34" s="16"/>
      <c r="D34" s="16"/>
      <c r="E34" s="16"/>
      <c r="F34" s="16"/>
    </row>
    <row r="35" spans="1:6">
      <c r="A35" s="56"/>
      <c r="B35" s="16"/>
      <c r="C35" s="16"/>
      <c r="D35" s="16"/>
      <c r="E35" s="16"/>
      <c r="F35" s="16"/>
    </row>
    <row r="36" spans="1:6">
      <c r="A36" s="56"/>
      <c r="B36" s="16"/>
      <c r="C36" s="16"/>
      <c r="D36" s="16"/>
      <c r="E36" s="16"/>
      <c r="F36" s="16"/>
    </row>
    <row r="37" spans="1:6">
      <c r="A37" s="321"/>
      <c r="B37" s="320"/>
      <c r="C37" s="16"/>
      <c r="D37" s="16"/>
      <c r="E37" s="16"/>
      <c r="F37" s="16"/>
    </row>
    <row r="38" spans="1:6">
      <c r="A38" s="56"/>
      <c r="B38" s="16"/>
      <c r="C38" s="16"/>
      <c r="D38" s="16"/>
      <c r="E38" s="16"/>
      <c r="F38" s="16"/>
    </row>
    <row r="39" spans="1:6">
      <c r="A39" s="56"/>
      <c r="B39" s="16"/>
      <c r="C39" s="16"/>
      <c r="D39" s="16"/>
      <c r="E39" s="16"/>
      <c r="F39" s="16"/>
    </row>
    <row r="40" spans="1:6">
      <c r="A40" s="31"/>
      <c r="B40" s="16"/>
      <c r="C40" s="16"/>
      <c r="D40" s="16"/>
      <c r="E40" s="320"/>
      <c r="F40" s="16"/>
    </row>
    <row r="41" spans="1:6">
      <c r="A41" s="16"/>
      <c r="B41" s="320"/>
      <c r="C41" s="16"/>
      <c r="D41" s="16"/>
      <c r="E41" s="16"/>
      <c r="F41" s="16"/>
    </row>
    <row r="42" spans="1:6">
      <c r="A42" s="16"/>
      <c r="B42" s="16"/>
      <c r="C42" s="16"/>
      <c r="D42" s="16"/>
      <c r="E42" s="16"/>
      <c r="F42" s="16"/>
    </row>
    <row r="43" spans="1:6">
      <c r="A43" s="16"/>
      <c r="B43" s="16"/>
      <c r="C43" s="16"/>
      <c r="D43" s="16"/>
      <c r="E43" s="16"/>
      <c r="F43" s="16"/>
    </row>
    <row r="44" spans="1:6">
      <c r="A44" s="16"/>
      <c r="B44" s="16"/>
      <c r="C44" s="16"/>
      <c r="D44" s="16"/>
      <c r="E44" s="16"/>
      <c r="F44" s="16"/>
    </row>
  </sheetData>
  <sheetProtection sheet="1" password="ce28" objects="1" scenarios="1"/>
  <mergeCells count="4">
    <mergeCell ref="A1:P1"/>
    <mergeCell ref="G2:I2"/>
    <mergeCell ref="C13:D13"/>
    <mergeCell ref="C22:D22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32"/>
  <sheetViews>
    <sheetView showZeros="0" showGridLines="0" showRowColHeaders="0" zoomScale="70" zoomScaleNormal="70" workbookViewId="0">
      <pane xSplit="24" ySplit="38" topLeftCell="Y39" activePane="bottomRight" state="frozen"/>
      <selection pane="topRight" activeCell="Y1" sqref="Y1"/>
      <selection pane="bottomLeft" activeCell="A39" sqref="A39"/>
      <selection pane="bottomRight" activeCell="A1" sqref="A1:W1"/>
    </sheetView>
  </sheetViews>
  <sheetFormatPr defaultColWidth="9.00000000" defaultRowHeight="16.200000"/>
  <cols>
    <col min="1" max="1" style="3" width="2.14785717" customWidth="1" outlineLevel="0"/>
    <col min="2" max="5" style="3" width="6.29071413" customWidth="1" outlineLevel="0"/>
    <col min="6" max="6" style="3" width="2.14785717" customWidth="1" outlineLevel="0"/>
    <col min="7" max="10" style="3" width="6.29071413" customWidth="1" outlineLevel="0"/>
    <col min="11" max="11" style="3" width="2.14785717" customWidth="1" outlineLevel="0"/>
    <col min="12" max="15" style="3" width="6.29071413" customWidth="1" outlineLevel="0"/>
    <col min="16" max="16" style="3" width="2.14785717" customWidth="1" outlineLevel="0"/>
    <col min="17" max="17" style="3" width="1.43357144" customWidth="1" outlineLevel="0"/>
    <col min="18" max="24" style="3" width="6.86214290" customWidth="1" outlineLevel="0"/>
    <col min="25" max="26" style="3" width="6.29071413" customWidth="1" outlineLevel="0"/>
    <col min="27" max="16384" style="3" width="9.00499998" customWidth="1" outlineLevel="0"/>
  </cols>
  <sheetData>
    <row r="1" spans="1:24" ht="49.500000">
      <c r="A1" s="646" t="s">
        <v>300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</row>
    <row r="2" spans="1:24" ht="21.750000">
      <c r="B2" s="780" t="s">
        <v>301</v>
      </c>
      <c r="C2" s="717"/>
      <c r="D2" s="717"/>
      <c r="E2" s="781">
        <f>SUM(C14:E14,H14:J14,M13:O13,C23:E23,H23:J23,M23:O23,C31:E31,H30:J30)</f>
        <v>346.5665</v>
      </c>
      <c r="F2" s="782"/>
      <c r="G2" s="304" t="s">
        <v>51</v>
      </c>
      <c r="Q2" s="16"/>
      <c r="R2" s="16"/>
      <c r="S2" s="16"/>
      <c r="T2" s="16"/>
      <c r="U2" s="652" t="s">
        <v>302</v>
      </c>
      <c r="V2" s="652"/>
      <c r="W2" s="654">
        <f>TODAY()</f>
        <v>43411</v>
      </c>
      <c r="X2" s="783"/>
    </row>
    <row r="3" spans="1:24" ht="16.500000" customHeight="1">
      <c r="A3" s="11"/>
      <c r="B3" s="305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2"/>
      <c r="Q3" s="16"/>
      <c r="R3" s="314" t="s">
        <v>107</v>
      </c>
      <c r="S3" s="315"/>
      <c r="T3" s="12"/>
      <c r="U3" s="12"/>
      <c r="V3" s="12"/>
      <c r="W3" s="12"/>
      <c r="X3" s="62"/>
    </row>
    <row r="4" spans="1:24" ht="16.500000" customHeight="1">
      <c r="A4" s="15"/>
      <c r="B4" s="17"/>
      <c r="C4" s="30" t="s">
        <v>303</v>
      </c>
      <c r="D4" s="16"/>
      <c r="E4" s="293" t="s">
        <v>304</v>
      </c>
      <c r="F4" s="16"/>
      <c r="G4" s="16"/>
      <c r="H4" s="16"/>
      <c r="I4" s="16"/>
      <c r="J4" s="16"/>
      <c r="K4" s="16"/>
      <c r="L4" s="16"/>
      <c r="M4" s="16"/>
      <c r="N4" s="16"/>
      <c r="O4" s="779" t="s">
        <v>304</v>
      </c>
      <c r="P4" s="63"/>
      <c r="Q4" s="16"/>
      <c r="R4" s="145"/>
      <c r="S4" s="144"/>
      <c r="T4" s="144"/>
      <c r="U4" s="144"/>
      <c r="V4" s="144"/>
      <c r="W4" s="144"/>
      <c r="X4" s="173"/>
    </row>
    <row r="5" spans="1:24">
      <c r="A5" s="15"/>
      <c r="B5" s="16"/>
      <c r="C5" s="16"/>
      <c r="D5" s="30" t="s">
        <v>305</v>
      </c>
      <c r="E5" s="306"/>
      <c r="F5" s="16"/>
      <c r="G5" s="16"/>
      <c r="H5" s="30" t="s">
        <v>306</v>
      </c>
      <c r="I5" s="16"/>
      <c r="J5" s="16"/>
      <c r="K5" s="16"/>
      <c r="L5" s="16"/>
      <c r="M5" s="16"/>
      <c r="N5" s="31" t="s">
        <v>307</v>
      </c>
      <c r="O5" s="767"/>
      <c r="P5" s="63"/>
      <c r="Q5" s="16"/>
      <c r="R5" s="145"/>
      <c r="S5" s="144"/>
      <c r="T5" s="144"/>
      <c r="U5" s="144"/>
      <c r="V5" s="144"/>
      <c r="W5" s="144"/>
      <c r="X5" s="173"/>
    </row>
    <row r="6" spans="1:24">
      <c r="A6" s="15"/>
      <c r="B6" s="16"/>
      <c r="C6" s="16"/>
      <c r="D6" s="16"/>
      <c r="E6" s="16"/>
      <c r="F6" s="16"/>
      <c r="G6" s="16"/>
      <c r="H6" s="16"/>
      <c r="I6" s="16"/>
      <c r="J6" s="31" t="s">
        <v>304</v>
      </c>
      <c r="K6" s="16"/>
      <c r="L6" s="16"/>
      <c r="M6" s="16"/>
      <c r="O6" s="16"/>
      <c r="P6" s="63"/>
      <c r="Q6" s="16"/>
      <c r="R6" s="145"/>
      <c r="S6" s="144"/>
      <c r="T6" s="144"/>
      <c r="U6" s="144"/>
      <c r="V6" s="144"/>
      <c r="W6" s="144"/>
      <c r="X6" s="173"/>
    </row>
    <row r="7" spans="1:24">
      <c r="A7" s="15"/>
      <c r="B7" s="16"/>
      <c r="C7" s="30" t="s">
        <v>58</v>
      </c>
      <c r="D7" s="16"/>
      <c r="E7" s="16"/>
      <c r="F7" s="16"/>
      <c r="G7" s="16"/>
      <c r="H7" s="293" t="s">
        <v>308</v>
      </c>
      <c r="I7" s="293" t="s">
        <v>309</v>
      </c>
      <c r="J7" s="16"/>
      <c r="K7" s="16"/>
      <c r="L7" s="16"/>
      <c r="M7" s="30" t="s">
        <v>58</v>
      </c>
      <c r="N7" s="16"/>
      <c r="O7" s="16"/>
      <c r="P7" s="63"/>
      <c r="Q7" s="16"/>
      <c r="R7" s="145"/>
      <c r="S7" s="144"/>
      <c r="T7" s="144"/>
      <c r="U7" s="144"/>
      <c r="V7" s="144"/>
      <c r="W7" s="144"/>
      <c r="X7" s="173"/>
    </row>
    <row r="8" spans="1:24" ht="9.750000" customHeigh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63"/>
      <c r="Q8" s="16"/>
      <c r="R8" s="145"/>
      <c r="S8" s="144"/>
      <c r="T8" s="144"/>
      <c r="U8" s="144"/>
      <c r="V8" s="144"/>
      <c r="W8" s="144"/>
      <c r="X8" s="173"/>
    </row>
    <row r="9" spans="1:24">
      <c r="A9" s="15"/>
      <c r="B9" s="307">
        <v>1</v>
      </c>
      <c r="C9" s="308" t="s">
        <v>310</v>
      </c>
      <c r="D9" s="308" t="s">
        <v>311</v>
      </c>
      <c r="E9" s="308" t="s">
        <v>312</v>
      </c>
      <c r="F9" s="16"/>
      <c r="G9" s="307">
        <v>2</v>
      </c>
      <c r="H9" s="308" t="s">
        <v>310</v>
      </c>
      <c r="I9" s="308" t="s">
        <v>311</v>
      </c>
      <c r="J9" s="308" t="s">
        <v>312</v>
      </c>
      <c r="K9" s="16"/>
      <c r="L9" s="307">
        <v>3</v>
      </c>
      <c r="M9" s="308" t="s">
        <v>310</v>
      </c>
      <c r="N9" s="308" t="s">
        <v>311</v>
      </c>
      <c r="O9" s="308" t="s">
        <v>312</v>
      </c>
      <c r="P9" s="63"/>
      <c r="Q9" s="16"/>
      <c r="R9" s="145"/>
      <c r="S9" s="144"/>
      <c r="T9" s="144"/>
      <c r="U9" s="144"/>
      <c r="V9" s="144"/>
      <c r="W9" s="144"/>
      <c r="X9" s="173"/>
    </row>
    <row r="10" spans="1:24">
      <c r="A10" s="15"/>
      <c r="B10" s="309" t="s">
        <v>58</v>
      </c>
      <c r="C10" s="220"/>
      <c r="D10" s="220"/>
      <c r="E10" s="220"/>
      <c r="F10" s="16"/>
      <c r="G10" s="309" t="s">
        <v>58</v>
      </c>
      <c r="H10" s="220">
        <v>100</v>
      </c>
      <c r="I10" s="220"/>
      <c r="J10" s="220"/>
      <c r="K10" s="16"/>
      <c r="L10" s="309" t="s">
        <v>58</v>
      </c>
      <c r="M10" s="220">
        <v>68.4</v>
      </c>
      <c r="N10" s="220"/>
      <c r="O10" s="220"/>
      <c r="P10" s="63"/>
      <c r="Q10" s="16"/>
      <c r="R10" s="145"/>
      <c r="S10" s="144"/>
      <c r="T10" s="144"/>
      <c r="U10" s="144"/>
      <c r="V10" s="144"/>
      <c r="W10" s="144"/>
      <c r="X10" s="173"/>
    </row>
    <row r="11" spans="1:24">
      <c r="A11" s="15"/>
      <c r="B11" s="309" t="s">
        <v>304</v>
      </c>
      <c r="C11" s="220"/>
      <c r="D11" s="220"/>
      <c r="E11" s="220"/>
      <c r="F11" s="16"/>
      <c r="G11" s="309" t="s">
        <v>304</v>
      </c>
      <c r="H11" s="220">
        <v>30</v>
      </c>
      <c r="I11" s="220"/>
      <c r="J11" s="220"/>
      <c r="K11" s="16"/>
      <c r="L11" s="309" t="s">
        <v>304</v>
      </c>
      <c r="M11" s="220">
        <v>43.4</v>
      </c>
      <c r="N11" s="312" t="s">
        <v>313</v>
      </c>
      <c r="O11" s="220"/>
      <c r="P11" s="63"/>
      <c r="Q11" s="16"/>
      <c r="R11" s="145"/>
      <c r="S11" s="144"/>
      <c r="T11" s="144"/>
      <c r="U11" s="144"/>
      <c r="V11" s="144"/>
      <c r="W11" s="144"/>
      <c r="X11" s="173"/>
    </row>
    <row r="12" spans="1:24">
      <c r="A12" s="15"/>
      <c r="B12" s="309" t="s">
        <v>167</v>
      </c>
      <c r="C12" s="220"/>
      <c r="D12" s="220"/>
      <c r="E12" s="220"/>
      <c r="F12" s="16"/>
      <c r="G12" s="309" t="s">
        <v>167</v>
      </c>
      <c r="H12" s="220">
        <v>10</v>
      </c>
      <c r="I12" s="220"/>
      <c r="J12" s="220"/>
      <c r="K12" s="16"/>
      <c r="L12" s="309" t="s">
        <v>167</v>
      </c>
      <c r="M12" s="220">
        <v>6</v>
      </c>
      <c r="N12" s="312" t="s">
        <v>313</v>
      </c>
      <c r="O12" s="220"/>
      <c r="P12" s="63"/>
      <c r="Q12" s="16"/>
      <c r="R12" s="145"/>
      <c r="S12" s="144"/>
      <c r="T12" s="144"/>
      <c r="U12" s="144"/>
      <c r="V12" s="144"/>
      <c r="W12" s="144"/>
      <c r="X12" s="173"/>
    </row>
    <row r="13" spans="1:24">
      <c r="A13" s="15"/>
      <c r="B13" s="308" t="s">
        <v>314</v>
      </c>
      <c r="C13" s="220"/>
      <c r="D13" s="220"/>
      <c r="E13" s="220"/>
      <c r="F13" s="16"/>
      <c r="G13" s="308" t="s">
        <v>314</v>
      </c>
      <c r="H13" s="220">
        <v>45</v>
      </c>
      <c r="I13" s="220"/>
      <c r="J13" s="220"/>
      <c r="K13" s="16"/>
      <c r="L13" s="308" t="s">
        <v>31</v>
      </c>
      <c r="M13" s="310">
        <f>IF(M10=0,"  ",IF(M11=0,"  ",IF(M12=0,"  ",IF($M$27=0,"  ",IF((M12/$M$27)&lt;1,(M10+M11+((0.3*$M$27)+M12)*1.5708),IF((M12/$M$27)&lt;2,(M10+M11+((0.35*$M$27)+M12)*1.5708),IF((M12/$M$27)&lt;3,(M10+M11+((0.4*$M$27)+M12)*1.5708),(M10+M11+((0.5*$M$27)+M12)*1.5708))))))))</f>
        <v>121.69604</v>
      </c>
      <c r="N13" s="310" t="str">
        <f>IF(N10=0,"  ",IF(N11=0,"  ",IF(N12=0,"  ",IF($M$27=0,"  ",IF((N12/$M$27)&lt;1,(N10+N11+((0.3*$M$27)+N12)*1.5708),IF((N12/$M$27)&lt;2,(N10+N11+((0.35*$M$27)+N12)*1.5708),IF((N12/$M$27)&lt;3,(N10+N11+((0.4*$M$27)+N12)*1.5708),(N10+N11+((0.5*$M$27)+N12)*1.5708))))))))</f>
        <v>  </v>
      </c>
      <c r="O13" s="310" t="str">
        <f>IF(O10=0,"  ",IF(O11=0,"  ",IF(O12=0,"  ",IF($M$27=0,"  ",IF((O12/$M$27)&lt;1,(O10+O11+((0.3*$M$27)+O12)*1.5708),IF((O12/$M$27)&lt;2,(O10+O11+((0.35*$M$27)+O12)*1.5708),IF((O12/$M$27)&lt;3,(O10+O11+((0.4*$M$27)+O12)*1.5708),(O10+O11+((0.5*$M$27)+O12)*1.5708))))))))</f>
        <v>  </v>
      </c>
      <c r="P13" s="63"/>
      <c r="Q13" s="16"/>
      <c r="R13" s="145"/>
      <c r="S13" s="144"/>
      <c r="T13" s="144"/>
      <c r="U13" s="144"/>
      <c r="V13" s="144"/>
      <c r="W13" s="144"/>
      <c r="X13" s="173"/>
    </row>
    <row r="14" spans="1:24">
      <c r="A14" s="15"/>
      <c r="B14" s="308" t="s">
        <v>31</v>
      </c>
      <c r="C14" s="310" t="str">
        <f>IF(C10=0,"  ",IF(C11=0,"  ",IF(C12=0,"  ",IF(C13=0,"  ",IF($M$27=0,"  ",IF((C12/$M$27)&lt;1,(C10+C11+((0.3*$M$27)+C12)*(0.01745*(180-C13))),IF((C12/$M$27)&lt;2,(C10+C11+((0.35*$M$27)+C12)*(0.01745*(180-C13))),IF((C12/$M$27)&lt;3,(C10+C11+((0.4*$M$27)+C12)*(0.01745*(180-C13))),(C10+C11+((0.5*$M$27)+C12)*(0.01745*(180-C13)))))))))))</f>
        <v>  </v>
      </c>
      <c r="D14" s="310" t="str">
        <f>IF(D10=0,"  ",IF(D11=0,"  ",IF(D12=0,"  ",IF(D13=0,"  ",IF($M$27=0,"  ",IF((D12/$M$27)&lt;1,(D10+D11+((0.3*$M$27)+D12)*(0.01745*(180-D13))),IF((D12/$M$27)&lt;2,(D10+D11+((0.35*$M$27)+D12)*(0.01745*(180-D13))),IF((D12/$M$27)&lt;3,(D10+D11+((0.4*$M$27)+D12)*(0.01745*(180-D13))),(D10+D11+((0.5*$M$27)+D12)*(0.01745*(180-D13)))))))))))</f>
        <v>  </v>
      </c>
      <c r="E14" s="310" t="str">
        <f>IF(E10=0,"  ",IF(E11=0,"  ",IF(E12=0,"  ",IF(E13=0,"  ",IF($M$27=0,"  ",IF((E12/$M$27)&lt;1,(E10+E11+((0.3*$M$27)+E12)*(0.01745*(180-E13))),IF((E12/$M$27)&lt;2,(E10+E11+((0.35*$M$27)+E12)*(0.01745*(180-E13))),IF((E12/$M$27)&lt;3,(E10+E11+((0.4*$M$27)+E12)*(0.01745*(180-E13))),(E10+E11+((0.5*$M$27)+E12)*(0.01745*(180-E13)))))))))))</f>
        <v>  </v>
      </c>
      <c r="F14" s="16"/>
      <c r="G14" s="308" t="s">
        <v>31</v>
      </c>
      <c r="H14" s="310">
        <f>IF(H10=0,"  ",IF(H11=0,"  ",IF(H12=0,"  ",IF(H13=0,"  ",IF($M$27=0,"  ",IF((H12/$M$27)&lt;1,(H10+H11+((0.3*$M$27)+H12)*(0.01745*H13)),IF((H12/$M$27)&lt;2,(H10+H11+((0.35*$M$27)+H12)*(0.01745*H13)),IF((H12/$M$27)&lt;3,(H10+H11+((0.4*$M$27)+H12)*(0.01745*H13)),(H10+H11+((0.5*$M$27)+H12)*(0.01745*H13))))))))))</f>
        <v>138.088075</v>
      </c>
      <c r="I14" s="310" t="str">
        <f>IF(I10=0,"  ",IF(I11=0,"  ",IF(I12=0,"  ",IF(I13=0,"  ",IF($M$27=0,"  ",IF((I12/$M$27)&lt;1,(I10+I11+((0.3*$M$27)+I12)*(0.01745*I13)),IF((I12/$M$27)&lt;2,(I10+I11+((0.35*$M$27)+I12)*(0.01745*I13)),IF((I12/$M$27)&lt;3,(I10+I11+((0.4*$M$27)+I12)*(0.01745*I13)),(I10+I11+((0.5*$M$27)+I12)*(0.01745*I13))))))))))</f>
        <v>  </v>
      </c>
      <c r="J14" s="310" t="str">
        <f>IF(J10=0,"  ",IF(J11=0,"  ",IF(J12=0,"  ",IF(J13=0,"  ",IF($M$27=0,"  ",IF((J12/$M$27)&lt;1,(J10+J11+((0.3*$M$27)+J12)*(0.01745*J13)),IF((J12/$M$27)&lt;2,(J10+J11+((0.35*$M$27)+J12)*(0.01745*J13)),IF((J12/$M$27)&lt;3,(J10+J11+((0.4*$M$27)+J12)*(0.01745*J13)),(J10+J11+((0.5*$M$27)+J12)*(0.01745*J13))))))))))</f>
        <v>  </v>
      </c>
      <c r="K14" s="16"/>
      <c r="L14" s="16"/>
      <c r="M14" s="16"/>
      <c r="N14" s="16"/>
      <c r="O14" s="16"/>
      <c r="P14" s="63"/>
      <c r="Q14" s="16"/>
      <c r="R14" s="145"/>
      <c r="S14" s="144"/>
      <c r="T14" s="144"/>
      <c r="U14" s="144"/>
      <c r="V14" s="144"/>
      <c r="W14" s="144"/>
      <c r="X14" s="173"/>
    </row>
    <row r="15" spans="1:24" ht="9.750000" customHeight="1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3"/>
      <c r="Q15" s="16"/>
      <c r="R15" s="145"/>
      <c r="S15" s="144"/>
      <c r="T15" s="144"/>
      <c r="U15" s="144"/>
      <c r="V15" s="144"/>
      <c r="W15" s="144"/>
      <c r="X15" s="173"/>
    </row>
    <row r="16" spans="1:24">
      <c r="A16" s="15"/>
      <c r="B16" s="16"/>
      <c r="C16" s="292" t="s">
        <v>58</v>
      </c>
      <c r="D16" s="16"/>
      <c r="E16" s="16"/>
      <c r="F16" s="16"/>
      <c r="G16" s="16"/>
      <c r="H16" s="30" t="s">
        <v>58</v>
      </c>
      <c r="I16" s="292" t="s">
        <v>304</v>
      </c>
      <c r="J16" s="16"/>
      <c r="K16" s="16"/>
      <c r="L16" s="16"/>
      <c r="M16" s="292" t="s">
        <v>58</v>
      </c>
      <c r="N16" s="16"/>
      <c r="O16" s="16"/>
      <c r="P16" s="63"/>
      <c r="Q16" s="16"/>
      <c r="R16" s="145"/>
      <c r="S16" s="144"/>
      <c r="T16" s="144"/>
      <c r="U16" s="144"/>
      <c r="V16" s="144"/>
      <c r="W16" s="144"/>
      <c r="X16" s="173"/>
    </row>
    <row r="17" spans="1:24">
      <c r="A17" s="15"/>
      <c r="B17" s="16"/>
      <c r="C17" s="16"/>
      <c r="D17" s="30" t="s">
        <v>315</v>
      </c>
      <c r="E17" s="30" t="s">
        <v>316</v>
      </c>
      <c r="F17" s="16"/>
      <c r="G17" s="16"/>
      <c r="H17" s="16"/>
      <c r="I17" s="16"/>
      <c r="J17" s="16"/>
      <c r="K17" s="16"/>
      <c r="L17" s="16"/>
      <c r="M17" s="292" t="s">
        <v>316</v>
      </c>
      <c r="N17" s="292" t="s">
        <v>304</v>
      </c>
      <c r="O17" s="16"/>
      <c r="P17" s="63"/>
      <c r="Q17" s="16"/>
      <c r="R17" s="145"/>
      <c r="S17" s="144"/>
      <c r="T17" s="144"/>
      <c r="U17" s="144"/>
      <c r="V17" s="144"/>
      <c r="W17" s="144"/>
      <c r="X17" s="173"/>
    </row>
    <row r="18" spans="1:24">
      <c r="A18" s="15"/>
      <c r="B18" s="16"/>
      <c r="C18" s="16"/>
      <c r="D18" s="16"/>
      <c r="E18" s="16"/>
      <c r="F18" s="16"/>
      <c r="G18" s="30" t="s">
        <v>316</v>
      </c>
      <c r="H18" s="16"/>
      <c r="I18" s="16"/>
      <c r="J18" s="16"/>
      <c r="K18" s="16"/>
      <c r="L18" s="16"/>
      <c r="M18" s="16"/>
      <c r="N18" s="16"/>
      <c r="O18" s="16"/>
      <c r="P18" s="63"/>
      <c r="Q18" s="16"/>
      <c r="R18" s="145"/>
      <c r="S18" s="144"/>
      <c r="T18" s="144"/>
      <c r="U18" s="144"/>
      <c r="V18" s="144"/>
      <c r="W18" s="144"/>
      <c r="X18" s="173"/>
    </row>
    <row r="19" spans="1:2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3"/>
      <c r="Q19" s="16"/>
      <c r="R19" s="145"/>
      <c r="S19" s="144"/>
      <c r="T19" s="144"/>
      <c r="U19" s="144"/>
      <c r="V19" s="144"/>
      <c r="W19" s="144"/>
      <c r="X19" s="173"/>
    </row>
    <row r="20" spans="1:24">
      <c r="A20" s="15"/>
      <c r="B20" s="307">
        <v>4</v>
      </c>
      <c r="C20" s="308" t="s">
        <v>310</v>
      </c>
      <c r="D20" s="308" t="s">
        <v>311</v>
      </c>
      <c r="E20" s="308" t="s">
        <v>312</v>
      </c>
      <c r="F20" s="16"/>
      <c r="G20" s="307">
        <v>5</v>
      </c>
      <c r="H20" s="308" t="s">
        <v>310</v>
      </c>
      <c r="I20" s="308" t="s">
        <v>311</v>
      </c>
      <c r="J20" s="308" t="s">
        <v>312</v>
      </c>
      <c r="K20" s="16"/>
      <c r="L20" s="307">
        <v>6</v>
      </c>
      <c r="M20" s="308" t="s">
        <v>310</v>
      </c>
      <c r="N20" s="308" t="s">
        <v>311</v>
      </c>
      <c r="O20" s="308" t="s">
        <v>312</v>
      </c>
      <c r="P20" s="63"/>
      <c r="Q20" s="16"/>
      <c r="R20" s="145"/>
      <c r="S20" s="144"/>
      <c r="T20" s="144"/>
      <c r="U20" s="144"/>
      <c r="V20" s="144"/>
      <c r="W20" s="144"/>
      <c r="X20" s="173"/>
    </row>
    <row r="21" spans="1:24">
      <c r="A21" s="15"/>
      <c r="B21" s="309" t="s">
        <v>58</v>
      </c>
      <c r="C21" s="311">
        <v>10</v>
      </c>
      <c r="D21" s="311"/>
      <c r="E21" s="311"/>
      <c r="F21" s="16"/>
      <c r="G21" s="309" t="s">
        <v>58</v>
      </c>
      <c r="H21" s="311">
        <v>2</v>
      </c>
      <c r="I21" s="311"/>
      <c r="J21" s="311"/>
      <c r="K21" s="16"/>
      <c r="L21" s="309" t="s">
        <v>58</v>
      </c>
      <c r="M21" s="311"/>
      <c r="N21" s="311"/>
      <c r="O21" s="311"/>
      <c r="P21" s="63"/>
      <c r="Q21" s="16"/>
      <c r="R21" s="145"/>
      <c r="S21" s="144"/>
      <c r="T21" s="144"/>
      <c r="U21" s="144"/>
      <c r="V21" s="144"/>
      <c r="W21" s="144"/>
      <c r="X21" s="173"/>
    </row>
    <row r="22" spans="1:24">
      <c r="A22" s="15"/>
      <c r="B22" s="309" t="s">
        <v>304</v>
      </c>
      <c r="C22" s="311">
        <v>2</v>
      </c>
      <c r="D22" s="311"/>
      <c r="E22" s="311"/>
      <c r="F22" s="16"/>
      <c r="G22" s="309" t="s">
        <v>304</v>
      </c>
      <c r="H22" s="311">
        <v>5</v>
      </c>
      <c r="I22" s="311"/>
      <c r="J22" s="311"/>
      <c r="K22" s="16"/>
      <c r="L22" s="309" t="s">
        <v>304</v>
      </c>
      <c r="M22" s="311"/>
      <c r="N22" s="311"/>
      <c r="O22" s="311"/>
      <c r="P22" s="63"/>
      <c r="Q22" s="16"/>
      <c r="R22" s="145"/>
      <c r="S22" s="144"/>
      <c r="T22" s="144"/>
      <c r="U22" s="144"/>
      <c r="V22" s="144"/>
      <c r="W22" s="144"/>
      <c r="X22" s="173"/>
    </row>
    <row r="23" spans="1:24">
      <c r="A23" s="15"/>
      <c r="B23" s="308" t="s">
        <v>31</v>
      </c>
      <c r="C23" s="310">
        <f>IF(C21=0,"  ",IF(C22=0,"  ",IF(M27=0,"  ",(C21+C22-(M27*0.45)))))</f>
        <v>11.73</v>
      </c>
      <c r="D23" s="310" t="str">
        <f>IF(D21=0,"  ",IF(D22=0,"  ",IF(M27=0,"  ",(D21+D22-(M27*0.45)))))</f>
        <v>  </v>
      </c>
      <c r="E23" s="310" t="str">
        <f>IF(E21=0,"  ",IF(E22=0,"  ",IF(M27=0,"  ",(E21+E22-(M27*0.45)))))</f>
        <v>  </v>
      </c>
      <c r="F23" s="16"/>
      <c r="G23" s="308" t="s">
        <v>31</v>
      </c>
      <c r="H23" s="310">
        <f>IF(H21=0,"  ",IF(H22=0,"  ",IF(M27=0,"  ",(H21+H22+(M27*0.9)))))</f>
        <v>7.54</v>
      </c>
      <c r="I23" s="310" t="str">
        <f>IF(I21=0,"  ",IF(I22=0,"  ",IF(M27=0,"  ",(I21+I22+(M27*0.9)))))</f>
        <v>  </v>
      </c>
      <c r="J23" s="310" t="str">
        <f>IF(J21=0,"  ",IF(J22=0,"  ",IF(M27=0,"  ",(J21+J22+(M27*0.9)))))</f>
        <v>  </v>
      </c>
      <c r="K23" s="16"/>
      <c r="L23" s="308" t="s">
        <v>31</v>
      </c>
      <c r="M23" s="310" t="str">
        <f>IF(M21=0,"  ",IF(M22=0,"  ",IF(M27=0,"  ",(M21+M22-(3*M27)+(M27*1.4*3.14159)))))</f>
        <v>  </v>
      </c>
      <c r="N23" s="310" t="str">
        <f>IF(N21=0,"  ",IF(N22=0,"  ",IF(M27=0,"  ",(N21+N22-(3*M27)+(M27*1.4*3.14159)))))</f>
        <v>  </v>
      </c>
      <c r="O23" s="310" t="str">
        <f>IF(O21=0,"  ",IF(O22=0,"  ",IF(M27=0,"  ",(O21+O22-(3*M27)+(M27*1.4*3.14159)))))</f>
        <v>  </v>
      </c>
      <c r="P23" s="63"/>
      <c r="Q23" s="16"/>
      <c r="R23" s="145"/>
      <c r="S23" s="144"/>
      <c r="T23" s="144"/>
      <c r="U23" s="144"/>
      <c r="V23" s="144"/>
      <c r="W23" s="144"/>
      <c r="X23" s="173"/>
    </row>
    <row r="24" spans="1:24" ht="12.000000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3"/>
      <c r="Q24" s="16"/>
      <c r="R24" s="145"/>
      <c r="S24" s="144"/>
      <c r="T24" s="144"/>
      <c r="U24" s="144"/>
      <c r="V24" s="144"/>
      <c r="W24" s="144"/>
      <c r="X24" s="173"/>
    </row>
    <row r="25" spans="1:24">
      <c r="A25" s="15"/>
      <c r="B25" s="16"/>
      <c r="C25" s="777" t="s">
        <v>317</v>
      </c>
      <c r="D25" s="778"/>
      <c r="E25" s="16"/>
      <c r="F25" s="16"/>
      <c r="G25" s="16"/>
      <c r="H25" s="292" t="s">
        <v>58</v>
      </c>
      <c r="I25" s="56"/>
      <c r="J25" s="16"/>
      <c r="K25" s="16"/>
      <c r="L25" s="16"/>
      <c r="M25" s="16"/>
      <c r="N25" s="16"/>
      <c r="O25" s="16"/>
      <c r="P25" s="63"/>
      <c r="Q25" s="16"/>
      <c r="R25" s="145"/>
      <c r="S25" s="144"/>
      <c r="T25" s="144"/>
      <c r="U25" s="144"/>
      <c r="V25" s="144"/>
      <c r="W25" s="144"/>
      <c r="X25" s="173"/>
    </row>
    <row r="26" spans="1:24">
      <c r="A26" s="15"/>
      <c r="B26" s="16"/>
      <c r="C26" s="16"/>
      <c r="D26" s="16"/>
      <c r="E26" s="30" t="s">
        <v>285</v>
      </c>
      <c r="F26" s="16"/>
      <c r="G26" s="16"/>
      <c r="H26" s="16"/>
      <c r="I26" s="16"/>
      <c r="J26" s="16"/>
      <c r="K26" s="16"/>
      <c r="M26" s="115" t="s">
        <v>318</v>
      </c>
      <c r="N26" s="16"/>
      <c r="O26" s="16"/>
      <c r="P26" s="63"/>
      <c r="Q26" s="16"/>
      <c r="R26" s="145"/>
      <c r="S26" s="144"/>
      <c r="T26" s="144"/>
      <c r="U26" s="144"/>
      <c r="V26" s="144"/>
      <c r="W26" s="144"/>
      <c r="X26" s="173"/>
    </row>
    <row r="27" spans="1:24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M27" s="313">
        <v>0.6</v>
      </c>
      <c r="N27" s="16"/>
      <c r="O27" s="16"/>
      <c r="P27" s="63"/>
      <c r="Q27" s="16"/>
      <c r="R27" s="145"/>
      <c r="S27" s="144"/>
      <c r="T27" s="144"/>
      <c r="U27" s="144"/>
      <c r="V27" s="144"/>
      <c r="W27" s="144"/>
      <c r="X27" s="173"/>
    </row>
    <row r="28" spans="1:24">
      <c r="A28" s="15"/>
      <c r="B28" s="307">
        <v>7</v>
      </c>
      <c r="C28" s="308" t="s">
        <v>310</v>
      </c>
      <c r="D28" s="308" t="s">
        <v>311</v>
      </c>
      <c r="E28" s="308" t="s">
        <v>312</v>
      </c>
      <c r="F28" s="16"/>
      <c r="G28" s="307">
        <v>8</v>
      </c>
      <c r="H28" s="308" t="s">
        <v>310</v>
      </c>
      <c r="I28" s="308" t="s">
        <v>311</v>
      </c>
      <c r="J28" s="308" t="s">
        <v>312</v>
      </c>
      <c r="K28" s="16"/>
      <c r="L28" s="16"/>
      <c r="M28" s="16"/>
      <c r="N28" s="16"/>
      <c r="O28" s="16"/>
      <c r="P28" s="63"/>
      <c r="Q28" s="16"/>
      <c r="R28" s="145"/>
      <c r="S28" s="144"/>
      <c r="T28" s="144"/>
      <c r="U28" s="144"/>
      <c r="V28" s="144"/>
      <c r="W28" s="144"/>
      <c r="X28" s="173"/>
    </row>
    <row r="29" spans="1:24">
      <c r="A29" s="15"/>
      <c r="B29" s="309" t="s">
        <v>58</v>
      </c>
      <c r="C29" s="311">
        <v>20</v>
      </c>
      <c r="D29" s="311">
        <v>20</v>
      </c>
      <c r="E29" s="311"/>
      <c r="F29" s="16"/>
      <c r="G29" s="309" t="s">
        <v>58</v>
      </c>
      <c r="H29" s="311"/>
      <c r="I29" s="311"/>
      <c r="J29" s="311"/>
      <c r="K29" s="16"/>
      <c r="L29" s="16"/>
      <c r="M29" s="16"/>
      <c r="N29" s="16"/>
      <c r="O29" s="16"/>
      <c r="P29" s="63"/>
      <c r="Q29" s="16"/>
      <c r="R29" s="145"/>
      <c r="S29" s="144"/>
      <c r="T29" s="144"/>
      <c r="U29" s="144"/>
      <c r="V29" s="144"/>
      <c r="W29" s="144"/>
      <c r="X29" s="173"/>
    </row>
    <row r="30" spans="1:24">
      <c r="A30" s="15"/>
      <c r="B30" s="309" t="s">
        <v>285</v>
      </c>
      <c r="C30" s="311">
        <v>6</v>
      </c>
      <c r="D30" s="311">
        <v>6</v>
      </c>
      <c r="E30" s="311"/>
      <c r="F30" s="16"/>
      <c r="G30" s="308" t="s">
        <v>31</v>
      </c>
      <c r="H30" s="310" t="str">
        <f>IF(H29=0,"  ",IF(M27=0,"  ",H29))</f>
        <v>  </v>
      </c>
      <c r="I30" s="310" t="str">
        <f>IF(I29=0,"  ",IF(M27=0,"  ",I29))</f>
        <v>  </v>
      </c>
      <c r="J30" s="310" t="str">
        <f>IF(J29=0,"  ",IF(M27=0,"  ",J29))</f>
        <v>  </v>
      </c>
      <c r="K30" s="16"/>
      <c r="L30" s="16"/>
      <c r="M30" s="16"/>
      <c r="N30" s="16"/>
      <c r="O30" s="16"/>
      <c r="P30" s="63"/>
      <c r="Q30" s="16"/>
      <c r="R30" s="145"/>
      <c r="S30" s="144"/>
      <c r="T30" s="144"/>
      <c r="U30" s="144"/>
      <c r="V30" s="144"/>
      <c r="W30" s="144"/>
      <c r="X30" s="173"/>
    </row>
    <row r="31" spans="1:24">
      <c r="A31" s="15"/>
      <c r="B31" s="308" t="s">
        <v>31</v>
      </c>
      <c r="C31" s="310">
        <f>IF(C29=0,"  ",IF(C30=0,"  ",IF(M27=0,"  ",IF(C30/M27&lt;2.1,(C29+(1.5*3.14159*0.44)+C30+C30-M27),IF(C30/M27&lt;2.3,(C29+(1.5*3.14159*0.46)+C30+C30-M27),IF(C30/M27&lt;2.5,(C29+(1.5*3.14159*0.48)+C30+C30-M27),IF(C30/M27&lt;2.75,(C29+(1.5*3.14159*0.49)+C30+C30-M27),(C29+(1.5*3.14159*0.5)+C30+C30-M27))))))))</f>
        <v>33.7561925</v>
      </c>
      <c r="D31" s="310">
        <f>IF(D29=0,"  ",IF(D30=0,"  ",IF(M27=0,"  ",IF(D30/M27&lt;2.1,(D29+(1.5*3.14159*0.44)+D30+D30-M27),IF(D30/M27&lt;2.3,(D29+(1.5*3.14159*0.46)+D30+D30-M27),IF(D30/M27&lt;2.5,(D29+(1.5*3.14159*0.48)+D30+D30-M27),IF(D30/M27&lt;2.75,(D29+(1.5*3.14159*0.49)+D30+D30-M27),(D29+(1.5*3.14159*0.5)+D30+D30-M27))))))))</f>
        <v>33.7561925</v>
      </c>
      <c r="E31" s="310" t="str">
        <f>IF(E29=0,"  ",IF(E30=0,"  ",IF(M27=0,"  ",IF(E30/M27&lt;2.1,(E29+(1.5*3.14159*0.44)+E30+E30-M27),IF(E30/M27&lt;2.3,(E29+(1.5*3.14159*0.46)+E30+E30-M27),IF(E30/M27&lt;2.5,(E29+(1.5*3.14159*0.48)+E30+E30-M27),IF(E30/M27&lt;2.75,(E29+(1.5*3.14159*0.49)+E30+E30-M27),(E29+(1.5*3.14159*0.5)+E30+E30-M27))))))))</f>
        <v>  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3"/>
      <c r="Q31" s="16"/>
      <c r="R31" s="145"/>
      <c r="S31" s="144"/>
      <c r="T31" s="144"/>
      <c r="U31" s="144"/>
      <c r="V31" s="144"/>
      <c r="W31" s="144"/>
      <c r="X31" s="173"/>
    </row>
    <row r="32" spans="1:24" ht="12.000000" customHeight="1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64"/>
      <c r="R32" s="34"/>
      <c r="S32" s="35"/>
      <c r="T32" s="35"/>
      <c r="U32" s="35"/>
      <c r="V32" s="35"/>
      <c r="W32" s="35"/>
      <c r="X32" s="64"/>
    </row>
    <row r="33" ht="16.500000" customHeight="1"/>
    <row r="34" ht="15.000000" customHeight="1"/>
  </sheetData>
  <sheetProtection sheet="1" password="ce28" objects="1" scenarios="1"/>
  <mergeCells count="7">
    <mergeCell ref="A1:W1"/>
    <mergeCell ref="B2:D2"/>
    <mergeCell ref="E2:F2"/>
    <mergeCell ref="U2:V2"/>
    <mergeCell ref="W2:X2"/>
    <mergeCell ref="O4:O5"/>
    <mergeCell ref="C25:D25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31"/>
  <sheetViews>
    <sheetView showZeros="0" showGridLines="0" showRowColHeaders="0" zoomScale="70" zoomScaleNormal="70" workbookViewId="0">
      <pane xSplit="24" ySplit="36" topLeftCell="Y37" activePane="bottomRight" state="frozen"/>
      <selection pane="topRight" activeCell="Y1" sqref="Y1"/>
      <selection pane="bottomLeft" activeCell="A37" sqref="A37"/>
      <selection pane="bottomRight" activeCell="I32" sqref="I32:I33"/>
    </sheetView>
  </sheetViews>
  <sheetFormatPr defaultColWidth="9.00000000" defaultRowHeight="16.200000"/>
  <cols>
    <col min="1" max="1" style="3" width="2.29071425" customWidth="1" outlineLevel="0"/>
    <col min="2" max="2" style="3" width="11.71928583" customWidth="1" outlineLevel="0"/>
    <col min="3" max="4" style="3" width="7.71928583" customWidth="1" outlineLevel="0"/>
    <col min="5" max="5" style="3" width="14.86214243" customWidth="1" outlineLevel="0"/>
    <col min="6" max="7" style="3" width="7.71928583" customWidth="1" outlineLevel="0"/>
    <col min="8" max="9" style="3" width="14.86214243" customWidth="1" outlineLevel="0"/>
    <col min="10" max="10" style="3" width="3.00499998" customWidth="1" outlineLevel="0"/>
    <col min="11" max="11" style="3" width="1.14785714" customWidth="1" outlineLevel="0"/>
    <col min="12" max="16" style="3" width="8.29071413" customWidth="1" outlineLevel="0"/>
    <col min="17" max="17" style="3" width="4.43357144" customWidth="1" outlineLevel="0"/>
    <col min="18" max="18" style="3" width="10.29071413" hidden="1" customWidth="1" outlineLevel="0"/>
    <col min="19" max="23" style="3" width="9.00499998" hidden="1" customWidth="1" outlineLevel="0"/>
    <col min="24" max="16384" style="3" width="9.00499998" customWidth="1" outlineLevel="0"/>
  </cols>
  <sheetData>
    <row r="1" spans="1:23" ht="49.500000">
      <c r="A1" s="646" t="s">
        <v>319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</row>
    <row r="2" spans="1:23" ht="15.000000" customHeight="1">
      <c r="A2" s="2"/>
      <c r="N2" s="252" t="s">
        <v>88</v>
      </c>
      <c r="O2" s="654">
        <f>TODAY()</f>
        <v>43411</v>
      </c>
      <c r="P2" s="673"/>
      <c r="Q2" s="299"/>
    </row>
    <row r="3" spans="1:23" ht="5.250000" customHeight="1">
      <c r="A3" s="11"/>
      <c r="B3" s="12"/>
      <c r="C3" s="12"/>
      <c r="D3" s="12"/>
      <c r="E3" s="12"/>
      <c r="F3" s="12"/>
      <c r="G3" s="12"/>
      <c r="H3" s="12"/>
      <c r="I3" s="12"/>
      <c r="J3" s="62"/>
      <c r="L3" s="11"/>
      <c r="M3" s="12"/>
      <c r="N3" s="12"/>
      <c r="O3" s="12"/>
      <c r="P3" s="62"/>
      <c r="Q3" s="16"/>
    </row>
    <row r="4" spans="1:23">
      <c r="A4" s="15"/>
      <c r="B4" s="268"/>
      <c r="C4" s="788" t="s">
        <v>320</v>
      </c>
      <c r="D4" s="789"/>
      <c r="E4" s="269" t="s">
        <v>321</v>
      </c>
      <c r="F4" s="788" t="s">
        <v>322</v>
      </c>
      <c r="G4" s="786"/>
      <c r="H4" s="269" t="s">
        <v>323</v>
      </c>
      <c r="I4" s="269" t="s">
        <v>324</v>
      </c>
      <c r="J4" s="63"/>
      <c r="L4" s="294" t="s">
        <v>325</v>
      </c>
      <c r="M4" s="16"/>
      <c r="N4" s="16"/>
      <c r="O4" s="16"/>
      <c r="P4" s="63"/>
      <c r="Q4" s="16"/>
      <c r="S4" s="300" t="s">
        <v>326</v>
      </c>
      <c r="T4" s="300" t="s">
        <v>327</v>
      </c>
      <c r="U4" s="300" t="s">
        <v>328</v>
      </c>
      <c r="V4" s="300" t="s">
        <v>329</v>
      </c>
      <c r="W4" s="300" t="s">
        <v>330</v>
      </c>
    </row>
    <row r="5" spans="1:23" ht="32.250000">
      <c r="A5" s="15"/>
      <c r="B5" s="208" t="s">
        <v>331</v>
      </c>
      <c r="C5" s="784" t="str">
        <f>IF(C16=1,"0.50 - 0.60",IF(C16=2,"0.58 - 0.65",IF(C16=3,"0.50 - 0.60",IF(C16=4,"0.55 - 0.60",IF(C16=5,"0.50 - 0.60",IF(C16=6,"0.58 - 0.66","  "))))))</f>
        <v>0.55 - 0.60</v>
      </c>
      <c r="D5" s="785"/>
      <c r="E5" s="270" t="str">
        <f>IF(C16=1,"0.70 - 0.80",IF(C16=2,"0.75 - 0.85",IF(C16=3,"0.70 - 0.80",IF(C16=4,"0.75 - 0.80",IF(C16=5,"0.80 - 0.85",IF(C16=6,"0.85 - 0.9","  "))))))</f>
        <v>0.75 - 0.80</v>
      </c>
      <c r="F5" s="784" t="str">
        <f>IF(C16=1,"0.75 - 0.85",IF(C16=2,"0.80 - 0.85",IF(C16=3,"0.75 - 0.85",IF(C16=4,"0.80 - 0.85",IF(C16=5,"0.85 - 0.90",IF(C16=6,"0.90 - 0.95","  "))))))</f>
        <v>0.80 - 0.85</v>
      </c>
      <c r="G5" s="786"/>
      <c r="H5" s="270" t="str">
        <f>IF(C16=1,"0.80 - 0.90",IF(C16=2,"0.82 - 0.87",IF(C16=3,"0.80 - 0.90",IF(C16=4,"0.85 - 0.95",IF(C16=5,"0.90 - 0.95",IF(C16=6,"0.90 - 0.95","  "))))))</f>
        <v>0.85 - 0.95</v>
      </c>
      <c r="I5" s="270" t="str">
        <f>IF(C16=1,"0.85 - 0.95",IF(C16=2,"0.85 - 0.90",IF(C16=3,"0.85 - 0.90",IF(C16=4,"0.90 - 0.95",IF(C16=5,"0.90 - 0.95",IF(C16=6,"0.90 - 0.95","  "))))))</f>
        <v>0.90 - 0.95</v>
      </c>
      <c r="J5" s="63"/>
      <c r="L5" s="787" t="s">
        <v>332</v>
      </c>
      <c r="M5" s="65"/>
      <c r="N5" s="65"/>
      <c r="O5" s="65"/>
      <c r="P5" s="152"/>
      <c r="Q5" s="56"/>
      <c r="R5" s="301" t="s">
        <v>333</v>
      </c>
      <c r="S5" s="3">
        <f>((C23/F29*100)^0.333333333333)^2/10</f>
        <v>0.126843428820341</v>
      </c>
      <c r="T5" s="3">
        <f>((C23/F29*100)^0.333333333333)^2/10</f>
        <v>0.126843428820341</v>
      </c>
      <c r="U5" s="3">
        <f>((C23/F29*100)^0.333333333333)^2/10</f>
        <v>0.126843428820341</v>
      </c>
      <c r="V5" s="3">
        <f>((C23/F29*100)^0.333333333333)^2/10</f>
        <v>0.126843428820341</v>
      </c>
      <c r="W5" s="3">
        <f>((C23/F29*100)^0.333333333333)^2/10</f>
        <v>0.126843428820341</v>
      </c>
    </row>
    <row r="6" spans="1:23">
      <c r="A6" s="15"/>
      <c r="B6" s="271" t="s">
        <v>334</v>
      </c>
      <c r="C6" s="793">
        <v>0.65</v>
      </c>
      <c r="D6" s="794"/>
      <c r="E6" s="272">
        <v>0.85</v>
      </c>
      <c r="F6" s="793">
        <v>0.91</v>
      </c>
      <c r="G6" s="794"/>
      <c r="H6" s="272">
        <v>0.99</v>
      </c>
      <c r="I6" s="272">
        <v>0.99</v>
      </c>
      <c r="J6" s="295"/>
      <c r="L6" s="787" t="s">
        <v>335</v>
      </c>
      <c r="M6" s="65"/>
      <c r="N6" s="65"/>
      <c r="O6" s="65"/>
      <c r="P6" s="152"/>
      <c r="Q6" s="56"/>
      <c r="R6" s="301" t="s">
        <v>336</v>
      </c>
      <c r="S6" s="3">
        <f>(1-C6)^0.5</f>
        <v>0.591607978309962</v>
      </c>
      <c r="T6" s="3">
        <f>(1-E6)^0.5</f>
        <v>0.387298334620742</v>
      </c>
      <c r="U6" s="3">
        <f>(1-F6)^0.5</f>
        <v>0.3</v>
      </c>
      <c r="V6" s="3">
        <f>(1-H6)^0.5</f>
        <v>0.1</v>
      </c>
      <c r="W6" s="3">
        <f>(1-I6)^0.5</f>
        <v>0.1</v>
      </c>
    </row>
    <row r="7" spans="1:23" ht="31.500000">
      <c r="A7" s="15"/>
      <c r="B7" s="273" t="s">
        <v>337</v>
      </c>
      <c r="C7" s="790">
        <f>F29*C6</f>
        <v>91</v>
      </c>
      <c r="D7" s="791"/>
      <c r="E7" s="274" t="str">
        <f>IF(C7&lt;=F19,"  ",C7*E6)</f>
        <v>  </v>
      </c>
      <c r="F7" s="790" t="str">
        <f>IF(C7&lt;=F19,"  ",IF(E7&lt;=F19,"  ",E7*F6))</f>
        <v>  </v>
      </c>
      <c r="G7" s="795"/>
      <c r="H7" s="274" t="str">
        <f>IF(C7&lt;=F19,"  ",IF(E7&lt;=F19,"  ",IF(F7&lt;=F19,"    ",F7*H6)))</f>
        <v>  </v>
      </c>
      <c r="I7" s="274" t="str">
        <f>IF(C7&lt;=F19,"  ",IF(E7&lt;=F19,"  ",IF(F7&lt;=F19,"    ",IF(H7&lt;=F19,"    ",H7*I6))))</f>
        <v>  </v>
      </c>
      <c r="J7" s="296"/>
      <c r="L7" s="787" t="s">
        <v>338</v>
      </c>
      <c r="M7" s="65"/>
      <c r="N7" s="65"/>
      <c r="O7" s="65"/>
      <c r="P7" s="152"/>
      <c r="Q7" s="56"/>
      <c r="R7" s="302" t="s">
        <v>339</v>
      </c>
      <c r="S7" s="3">
        <f>SUM(S5:S6)</f>
        <v>0.718451407130303</v>
      </c>
      <c r="T7" s="3">
        <f>T5+(T6*1.6)</f>
        <v>0.746520764213528</v>
      </c>
      <c r="U7" s="3">
        <f>U5+(U6*1.6)</f>
        <v>0.606843428820341</v>
      </c>
      <c r="V7" s="3">
        <f>V5+(V6*1.6)</f>
        <v>0.286843428820341</v>
      </c>
      <c r="W7" s="3">
        <f>W5+(W6*1.6)</f>
        <v>0.286843428820341</v>
      </c>
    </row>
    <row r="8" spans="1:23" ht="31.500000">
      <c r="A8" s="15"/>
      <c r="B8" s="273" t="s">
        <v>340</v>
      </c>
      <c r="C8" s="799">
        <f>IF(F19=0,"    ",IF(F29=0,"  ",(((((F29-C23)^2)-((C7-C23)^2))/4/(C7-C23))-(0.57*C9))+C9+C23))</f>
        <v>36.6498082806663</v>
      </c>
      <c r="D8" s="791"/>
      <c r="E8" s="274" t="str">
        <f>IF(C14="完   成","    ",(((((F29-C23)^2)-((E7-C23)^2))/4/(E7-C23))-(0.57*E9))+E9+C23)</f>
        <v>    </v>
      </c>
      <c r="F8" s="790" t="str">
        <f>IF(C14="完   成","   ",IF(E14="完   成","   ",(((((F29-C23)^2)-((F7-C23)^2))/4/(F7-C23))-(0.57*F9))+F9+C23))</f>
        <v>   </v>
      </c>
      <c r="G8" s="792"/>
      <c r="H8" s="274" t="str">
        <f>IF(C14="完   成","   ",IF(E14="完   成","   ",IF(F14="完   成","   ",(((((F29-C23)^2)-((H7-C23)^2))/4/(H7-C23))-(0.57*H9))+H9+C23)))</f>
        <v>   </v>
      </c>
      <c r="I8" s="274" t="str">
        <f>IF(C14="完   成","   ",IF(E14="完   成","   ",IF(F14="完   成","   ",IF(H14="完   成","   ",(((((F29-C23)^2)-((I7-C23)^2))/4/(I7-C23))-(0.57*I9))+I9+C23))))</f>
        <v>   </v>
      </c>
      <c r="J8" s="295"/>
      <c r="L8" s="787" t="s">
        <v>341</v>
      </c>
      <c r="M8" s="65"/>
      <c r="N8" s="65"/>
      <c r="O8" s="65"/>
      <c r="P8" s="152"/>
      <c r="Q8" s="56"/>
      <c r="R8" s="301"/>
    </row>
    <row r="9" spans="1:23" ht="16.500000" customHeight="1">
      <c r="A9" s="15"/>
      <c r="B9" s="275" t="s">
        <v>342</v>
      </c>
      <c r="C9" s="790">
        <f>IF(C23=0,"無輸入料厚",(((F29-C7)*C23)^0.5)*0.8)</f>
        <v>7.91959594928933</v>
      </c>
      <c r="D9" s="791"/>
      <c r="E9" s="274" t="str">
        <f>IF(C14="完   成","   ",C9*E6)</f>
        <v>   </v>
      </c>
      <c r="F9" s="790" t="str">
        <f>IF(C14="完   成","   ",IF(E14="完   成","   ",E9*F6*F6))</f>
        <v>   </v>
      </c>
      <c r="G9" s="792"/>
      <c r="H9" s="274" t="str">
        <f>IF(C14="完   成","   ",IF(E14="完   成","   ",IF(F14="完   成","   ",F9*H6)))</f>
        <v>   </v>
      </c>
      <c r="I9" s="274" t="str">
        <f>IF(C14="完   成","   ",IF(E14="完   成","   ",IF(F14="完   成","   ",IF(H14="完   成","     ",H9*I6))))</f>
        <v>   </v>
      </c>
      <c r="J9" s="296"/>
      <c r="L9" s="232"/>
      <c r="M9" s="233"/>
      <c r="N9" s="233"/>
      <c r="O9" s="233"/>
      <c r="P9" s="236"/>
      <c r="Q9" s="233"/>
      <c r="R9" s="303" t="s">
        <v>343</v>
      </c>
      <c r="S9" s="16">
        <f>IF(C6&lt;=0.55,0.8,IF(C6&lt;=0.6,0.77,IF(C6&lt;=0.65,0.74,IF(C6&lt;=0.7,0.7,IF(C6&lt;=0.75,0.67,IF(C6&lt;=0.8,0.64,IF(C6&lt;=0.9,0.6,0.55)))))))</f>
        <v>0.74</v>
      </c>
      <c r="T9" s="16">
        <f>IF(E6&lt;=0.55,0.8,IF(E6&lt;=0.6,0.77,IF(E6&lt;=0.65,0.74,IF(E6&lt;=0.7,0.7,IF(E6&lt;=0.75,0.67,IF(E6&lt;=0.8,0.64,IF(E6&lt;=0.9,0.6,0.55)))))))</f>
        <v>0.6</v>
      </c>
      <c r="U9" s="16">
        <f>IF(F6&lt;=0.55,0.8,IF(F6&lt;=0.6,0.77,IF(F6&lt;=0.65,0.74,IF(F6&lt;=0.7,0.7,IF(F6&lt;=0.75,0.67,IF(F6&lt;=0.8,0.64,IF(F6&lt;=0.9,0.6,0.55)))))))</f>
        <v>0.55</v>
      </c>
      <c r="V9" s="16">
        <f>IF(H6&lt;=0.55,0.8,IF(H6&lt;=0.6,0.77,IF(H6&lt;=0.65,0.74,IF(H6&lt;=0.7,0.7,IF(H6&lt;=0.75,0.67,IF(H6&lt;=0.8,0.64,IF(H6&lt;=0.9,0.6,0.55)))))))</f>
        <v>0.55</v>
      </c>
      <c r="W9" s="16">
        <f>IF(I6&lt;=0.55,0.8,IF(I6&lt;=0.6,0.77,IF(I6&lt;=0.65,0.74,IF(I6&lt;=0.7,0.7,IF(I6&lt;=0.75,0.67,IF(I6&lt;=0.8,0.64,IF(I6&lt;=0.9,0.6,0.55)))))))</f>
        <v>0.55</v>
      </c>
    </row>
    <row r="10" spans="1:23">
      <c r="A10" s="15"/>
      <c r="B10" s="207" t="s">
        <v>344</v>
      </c>
      <c r="C10" s="800">
        <f>3.14159*C7*C23*(B18/C6)*S7/1000</f>
        <v>25.2792932686167</v>
      </c>
      <c r="D10" s="801"/>
      <c r="E10" s="276" t="str">
        <f>IF(C14="完   成","   ",3.14159*E7*C23*(B18/E6)*T7/1000)</f>
        <v>   </v>
      </c>
      <c r="F10" s="800" t="str">
        <f>IF(C14="完   成","   ",IF(E14="完   成","   ",3.14159*F7*C23*(B18/F6)*U7/1000))</f>
        <v>   </v>
      </c>
      <c r="G10" s="801"/>
      <c r="H10" s="276" t="str">
        <f>IF(C14="完   成","   ",IF(E14="完   成","   ",IF(F14="完   成","   ",3.14159*H7*C23*(B18/H6)*V7/1000)))</f>
        <v>   </v>
      </c>
      <c r="I10" s="276" t="str">
        <f>IF(C14="完   成","   ",IF(E14="完   成","   ",IF(F14="完   成","   ",IF(H14="完   成","   ",3.14159*I7*C23*(B18/I6)*W7/1000))))</f>
        <v>   </v>
      </c>
      <c r="J10" s="295"/>
      <c r="L10" s="297"/>
      <c r="M10" s="233"/>
      <c r="N10" s="233"/>
      <c r="O10" s="233"/>
      <c r="P10" s="236"/>
      <c r="Q10" s="233"/>
    </row>
    <row r="11" spans="1:23">
      <c r="A11" s="15"/>
      <c r="B11" s="277" t="s">
        <v>345</v>
      </c>
      <c r="C11" s="802">
        <f>0.7854*(((F29^2)-((C7+2*C9)^2))*S11/1000)</f>
        <v>1.32754782120979</v>
      </c>
      <c r="D11" s="803"/>
      <c r="E11" s="278" t="str">
        <f>IF(C14="完   成","       ",0.7854*((C7^2)-(E7^2))*T11/1000)</f>
        <v>       </v>
      </c>
      <c r="F11" s="804" t="str">
        <f>IF(C14="完   成","       ",IF(E14="完   成","   ",0.7854*((E7^2)-(F7^2))*U11/1000))</f>
        <v>       </v>
      </c>
      <c r="G11" s="803"/>
      <c r="H11" s="278" t="str">
        <f>IF(C14="完   成","       ",IF(E14="完   成","   ",IF(F14="完   成","   ",0.7854*((F7^2)-(H7^2))*V11/1000)))</f>
        <v>       </v>
      </c>
      <c r="I11" s="278" t="str">
        <f>IF(C14="完   成","       ",IF(E14="完   成","   ",IF(F14="完   成","   ",IF(H14="完   成","   ",0.7854*((H7^2)-(I7^2))*W11/1000))))</f>
        <v>       </v>
      </c>
      <c r="J11" s="295"/>
      <c r="L11" s="232"/>
      <c r="M11" s="233"/>
      <c r="N11" s="233"/>
      <c r="O11" s="233"/>
      <c r="P11" s="236"/>
      <c r="Q11" s="233"/>
      <c r="R11" s="303" t="s">
        <v>346</v>
      </c>
      <c r="S11" s="16">
        <f>0.005*(((C6-1)^2)+(C7/200*C23))*B18</f>
        <v>0.2065</v>
      </c>
      <c r="T11" s="16" t="e">
        <f>0.005*(((E6-1)^2)+(E7/200*C23))*B18</f>
        <v>#VALUE!</v>
      </c>
      <c r="U11" s="16" t="e">
        <f>0.005*(((F6-1)^2)+(F7/200*C23))*B18</f>
        <v>#VALUE!</v>
      </c>
      <c r="V11" s="16" t="e">
        <f>0.005*(((H6-1)^2)+(H7/200*C23))*B18</f>
        <v>#VALUE!</v>
      </c>
      <c r="W11" s="16" t="e">
        <f>0.005*(((I6-1)^2)+(I7/200*C23))*B18</f>
        <v>#VALUE!</v>
      </c>
    </row>
    <row r="12" spans="1:23">
      <c r="A12" s="15"/>
      <c r="B12" s="279" t="s">
        <v>347</v>
      </c>
      <c r="C12" s="796">
        <f>S9*C10*C8+C11*(C8-C9)</f>
        <v>723.736857089913</v>
      </c>
      <c r="D12" s="797"/>
      <c r="E12" s="280" t="str">
        <f>IF(C14="完   成","   ",T9*E10*E8+E11*(E8-E9))</f>
        <v>   </v>
      </c>
      <c r="F12" s="798" t="str">
        <f>IF(C14="完   成","   ",IF(E14="完   成","   ",U9*F10*F8+F11*(F8-F9)))</f>
        <v>   </v>
      </c>
      <c r="G12" s="797"/>
      <c r="H12" s="280" t="str">
        <f>IF(C14="完   成","   ",IF(E14="完   成","   ",IF(F14="完   成","   ",V9*H10*H8+H11*(H8-H9))))</f>
        <v>   </v>
      </c>
      <c r="I12" s="280" t="str">
        <f>IF(C14="完   成","   ",IF(E14="完   成","   ",IF(F14="完   成","   ",IF(H14="完   成","   ",W9*I10*I8+I11*(I8-I9)))))</f>
        <v>   </v>
      </c>
      <c r="J12" s="295"/>
      <c r="L12" s="232"/>
      <c r="M12" s="233"/>
      <c r="N12" s="233"/>
      <c r="O12" s="233"/>
      <c r="P12" s="236"/>
      <c r="Q12" s="233"/>
    </row>
    <row r="13" spans="1:23" ht="16.500000" customHeight="1">
      <c r="A13" s="15"/>
      <c r="B13" s="805" t="s">
        <v>348</v>
      </c>
      <c r="C13" s="811" t="str">
        <f>IF(C6=0,"      ",IF(C6&lt;0.5,"引伸太快","  "))</f>
        <v>  </v>
      </c>
      <c r="D13" s="812"/>
      <c r="E13" s="281" t="str">
        <f>IF(E6=0,"      ",IF(E6&lt;0.7,"引伸太快","  "))</f>
        <v>  </v>
      </c>
      <c r="F13" s="811" t="str">
        <f>IF(F6=0,"      ",IF(F6&lt;0.75,"引伸太快","  "))</f>
        <v>  </v>
      </c>
      <c r="G13" s="812"/>
      <c r="H13" s="281" t="str">
        <f>IF(H6=0,"      ",IF(H6&lt;0.8,"引伸太快","   "))</f>
        <v>   </v>
      </c>
      <c r="I13" s="281" t="str">
        <f>IF(I6=0,"      ",IF(I6&lt;0.85,"引伸太快","  "))</f>
        <v>  </v>
      </c>
      <c r="J13" s="295"/>
      <c r="L13" s="232"/>
      <c r="M13" s="233"/>
      <c r="N13" s="233"/>
      <c r="O13" s="233"/>
      <c r="P13" s="236"/>
      <c r="Q13" s="233"/>
    </row>
    <row r="14" spans="1:23">
      <c r="A14" s="15"/>
      <c r="B14" s="806"/>
      <c r="C14" s="809" t="str">
        <f>IF(C7&gt;F19,"       ","完   成")</f>
        <v>完   成</v>
      </c>
      <c r="D14" s="810"/>
      <c r="E14" s="282" t="str">
        <f>IF(C14="完   成","   ",IF(E7&lt;=F19,"完   成","   "))</f>
        <v>   </v>
      </c>
      <c r="F14" s="809" t="str">
        <f>IF(C14="完   成","   ",IF(E14="完   成","   ",IF(F7&lt;=F19,"完   成","    ")))</f>
        <v>   </v>
      </c>
      <c r="G14" s="810"/>
      <c r="H14" s="282" t="str">
        <f>IF(C14="完   成","   ",IF(E14="完   成","   ",IF(F14="完   成","    ",IF(H7&lt;=F19,"完   成","    "))))</f>
        <v>   </v>
      </c>
      <c r="I14" s="282" t="str">
        <f>IF(C14="完   成","   ",IF(E14="完   成","   ",IF(F14="完   成","    ",IF(H14="完   成","   ",IF(I7&lt;=F19,"完   成","需 再 引 伸")))))</f>
        <v>   </v>
      </c>
      <c r="J14" s="298"/>
      <c r="L14" s="232"/>
      <c r="M14" s="233"/>
      <c r="N14" s="233"/>
      <c r="O14" s="233"/>
      <c r="P14" s="236"/>
      <c r="Q14" s="233"/>
    </row>
    <row r="15" spans="1:23" ht="18.000000" customHeight="1">
      <c r="A15" s="15"/>
      <c r="B15" s="16"/>
      <c r="C15" s="16"/>
      <c r="D15" s="16"/>
      <c r="E15" s="16"/>
      <c r="F15" s="16"/>
      <c r="G15" s="16"/>
      <c r="H15" s="16"/>
      <c r="I15" s="16"/>
      <c r="J15" s="63"/>
      <c r="L15" s="232"/>
      <c r="M15" s="233"/>
      <c r="N15" s="233"/>
      <c r="O15" s="233"/>
      <c r="P15" s="236"/>
      <c r="Q15" s="233"/>
    </row>
    <row r="16" spans="1:23">
      <c r="A16" s="15"/>
      <c r="B16" s="283" t="s">
        <v>349</v>
      </c>
      <c r="C16" s="75">
        <v>4</v>
      </c>
      <c r="D16" s="16"/>
      <c r="E16" s="21" t="s">
        <v>350</v>
      </c>
      <c r="F16" s="21"/>
      <c r="G16" s="21"/>
      <c r="H16" s="16"/>
      <c r="I16" s="16"/>
      <c r="J16" s="63"/>
      <c r="L16" s="232"/>
      <c r="M16" s="233"/>
      <c r="N16" s="233"/>
      <c r="O16" s="233"/>
      <c r="P16" s="236"/>
      <c r="Q16" s="233"/>
    </row>
    <row r="17" spans="1:17">
      <c r="A17" s="15"/>
      <c r="B17" s="284" t="str">
        <f>IF(C16=1,"純  鋁",IF(C16=2,"鋁合金",IF(C16=3,"黃  銅",IF(C16=4,"軟鋼板",IF(C16=5,"不銹鋼",IF(C16=6,"鋅  板","    "))))))</f>
        <v>軟鋼板</v>
      </c>
      <c r="C17" s="285"/>
      <c r="D17" s="16"/>
      <c r="E17" s="21" t="s">
        <v>351</v>
      </c>
      <c r="F17" s="21"/>
      <c r="G17" s="21"/>
      <c r="H17" s="16"/>
      <c r="I17" s="16"/>
      <c r="J17" s="63"/>
      <c r="L17" s="232"/>
      <c r="M17" s="233"/>
      <c r="N17" s="233"/>
      <c r="O17" s="233"/>
      <c r="P17" s="236"/>
      <c r="Q17" s="233"/>
    </row>
    <row r="18" spans="1:17" ht="17.250000">
      <c r="A18" s="15"/>
      <c r="B18" s="286">
        <f>IF(C16=1,12,IF(C16=2,26,IF(C16=3,30,IF(C16=4,40,IF(C16=5,65,IF(C16=6,20,"   "))))))</f>
        <v>40</v>
      </c>
      <c r="C18" s="287" t="s">
        <v>352</v>
      </c>
      <c r="D18" s="16"/>
      <c r="E18" s="30" t="s">
        <v>353</v>
      </c>
      <c r="F18" s="21"/>
      <c r="G18" s="198"/>
      <c r="H18" s="16"/>
      <c r="I18" s="16"/>
      <c r="J18" s="63"/>
      <c r="L18" s="232"/>
      <c r="M18" s="233"/>
      <c r="N18" s="233"/>
      <c r="O18" s="233"/>
      <c r="P18" s="236"/>
      <c r="Q18" s="233"/>
    </row>
    <row r="19" spans="1:17">
      <c r="A19" s="15"/>
      <c r="B19" s="807" t="s">
        <v>354</v>
      </c>
      <c r="C19" s="808"/>
      <c r="D19" s="16"/>
      <c r="E19" s="16"/>
      <c r="F19" s="288">
        <v>98</v>
      </c>
      <c r="G19" s="16"/>
      <c r="H19" s="16"/>
      <c r="I19" s="16"/>
      <c r="J19" s="63"/>
      <c r="L19" s="232"/>
      <c r="M19" s="233"/>
      <c r="N19" s="233"/>
      <c r="O19" s="233"/>
      <c r="P19" s="236"/>
      <c r="Q19" s="233"/>
    </row>
    <row r="20" spans="1:17">
      <c r="A20" s="15"/>
      <c r="B20" s="286">
        <f>IF(C16=1,50,IF(C16=2,14,IF(C16=3,60,IF(C16=4,24,IF(C16=5,12,IF(C16=6,35,"   "))))))</f>
        <v>24</v>
      </c>
      <c r="C20" s="289" t="s">
        <v>355</v>
      </c>
      <c r="D20" s="16"/>
      <c r="E20" s="16"/>
      <c r="F20" s="16"/>
      <c r="G20" s="16"/>
      <c r="H20" s="30" t="s">
        <v>356</v>
      </c>
      <c r="I20" s="3"/>
      <c r="J20" s="63"/>
      <c r="L20" s="232"/>
      <c r="M20" s="233"/>
      <c r="N20" s="233"/>
      <c r="O20" s="233"/>
      <c r="P20" s="236"/>
      <c r="Q20" s="233"/>
    </row>
    <row r="21" spans="1:17">
      <c r="A21" s="15"/>
      <c r="B21" s="16"/>
      <c r="C21" s="16"/>
      <c r="D21" s="16"/>
      <c r="E21" s="16"/>
      <c r="F21" s="16"/>
      <c r="G21" s="16"/>
      <c r="H21" s="16"/>
      <c r="I21" s="16"/>
      <c r="J21" s="63"/>
      <c r="L21" s="232"/>
      <c r="M21" s="233"/>
      <c r="N21" s="233"/>
      <c r="O21" s="233"/>
      <c r="P21" s="236"/>
      <c r="Q21" s="233"/>
    </row>
    <row r="22" spans="1:17" ht="18.750000" customHeight="1">
      <c r="A22" s="15"/>
      <c r="B22" s="16"/>
      <c r="C22" s="290" t="s">
        <v>272</v>
      </c>
      <c r="D22" s="16"/>
      <c r="E22" s="16"/>
      <c r="F22" s="16"/>
      <c r="G22" s="16"/>
      <c r="H22" s="30" t="s">
        <v>357</v>
      </c>
      <c r="I22" s="198"/>
      <c r="J22" s="63"/>
      <c r="L22" s="232"/>
      <c r="M22" s="233"/>
      <c r="N22" s="233"/>
      <c r="O22" s="233"/>
      <c r="P22" s="236"/>
      <c r="Q22" s="233"/>
    </row>
    <row r="23" spans="1:17">
      <c r="A23" s="15"/>
      <c r="B23" s="16"/>
      <c r="C23" s="291">
        <v>2</v>
      </c>
      <c r="D23" s="16"/>
      <c r="E23" s="16"/>
      <c r="F23" s="16"/>
      <c r="G23" s="16"/>
      <c r="J23" s="63"/>
      <c r="L23" s="232"/>
      <c r="M23" s="233"/>
      <c r="N23" s="233"/>
      <c r="O23" s="233"/>
      <c r="P23" s="236"/>
      <c r="Q23" s="233"/>
    </row>
    <row r="24" spans="1:17">
      <c r="A24" s="15"/>
      <c r="B24" s="16"/>
      <c r="C24" s="16"/>
      <c r="D24" s="292"/>
      <c r="E24" s="293" t="s">
        <v>358</v>
      </c>
      <c r="F24" s="293"/>
      <c r="G24" s="107"/>
      <c r="H24" s="16"/>
      <c r="I24" s="16"/>
      <c r="J24" s="63"/>
      <c r="L24" s="232"/>
      <c r="M24" s="233"/>
      <c r="N24" s="233"/>
      <c r="O24" s="233"/>
      <c r="P24" s="236"/>
      <c r="Q24" s="233"/>
    </row>
    <row r="25" spans="1:17">
      <c r="A25" s="15"/>
      <c r="B25" s="16"/>
      <c r="C25" s="16"/>
      <c r="D25" s="16"/>
      <c r="H25" s="292" t="s">
        <v>359</v>
      </c>
      <c r="I25" s="16"/>
      <c r="J25" s="63"/>
      <c r="L25" s="232"/>
      <c r="M25" s="233"/>
      <c r="N25" s="233"/>
      <c r="O25" s="233"/>
      <c r="P25" s="236"/>
      <c r="Q25" s="233"/>
    </row>
    <row r="26" spans="1:17">
      <c r="A26" s="15"/>
      <c r="B26" s="16"/>
      <c r="C26" s="16"/>
      <c r="D26" s="16"/>
      <c r="E26" s="16"/>
      <c r="F26" s="16"/>
      <c r="G26" s="16"/>
      <c r="H26" s="16"/>
      <c r="I26" s="16"/>
      <c r="J26" s="63"/>
      <c r="L26" s="232"/>
      <c r="M26" s="233"/>
      <c r="N26" s="233"/>
      <c r="O26" s="233"/>
      <c r="P26" s="236"/>
      <c r="Q26" s="233"/>
    </row>
    <row r="27" spans="1:17">
      <c r="A27" s="15"/>
      <c r="B27" s="16"/>
      <c r="C27" s="16"/>
      <c r="D27" s="16"/>
      <c r="E27" s="16"/>
      <c r="F27" s="16"/>
      <c r="G27" s="16"/>
      <c r="H27" s="16"/>
      <c r="I27" s="16"/>
      <c r="J27" s="63"/>
      <c r="L27" s="232"/>
      <c r="M27" s="233"/>
      <c r="N27" s="233"/>
      <c r="O27" s="233"/>
      <c r="P27" s="236"/>
      <c r="Q27" s="233"/>
    </row>
    <row r="28" spans="1:17" ht="15.750000" customHeight="1">
      <c r="A28" s="15"/>
      <c r="B28" s="16"/>
      <c r="C28" s="16"/>
      <c r="D28" s="16"/>
      <c r="E28" s="16"/>
      <c r="F28" s="16"/>
      <c r="G28" s="16"/>
      <c r="H28" s="16"/>
      <c r="I28" s="16"/>
      <c r="J28" s="63"/>
      <c r="L28" s="232"/>
      <c r="M28" s="233"/>
      <c r="N28" s="233"/>
      <c r="O28" s="233"/>
      <c r="P28" s="236"/>
      <c r="Q28" s="233"/>
    </row>
    <row r="29" spans="1:17">
      <c r="A29" s="15"/>
      <c r="B29" s="16"/>
      <c r="C29" s="16"/>
      <c r="D29" s="16"/>
      <c r="E29" s="150" t="s">
        <v>360</v>
      </c>
      <c r="F29" s="288">
        <v>140</v>
      </c>
      <c r="G29" s="16"/>
      <c r="H29" s="16"/>
      <c r="I29" s="16"/>
      <c r="J29" s="63"/>
      <c r="L29" s="232"/>
      <c r="M29" s="233"/>
      <c r="N29" s="233"/>
      <c r="O29" s="233"/>
      <c r="P29" s="236"/>
      <c r="Q29" s="233"/>
    </row>
    <row r="30" spans="1:17">
      <c r="A30" s="15"/>
      <c r="B30" s="16"/>
      <c r="C30" s="16"/>
      <c r="D30" s="16"/>
      <c r="E30" s="16"/>
      <c r="F30" s="16"/>
      <c r="G30" s="16"/>
      <c r="H30" s="16"/>
      <c r="I30" s="16"/>
      <c r="J30" s="63"/>
      <c r="L30" s="232"/>
      <c r="M30" s="233"/>
      <c r="N30" s="233"/>
      <c r="O30" s="233"/>
      <c r="P30" s="236"/>
      <c r="Q30" s="233"/>
    </row>
    <row r="31" spans="1:17" ht="24.000000" customHeight="1">
      <c r="A31" s="34"/>
      <c r="B31" s="35"/>
      <c r="C31" s="35"/>
      <c r="D31" s="35"/>
      <c r="E31" s="35"/>
      <c r="F31" s="35"/>
      <c r="G31" s="35"/>
      <c r="H31" s="35"/>
      <c r="I31" s="35"/>
      <c r="J31" s="64"/>
      <c r="L31" s="260"/>
      <c r="M31" s="261"/>
      <c r="N31" s="261"/>
      <c r="O31" s="261"/>
      <c r="P31" s="267"/>
      <c r="Q31" s="233"/>
    </row>
  </sheetData>
  <sheetProtection sheet="1" password="ce28" objects="1" scenarios="1"/>
  <mergeCells count="36">
    <mergeCell ref="A1:P1"/>
    <mergeCell ref="O2:P2"/>
    <mergeCell ref="C4:D4"/>
    <mergeCell ref="F4:G4"/>
    <mergeCell ref="C5:D5"/>
    <mergeCell ref="F5:G5"/>
    <mergeCell ref="L5:P5"/>
    <mergeCell ref="C6:D6"/>
    <mergeCell ref="F6:G6"/>
    <mergeCell ref="L6:P6"/>
    <mergeCell ref="C7:D7"/>
    <mergeCell ref="F7:G7"/>
    <mergeCell ref="L7:P7"/>
    <mergeCell ref="C8:D8"/>
    <mergeCell ref="F8:G8"/>
    <mergeCell ref="L8:P8"/>
    <mergeCell ref="C9:D9"/>
    <mergeCell ref="F9:G9"/>
    <mergeCell ref="C10:D10"/>
    <mergeCell ref="F10:G10"/>
    <mergeCell ref="C11:D11"/>
    <mergeCell ref="F11:G11"/>
    <mergeCell ref="C12:D12"/>
    <mergeCell ref="F12:G12"/>
    <mergeCell ref="B13:B14"/>
    <mergeCell ref="C13:D13"/>
    <mergeCell ref="F13:G13"/>
    <mergeCell ref="C14:D14"/>
    <mergeCell ref="F14:G14"/>
    <mergeCell ref="E16:G16"/>
    <mergeCell ref="E17:G17"/>
    <mergeCell ref="E18:G18"/>
    <mergeCell ref="B19:C19"/>
    <mergeCell ref="H20:I20"/>
    <mergeCell ref="H22:I22"/>
    <mergeCell ref="E24:G24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59"/>
  <sheetViews>
    <sheetView showGridLines="0" showRowColHeaders="0" zoomScale="70" zoomScaleNormal="70" workbookViewId="0">
      <pane xSplit="19" ySplit="38" topLeftCell="T39" activePane="bottomRight" state="frozen"/>
      <selection pane="topRight" activeCell="T1" sqref="T1"/>
      <selection pane="bottomLeft" activeCell="A39" sqref="A39"/>
      <selection pane="bottomRight" activeCell="A1" sqref="A1:Q1"/>
    </sheetView>
  </sheetViews>
  <sheetFormatPr defaultColWidth="9.00000000" defaultRowHeight="16.200000"/>
  <cols>
    <col min="1" max="1" style="3" width="2.43357144" customWidth="1" outlineLevel="0"/>
    <col min="2" max="5" style="3" width="11.71928583" customWidth="1" outlineLevel="0"/>
    <col min="6" max="6" style="3" width="1.71928571" customWidth="1" outlineLevel="0"/>
    <col min="7" max="7" style="3" width="10.29071413" customWidth="1" outlineLevel="0"/>
    <col min="8" max="17" style="3" width="7.29071413" customWidth="1" outlineLevel="0"/>
    <col min="18" max="16384" style="3" width="9.00499998" customWidth="1" outlineLevel="0"/>
  </cols>
  <sheetData>
    <row r="1" spans="1:18" ht="26.250000" customHeight="1">
      <c r="A1" s="813" t="s">
        <v>361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</row>
    <row r="2" spans="1:18" s="2" customFormat="1" ht="21.750000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4.54008438818565</v>
      </c>
      <c r="E2" s="186" t="s">
        <v>364</v>
      </c>
      <c r="F2" s="188"/>
      <c r="G2" s="187">
        <f>((D19*E19)+(D20*E20)+(D21*E21)+(D22*E22)+(D23*E23)+(D24*E24)+(D25*E25)+(D26*E26)+(D27*E27)+(D28*E28)+(D29*E29)+(D30*E30))/(SUM(E19:E30))</f>
        <v>0</v>
      </c>
      <c r="H2" s="189" t="s">
        <v>51</v>
      </c>
    </row>
    <row r="3" spans="1:18" s="2" customFormat="1" ht="21.750000" customHeight="1">
      <c r="B3" s="188" t="s">
        <v>365</v>
      </c>
      <c r="C3" s="187">
        <f>SUM(E19:E30)/1000</f>
        <v>592.5</v>
      </c>
      <c r="D3" s="188" t="s">
        <v>2</v>
      </c>
      <c r="E3" s="814" t="s">
        <v>366</v>
      </c>
      <c r="F3" s="814"/>
      <c r="G3" s="247">
        <f>IF(J6&lt;D14,J6,D14)</f>
        <v>198.711192027597</v>
      </c>
      <c r="I3" s="262" t="s">
        <v>2</v>
      </c>
      <c r="J3" s="815" t="str">
        <f>IF(C15&gt;4000,"滑塊尺寸過大,圖形顯示不完整",IF(C16&gt;4000,"台盤尺寸過大,圖形顯示不完整",IF(E15&gt;1600,"滑塊尺寸過大,圖形顯示不完整",IF(E16&gt;1600,"台盤尺寸過大,圖形顯示不完整",IF(C17&gt;3600,"模具尺寸過大,圖形顯示不完整",IF(E17&gt;1400,"模具尺寸過大,圖形顯示不完整","  "))))))</f>
        <v>  </v>
      </c>
      <c r="K3" s="89"/>
      <c r="L3" s="89"/>
      <c r="M3" s="89"/>
      <c r="N3" s="89"/>
      <c r="O3" s="653"/>
      <c r="P3" s="263" t="s">
        <v>290</v>
      </c>
      <c r="Q3" s="264">
        <f>TODAY()</f>
        <v>43411</v>
      </c>
    </row>
    <row r="4" spans="1:18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62"/>
    </row>
    <row r="5" spans="1:18">
      <c r="A5" s="15"/>
      <c r="C5" s="190" t="s">
        <v>205</v>
      </c>
      <c r="D5" s="257">
        <v>1400</v>
      </c>
      <c r="E5" s="191"/>
      <c r="Q5" s="63"/>
    </row>
    <row r="6" spans="1:18">
      <c r="A6" s="15"/>
      <c r="J6" s="192">
        <f>D14*1/2*D5/(J7+D5/2)</f>
        <v>198.711192027597</v>
      </c>
      <c r="Q6" s="63"/>
    </row>
    <row r="7" spans="1:18">
      <c r="A7" s="15"/>
      <c r="G7" s="193"/>
      <c r="H7" s="194" t="s">
        <v>293</v>
      </c>
      <c r="I7" s="194" t="s">
        <v>294</v>
      </c>
      <c r="J7" s="3">
        <f>ABS(D2)</f>
        <v>4.54008438818565</v>
      </c>
      <c r="Q7" s="63"/>
    </row>
    <row r="8" spans="1:18">
      <c r="A8" s="15"/>
      <c r="C8" s="195"/>
      <c r="G8" s="196" t="s">
        <v>367</v>
      </c>
      <c r="H8" s="197">
        <f>C15/2</f>
        <v>700</v>
      </c>
      <c r="I8" s="197">
        <f>E15/2</f>
        <v>500</v>
      </c>
      <c r="Q8" s="63"/>
    </row>
    <row r="9" spans="1:18">
      <c r="A9" s="15"/>
      <c r="C9" s="193">
        <f>C15</f>
        <v>1400</v>
      </c>
      <c r="D9" s="816"/>
      <c r="G9" s="193"/>
      <c r="H9" s="197">
        <f>-C15/2</f>
        <v>-700</v>
      </c>
      <c r="I9" s="197">
        <f>E15/2</f>
        <v>500</v>
      </c>
      <c r="Q9" s="63"/>
    </row>
    <row r="10" spans="1:18" ht="19.500000" customHeight="1">
      <c r="A10" s="15"/>
      <c r="G10" s="193"/>
      <c r="H10" s="197">
        <f>-C15/2</f>
        <v>-700</v>
      </c>
      <c r="I10" s="197">
        <f>-E15/2</f>
        <v>-500</v>
      </c>
      <c r="Q10" s="63"/>
    </row>
    <row r="11" spans="1:18">
      <c r="A11" s="15"/>
      <c r="B11" s="817" t="s">
        <v>368</v>
      </c>
      <c r="C11" s="817"/>
      <c r="D11" s="817"/>
      <c r="E11" s="817"/>
      <c r="G11" s="193"/>
      <c r="H11" s="197">
        <f>C15/2</f>
        <v>700</v>
      </c>
      <c r="I11" s="197">
        <f>-E15/2</f>
        <v>-500</v>
      </c>
      <c r="J11" s="31"/>
      <c r="Q11" s="63"/>
    </row>
    <row r="12" spans="1:18">
      <c r="A12" s="15"/>
      <c r="B12" s="817" t="s">
        <v>369</v>
      </c>
      <c r="C12" s="199"/>
      <c r="D12" s="199"/>
      <c r="E12" s="199"/>
      <c r="H12" s="197">
        <f>C15/2</f>
        <v>700</v>
      </c>
      <c r="I12" s="197">
        <f>E15/2</f>
        <v>500</v>
      </c>
      <c r="J12" s="200"/>
      <c r="K12" s="201"/>
      <c r="L12" s="201"/>
      <c r="M12" s="201"/>
      <c r="N12" s="201"/>
      <c r="O12" s="201"/>
      <c r="P12" s="201"/>
      <c r="Q12" s="265"/>
      <c r="R12" s="72"/>
    </row>
    <row r="13" spans="1:18" ht="9.000000" customHeight="1">
      <c r="A13" s="15"/>
      <c r="G13" s="201"/>
      <c r="H13" s="201"/>
      <c r="I13" s="201"/>
      <c r="J13" s="194"/>
      <c r="K13" s="194"/>
      <c r="L13" s="194"/>
      <c r="M13" s="194"/>
      <c r="N13" s="194"/>
      <c r="O13" s="194"/>
      <c r="P13" s="194"/>
      <c r="Q13" s="228"/>
    </row>
    <row r="14" spans="1:18">
      <c r="A14" s="15"/>
      <c r="B14" s="202" t="s">
        <v>370</v>
      </c>
      <c r="C14" s="203" t="s">
        <v>371</v>
      </c>
      <c r="D14" s="230">
        <v>200</v>
      </c>
      <c r="E14" s="205"/>
      <c r="G14" s="196" t="s">
        <v>372</v>
      </c>
      <c r="H14" s="197">
        <f>C16/2</f>
        <v>750</v>
      </c>
      <c r="I14" s="197">
        <f>E16/2</f>
        <v>750</v>
      </c>
      <c r="J14" s="194"/>
      <c r="K14" s="194"/>
      <c r="L14" s="194"/>
      <c r="M14" s="194"/>
      <c r="N14" s="194"/>
      <c r="O14" s="194"/>
      <c r="P14" s="194"/>
      <c r="Q14" s="228"/>
    </row>
    <row r="15" spans="1:18" ht="32.250000">
      <c r="A15" s="15"/>
      <c r="B15" s="206" t="s">
        <v>373</v>
      </c>
      <c r="C15" s="220">
        <v>1400</v>
      </c>
      <c r="D15" s="208" t="s">
        <v>374</v>
      </c>
      <c r="E15" s="78">
        <v>1000</v>
      </c>
      <c r="G15" s="196"/>
      <c r="H15" s="197">
        <f>-C16/2</f>
        <v>-750</v>
      </c>
      <c r="I15" s="197">
        <f>E16/2</f>
        <v>750</v>
      </c>
      <c r="J15" s="194"/>
      <c r="K15" s="194"/>
      <c r="L15" s="194"/>
      <c r="M15" s="194"/>
      <c r="N15" s="194"/>
      <c r="O15" s="194"/>
      <c r="P15" s="194"/>
      <c r="Q15" s="228"/>
    </row>
    <row r="16" spans="1:18">
      <c r="A16" s="15"/>
      <c r="B16" s="209" t="s">
        <v>375</v>
      </c>
      <c r="C16" s="222">
        <v>1500</v>
      </c>
      <c r="D16" s="211" t="s">
        <v>376</v>
      </c>
      <c r="E16" s="223">
        <v>1500</v>
      </c>
      <c r="G16" s="196"/>
      <c r="H16" s="197">
        <f>-C16/2</f>
        <v>-750</v>
      </c>
      <c r="I16" s="197">
        <f>-E16/2</f>
        <v>-750</v>
      </c>
      <c r="J16" s="194"/>
      <c r="K16" s="194"/>
      <c r="L16" s="194"/>
      <c r="M16" s="194"/>
      <c r="N16" s="194"/>
      <c r="O16" s="194"/>
      <c r="P16" s="194"/>
      <c r="Q16" s="228"/>
    </row>
    <row r="17" spans="1:19">
      <c r="A17" s="15"/>
      <c r="B17" s="212" t="s">
        <v>377</v>
      </c>
      <c r="C17" s="213">
        <v>1300</v>
      </c>
      <c r="D17" s="214" t="s">
        <v>378</v>
      </c>
      <c r="E17" s="215">
        <v>850</v>
      </c>
      <c r="G17" s="196"/>
      <c r="H17" s="197">
        <f>C16/2</f>
        <v>750</v>
      </c>
      <c r="I17" s="197">
        <f>-E16/2</f>
        <v>-750</v>
      </c>
      <c r="J17" s="194"/>
      <c r="K17" s="194"/>
      <c r="L17" s="194"/>
      <c r="M17" s="194"/>
      <c r="N17" s="194"/>
      <c r="O17" s="194"/>
      <c r="P17" s="194"/>
      <c r="Q17" s="228"/>
      <c r="S17" s="72"/>
    </row>
    <row r="18" spans="1:19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197">
        <f>C16/2</f>
        <v>750</v>
      </c>
      <c r="I18" s="197">
        <f>E16/2</f>
        <v>750</v>
      </c>
      <c r="J18" s="194"/>
      <c r="K18" s="194"/>
      <c r="L18" s="194"/>
      <c r="M18" s="194"/>
      <c r="N18" s="194"/>
      <c r="O18" s="194"/>
      <c r="P18" s="194"/>
      <c r="Q18" s="228"/>
    </row>
    <row r="19" spans="1:19">
      <c r="A19" s="15"/>
      <c r="B19" s="219" t="s">
        <v>383</v>
      </c>
      <c r="C19" s="220">
        <v>-200</v>
      </c>
      <c r="D19" s="220">
        <v>0</v>
      </c>
      <c r="E19" s="78">
        <v>500</v>
      </c>
      <c r="J19" s="194"/>
      <c r="K19" s="194"/>
      <c r="L19" s="194"/>
      <c r="M19" s="194"/>
      <c r="N19" s="194"/>
      <c r="O19" s="194"/>
      <c r="P19" s="194"/>
      <c r="Q19" s="228"/>
    </row>
    <row r="20" spans="1:19">
      <c r="A20" s="15"/>
      <c r="B20" s="219" t="s">
        <v>384</v>
      </c>
      <c r="C20" s="220">
        <v>-180</v>
      </c>
      <c r="D20" s="220">
        <v>0</v>
      </c>
      <c r="E20" s="78">
        <v>25000</v>
      </c>
      <c r="J20" s="194"/>
      <c r="K20" s="194"/>
      <c r="L20" s="194"/>
      <c r="M20" s="194"/>
      <c r="N20" s="194"/>
      <c r="O20" s="194"/>
      <c r="P20" s="194"/>
      <c r="Q20" s="228"/>
    </row>
    <row r="21" spans="1:19">
      <c r="A21" s="15"/>
      <c r="B21" s="219" t="s">
        <v>385</v>
      </c>
      <c r="C21" s="220">
        <v>0</v>
      </c>
      <c r="D21" s="220">
        <v>0</v>
      </c>
      <c r="E21" s="78">
        <v>550000</v>
      </c>
      <c r="G21" s="196" t="s">
        <v>386</v>
      </c>
      <c r="H21" s="197">
        <f>C17/2</f>
        <v>650</v>
      </c>
      <c r="I21" s="197">
        <f>E17/2</f>
        <v>425</v>
      </c>
      <c r="J21" s="194"/>
      <c r="K21" s="194"/>
      <c r="L21" s="194"/>
      <c r="M21" s="194"/>
      <c r="N21" s="194"/>
      <c r="O21" s="194"/>
      <c r="P21" s="194"/>
      <c r="Q21" s="228"/>
    </row>
    <row r="22" spans="1:19">
      <c r="A22" s="15"/>
      <c r="B22" s="219" t="s">
        <v>387</v>
      </c>
      <c r="C22" s="220">
        <v>360</v>
      </c>
      <c r="D22" s="220">
        <v>0</v>
      </c>
      <c r="E22" s="78">
        <v>4000</v>
      </c>
      <c r="G22" s="193"/>
      <c r="H22" s="197">
        <f>-C17/2</f>
        <v>-650</v>
      </c>
      <c r="I22" s="197">
        <f>E17/2</f>
        <v>425</v>
      </c>
      <c r="J22" s="194"/>
      <c r="K22" s="194"/>
      <c r="L22" s="194"/>
      <c r="M22" s="194"/>
      <c r="N22" s="194"/>
      <c r="O22" s="194"/>
      <c r="P22" s="194"/>
      <c r="Q22" s="228"/>
    </row>
    <row r="23" spans="1:19">
      <c r="A23" s="15"/>
      <c r="B23" s="219" t="s">
        <v>388</v>
      </c>
      <c r="C23" s="220">
        <v>450</v>
      </c>
      <c r="D23" s="220">
        <v>0</v>
      </c>
      <c r="E23" s="78">
        <v>13000</v>
      </c>
      <c r="G23" s="196"/>
      <c r="H23" s="197">
        <f>-C17/2</f>
        <v>-650</v>
      </c>
      <c r="I23" s="197">
        <f>-E17/2</f>
        <v>-425</v>
      </c>
      <c r="J23" s="194"/>
      <c r="K23" s="194"/>
      <c r="L23" s="194"/>
      <c r="M23" s="194"/>
      <c r="N23" s="194"/>
      <c r="O23" s="194"/>
      <c r="P23" s="194"/>
      <c r="Q23" s="228"/>
    </row>
    <row r="24" spans="1:19">
      <c r="A24" s="15"/>
      <c r="B24" s="219" t="s">
        <v>389</v>
      </c>
      <c r="C24" s="220"/>
      <c r="D24" s="220"/>
      <c r="E24" s="78"/>
      <c r="G24" s="196"/>
      <c r="H24" s="197">
        <f>C17/2</f>
        <v>650</v>
      </c>
      <c r="I24" s="197">
        <f>-E17/2</f>
        <v>-425</v>
      </c>
      <c r="J24" s="194"/>
      <c r="K24" s="194"/>
      <c r="L24" s="194"/>
      <c r="M24" s="194"/>
      <c r="N24" s="194"/>
      <c r="O24" s="194"/>
      <c r="P24" s="194"/>
      <c r="Q24" s="228"/>
    </row>
    <row r="25" spans="1:19">
      <c r="A25" s="15"/>
      <c r="B25" s="219" t="s">
        <v>390</v>
      </c>
      <c r="C25" s="220"/>
      <c r="D25" s="220"/>
      <c r="E25" s="78"/>
      <c r="H25" s="197">
        <f>C17/2</f>
        <v>650</v>
      </c>
      <c r="I25" s="197">
        <f>E17/2</f>
        <v>425</v>
      </c>
      <c r="J25" s="194"/>
      <c r="K25" s="194"/>
      <c r="L25" s="194"/>
      <c r="M25" s="194"/>
      <c r="N25" s="194"/>
      <c r="O25" s="194"/>
      <c r="P25" s="194"/>
      <c r="Q25" s="228"/>
    </row>
    <row r="26" spans="1:19">
      <c r="A26" s="15"/>
      <c r="B26" s="219" t="s">
        <v>391</v>
      </c>
      <c r="C26" s="220"/>
      <c r="D26" s="220"/>
      <c r="E26" s="78"/>
      <c r="J26" s="193"/>
      <c r="K26" s="193"/>
      <c r="L26" s="194"/>
      <c r="M26" s="193"/>
      <c r="N26" s="194"/>
      <c r="O26" s="193"/>
      <c r="P26" s="194"/>
      <c r="Q26" s="266"/>
    </row>
    <row r="27" spans="1:19">
      <c r="A27" s="15"/>
      <c r="B27" s="219" t="s">
        <v>392</v>
      </c>
      <c r="C27" s="220"/>
      <c r="D27" s="220"/>
      <c r="E27" s="78"/>
      <c r="G27" s="258" t="s">
        <v>107</v>
      </c>
      <c r="H27" s="142"/>
      <c r="I27" s="142"/>
      <c r="J27" s="142"/>
      <c r="K27" s="142"/>
      <c r="L27" s="142"/>
      <c r="M27" s="142"/>
      <c r="N27" s="142"/>
      <c r="O27" s="142"/>
      <c r="P27" s="142"/>
      <c r="Q27" s="172"/>
    </row>
    <row r="28" spans="1:19">
      <c r="A28" s="15"/>
      <c r="B28" s="219" t="s">
        <v>393</v>
      </c>
      <c r="C28" s="220"/>
      <c r="D28" s="220"/>
      <c r="E28" s="78"/>
      <c r="G28" s="145"/>
      <c r="H28" s="259"/>
      <c r="I28" s="259"/>
      <c r="J28" s="144"/>
      <c r="K28" s="144"/>
      <c r="L28" s="144"/>
      <c r="M28" s="144"/>
      <c r="N28" s="144"/>
      <c r="O28" s="144"/>
      <c r="P28" s="144"/>
      <c r="Q28" s="173"/>
    </row>
    <row r="29" spans="1:19">
      <c r="A29" s="15"/>
      <c r="B29" s="219" t="s">
        <v>394</v>
      </c>
      <c r="C29" s="220"/>
      <c r="D29" s="220"/>
      <c r="E29" s="78"/>
      <c r="G29" s="145"/>
      <c r="H29" s="259"/>
      <c r="I29" s="259"/>
      <c r="J29" s="259"/>
      <c r="K29" s="144"/>
      <c r="L29" s="144"/>
      <c r="M29" s="144"/>
      <c r="N29" s="144"/>
      <c r="O29" s="144"/>
      <c r="P29" s="144"/>
      <c r="Q29" s="173"/>
    </row>
    <row r="30" spans="1:19">
      <c r="A30" s="15"/>
      <c r="B30" s="221" t="s">
        <v>395</v>
      </c>
      <c r="C30" s="222"/>
      <c r="D30" s="222"/>
      <c r="E30" s="223"/>
      <c r="G30" s="232"/>
      <c r="H30" s="233"/>
      <c r="I30" s="233"/>
      <c r="J30" s="233"/>
      <c r="K30" s="233"/>
      <c r="L30" s="233"/>
      <c r="M30" s="233"/>
      <c r="N30" s="233"/>
      <c r="O30" s="233"/>
      <c r="P30" s="233"/>
      <c r="Q30" s="236"/>
    </row>
    <row r="31" spans="1:19" ht="6.000000" customHeight="1">
      <c r="A31" s="34"/>
      <c r="B31" s="224"/>
      <c r="C31" s="225"/>
      <c r="D31" s="225"/>
      <c r="E31" s="225"/>
      <c r="F31" s="35"/>
      <c r="G31" s="260"/>
      <c r="H31" s="261"/>
      <c r="I31" s="261"/>
      <c r="J31" s="261"/>
      <c r="K31" s="261"/>
      <c r="L31" s="261"/>
      <c r="M31" s="261"/>
      <c r="N31" s="261"/>
      <c r="O31" s="261"/>
      <c r="P31" s="261"/>
      <c r="Q31" s="267"/>
    </row>
    <row r="32" spans="1:19">
      <c r="A32" s="12"/>
      <c r="C32" s="72"/>
      <c r="E32" s="72"/>
    </row>
    <row r="49" spans="1:2">
      <c r="A49" s="72"/>
      <c r="B49" s="72"/>
    </row>
    <row r="50" spans="1:2">
      <c r="A50" s="72"/>
      <c r="B50" s="72"/>
    </row>
    <row r="51" spans="1:2">
      <c r="A51" s="72"/>
      <c r="B51" s="72"/>
    </row>
    <row r="52" spans="1:2">
      <c r="A52" s="72"/>
      <c r="B52" s="72"/>
    </row>
    <row r="53" spans="1:2">
      <c r="A53" s="72"/>
      <c r="B53" s="72"/>
    </row>
    <row r="54" spans="1:2">
      <c r="A54" s="72"/>
      <c r="B54" s="72"/>
    </row>
    <row r="55" spans="1:2">
      <c r="A55" s="72"/>
      <c r="B55" s="72"/>
    </row>
    <row r="56" spans="1:2">
      <c r="A56" s="72"/>
      <c r="B56" s="72"/>
    </row>
    <row r="57" spans="1:2">
      <c r="A57" s="72"/>
      <c r="B57" s="72"/>
    </row>
    <row r="58" spans="1:2">
      <c r="A58" s="72"/>
      <c r="B58" s="72"/>
    </row>
    <row r="59" spans="1:2">
      <c r="A59" s="3"/>
      <c r="B59" s="3"/>
    </row>
  </sheetData>
  <sheetProtection sheet="1" password="ce28" objects="1" scenarios="1"/>
  <mergeCells count="20">
    <mergeCell ref="A1:Q1"/>
    <mergeCell ref="E2:F2"/>
    <mergeCell ref="E3:F3"/>
    <mergeCell ref="J3:O3"/>
    <mergeCell ref="G8:G11"/>
    <mergeCell ref="C9:D9"/>
    <mergeCell ref="B11:E11"/>
    <mergeCell ref="B12:E12"/>
    <mergeCell ref="G14:G17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59"/>
  <sheetViews>
    <sheetView showGridLines="0" showRowColHeaders="0" zoomScale="70" zoomScaleNormal="70" workbookViewId="0">
      <pane xSplit="14" ySplit="36" topLeftCell="O37" activePane="bottomRight" state="frozen"/>
      <selection pane="topRight" activeCell="O1" sqref="O1"/>
      <selection pane="bottomLeft" activeCell="A37" sqref="A37"/>
      <selection pane="bottomRight" activeCell="O37" sqref="O37"/>
    </sheetView>
  </sheetViews>
  <sheetFormatPr defaultColWidth="9.00000000" defaultRowHeight="16.200000"/>
  <cols>
    <col min="1" max="1" style="3" width="2.43357144" customWidth="1" outlineLevel="0"/>
    <col min="2" max="5" style="3" width="11.71928583" customWidth="1" outlineLevel="0"/>
    <col min="6" max="6" style="3" width="1.71928571" customWidth="1" outlineLevel="0"/>
    <col min="7" max="13" style="3" width="12.00499998" customWidth="1" outlineLevel="0"/>
    <col min="14" max="14" style="3" width="10.71928583" customWidth="1" outlineLevel="0"/>
    <col min="15" max="16384" style="3" width="9.00499998" customWidth="1" outlineLevel="0"/>
  </cols>
  <sheetData>
    <row r="1" spans="1:13" ht="60.000000" customHeight="1">
      <c r="A1" s="818" t="s">
        <v>396</v>
      </c>
      <c r="B1" s="818"/>
      <c r="C1" s="818"/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13" s="2" customFormat="1" ht="21.750000" customHeight="1">
      <c r="B2" s="246" t="s">
        <v>397</v>
      </c>
      <c r="C2" s="186" t="s">
        <v>363</v>
      </c>
      <c r="D2" s="187">
        <f>((C19*E19)+(C20*E20)+(C21*E21)+(C22*E22)+(C23*E23)+(C24*E24)+(C25*E25)+(C26*E26)+(C27*E27)+(C28*E28)+(C29*E29)+(C30*E30))/(SUM(E19:E30))</f>
        <v>-211.526576019778</v>
      </c>
      <c r="E2" s="186" t="s">
        <v>364</v>
      </c>
      <c r="F2" s="188"/>
      <c r="G2" s="187">
        <f>((D19*E19)+(D20*E20)+(D21*E21)+(D22*E22)+(D23*E23)+(D24*E24)+(D25*E25)+(D26*E26)+(D27*E27)+(D28*E28)+(D29*E29)+(D30*E30))/(SUM(E19:E30))</f>
        <v>0</v>
      </c>
      <c r="H2" s="189" t="s">
        <v>51</v>
      </c>
    </row>
    <row r="3" spans="1:13" s="2" customFormat="1" ht="21.750000" customHeight="1">
      <c r="B3" s="188" t="s">
        <v>398</v>
      </c>
      <c r="C3" s="187">
        <f>SUM(E19:E30)/1000</f>
        <v>161.8</v>
      </c>
      <c r="D3" s="188" t="s">
        <v>2</v>
      </c>
      <c r="E3" s="819" t="s">
        <v>399</v>
      </c>
      <c r="F3" s="819"/>
      <c r="G3" s="247">
        <f>IF(G6&lt;C14,G6,C14)</f>
        <v>185.315076529494</v>
      </c>
      <c r="H3" s="248" t="s">
        <v>400</v>
      </c>
      <c r="I3" s="815" t="str">
        <f>IF(H7=0,"公稱壓力輸入錯誤,請更正",IF(C3&gt;H7,"沖壓力已超過沖床負荷",IF(C3&gt;G3,"沖壓力已超過沖床偏心負荷能力","  ")))</f>
        <v>  </v>
      </c>
      <c r="J3" s="815"/>
      <c r="K3" s="820"/>
      <c r="L3" s="252" t="s">
        <v>88</v>
      </c>
      <c r="M3" s="253">
        <f>TODAY()</f>
        <v>43411</v>
      </c>
    </row>
    <row r="4" spans="1:1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62"/>
    </row>
    <row r="5" spans="1:13">
      <c r="A5" s="15"/>
      <c r="C5" s="190" t="s">
        <v>205</v>
      </c>
      <c r="D5" s="191">
        <f>IF(C14=110,790,IF(C14=160,850,IF(C14=200,1050,IF(C14=250,1212,"   "))))</f>
        <v>1212</v>
      </c>
      <c r="M5" s="63"/>
    </row>
    <row r="6" spans="1:13">
      <c r="A6" s="15"/>
      <c r="G6" s="192">
        <f>C14*1/2*D5/(H14+D5/2)</f>
        <v>185.315076529494</v>
      </c>
      <c r="M6" s="63"/>
    </row>
    <row r="7" spans="1:13">
      <c r="A7" s="15"/>
      <c r="H7" s="3">
        <f>SUM(H8:H12)</f>
        <v>250</v>
      </c>
      <c r="M7" s="63"/>
    </row>
    <row r="8" spans="1:13">
      <c r="A8" s="15"/>
      <c r="H8" s="3">
        <f>IF(C14=110,110,0)</f>
        <v>0</v>
      </c>
      <c r="M8" s="63"/>
    </row>
    <row r="9" spans="1:13">
      <c r="A9" s="15"/>
      <c r="C9" s="249">
        <f>C15</f>
        <v>2100</v>
      </c>
      <c r="D9" s="134"/>
      <c r="H9" s="3">
        <f>IF(C14=160,160,0)</f>
        <v>0</v>
      </c>
      <c r="M9" s="63"/>
    </row>
    <row r="10" spans="1:13" ht="19.500000" customHeight="1">
      <c r="A10" s="15"/>
      <c r="H10" s="3">
        <f>IF(C14=200,200,0)</f>
        <v>0</v>
      </c>
      <c r="M10" s="63"/>
    </row>
    <row r="11" spans="1:13">
      <c r="A11" s="15"/>
      <c r="B11" s="817" t="s">
        <v>401</v>
      </c>
      <c r="C11" s="817"/>
      <c r="D11" s="817"/>
      <c r="E11" s="817"/>
      <c r="H11" s="3">
        <f>IF(C14=250,250,0)</f>
        <v>250</v>
      </c>
      <c r="M11" s="63"/>
    </row>
    <row r="12" spans="1:13">
      <c r="A12" s="15"/>
      <c r="B12" s="817" t="s">
        <v>402</v>
      </c>
      <c r="C12" s="199"/>
      <c r="D12" s="199"/>
      <c r="E12" s="199"/>
      <c r="M12" s="63"/>
    </row>
    <row r="13" spans="1:13" ht="9.000000" customHeight="1">
      <c r="A13" s="15"/>
      <c r="M13" s="63"/>
    </row>
    <row r="14" spans="1:13">
      <c r="A14" s="15"/>
      <c r="B14" s="239" t="s">
        <v>403</v>
      </c>
      <c r="C14" s="230">
        <v>250</v>
      </c>
      <c r="D14" s="204" t="s">
        <v>404</v>
      </c>
      <c r="E14" s="205"/>
      <c r="G14" s="31" t="s">
        <v>293</v>
      </c>
      <c r="H14" s="3">
        <f>ABS(D2)</f>
        <v>211.526576019778</v>
      </c>
      <c r="I14" s="72"/>
      <c r="K14" s="72"/>
      <c r="M14" s="63"/>
    </row>
    <row r="15" spans="1:13" ht="32.250000">
      <c r="A15" s="15"/>
      <c r="B15" s="206" t="s">
        <v>373</v>
      </c>
      <c r="C15" s="207">
        <f>IF(C14=110,1400,IF(C14=160,1600,IF(C14=200,1850,IF(C14=250,2100,"     "))))</f>
        <v>2100</v>
      </c>
      <c r="D15" s="208" t="s">
        <v>374</v>
      </c>
      <c r="E15" s="79">
        <f>IF(C14=110,500,IF(C14=160,550,IF(C14=200,650,IF(C14=250,700,"    "))))</f>
        <v>700</v>
      </c>
      <c r="G15" s="31" t="s">
        <v>294</v>
      </c>
      <c r="I15" s="72"/>
      <c r="K15" s="72"/>
      <c r="M15" s="63"/>
    </row>
    <row r="16" spans="1:13">
      <c r="A16" s="15"/>
      <c r="B16" s="209" t="s">
        <v>375</v>
      </c>
      <c r="C16" s="210">
        <f>IF(C14=110,1800,IF(C14=160,2000,IF(C14=200,2400,IF(C14=250,2700,"    "))))</f>
        <v>2700</v>
      </c>
      <c r="D16" s="211" t="s">
        <v>376</v>
      </c>
      <c r="E16" s="80">
        <f>IF(C14=110,650,IF(C14=160,760,IF(C14=200,840,IF(C14=250,900,"   "))))</f>
        <v>900</v>
      </c>
      <c r="G16" s="31" t="s">
        <v>405</v>
      </c>
      <c r="I16" s="254" t="s">
        <v>293</v>
      </c>
      <c r="J16" s="254" t="s">
        <v>294</v>
      </c>
      <c r="L16" s="251"/>
      <c r="M16" s="63"/>
    </row>
    <row r="17" spans="1:13">
      <c r="A17" s="15"/>
      <c r="B17" s="212" t="s">
        <v>377</v>
      </c>
      <c r="C17" s="213">
        <v>2000</v>
      </c>
      <c r="D17" s="214" t="s">
        <v>406</v>
      </c>
      <c r="E17" s="215">
        <v>600</v>
      </c>
      <c r="G17" s="250" t="s">
        <v>367</v>
      </c>
      <c r="H17" s="251"/>
      <c r="I17" s="254">
        <f>C15/2</f>
        <v>1050</v>
      </c>
      <c r="J17" s="254">
        <f>E15/2</f>
        <v>350</v>
      </c>
      <c r="K17" s="254">
        <f>C17/2</f>
        <v>1000</v>
      </c>
      <c r="L17" s="254">
        <f>E17/2</f>
        <v>300</v>
      </c>
      <c r="M17" s="63"/>
    </row>
    <row r="18" spans="1:13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250"/>
      <c r="I18" s="254">
        <f>-C15/2</f>
        <v>-1050</v>
      </c>
      <c r="J18" s="254">
        <f>E15/2</f>
        <v>350</v>
      </c>
      <c r="K18" s="254">
        <f>-C17/2</f>
        <v>-1000</v>
      </c>
      <c r="L18" s="254">
        <f>E17/2</f>
        <v>300</v>
      </c>
      <c r="M18" s="255"/>
    </row>
    <row r="19" spans="1:13">
      <c r="A19" s="15"/>
      <c r="B19" s="219" t="s">
        <v>383</v>
      </c>
      <c r="C19" s="220">
        <v>-500</v>
      </c>
      <c r="D19" s="220">
        <v>0</v>
      </c>
      <c r="E19" s="78">
        <v>66000</v>
      </c>
      <c r="G19" s="250"/>
      <c r="H19" s="250"/>
      <c r="I19" s="254">
        <f>-C15/2</f>
        <v>-1050</v>
      </c>
      <c r="J19" s="254">
        <f>-E15/2</f>
        <v>-350</v>
      </c>
      <c r="K19" s="254">
        <f>-C17/2</f>
        <v>-1000</v>
      </c>
      <c r="L19" s="254">
        <f>-E17/2</f>
        <v>-300</v>
      </c>
      <c r="M19" s="255"/>
    </row>
    <row r="20" spans="1:13">
      <c r="A20" s="15"/>
      <c r="B20" s="219" t="s">
        <v>384</v>
      </c>
      <c r="C20" s="220">
        <v>-250</v>
      </c>
      <c r="D20" s="220">
        <v>0</v>
      </c>
      <c r="E20" s="78">
        <v>42000</v>
      </c>
      <c r="G20" s="250"/>
      <c r="H20" s="250"/>
      <c r="I20" s="254">
        <f>C15/2</f>
        <v>1050</v>
      </c>
      <c r="J20" s="254">
        <f>-E15/2</f>
        <v>-350</v>
      </c>
      <c r="K20" s="254">
        <f>C17/2</f>
        <v>1000</v>
      </c>
      <c r="L20" s="254">
        <f>-E17/2</f>
        <v>-300</v>
      </c>
      <c r="M20" s="255"/>
    </row>
    <row r="21" spans="1:13">
      <c r="A21" s="15"/>
      <c r="B21" s="219" t="s">
        <v>385</v>
      </c>
      <c r="C21" s="220">
        <v>0</v>
      </c>
      <c r="D21" s="220">
        <v>0</v>
      </c>
      <c r="E21" s="78">
        <v>29000</v>
      </c>
      <c r="G21" s="250"/>
      <c r="H21" s="250"/>
      <c r="I21" s="254">
        <f>C15/2</f>
        <v>1050</v>
      </c>
      <c r="J21" s="254">
        <f>E15/2</f>
        <v>350</v>
      </c>
      <c r="K21" s="254">
        <f>C17/2</f>
        <v>1000</v>
      </c>
      <c r="L21" s="254">
        <f>E17/2</f>
        <v>300</v>
      </c>
      <c r="M21" s="255"/>
    </row>
    <row r="22" spans="1:13">
      <c r="A22" s="15"/>
      <c r="B22" s="219" t="s">
        <v>387</v>
      </c>
      <c r="C22" s="220">
        <v>250</v>
      </c>
      <c r="D22" s="220">
        <v>0</v>
      </c>
      <c r="E22" s="78">
        <v>12500</v>
      </c>
      <c r="G22" s="250" t="s">
        <v>372</v>
      </c>
      <c r="H22" s="250"/>
      <c r="I22" s="254">
        <f>C16/2</f>
        <v>1350</v>
      </c>
      <c r="J22" s="254">
        <f>E16/2</f>
        <v>450</v>
      </c>
      <c r="L22" s="251"/>
      <c r="M22" s="255"/>
    </row>
    <row r="23" spans="1:13">
      <c r="A23" s="15"/>
      <c r="B23" s="219" t="s">
        <v>388</v>
      </c>
      <c r="C23" s="220">
        <v>500</v>
      </c>
      <c r="D23" s="220">
        <v>0</v>
      </c>
      <c r="E23" s="78">
        <v>12300</v>
      </c>
      <c r="G23" s="250"/>
      <c r="H23" s="250"/>
      <c r="I23" s="254">
        <f>-C16/2</f>
        <v>-1350</v>
      </c>
      <c r="J23" s="254">
        <f>E16/2</f>
        <v>450</v>
      </c>
      <c r="L23" s="251"/>
      <c r="M23" s="255"/>
    </row>
    <row r="24" spans="1:13">
      <c r="A24" s="15"/>
      <c r="B24" s="219" t="s">
        <v>389</v>
      </c>
      <c r="C24" s="220"/>
      <c r="D24" s="220"/>
      <c r="E24" s="78"/>
      <c r="G24" s="250"/>
      <c r="H24" s="250"/>
      <c r="I24" s="254">
        <f>-C16/2</f>
        <v>-1350</v>
      </c>
      <c r="J24" s="254">
        <f>-E16/2</f>
        <v>-450</v>
      </c>
      <c r="L24" s="251"/>
      <c r="M24" s="255"/>
    </row>
    <row r="25" spans="1:13">
      <c r="A25" s="15"/>
      <c r="B25" s="219" t="s">
        <v>390</v>
      </c>
      <c r="C25" s="220"/>
      <c r="D25" s="220"/>
      <c r="E25" s="78"/>
      <c r="G25" s="250"/>
      <c r="H25" s="250"/>
      <c r="I25" s="254">
        <f>C16/2</f>
        <v>1350</v>
      </c>
      <c r="J25" s="254">
        <f>-E16/2</f>
        <v>-450</v>
      </c>
      <c r="L25" s="251"/>
      <c r="M25" s="255"/>
    </row>
    <row r="26" spans="1:13">
      <c r="A26" s="15"/>
      <c r="B26" s="219" t="s">
        <v>391</v>
      </c>
      <c r="C26" s="220"/>
      <c r="D26" s="220"/>
      <c r="E26" s="78"/>
      <c r="I26" s="254">
        <f>C16/2</f>
        <v>1350</v>
      </c>
      <c r="J26" s="254">
        <f>E16/2</f>
        <v>450</v>
      </c>
      <c r="M26" s="256"/>
    </row>
    <row r="27" spans="1:13">
      <c r="A27" s="15"/>
      <c r="B27" s="219" t="s">
        <v>392</v>
      </c>
      <c r="C27" s="220"/>
      <c r="D27" s="220"/>
      <c r="E27" s="78"/>
      <c r="G27" s="11" t="s">
        <v>107</v>
      </c>
      <c r="H27" s="12"/>
      <c r="I27" s="142"/>
      <c r="J27" s="142"/>
      <c r="K27" s="142"/>
      <c r="L27" s="142"/>
      <c r="M27" s="172"/>
    </row>
    <row r="28" spans="1:13">
      <c r="A28" s="15"/>
      <c r="B28" s="219" t="s">
        <v>393</v>
      </c>
      <c r="C28" s="220"/>
      <c r="D28" s="220"/>
      <c r="E28" s="78"/>
      <c r="G28" s="145"/>
      <c r="H28" s="144"/>
      <c r="I28" s="144"/>
      <c r="J28" s="144"/>
      <c r="K28" s="144"/>
      <c r="L28" s="144"/>
      <c r="M28" s="173"/>
    </row>
    <row r="29" spans="1:13">
      <c r="A29" s="15"/>
      <c r="B29" s="219" t="s">
        <v>394</v>
      </c>
      <c r="C29" s="220"/>
      <c r="D29" s="220"/>
      <c r="E29" s="78"/>
      <c r="G29" s="145"/>
      <c r="H29" s="144"/>
      <c r="I29" s="144"/>
      <c r="J29" s="144"/>
      <c r="K29" s="144"/>
      <c r="L29" s="144"/>
      <c r="M29" s="173"/>
    </row>
    <row r="30" spans="1:13">
      <c r="A30" s="15"/>
      <c r="B30" s="221" t="s">
        <v>395</v>
      </c>
      <c r="C30" s="222"/>
      <c r="D30" s="222"/>
      <c r="E30" s="223"/>
      <c r="G30" s="145"/>
      <c r="H30" s="144"/>
      <c r="I30" s="144"/>
      <c r="J30" s="144"/>
      <c r="K30" s="144"/>
      <c r="L30" s="144"/>
      <c r="M30" s="173"/>
    </row>
    <row r="31" spans="1:13" ht="6.000000" customHeight="1">
      <c r="A31" s="34"/>
      <c r="B31" s="224"/>
      <c r="C31" s="225"/>
      <c r="D31" s="225"/>
      <c r="E31" s="225"/>
      <c r="F31" s="35"/>
      <c r="G31" s="34"/>
      <c r="H31" s="35"/>
      <c r="I31" s="35"/>
      <c r="J31" s="35"/>
      <c r="K31" s="35"/>
      <c r="L31" s="35"/>
      <c r="M31" s="64"/>
    </row>
    <row r="32" spans="1:13">
      <c r="A32" s="12"/>
      <c r="C32" s="72"/>
      <c r="E32" s="72"/>
    </row>
    <row r="49" spans="1:2">
      <c r="A49" s="72"/>
      <c r="B49" s="72"/>
    </row>
    <row r="50" spans="1:2">
      <c r="A50" s="72"/>
      <c r="B50" s="72"/>
    </row>
    <row r="51" spans="1:2">
      <c r="A51" s="72"/>
      <c r="B51" s="72"/>
    </row>
    <row r="52" spans="1:2">
      <c r="A52" s="72"/>
      <c r="B52" s="72"/>
    </row>
    <row r="53" spans="1:2">
      <c r="A53" s="72"/>
      <c r="B53" s="72"/>
    </row>
    <row r="54" spans="1:2">
      <c r="A54" s="72"/>
      <c r="B54" s="72"/>
    </row>
    <row r="55" spans="1:2">
      <c r="A55" s="72"/>
      <c r="B55" s="72"/>
    </row>
    <row r="56" spans="1:2">
      <c r="A56" s="72"/>
      <c r="B56" s="72"/>
    </row>
    <row r="57" spans="1:2">
      <c r="A57" s="72"/>
      <c r="B57" s="72"/>
    </row>
    <row r="58" spans="1:2">
      <c r="A58" s="72"/>
      <c r="B58" s="72"/>
    </row>
    <row r="59" spans="1:2">
      <c r="A59" s="3"/>
      <c r="B59" s="3"/>
    </row>
  </sheetData>
  <sheetProtection sheet="1" password="ce28" objects="1" scenarios="1"/>
  <mergeCells count="6">
    <mergeCell ref="A1:M1"/>
    <mergeCell ref="E2:F2"/>
    <mergeCell ref="E3:F3"/>
    <mergeCell ref="I3:K3"/>
    <mergeCell ref="B11:E11"/>
    <mergeCell ref="B12:E12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59"/>
  <sheetViews>
    <sheetView showGridLines="0" showRowColHeaders="0" zoomScale="70" zoomScaleNormal="70" workbookViewId="0">
      <pane xSplit="15" ySplit="36" topLeftCell="P37" activePane="bottomRight" state="frozen"/>
      <selection pane="topRight" activeCell="P1" sqref="P1"/>
      <selection pane="bottomLeft" activeCell="A37" sqref="A37"/>
      <selection pane="bottomRight" activeCell="P37" sqref="P37"/>
    </sheetView>
  </sheetViews>
  <sheetFormatPr defaultColWidth="9.00000000" defaultRowHeight="16.200000"/>
  <cols>
    <col min="1" max="1" style="3" width="2.43357144" customWidth="1" outlineLevel="0"/>
    <col min="2" max="5" style="3" width="11.71928583" customWidth="1" outlineLevel="0"/>
    <col min="6" max="6" style="3" width="1.71928571" customWidth="1" outlineLevel="0"/>
    <col min="7" max="13" style="3" width="12.00499998" customWidth="1" outlineLevel="0"/>
    <col min="14" max="14" style="3" width="10.71928583" customWidth="1" outlineLevel="0"/>
    <col min="15" max="16384" style="3" width="9.00499998" customWidth="1" outlineLevel="0"/>
  </cols>
  <sheetData>
    <row r="1" spans="1:13" ht="48.000000" customHeight="1">
      <c r="A1" s="818" t="s">
        <v>407</v>
      </c>
      <c r="B1" s="818"/>
      <c r="C1" s="818"/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13" s="2" customFormat="1" ht="21.750000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36</v>
      </c>
      <c r="E2" s="186" t="s">
        <v>364</v>
      </c>
      <c r="F2" s="188"/>
      <c r="G2" s="187">
        <f>((D19*E19)+(D20*E20)+(D21*E21)+(D22*E22)+(D23*E23)+(D24*E24)+(D25*E25)+(D26*E26)+(D27*E27)+(D28*E28)+(D29*E29)+(D30*E30))/(SUM(E19:E30))</f>
        <v>0</v>
      </c>
      <c r="H2" s="189" t="s">
        <v>51</v>
      </c>
    </row>
    <row r="3" spans="1:13" s="2" customFormat="1" ht="21.750000" customHeight="1">
      <c r="B3" s="188" t="s">
        <v>365</v>
      </c>
      <c r="C3" s="187">
        <f>SUM(E19:E30)/1000</f>
        <v>111.1</v>
      </c>
      <c r="D3" s="188" t="s">
        <v>2</v>
      </c>
      <c r="E3" s="815" t="str">
        <f>IF(H4=0,"公稱壓力輸入錯誤,請更正",IF(C3&gt;H4,"沖壓力已超過沖床負荷","   "))</f>
        <v>   </v>
      </c>
      <c r="F3" s="815"/>
      <c r="G3" s="820"/>
      <c r="H3" s="653"/>
      <c r="K3" s="241" t="s">
        <v>408</v>
      </c>
      <c r="L3" s="242">
        <f>TODAY()</f>
        <v>43411</v>
      </c>
    </row>
    <row r="4" spans="1:13">
      <c r="A4" s="11"/>
      <c r="B4" s="12"/>
      <c r="C4" s="12"/>
      <c r="D4" s="12"/>
      <c r="E4" s="12"/>
      <c r="F4" s="12"/>
      <c r="G4" s="12"/>
      <c r="H4" s="3">
        <f>SUM(H5:H10)</f>
        <v>160</v>
      </c>
      <c r="I4" s="12"/>
      <c r="J4" s="12"/>
      <c r="K4" s="12"/>
      <c r="L4" s="12"/>
      <c r="M4" s="62"/>
    </row>
    <row r="5" spans="1:13">
      <c r="A5" s="15"/>
      <c r="C5" s="190"/>
      <c r="E5" s="191"/>
      <c r="M5" s="63"/>
    </row>
    <row r="6" spans="1:13">
      <c r="A6" s="15"/>
      <c r="G6" s="192"/>
      <c r="H6" s="3">
        <f>IF(C14=80,80,0)</f>
        <v>0</v>
      </c>
      <c r="M6" s="63"/>
    </row>
    <row r="7" spans="1:13">
      <c r="A7" s="15"/>
      <c r="H7" s="3">
        <f>IF(C14=110,110,0)</f>
        <v>0</v>
      </c>
      <c r="M7" s="63"/>
    </row>
    <row r="8" spans="1:13">
      <c r="A8" s="15"/>
      <c r="C8" s="195"/>
      <c r="H8" s="3">
        <f>IF(C14=160,160,0)</f>
        <v>160</v>
      </c>
      <c r="M8" s="63"/>
    </row>
    <row r="9" spans="1:13">
      <c r="A9" s="15"/>
      <c r="C9" s="193">
        <f>C15</f>
        <v>700</v>
      </c>
      <c r="D9" s="134"/>
      <c r="H9" s="3">
        <f>IF(C14=200,200,0)</f>
        <v>0</v>
      </c>
      <c r="M9" s="63"/>
    </row>
    <row r="10" spans="1:13" ht="19.500000" customHeight="1">
      <c r="A10" s="15"/>
      <c r="M10" s="63"/>
    </row>
    <row r="11" spans="1:13">
      <c r="A11" s="15"/>
      <c r="B11" s="817" t="s">
        <v>409</v>
      </c>
      <c r="C11" s="817"/>
      <c r="D11" s="817"/>
      <c r="E11" s="817"/>
      <c r="H11" s="198"/>
      <c r="I11" s="243" t="s">
        <v>293</v>
      </c>
      <c r="J11" s="198"/>
      <c r="K11" s="243" t="s">
        <v>294</v>
      </c>
      <c r="M11" s="63"/>
    </row>
    <row r="12" spans="1:13">
      <c r="A12" s="15"/>
      <c r="B12" s="817" t="s">
        <v>410</v>
      </c>
      <c r="C12" s="199"/>
      <c r="D12" s="199"/>
      <c r="E12" s="199"/>
      <c r="G12" s="821" t="s">
        <v>367</v>
      </c>
      <c r="H12" s="237"/>
      <c r="I12" s="243">
        <f>C15/2</f>
        <v>350</v>
      </c>
      <c r="J12" s="198"/>
      <c r="K12" s="243">
        <f>E15/2</f>
        <v>290</v>
      </c>
      <c r="M12" s="63"/>
    </row>
    <row r="13" spans="1:13" ht="9.000000" customHeight="1">
      <c r="A13" s="15"/>
      <c r="G13" s="238"/>
      <c r="H13" s="237"/>
      <c r="I13" s="243">
        <f>-C15/2</f>
        <v>-350</v>
      </c>
      <c r="J13" s="198"/>
      <c r="K13" s="243">
        <f>E15/2</f>
        <v>290</v>
      </c>
      <c r="M13" s="63"/>
    </row>
    <row r="14" spans="1:13">
      <c r="A14" s="15"/>
      <c r="B14" s="239" t="s">
        <v>411</v>
      </c>
      <c r="C14" s="230">
        <v>160</v>
      </c>
      <c r="D14" s="204" t="s">
        <v>412</v>
      </c>
      <c r="E14" s="205"/>
      <c r="G14" s="238"/>
      <c r="H14" s="237"/>
      <c r="I14" s="243">
        <f>-C15/2</f>
        <v>-350</v>
      </c>
      <c r="J14" s="198"/>
      <c r="K14" s="243">
        <f>-E15/2</f>
        <v>-290</v>
      </c>
      <c r="M14" s="63"/>
    </row>
    <row r="15" spans="1:13" ht="32.250000">
      <c r="A15" s="15"/>
      <c r="B15" s="206" t="s">
        <v>373</v>
      </c>
      <c r="C15" s="207">
        <f>IF(C14=80,580,IF(C14=110,650,IF(C14=160,700,IF(C14=200,800,"     "))))</f>
        <v>700</v>
      </c>
      <c r="D15" s="208" t="s">
        <v>374</v>
      </c>
      <c r="E15" s="79">
        <f>IF(C14=80,460,IF(C14=110,520,IF(C14=160,580,IF(C14=200,650,"    "))))</f>
        <v>580</v>
      </c>
      <c r="G15" s="238"/>
      <c r="H15" s="237"/>
      <c r="I15" s="243">
        <f>C15/2</f>
        <v>350</v>
      </c>
      <c r="J15" s="198"/>
      <c r="K15" s="243">
        <f>-E15/2</f>
        <v>-290</v>
      </c>
      <c r="M15" s="63"/>
    </row>
    <row r="16" spans="1:13">
      <c r="A16" s="15"/>
      <c r="B16" s="209" t="s">
        <v>375</v>
      </c>
      <c r="C16" s="210">
        <f>IF(C14=80,1000,IF(C14=110,1150,IF(C14=160,1250,IF(C14=200,1400,"    "))))</f>
        <v>1250</v>
      </c>
      <c r="D16" s="211" t="s">
        <v>376</v>
      </c>
      <c r="E16" s="80">
        <f>IF(C14=80,600,IF(C14=110,700,IF(C14=160,760,IF(C14=200,840,"   "))))</f>
        <v>760</v>
      </c>
      <c r="G16" s="238"/>
      <c r="I16" s="243">
        <f>C15/2</f>
        <v>350</v>
      </c>
      <c r="J16" s="198"/>
      <c r="K16" s="243">
        <f>E15/2</f>
        <v>290</v>
      </c>
      <c r="M16" s="63"/>
    </row>
    <row r="17" spans="1:13">
      <c r="A17" s="15"/>
      <c r="B17" s="212" t="s">
        <v>377</v>
      </c>
      <c r="C17" s="213">
        <v>700</v>
      </c>
      <c r="D17" s="214" t="s">
        <v>378</v>
      </c>
      <c r="E17" s="215">
        <v>700</v>
      </c>
      <c r="G17" s="821" t="s">
        <v>372</v>
      </c>
      <c r="H17" s="237"/>
      <c r="I17" s="243">
        <f>C16/2</f>
        <v>625</v>
      </c>
      <c r="J17" s="198"/>
      <c r="K17" s="243">
        <f>E16/2</f>
        <v>380</v>
      </c>
      <c r="M17" s="63"/>
    </row>
    <row r="18" spans="1:13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G18" s="238"/>
      <c r="H18" s="237"/>
      <c r="I18" s="243">
        <f>-C16/2</f>
        <v>-625</v>
      </c>
      <c r="J18" s="198"/>
      <c r="K18" s="243">
        <f>E16/2</f>
        <v>380</v>
      </c>
      <c r="M18" s="63"/>
    </row>
    <row r="19" spans="1:13">
      <c r="A19" s="15"/>
      <c r="B19" s="219" t="s">
        <v>383</v>
      </c>
      <c r="C19" s="220">
        <v>36</v>
      </c>
      <c r="D19" s="220">
        <v>0</v>
      </c>
      <c r="E19" s="78">
        <v>111100</v>
      </c>
      <c r="G19" s="238"/>
      <c r="H19" s="237"/>
      <c r="I19" s="243">
        <f>-C16/2</f>
        <v>-625</v>
      </c>
      <c r="J19" s="198"/>
      <c r="K19" s="243">
        <f>-E16/2</f>
        <v>-380</v>
      </c>
      <c r="M19" s="63"/>
    </row>
    <row r="20" spans="1:13">
      <c r="A20" s="15"/>
      <c r="B20" s="219" t="s">
        <v>384</v>
      </c>
      <c r="C20" s="220"/>
      <c r="D20" s="220"/>
      <c r="E20" s="78"/>
      <c r="G20" s="238"/>
      <c r="H20" s="240"/>
      <c r="I20" s="243">
        <f>C16/2</f>
        <v>625</v>
      </c>
      <c r="J20" s="198"/>
      <c r="K20" s="243">
        <f>-E16/2</f>
        <v>-380</v>
      </c>
      <c r="M20" s="63"/>
    </row>
    <row r="21" spans="1:13">
      <c r="A21" s="15"/>
      <c r="B21" s="219" t="s">
        <v>385</v>
      </c>
      <c r="C21" s="220"/>
      <c r="D21" s="220"/>
      <c r="E21" s="78"/>
      <c r="G21" s="238"/>
      <c r="I21" s="243">
        <f>C16/2</f>
        <v>625</v>
      </c>
      <c r="J21" s="198"/>
      <c r="K21" s="243">
        <f>E16/2</f>
        <v>380</v>
      </c>
      <c r="M21" s="63"/>
    </row>
    <row r="22" spans="1:13">
      <c r="A22" s="15"/>
      <c r="B22" s="219" t="s">
        <v>387</v>
      </c>
      <c r="C22" s="220"/>
      <c r="D22" s="220"/>
      <c r="E22" s="78"/>
      <c r="G22" s="822" t="s">
        <v>386</v>
      </c>
      <c r="I22" s="243">
        <f>C17/2</f>
        <v>350</v>
      </c>
      <c r="J22" s="198"/>
      <c r="K22" s="243">
        <f>E17/2</f>
        <v>350</v>
      </c>
      <c r="M22" s="63"/>
    </row>
    <row r="23" spans="1:13">
      <c r="A23" s="15"/>
      <c r="B23" s="219" t="s">
        <v>388</v>
      </c>
      <c r="C23" s="220"/>
      <c r="D23" s="220"/>
      <c r="E23" s="78"/>
      <c r="G23" s="238"/>
      <c r="I23" s="243">
        <f>-C17/2</f>
        <v>-350</v>
      </c>
      <c r="J23" s="198"/>
      <c r="K23" s="243">
        <f>E17/2</f>
        <v>350</v>
      </c>
      <c r="M23" s="63"/>
    </row>
    <row r="24" spans="1:13">
      <c r="A24" s="15"/>
      <c r="B24" s="219" t="s">
        <v>389</v>
      </c>
      <c r="C24" s="220"/>
      <c r="D24" s="220"/>
      <c r="E24" s="78"/>
      <c r="G24" s="238"/>
      <c r="I24" s="243">
        <f>-C17/2</f>
        <v>-350</v>
      </c>
      <c r="J24" s="198"/>
      <c r="K24" s="243">
        <f>-E17/2</f>
        <v>-350</v>
      </c>
      <c r="M24" s="63"/>
    </row>
    <row r="25" spans="1:13">
      <c r="A25" s="15"/>
      <c r="B25" s="219" t="s">
        <v>390</v>
      </c>
      <c r="C25" s="220"/>
      <c r="D25" s="220"/>
      <c r="E25" s="78"/>
      <c r="G25" s="238"/>
      <c r="I25" s="244">
        <f>C17/2</f>
        <v>350</v>
      </c>
      <c r="J25" s="245"/>
      <c r="K25" s="244">
        <f>-E17/2</f>
        <v>-350</v>
      </c>
      <c r="M25" s="63"/>
    </row>
    <row r="26" spans="1:13">
      <c r="A26" s="15"/>
      <c r="B26" s="219" t="s">
        <v>391</v>
      </c>
      <c r="C26" s="220"/>
      <c r="D26" s="220"/>
      <c r="E26" s="78"/>
      <c r="I26" s="244">
        <f>C17/2</f>
        <v>350</v>
      </c>
      <c r="J26" s="245"/>
      <c r="K26" s="244">
        <f>E17/2</f>
        <v>350</v>
      </c>
      <c r="M26" s="64"/>
    </row>
    <row r="27" spans="1:13">
      <c r="A27" s="15"/>
      <c r="B27" s="219" t="s">
        <v>392</v>
      </c>
      <c r="C27" s="220"/>
      <c r="D27" s="220"/>
      <c r="E27" s="78"/>
      <c r="G27" s="11" t="s">
        <v>107</v>
      </c>
      <c r="H27" s="12"/>
      <c r="I27" s="142"/>
      <c r="J27" s="142"/>
      <c r="K27" s="142"/>
      <c r="L27" s="142"/>
      <c r="M27" s="172"/>
    </row>
    <row r="28" spans="1:13">
      <c r="A28" s="15"/>
      <c r="B28" s="219" t="s">
        <v>393</v>
      </c>
      <c r="C28" s="220"/>
      <c r="D28" s="220"/>
      <c r="E28" s="78"/>
      <c r="G28" s="145"/>
      <c r="H28" s="144"/>
      <c r="I28" s="144"/>
      <c r="J28" s="144"/>
      <c r="K28" s="144"/>
      <c r="L28" s="144"/>
      <c r="M28" s="173"/>
    </row>
    <row r="29" spans="1:13">
      <c r="A29" s="15"/>
      <c r="B29" s="219" t="s">
        <v>394</v>
      </c>
      <c r="C29" s="220"/>
      <c r="D29" s="220"/>
      <c r="E29" s="78"/>
      <c r="G29" s="145"/>
      <c r="H29" s="144"/>
      <c r="I29" s="144"/>
      <c r="J29" s="144"/>
      <c r="K29" s="144"/>
      <c r="L29" s="144"/>
      <c r="M29" s="173"/>
    </row>
    <row r="30" spans="1:13">
      <c r="A30" s="15"/>
      <c r="B30" s="221" t="s">
        <v>395</v>
      </c>
      <c r="C30" s="222"/>
      <c r="D30" s="222"/>
      <c r="E30" s="223"/>
      <c r="G30" s="145"/>
      <c r="H30" s="144"/>
      <c r="I30" s="144"/>
      <c r="J30" s="144"/>
      <c r="K30" s="144"/>
      <c r="L30" s="144"/>
      <c r="M30" s="173"/>
    </row>
    <row r="31" spans="1:13" ht="6.000000" customHeight="1">
      <c r="A31" s="34"/>
      <c r="B31" s="224"/>
      <c r="C31" s="225"/>
      <c r="D31" s="225"/>
      <c r="E31" s="225"/>
      <c r="F31" s="35"/>
      <c r="G31" s="34"/>
      <c r="H31" s="35"/>
      <c r="I31" s="35"/>
      <c r="J31" s="35"/>
      <c r="K31" s="35"/>
      <c r="L31" s="35"/>
      <c r="M31" s="64"/>
    </row>
    <row r="32" spans="1:13">
      <c r="A32" s="12"/>
      <c r="C32" s="72"/>
      <c r="E32" s="72"/>
    </row>
    <row r="49" spans="1:2">
      <c r="A49" s="72"/>
      <c r="B49" s="72"/>
    </row>
    <row r="50" spans="1:2">
      <c r="A50" s="72"/>
      <c r="B50" s="72"/>
    </row>
    <row r="51" spans="1:2">
      <c r="A51" s="72"/>
      <c r="B51" s="72"/>
    </row>
    <row r="52" spans="1:2">
      <c r="A52" s="72"/>
      <c r="B52" s="72"/>
    </row>
    <row r="53" spans="1:2">
      <c r="A53" s="72"/>
      <c r="B53" s="72"/>
    </row>
    <row r="54" spans="1:2">
      <c r="A54" s="72"/>
      <c r="B54" s="72"/>
    </row>
    <row r="55" spans="1:2">
      <c r="A55" s="72"/>
      <c r="B55" s="72"/>
    </row>
    <row r="56" spans="1:2">
      <c r="A56" s="72"/>
      <c r="B56" s="72"/>
    </row>
    <row r="57" spans="1:2">
      <c r="A57" s="72"/>
      <c r="B57" s="72"/>
    </row>
    <row r="58" spans="1:2">
      <c r="A58" s="72"/>
      <c r="B58" s="72"/>
    </row>
    <row r="59" spans="1:2">
      <c r="A59" s="3"/>
      <c r="B59" s="3"/>
    </row>
  </sheetData>
  <sheetProtection sheet="1" password="ce28" objects="1" scenarios="1"/>
  <mergeCells count="9">
    <mergeCell ref="A1:M1"/>
    <mergeCell ref="E2:F2"/>
    <mergeCell ref="E3:H3"/>
    <mergeCell ref="C9:D9"/>
    <mergeCell ref="B11:E11"/>
    <mergeCell ref="B12:E12"/>
    <mergeCell ref="G12:G16"/>
    <mergeCell ref="G17:G21"/>
    <mergeCell ref="G22:G25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59"/>
  <sheetViews>
    <sheetView showGridLines="0" showRowColHeaders="0" zoomScale="70" zoomScaleNormal="70" workbookViewId="0">
      <pane xSplit="19" ySplit="36" topLeftCell="T37" activePane="bottomRight" state="frozen"/>
      <selection pane="topRight" activeCell="T1" sqref="T1"/>
      <selection pane="bottomLeft" activeCell="A37" sqref="A37"/>
      <selection pane="bottomRight" activeCell="A1" sqref="A1:Q1"/>
    </sheetView>
  </sheetViews>
  <sheetFormatPr defaultColWidth="9.00000000" defaultRowHeight="16.200000"/>
  <cols>
    <col min="1" max="1" style="3" width="2.43357144" customWidth="1" outlineLevel="0"/>
    <col min="2" max="5" style="3" width="11.71928583" customWidth="1" outlineLevel="0"/>
    <col min="6" max="6" style="3" width="1.71928571" customWidth="1" outlineLevel="0"/>
    <col min="7" max="7" style="3" width="8.71928583" customWidth="1" outlineLevel="0"/>
    <col min="8" max="8" style="3" width="5.29071413" customWidth="1" outlineLevel="0"/>
    <col min="9" max="18" style="3" width="7.00499998" customWidth="1" outlineLevel="0"/>
    <col min="19" max="19" style="3" width="10.71928583" customWidth="1" outlineLevel="0"/>
    <col min="20" max="16384" style="3" width="9.00499998" customWidth="1" outlineLevel="0"/>
  </cols>
  <sheetData>
    <row r="1" spans="1:20" ht="51.000000" customHeight="1">
      <c r="A1" s="818" t="s">
        <v>413</v>
      </c>
      <c r="B1" s="818"/>
      <c r="C1" s="818"/>
      <c r="D1" s="818"/>
      <c r="E1" s="818"/>
      <c r="F1" s="818"/>
      <c r="G1" s="818"/>
      <c r="H1" s="818"/>
      <c r="I1" s="818"/>
      <c r="J1" s="818"/>
      <c r="K1" s="818"/>
      <c r="L1" s="818"/>
      <c r="M1" s="818"/>
      <c r="N1" s="818"/>
      <c r="O1" s="818"/>
      <c r="P1" s="818"/>
      <c r="Q1" s="818"/>
    </row>
    <row r="2" spans="1:20" s="2" customFormat="1" ht="21.750000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22.2222222222222</v>
      </c>
      <c r="E2" s="186" t="s">
        <v>364</v>
      </c>
      <c r="F2" s="188"/>
      <c r="G2" s="187">
        <f>((D19*E19)+(D20*E20)+(D21*E21)+(D22*E22)+(D23*E23)+(D24*E24)+(D25*E25)+(D26*E26)+(D27*E27)+(D28*E28)+(D29*E29)+(D30*E30))/(SUM(E19:E30))</f>
        <v>-1.11111111111111</v>
      </c>
      <c r="H2" s="189" t="s">
        <v>51</v>
      </c>
    </row>
    <row r="3" spans="1:20" s="2" customFormat="1" ht="21.750000" customHeight="1">
      <c r="B3" s="188" t="s">
        <v>365</v>
      </c>
      <c r="C3" s="187">
        <f>SUM(E19:E30)/1000</f>
        <v>90</v>
      </c>
      <c r="D3" s="188" t="s">
        <v>2</v>
      </c>
      <c r="E3" s="815" t="str">
        <f>IF(K12=0,"公稱壓力輸入錯誤,請更正",IF(C3&gt;K12,"沖壓力超過沖床負荷","  "))</f>
        <v>  </v>
      </c>
      <c r="F3" s="815"/>
      <c r="G3" s="815"/>
      <c r="H3" s="823"/>
      <c r="I3" s="653"/>
      <c r="N3" s="824" t="s">
        <v>414</v>
      </c>
      <c r="O3" s="825"/>
      <c r="P3" s="826">
        <f>TODAY()</f>
        <v>43411</v>
      </c>
      <c r="Q3" s="825"/>
    </row>
    <row r="4" spans="1:20">
      <c r="A4" s="11"/>
      <c r="B4" s="12"/>
      <c r="C4" s="12"/>
      <c r="D4" s="12"/>
      <c r="E4" s="12"/>
      <c r="F4" s="12"/>
      <c r="G4" s="12"/>
      <c r="J4" s="12">
        <f>IF(C14=25,25,0)</f>
        <v>0</v>
      </c>
      <c r="K4" s="12"/>
      <c r="L4" s="12"/>
      <c r="M4" s="12"/>
      <c r="N4" s="12"/>
      <c r="O4" s="12"/>
      <c r="P4" s="12"/>
      <c r="Q4" s="12"/>
      <c r="R4" s="62"/>
    </row>
    <row r="5" spans="1:20">
      <c r="A5" s="15"/>
      <c r="C5" s="190"/>
      <c r="E5" s="191"/>
      <c r="J5" s="3">
        <f>IF(C14=35,35,0)</f>
        <v>0</v>
      </c>
      <c r="R5" s="63"/>
    </row>
    <row r="6" spans="1:20">
      <c r="A6" s="15"/>
      <c r="G6" s="192"/>
      <c r="J6" s="3">
        <f>IF(C14=45,45,0)</f>
        <v>0</v>
      </c>
      <c r="R6" s="63"/>
    </row>
    <row r="7" spans="1:20">
      <c r="A7" s="15"/>
      <c r="G7" s="193"/>
      <c r="H7" s="194" t="s">
        <v>293</v>
      </c>
      <c r="I7" s="194" t="s">
        <v>294</v>
      </c>
      <c r="J7" s="3">
        <f>IF(C14=60,60,0)</f>
        <v>0</v>
      </c>
      <c r="R7" s="63"/>
    </row>
    <row r="8" spans="1:20">
      <c r="A8" s="15"/>
      <c r="C8" s="195"/>
      <c r="G8" s="196" t="s">
        <v>367</v>
      </c>
      <c r="H8" s="194">
        <f>C15/2</f>
        <v>325</v>
      </c>
      <c r="I8" s="194">
        <f>E15/2</f>
        <v>235</v>
      </c>
      <c r="J8" s="3">
        <f>IF(C14=80,80,0)</f>
        <v>0</v>
      </c>
      <c r="R8" s="63"/>
    </row>
    <row r="9" spans="1:20">
      <c r="A9" s="15"/>
      <c r="C9" s="193">
        <f>C15</f>
        <v>650</v>
      </c>
      <c r="D9" s="198"/>
      <c r="G9" s="193"/>
      <c r="H9" s="194">
        <f>-C15/2</f>
        <v>-325</v>
      </c>
      <c r="I9" s="194">
        <f>E15/2</f>
        <v>235</v>
      </c>
      <c r="J9" s="3">
        <f>IF(C14=110,110,0)</f>
        <v>110</v>
      </c>
      <c r="R9" s="63"/>
    </row>
    <row r="10" spans="1:20" ht="19.500000" customHeight="1">
      <c r="A10" s="15"/>
      <c r="G10" s="193"/>
      <c r="H10" s="194">
        <f>-C15/2</f>
        <v>-325</v>
      </c>
      <c r="I10" s="194">
        <f>-E15/2</f>
        <v>-235</v>
      </c>
      <c r="J10" s="3">
        <f>IF(C14=160,160,0)</f>
        <v>0</v>
      </c>
      <c r="R10" s="63"/>
    </row>
    <row r="11" spans="1:20">
      <c r="A11" s="15"/>
      <c r="B11" s="817" t="s">
        <v>415</v>
      </c>
      <c r="C11" s="817"/>
      <c r="D11" s="817"/>
      <c r="E11" s="817"/>
      <c r="G11" s="193"/>
      <c r="H11" s="194">
        <f>C15/2</f>
        <v>325</v>
      </c>
      <c r="I11" s="194">
        <f>-E15/2</f>
        <v>-235</v>
      </c>
      <c r="J11" s="3">
        <f>IF(C14=200,200,0)</f>
        <v>0</v>
      </c>
      <c r="R11" s="63"/>
    </row>
    <row r="12" spans="1:20">
      <c r="A12" s="15"/>
      <c r="B12" s="817" t="s">
        <v>416</v>
      </c>
      <c r="C12" s="199"/>
      <c r="D12" s="199"/>
      <c r="E12" s="199"/>
      <c r="G12" s="72"/>
      <c r="H12" s="194">
        <f>C15/2</f>
        <v>325</v>
      </c>
      <c r="I12" s="194">
        <f>E15/2</f>
        <v>235</v>
      </c>
      <c r="J12" s="3">
        <f>IF(C14=260,260,0)</f>
        <v>0</v>
      </c>
      <c r="K12" s="3">
        <f>SUM(J4:J12)</f>
        <v>110</v>
      </c>
      <c r="R12" s="63"/>
      <c r="T12" s="72" t="s">
        <v>313</v>
      </c>
    </row>
    <row r="13" spans="1:20" ht="9.000000" customHeight="1">
      <c r="A13" s="15"/>
      <c r="R13" s="63"/>
    </row>
    <row r="14" spans="1:20">
      <c r="A14" s="15"/>
      <c r="B14" s="202" t="s">
        <v>417</v>
      </c>
      <c r="C14" s="230">
        <v>110</v>
      </c>
      <c r="D14" s="204" t="s">
        <v>418</v>
      </c>
      <c r="E14" s="205"/>
      <c r="G14" s="196" t="s">
        <v>372</v>
      </c>
      <c r="H14" s="194">
        <f>C16/2</f>
        <v>575</v>
      </c>
      <c r="I14" s="194">
        <f>E16/2</f>
        <v>300</v>
      </c>
      <c r="J14" s="193"/>
      <c r="K14" s="193"/>
      <c r="L14" s="193"/>
      <c r="M14" s="193"/>
      <c r="N14" s="193"/>
      <c r="O14" s="193"/>
      <c r="P14" s="193"/>
      <c r="Q14" s="193"/>
      <c r="R14" s="234"/>
    </row>
    <row r="15" spans="1:20" ht="32.250000">
      <c r="A15" s="15"/>
      <c r="B15" s="206" t="s">
        <v>373</v>
      </c>
      <c r="C15" s="207">
        <f>P26</f>
        <v>650</v>
      </c>
      <c r="D15" s="208" t="s">
        <v>374</v>
      </c>
      <c r="E15" s="79">
        <f>R26</f>
        <v>470</v>
      </c>
      <c r="G15" s="193"/>
      <c r="H15" s="194">
        <f>-C16/2</f>
        <v>-575</v>
      </c>
      <c r="I15" s="194">
        <f>E16/2</f>
        <v>300</v>
      </c>
      <c r="J15" s="193"/>
      <c r="K15" s="193"/>
      <c r="L15" s="193"/>
      <c r="M15" s="193"/>
      <c r="N15" s="193"/>
      <c r="O15" s="193"/>
      <c r="P15" s="193"/>
      <c r="Q15" s="193"/>
      <c r="R15" s="234"/>
    </row>
    <row r="16" spans="1:20">
      <c r="A16" s="15"/>
      <c r="B16" s="209" t="s">
        <v>375</v>
      </c>
      <c r="C16" s="210">
        <f>L26</f>
        <v>1150</v>
      </c>
      <c r="D16" s="211" t="s">
        <v>376</v>
      </c>
      <c r="E16" s="80">
        <f>N26</f>
        <v>600</v>
      </c>
      <c r="G16" s="193"/>
      <c r="H16" s="194">
        <f>-C16/2</f>
        <v>-575</v>
      </c>
      <c r="I16" s="194">
        <f>-E16/2</f>
        <v>-300</v>
      </c>
      <c r="J16" s="193"/>
      <c r="K16" s="193"/>
      <c r="L16" s="193"/>
      <c r="M16" s="193"/>
      <c r="N16" s="193"/>
      <c r="O16" s="193"/>
      <c r="P16" s="193"/>
      <c r="Q16" s="193"/>
      <c r="R16" s="234"/>
    </row>
    <row r="17" spans="1:18">
      <c r="A17" s="15"/>
      <c r="B17" s="212" t="s">
        <v>377</v>
      </c>
      <c r="C17" s="213">
        <v>550</v>
      </c>
      <c r="D17" s="214" t="s">
        <v>378</v>
      </c>
      <c r="E17" s="215">
        <v>550</v>
      </c>
      <c r="G17" s="193"/>
      <c r="H17" s="194">
        <f>C16/2</f>
        <v>575</v>
      </c>
      <c r="I17" s="194">
        <f>-E16/2</f>
        <v>-300</v>
      </c>
      <c r="J17" s="194">
        <v>25</v>
      </c>
      <c r="K17" s="194">
        <v>680</v>
      </c>
      <c r="L17" s="194" t="str">
        <f>IF($C$14=J17,K17,"  ")</f>
        <v>  </v>
      </c>
      <c r="M17" s="194">
        <v>300</v>
      </c>
      <c r="N17" s="194" t="str">
        <f>IF($C$14=J17,M17,"  ")</f>
        <v>  </v>
      </c>
      <c r="O17" s="194">
        <v>300</v>
      </c>
      <c r="P17" s="194" t="str">
        <f>IF($C$14=J17,O17,"  ")</f>
        <v>  </v>
      </c>
      <c r="Q17" s="193">
        <v>220</v>
      </c>
      <c r="R17" s="228" t="str">
        <f>IF($C$14=J17,Q17,"  ")</f>
        <v>  </v>
      </c>
    </row>
    <row r="18" spans="1:18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194">
        <f>C16/2</f>
        <v>575</v>
      </c>
      <c r="I18" s="194">
        <f>E16/2</f>
        <v>300</v>
      </c>
      <c r="J18" s="194">
        <v>35</v>
      </c>
      <c r="K18" s="194">
        <v>800</v>
      </c>
      <c r="L18" s="194" t="str">
        <f>IF($C$14=J18,K18,"  ")</f>
        <v>  </v>
      </c>
      <c r="M18" s="194">
        <v>400</v>
      </c>
      <c r="N18" s="194" t="str">
        <f>IF($C$14=J18,M18,"  ")</f>
        <v>  </v>
      </c>
      <c r="O18" s="194">
        <v>360</v>
      </c>
      <c r="P18" s="194" t="str">
        <f>IF($C$14=J18,O18,"  ")</f>
        <v>  </v>
      </c>
      <c r="Q18" s="193">
        <v>250</v>
      </c>
      <c r="R18" s="228" t="str">
        <f>IF($C$14=J18,Q18,"  ")</f>
        <v>  </v>
      </c>
    </row>
    <row r="19" spans="1:18">
      <c r="A19" s="15"/>
      <c r="B19" s="219" t="s">
        <v>383</v>
      </c>
      <c r="C19" s="220">
        <v>-200</v>
      </c>
      <c r="D19" s="220">
        <v>10</v>
      </c>
      <c r="E19" s="78">
        <v>40000</v>
      </c>
      <c r="J19" s="194">
        <v>45</v>
      </c>
      <c r="K19" s="194">
        <v>850</v>
      </c>
      <c r="L19" s="194" t="str">
        <f>IF($C$14=J19,K19,"  ")</f>
        <v/>
      </c>
      <c r="M19" s="194">
        <v>440</v>
      </c>
      <c r="N19" s="194" t="str">
        <f>IF($C$14=J19,M19,"  ")</f>
        <v/>
      </c>
      <c r="O19" s="194">
        <v>400</v>
      </c>
      <c r="P19" s="194" t="str">
        <f>IF($C$14=J19,O19,"  ")</f>
        <v/>
      </c>
      <c r="Q19" s="193">
        <v>300</v>
      </c>
      <c r="R19" s="228" t="str">
        <f>IF($C$14=J19,Q19,"  ")</f>
        <v/>
      </c>
    </row>
    <row r="20" spans="1:18">
      <c r="A20" s="15"/>
      <c r="B20" s="219" t="s">
        <v>384</v>
      </c>
      <c r="C20" s="220">
        <v>200</v>
      </c>
      <c r="D20" s="220">
        <v>-10</v>
      </c>
      <c r="E20" s="78">
        <v>50000</v>
      </c>
      <c r="J20" s="194">
        <v>60</v>
      </c>
      <c r="K20" s="194">
        <v>900</v>
      </c>
      <c r="L20" s="194" t="str">
        <f>IF($C$14=J20,K20,"  ")</f>
        <v/>
      </c>
      <c r="M20" s="194">
        <v>500</v>
      </c>
      <c r="N20" s="194" t="str">
        <f>IF($C$14=J20,M20,"  ")</f>
        <v/>
      </c>
      <c r="O20" s="194">
        <v>500</v>
      </c>
      <c r="P20" s="194" t="str">
        <f>IF($C$14=J20,O20,"  ")</f>
        <v/>
      </c>
      <c r="Q20" s="193">
        <v>360</v>
      </c>
      <c r="R20" s="228" t="str">
        <f>IF($C$14=J20,Q20,"  ")</f>
        <v/>
      </c>
    </row>
    <row r="21" spans="1:18">
      <c r="A21" s="15"/>
      <c r="B21" s="219" t="s">
        <v>385</v>
      </c>
      <c r="C21" s="220"/>
      <c r="D21" s="220"/>
      <c r="E21" s="78"/>
      <c r="G21" s="196" t="s">
        <v>386</v>
      </c>
      <c r="H21" s="194">
        <f>C17/2</f>
        <v>275</v>
      </c>
      <c r="I21" s="194">
        <f>E17/2</f>
        <v>275</v>
      </c>
      <c r="J21" s="194">
        <v>80</v>
      </c>
      <c r="K21" s="194">
        <v>1000</v>
      </c>
      <c r="L21" s="194" t="str">
        <f>IF($C$14=J21,K21,"  ")</f>
        <v/>
      </c>
      <c r="M21" s="194">
        <v>550</v>
      </c>
      <c r="N21" s="194" t="str">
        <f>IF($C$14=J21,M21,"  ")</f>
        <v/>
      </c>
      <c r="O21" s="194">
        <v>560</v>
      </c>
      <c r="P21" s="194" t="str">
        <f>IF($C$14=J21,O21,"  ")</f>
        <v/>
      </c>
      <c r="Q21" s="193">
        <v>420</v>
      </c>
      <c r="R21" s="228" t="str">
        <f>IF($C$14=J21,Q21,"  ")</f>
        <v/>
      </c>
    </row>
    <row r="22" spans="1:18">
      <c r="A22" s="15"/>
      <c r="B22" s="219" t="s">
        <v>387</v>
      </c>
      <c r="C22" s="220"/>
      <c r="D22" s="220"/>
      <c r="E22" s="78"/>
      <c r="G22" s="193"/>
      <c r="H22" s="194">
        <f>-C17/2</f>
        <v>-275</v>
      </c>
      <c r="I22" s="194">
        <f>E17/2</f>
        <v>275</v>
      </c>
      <c r="J22" s="194">
        <v>110</v>
      </c>
      <c r="K22" s="194">
        <v>1150</v>
      </c>
      <c r="L22" s="194">
        <f>IF($C$14=J22,K22,"  ")</f>
        <v>1150</v>
      </c>
      <c r="M22" s="194">
        <v>600</v>
      </c>
      <c r="N22" s="194">
        <f>IF($C$14=J22,M22,"  ")</f>
        <v>600</v>
      </c>
      <c r="O22" s="194">
        <v>650</v>
      </c>
      <c r="P22" s="194">
        <f>IF($C$14=J22,O22,"  ")</f>
        <v>650</v>
      </c>
      <c r="Q22" s="193">
        <v>470</v>
      </c>
      <c r="R22" s="228">
        <f>IF($C$14=J22,Q22,"  ")</f>
        <v>470</v>
      </c>
    </row>
    <row r="23" spans="1:18">
      <c r="A23" s="15"/>
      <c r="B23" s="219" t="s">
        <v>388</v>
      </c>
      <c r="C23" s="220"/>
      <c r="D23" s="220"/>
      <c r="E23" s="78"/>
      <c r="G23" s="196"/>
      <c r="H23" s="194">
        <f>-C17/2</f>
        <v>-275</v>
      </c>
      <c r="I23" s="194">
        <f>-E17/2</f>
        <v>-275</v>
      </c>
      <c r="J23" s="194">
        <v>160</v>
      </c>
      <c r="K23" s="194">
        <v>1250</v>
      </c>
      <c r="L23" s="194" t="str">
        <f>IF($C$14=J23,K23,"  ")</f>
        <v/>
      </c>
      <c r="M23" s="194">
        <v>800</v>
      </c>
      <c r="N23" s="194" t="str">
        <f>IF($C$14=J23,M23,"  ")</f>
        <v/>
      </c>
      <c r="O23" s="194">
        <v>700</v>
      </c>
      <c r="P23" s="194" t="str">
        <f>IF($C$14=J23,O23,"  ")</f>
        <v/>
      </c>
      <c r="Q23" s="193">
        <v>550</v>
      </c>
      <c r="R23" s="228" t="str">
        <f>IF($C$14=J23,Q23,"  ")</f>
        <v/>
      </c>
    </row>
    <row r="24" spans="1:18">
      <c r="A24" s="15"/>
      <c r="B24" s="219" t="s">
        <v>389</v>
      </c>
      <c r="C24" s="220"/>
      <c r="D24" s="220"/>
      <c r="E24" s="78"/>
      <c r="G24" s="196"/>
      <c r="H24" s="194">
        <f>C17/2</f>
        <v>275</v>
      </c>
      <c r="I24" s="194">
        <f>-E17/2</f>
        <v>-275</v>
      </c>
      <c r="J24" s="194">
        <v>200</v>
      </c>
      <c r="K24" s="194">
        <v>1400</v>
      </c>
      <c r="L24" s="194" t="str">
        <f>IF($C$14=J24,K24,"  ")</f>
        <v/>
      </c>
      <c r="M24" s="194">
        <v>820</v>
      </c>
      <c r="N24" s="194" t="str">
        <f>IF($C$14=J24,M24,"  ")</f>
        <v/>
      </c>
      <c r="O24" s="194">
        <v>850</v>
      </c>
      <c r="P24" s="194" t="str">
        <f>IF($C$14=J24,O24,"  ")</f>
        <v/>
      </c>
      <c r="Q24" s="193">
        <v>630</v>
      </c>
      <c r="R24" s="228" t="str">
        <f>IF($C$14=J24,Q24,"  ")</f>
        <v/>
      </c>
    </row>
    <row r="25" spans="1:18">
      <c r="A25" s="15"/>
      <c r="B25" s="219" t="s">
        <v>390</v>
      </c>
      <c r="C25" s="220"/>
      <c r="D25" s="220"/>
      <c r="E25" s="78"/>
      <c r="H25" s="194">
        <f>C17/2</f>
        <v>275</v>
      </c>
      <c r="I25" s="194">
        <f>E17/2</f>
        <v>275</v>
      </c>
      <c r="J25" s="194">
        <v>260</v>
      </c>
      <c r="K25" s="194">
        <v>1500</v>
      </c>
      <c r="L25" s="194" t="str">
        <f>IF($C$14=J25,K25,"  ")</f>
        <v/>
      </c>
      <c r="M25" s="194">
        <v>840</v>
      </c>
      <c r="N25" s="194" t="str">
        <f>IF($C$14=J25,M25,"  ")</f>
        <v/>
      </c>
      <c r="O25" s="194">
        <v>950</v>
      </c>
      <c r="P25" s="194" t="str">
        <f>IF($C$14=J25,O25,"  ")</f>
        <v/>
      </c>
      <c r="Q25" s="193">
        <v>700</v>
      </c>
      <c r="R25" s="228" t="str">
        <f>IF($C$14=J25,Q25,"  ")</f>
        <v/>
      </c>
    </row>
    <row r="26" spans="1:18">
      <c r="A26" s="15"/>
      <c r="B26" s="219" t="s">
        <v>391</v>
      </c>
      <c r="C26" s="220"/>
      <c r="D26" s="220"/>
      <c r="E26" s="78"/>
      <c r="J26" s="193"/>
      <c r="K26" s="193"/>
      <c r="L26" s="193">
        <f>SUM(L17:L25)</f>
        <v>1150</v>
      </c>
      <c r="M26" s="193"/>
      <c r="N26" s="193">
        <f>SUM(N17:N25)</f>
        <v>600</v>
      </c>
      <c r="O26" s="193"/>
      <c r="P26" s="193">
        <f>SUM(P17:P25)</f>
        <v>650</v>
      </c>
      <c r="Q26" s="193"/>
      <c r="R26" s="235">
        <f>SUM(R17:R25)</f>
        <v>470</v>
      </c>
    </row>
    <row r="27" spans="1:18">
      <c r="A27" s="15"/>
      <c r="B27" s="219" t="s">
        <v>392</v>
      </c>
      <c r="C27" s="220"/>
      <c r="D27" s="220"/>
      <c r="E27" s="78"/>
      <c r="G27" s="11" t="s">
        <v>107</v>
      </c>
      <c r="H27" s="12"/>
      <c r="I27" s="12"/>
      <c r="J27" s="142"/>
      <c r="K27" s="142"/>
      <c r="L27" s="142"/>
      <c r="M27" s="142"/>
      <c r="N27" s="142"/>
      <c r="O27" s="142"/>
      <c r="P27" s="142"/>
      <c r="Q27" s="142"/>
      <c r="R27" s="172"/>
    </row>
    <row r="28" spans="1:18">
      <c r="A28" s="15"/>
      <c r="B28" s="219" t="s">
        <v>393</v>
      </c>
      <c r="C28" s="220"/>
      <c r="D28" s="220"/>
      <c r="E28" s="78"/>
      <c r="G28" s="231"/>
      <c r="H28" s="56"/>
      <c r="I28" s="56"/>
      <c r="J28" s="144"/>
      <c r="K28" s="144"/>
      <c r="L28" s="144"/>
      <c r="M28" s="144"/>
      <c r="N28" s="144"/>
      <c r="O28" s="144"/>
      <c r="P28" s="144"/>
      <c r="Q28" s="144"/>
      <c r="R28" s="173"/>
    </row>
    <row r="29" spans="1:18">
      <c r="A29" s="15"/>
      <c r="B29" s="219" t="s">
        <v>394</v>
      </c>
      <c r="C29" s="220"/>
      <c r="D29" s="220"/>
      <c r="E29" s="78"/>
      <c r="G29" s="232"/>
      <c r="H29" s="233"/>
      <c r="I29" s="233"/>
      <c r="J29" s="144"/>
      <c r="K29" s="144"/>
      <c r="L29" s="144"/>
      <c r="M29" s="144"/>
      <c r="N29" s="144"/>
      <c r="O29" s="144"/>
      <c r="P29" s="144"/>
      <c r="Q29" s="144"/>
      <c r="R29" s="173"/>
    </row>
    <row r="30" spans="1:18">
      <c r="A30" s="15"/>
      <c r="B30" s="221" t="s">
        <v>395</v>
      </c>
      <c r="C30" s="222"/>
      <c r="D30" s="222"/>
      <c r="E30" s="223"/>
      <c r="G30" s="232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6"/>
    </row>
    <row r="31" spans="1:18" ht="6.000000" customHeight="1">
      <c r="A31" s="34"/>
      <c r="B31" s="224"/>
      <c r="C31" s="225"/>
      <c r="D31" s="225"/>
      <c r="E31" s="225"/>
      <c r="F31" s="35"/>
      <c r="G31" s="827"/>
      <c r="H31" s="653"/>
      <c r="I31" s="653"/>
      <c r="J31" s="653"/>
      <c r="K31" s="653"/>
      <c r="L31" s="653"/>
      <c r="M31" s="653"/>
      <c r="N31" s="653"/>
      <c r="O31" s="653"/>
      <c r="P31" s="653"/>
      <c r="Q31" s="653"/>
      <c r="R31" s="828"/>
    </row>
    <row r="32" spans="1:18">
      <c r="A32" s="12"/>
      <c r="C32" s="72"/>
      <c r="E32" s="72"/>
    </row>
    <row r="49" spans="1:2">
      <c r="A49" s="72"/>
      <c r="B49" s="72"/>
    </row>
    <row r="50" spans="1:2">
      <c r="A50" s="72"/>
      <c r="B50" s="72"/>
    </row>
    <row r="51" spans="1:2">
      <c r="A51" s="72"/>
      <c r="B51" s="72"/>
    </row>
    <row r="52" spans="1:2">
      <c r="A52" s="72"/>
      <c r="B52" s="72"/>
    </row>
    <row r="53" spans="1:2">
      <c r="A53" s="72"/>
      <c r="B53" s="72"/>
    </row>
    <row r="54" spans="1:2">
      <c r="A54" s="72"/>
      <c r="B54" s="72"/>
    </row>
    <row r="55" spans="1:2">
      <c r="A55" s="72"/>
      <c r="B55" s="72"/>
    </row>
    <row r="56" spans="1:2">
      <c r="A56" s="72"/>
      <c r="B56" s="72"/>
    </row>
    <row r="57" spans="1:2">
      <c r="A57" s="72"/>
      <c r="B57" s="72"/>
    </row>
    <row r="58" spans="1:2">
      <c r="A58" s="72"/>
      <c r="B58" s="72"/>
    </row>
    <row r="59" spans="1:2">
      <c r="A59" s="3"/>
      <c r="B59" s="3"/>
    </row>
  </sheetData>
  <sheetProtection sheet="1" password="ce28" objects="1" scenarios="1"/>
  <mergeCells count="22">
    <mergeCell ref="A1:Q1"/>
    <mergeCell ref="E2:F2"/>
    <mergeCell ref="E3:I3"/>
    <mergeCell ref="N3:O3"/>
    <mergeCell ref="P3:Q3"/>
    <mergeCell ref="G8:G11"/>
    <mergeCell ref="C9:D9"/>
    <mergeCell ref="B11:E11"/>
    <mergeCell ref="B12:E12"/>
    <mergeCell ref="G14:G17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59"/>
  <sheetViews>
    <sheetView showGridLines="0" showRowColHeaders="0" zoomScale="70" zoomScaleNormal="70" workbookViewId="0">
      <pane xSplit="19" ySplit="35" topLeftCell="T36" activePane="bottomRight" state="frozen"/>
      <selection pane="topRight" activeCell="T1" sqref="T1"/>
      <selection pane="bottomLeft" activeCell="A36" sqref="A36"/>
      <selection pane="bottomRight" activeCell="A1" sqref="A1:Q1"/>
    </sheetView>
  </sheetViews>
  <sheetFormatPr defaultColWidth="9.00000000" defaultRowHeight="16.200000"/>
  <cols>
    <col min="1" max="1" style="3" width="2.43357144" customWidth="1" outlineLevel="0"/>
    <col min="2" max="5" style="3" width="11.71928583" customWidth="1" outlineLevel="0"/>
    <col min="6" max="6" style="3" width="1.71928571" customWidth="1" outlineLevel="0"/>
    <col min="7" max="7" style="3" width="8.71928583" customWidth="1" outlineLevel="0"/>
    <col min="8" max="8" style="3" width="5.29071413" customWidth="1" outlineLevel="0"/>
    <col min="9" max="18" style="3" width="7.00499998" customWidth="1" outlineLevel="0"/>
    <col min="19" max="19" style="3" width="10.71928583" customWidth="1" outlineLevel="0"/>
    <col min="20" max="16384" style="3" width="9.00499998" customWidth="1" outlineLevel="0"/>
  </cols>
  <sheetData>
    <row r="1" spans="1:20" ht="59.250000" customHeight="1">
      <c r="A1" s="646" t="s">
        <v>419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</row>
    <row r="2" spans="1:20" s="2" customFormat="1" ht="21.750000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-33.5329341317365</v>
      </c>
      <c r="E2" s="186" t="s">
        <v>364</v>
      </c>
      <c r="F2" s="188"/>
      <c r="G2" s="187">
        <f>((D19*E19)+(D20*E20)+(D21*E21)+(D22*E22)+(D23*E23)+(D24*E24)+(D25*E25)+(D26*E26)+(D27*E27)+(D28*E28)+(D29*E29)+(D30*E30))/(SUM(E19:E30))</f>
        <v>-9.22155688622754</v>
      </c>
      <c r="H2" s="189" t="s">
        <v>51</v>
      </c>
    </row>
    <row r="3" spans="1:20" s="2" customFormat="1" ht="21.750000" customHeight="1">
      <c r="B3" s="188" t="s">
        <v>365</v>
      </c>
      <c r="C3" s="187">
        <f>SUM(E19:E30)/1000</f>
        <v>50.1</v>
      </c>
      <c r="D3" s="188" t="s">
        <v>2</v>
      </c>
      <c r="E3" s="815" t="str">
        <f>IF(J6=0,"機型輸入錯誤,請更正",IF(C3&gt;J6,"沖壓力已超過沖床負荷","  "))</f>
        <v>  </v>
      </c>
      <c r="F3" s="815"/>
      <c r="G3" s="815"/>
      <c r="H3" s="815"/>
      <c r="N3" s="824" t="s">
        <v>408</v>
      </c>
      <c r="O3" s="825"/>
      <c r="P3" s="826">
        <f>TODAY()</f>
        <v>43411</v>
      </c>
      <c r="Q3" s="825"/>
      <c r="R3" s="89"/>
    </row>
    <row r="4" spans="1:20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2"/>
    </row>
    <row r="5" spans="1:20">
      <c r="A5" s="15"/>
      <c r="C5" s="190"/>
      <c r="E5" s="191"/>
      <c r="R5" s="63"/>
    </row>
    <row r="6" spans="1:20">
      <c r="A6" s="15"/>
      <c r="G6" s="192"/>
      <c r="J6" s="226">
        <f>SUM(J7:J12)</f>
        <v>200</v>
      </c>
      <c r="R6" s="63"/>
    </row>
    <row r="7" spans="1:20">
      <c r="A7" s="15"/>
      <c r="G7" s="193"/>
      <c r="H7" s="194" t="s">
        <v>293</v>
      </c>
      <c r="I7" s="194" t="s">
        <v>294</v>
      </c>
      <c r="J7" s="226" t="str">
        <f>IF(C14="45L",45,IF(C14="45H",45,IF(C14="45S",45,"  ")))</f>
        <v>  </v>
      </c>
      <c r="R7" s="63"/>
    </row>
    <row r="8" spans="1:20">
      <c r="A8" s="15"/>
      <c r="C8" s="195"/>
      <c r="G8" s="196" t="s">
        <v>367</v>
      </c>
      <c r="H8" s="197">
        <f>C15/2</f>
        <v>425</v>
      </c>
      <c r="I8" s="197">
        <f>E15/2</f>
        <v>325</v>
      </c>
      <c r="J8" s="226" t="str">
        <f>IF(C14="60L",60,IF(C14="60H",60,IF(C14="60S",60,"  ")))</f>
        <v>  </v>
      </c>
      <c r="R8" s="63"/>
    </row>
    <row r="9" spans="1:20">
      <c r="A9" s="15"/>
      <c r="C9" s="193">
        <f>C15</f>
        <v>850</v>
      </c>
      <c r="D9" s="198"/>
      <c r="G9" s="193"/>
      <c r="H9" s="197">
        <f>-C15/2</f>
        <v>-425</v>
      </c>
      <c r="I9" s="197">
        <f>E15/2</f>
        <v>325</v>
      </c>
      <c r="J9" s="226" t="str">
        <f>IF(C14="80L",80,IF(C14="80H",80,IF(C14="80S",80,"  ")))</f>
        <v>  </v>
      </c>
      <c r="R9" s="63"/>
    </row>
    <row r="10" spans="1:20" ht="19.500000" customHeight="1">
      <c r="A10" s="15"/>
      <c r="G10" s="193"/>
      <c r="H10" s="197">
        <f>-C15/2</f>
        <v>-425</v>
      </c>
      <c r="I10" s="197">
        <f>-E15/2</f>
        <v>-325</v>
      </c>
      <c r="J10" s="226" t="str">
        <f>IF(C14="110L",110,IF(C14="110H",110,IF(C14="110S",110,"  ")))</f>
        <v>  </v>
      </c>
      <c r="R10" s="63"/>
    </row>
    <row r="11" spans="1:20">
      <c r="A11" s="15"/>
      <c r="B11" s="817" t="s">
        <v>420</v>
      </c>
      <c r="C11" s="817"/>
      <c r="D11" s="817"/>
      <c r="E11" s="817"/>
      <c r="G11" s="193"/>
      <c r="H11" s="197">
        <f>C15/2</f>
        <v>425</v>
      </c>
      <c r="I11" s="197">
        <f>-E15/2</f>
        <v>-325</v>
      </c>
      <c r="J11" s="226" t="str">
        <f>IF(C14="160XL","160",IF(C14="160L",160,IF(C14="160H",160,IF(C14="160S",160,"  "))))</f>
        <v>  </v>
      </c>
      <c r="R11" s="63"/>
    </row>
    <row r="12" spans="1:20">
      <c r="A12" s="15"/>
      <c r="B12" s="817" t="s">
        <v>421</v>
      </c>
      <c r="C12" s="199"/>
      <c r="D12" s="199"/>
      <c r="E12" s="199"/>
      <c r="G12" s="200"/>
      <c r="H12" s="197">
        <f>C15/2</f>
        <v>425</v>
      </c>
      <c r="I12" s="197">
        <f>E15/2</f>
        <v>325</v>
      </c>
      <c r="J12" s="226">
        <f>IF(C14="200XL",200,IF(C14="200L",200,IF(C14="200H",200,IF(C14="200S",200,"  "))))</f>
        <v>200</v>
      </c>
      <c r="K12" s="201"/>
      <c r="L12" s="201">
        <f>SUM(L13:L26)</f>
        <v>1500</v>
      </c>
      <c r="M12" s="201"/>
      <c r="N12" s="201">
        <f>SUM(N13:N26)</f>
        <v>820</v>
      </c>
      <c r="O12" s="201"/>
      <c r="P12" s="201">
        <f>SUM(P13:P26)</f>
        <v>850</v>
      </c>
      <c r="Q12" s="201"/>
      <c r="R12" s="227">
        <f>SUM(R13:R26)</f>
        <v>650</v>
      </c>
      <c r="T12" s="72"/>
    </row>
    <row r="13" spans="1:20" ht="9.000000" customHeight="1">
      <c r="A13" s="15"/>
      <c r="G13" s="201"/>
      <c r="H13" s="201"/>
      <c r="I13" s="201"/>
      <c r="J13" s="194">
        <v>45</v>
      </c>
      <c r="K13" s="194">
        <v>850</v>
      </c>
      <c r="L13" s="194" t="str">
        <f>IF($C$14="45S",K13,IF(C14="45H",K13,"   "))</f>
        <v>   </v>
      </c>
      <c r="M13" s="194">
        <v>360</v>
      </c>
      <c r="N13" s="194" t="str">
        <f>IF($C$14="45S",M13,IF($C$14="45H",M13,"   "))</f>
        <v>   </v>
      </c>
      <c r="O13" s="194">
        <v>430</v>
      </c>
      <c r="P13" s="194" t="str">
        <f>IF($C$14="45S",O13,IF($C$14="45H",O13,"   "))</f>
        <v>   </v>
      </c>
      <c r="Q13" s="193">
        <v>350</v>
      </c>
      <c r="R13" s="228" t="str">
        <f>IF($C$14="45S",Q13,IF($C$14="45H",Q13,"   "))</f>
        <v>   </v>
      </c>
    </row>
    <row r="14" spans="1:20">
      <c r="A14" s="15"/>
      <c r="B14" s="202" t="s">
        <v>417</v>
      </c>
      <c r="C14" s="203" t="s">
        <v>422</v>
      </c>
      <c r="D14" s="204" t="s">
        <v>423</v>
      </c>
      <c r="E14" s="205"/>
      <c r="G14" s="196" t="s">
        <v>372</v>
      </c>
      <c r="H14" s="197">
        <f>C16/2</f>
        <v>750</v>
      </c>
      <c r="I14" s="197">
        <f>E16/2</f>
        <v>410</v>
      </c>
      <c r="J14" s="194" t="s">
        <v>424</v>
      </c>
      <c r="K14" s="194">
        <v>850</v>
      </c>
      <c r="L14" s="194" t="str">
        <f>IF($C$14="45L",K14,"  ")</f>
        <v>  </v>
      </c>
      <c r="M14" s="194">
        <v>440</v>
      </c>
      <c r="N14" s="194" t="str">
        <f>IF($C$14="45L",M14,"  ")</f>
        <v>  </v>
      </c>
      <c r="O14" s="194">
        <v>430</v>
      </c>
      <c r="P14" s="194" t="str">
        <f>IF($C$14="45L",O14,"  ")</f>
        <v>  </v>
      </c>
      <c r="Q14" s="193">
        <v>350</v>
      </c>
      <c r="R14" s="228" t="str">
        <f>IF($C$14="45L",Q14,"  ")</f>
        <v>  </v>
      </c>
    </row>
    <row r="15" spans="1:20" ht="32.250000">
      <c r="A15" s="15"/>
      <c r="B15" s="206" t="s">
        <v>373</v>
      </c>
      <c r="C15" s="207">
        <f>P12</f>
        <v>850</v>
      </c>
      <c r="D15" s="208" t="s">
        <v>374</v>
      </c>
      <c r="E15" s="79">
        <f>R12</f>
        <v>650</v>
      </c>
      <c r="G15" s="193"/>
      <c r="H15" s="197">
        <f>-C16/2</f>
        <v>-750</v>
      </c>
      <c r="I15" s="197">
        <f>E16/2</f>
        <v>410</v>
      </c>
      <c r="J15" s="194" t="s">
        <v>425</v>
      </c>
      <c r="K15" s="194">
        <v>900</v>
      </c>
      <c r="L15" s="194" t="str">
        <f>IF($C$14="60S",K15,IF($C$14="60H",K15,"   "))</f>
        <v>   </v>
      </c>
      <c r="M15" s="194">
        <v>400</v>
      </c>
      <c r="N15" s="194" t="str">
        <f>IF($C$14="60S",M15,IF($C$14="60H",M15,"   "))</f>
        <v>   </v>
      </c>
      <c r="O15" s="194">
        <v>500</v>
      </c>
      <c r="P15" s="194" t="str">
        <f>IF($C$14="60S",O15,IF($C$14="60H",O15,"   "))</f>
        <v>   </v>
      </c>
      <c r="Q15" s="193">
        <v>400</v>
      </c>
      <c r="R15" s="228" t="str">
        <f>IF($C$14="60S",Q15,IF($C$14="60H",Q15,"   "))</f>
        <v>   </v>
      </c>
    </row>
    <row r="16" spans="1:20">
      <c r="A16" s="15"/>
      <c r="B16" s="209" t="s">
        <v>375</v>
      </c>
      <c r="C16" s="210">
        <f>L12</f>
        <v>1500</v>
      </c>
      <c r="D16" s="211" t="s">
        <v>376</v>
      </c>
      <c r="E16" s="80">
        <f>N12</f>
        <v>820</v>
      </c>
      <c r="G16" s="193"/>
      <c r="H16" s="197">
        <f>-C16/2</f>
        <v>-750</v>
      </c>
      <c r="I16" s="197">
        <f>-E16/2</f>
        <v>-410</v>
      </c>
      <c r="J16" s="194" t="s">
        <v>426</v>
      </c>
      <c r="K16" s="194">
        <v>900</v>
      </c>
      <c r="L16" s="194" t="str">
        <f>IF($C$14="60L",K16,"   ")</f>
        <v>   </v>
      </c>
      <c r="M16" s="194">
        <v>520</v>
      </c>
      <c r="N16" s="194" t="str">
        <f>IF($C$14="60L",M16,"  ")</f>
        <v>  </v>
      </c>
      <c r="O16" s="194">
        <v>500</v>
      </c>
      <c r="P16" s="194" t="str">
        <f>IF($C$14="60L",O16,"  ")</f>
        <v>  </v>
      </c>
      <c r="Q16" s="193">
        <v>400</v>
      </c>
      <c r="R16" s="228" t="str">
        <f>IF($C$14="60L",Q16,"  ")</f>
        <v>  </v>
      </c>
    </row>
    <row r="17" spans="1:18">
      <c r="A17" s="15"/>
      <c r="B17" s="212" t="s">
        <v>377</v>
      </c>
      <c r="C17" s="213">
        <v>600</v>
      </c>
      <c r="D17" s="214" t="s">
        <v>406</v>
      </c>
      <c r="E17" s="215">
        <v>600</v>
      </c>
      <c r="G17" s="193"/>
      <c r="H17" s="197">
        <f>C16/2</f>
        <v>750</v>
      </c>
      <c r="I17" s="197">
        <f>-E16/2</f>
        <v>-410</v>
      </c>
      <c r="J17" s="194" t="s">
        <v>427</v>
      </c>
      <c r="K17" s="194">
        <v>1000</v>
      </c>
      <c r="L17" s="194" t="str">
        <f>IF($C$14="80S",K17,IF($C$14="80H",K17,"   "))</f>
        <v>   </v>
      </c>
      <c r="M17" s="194">
        <v>460</v>
      </c>
      <c r="N17" s="194" t="str">
        <f>IF($C$14="80S",M17,IF($C$14="80H",M17,"   "))</f>
        <v>   </v>
      </c>
      <c r="O17" s="194">
        <v>560</v>
      </c>
      <c r="P17" s="194" t="str">
        <f>IF($C$14="80S",O17,IF($C$14="80H",O17,"   "))</f>
        <v>   </v>
      </c>
      <c r="Q17" s="193">
        <v>460</v>
      </c>
      <c r="R17" s="228" t="str">
        <f>IF($C$14="80S",Q17,IF($C$14="80H",Q17,"   "))</f>
        <v>   </v>
      </c>
    </row>
    <row r="18" spans="1:18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197">
        <f>C16/2</f>
        <v>750</v>
      </c>
      <c r="I18" s="197">
        <f>E16/2</f>
        <v>410</v>
      </c>
      <c r="J18" s="194" t="s">
        <v>428</v>
      </c>
      <c r="K18" s="194">
        <v>1000</v>
      </c>
      <c r="L18" s="194" t="str">
        <f>IF($C$14="80L",K18,"   ")</f>
        <v>   </v>
      </c>
      <c r="M18" s="194">
        <v>600</v>
      </c>
      <c r="N18" s="194" t="str">
        <f>IF($C$14="80L",M18,"  ")</f>
        <v>  </v>
      </c>
      <c r="O18" s="194">
        <v>560</v>
      </c>
      <c r="P18" s="194" t="str">
        <f>IF($C$14="80L",O18,"  ")</f>
        <v>  </v>
      </c>
      <c r="Q18" s="193">
        <v>460</v>
      </c>
      <c r="R18" s="228" t="str">
        <f>IF($C$14="80L",Q18,"  ")</f>
        <v>  </v>
      </c>
    </row>
    <row r="19" spans="1:18">
      <c r="A19" s="15"/>
      <c r="B19" s="219" t="s">
        <v>383</v>
      </c>
      <c r="C19" s="220">
        <v>-200</v>
      </c>
      <c r="D19" s="220">
        <v>10</v>
      </c>
      <c r="E19" s="78">
        <v>10000</v>
      </c>
      <c r="J19" s="194" t="s">
        <v>429</v>
      </c>
      <c r="K19" s="194">
        <v>1150</v>
      </c>
      <c r="L19" s="194" t="str">
        <f>IF($C$14="110S",K19,IF($C$14="110H",K19,"   "))</f>
        <v>   </v>
      </c>
      <c r="M19" s="194">
        <v>520</v>
      </c>
      <c r="N19" s="194" t="str">
        <f>IF($C$14="110S",M19,IF($C$14="110H",M19,"   "))</f>
        <v>   </v>
      </c>
      <c r="O19" s="194">
        <v>650</v>
      </c>
      <c r="P19" s="194" t="str">
        <f>IF($C$14="110S",O19,IF($C$14="110H",O19,"   "))</f>
        <v>   </v>
      </c>
      <c r="Q19" s="193">
        <v>520</v>
      </c>
      <c r="R19" s="228" t="str">
        <f>IF($C$14="110S",Q19,IF($C$14="110H",Q19,"   "))</f>
        <v>   </v>
      </c>
    </row>
    <row r="20" spans="1:18">
      <c r="A20" s="15"/>
      <c r="B20" s="219" t="s">
        <v>384</v>
      </c>
      <c r="C20" s="220">
        <v>-100</v>
      </c>
      <c r="D20" s="220">
        <v>-50</v>
      </c>
      <c r="E20" s="78">
        <v>12000</v>
      </c>
      <c r="J20" s="194" t="s">
        <v>430</v>
      </c>
      <c r="K20" s="194">
        <v>1150</v>
      </c>
      <c r="L20" s="194" t="str">
        <f>IF($C$14="110L",K20,"   ")</f>
        <v>   </v>
      </c>
      <c r="M20" s="194">
        <v>680</v>
      </c>
      <c r="N20" s="194" t="str">
        <f>IF($C$14="110L",M20,"  ")</f>
        <v>  </v>
      </c>
      <c r="O20" s="194">
        <v>650</v>
      </c>
      <c r="P20" s="194" t="str">
        <f>IF($C$14="110L",O20,"  ")</f>
        <v>  </v>
      </c>
      <c r="Q20" s="193">
        <v>520</v>
      </c>
      <c r="R20" s="228" t="str">
        <f>IF($C$14="110L",Q20,"  ")</f>
        <v>  </v>
      </c>
    </row>
    <row r="21" spans="1:18">
      <c r="A21" s="15"/>
      <c r="B21" s="219" t="s">
        <v>385</v>
      </c>
      <c r="C21" s="220">
        <v>0</v>
      </c>
      <c r="D21" s="220">
        <v>20</v>
      </c>
      <c r="E21" s="78">
        <v>13000</v>
      </c>
      <c r="G21" s="196" t="s">
        <v>386</v>
      </c>
      <c r="H21" s="197">
        <f>C17/2</f>
        <v>300</v>
      </c>
      <c r="I21" s="197">
        <f>E17/2</f>
        <v>300</v>
      </c>
      <c r="J21" s="194" t="s">
        <v>431</v>
      </c>
      <c r="K21" s="194">
        <v>1250</v>
      </c>
      <c r="L21" s="194" t="str">
        <f>IF($C$14="160S",K21,IF($C$14="160H",K21,"   "))</f>
        <v>   </v>
      </c>
      <c r="M21" s="194">
        <v>600</v>
      </c>
      <c r="N21" s="194" t="str">
        <f>IF($C$14="160S",M21,IF($C$14="160H",M21,"   "))</f>
        <v>   </v>
      </c>
      <c r="O21" s="194">
        <v>700</v>
      </c>
      <c r="P21" s="194" t="str">
        <f>IF($C$14="160S",O21,IF($C$14="160H",O21,"   "))</f>
        <v>   </v>
      </c>
      <c r="Q21" s="193">
        <v>580</v>
      </c>
      <c r="R21" s="228" t="str">
        <f>IF($C$14="160S",Q21,IF($C$14="160H",Q21,"   "))</f>
        <v>   </v>
      </c>
    </row>
    <row r="22" spans="1:18">
      <c r="A22" s="15"/>
      <c r="B22" s="219" t="s">
        <v>387</v>
      </c>
      <c r="C22" s="220">
        <v>100</v>
      </c>
      <c r="D22" s="220">
        <v>-15</v>
      </c>
      <c r="E22" s="78">
        <v>15000</v>
      </c>
      <c r="G22" s="193"/>
      <c r="H22" s="197">
        <f>-C17/2</f>
        <v>-300</v>
      </c>
      <c r="I22" s="197">
        <f>E17/2</f>
        <v>300</v>
      </c>
      <c r="J22" s="194" t="s">
        <v>432</v>
      </c>
      <c r="K22" s="194">
        <v>1250</v>
      </c>
      <c r="L22" s="194" t="str">
        <f>IF($C$14="160L",K22,"   ")</f>
        <v>   </v>
      </c>
      <c r="M22" s="194">
        <v>760</v>
      </c>
      <c r="N22" s="194" t="str">
        <f>IF($C$14="160L",M22,"   ")</f>
        <v>   </v>
      </c>
      <c r="O22" s="194">
        <v>700</v>
      </c>
      <c r="P22" s="194" t="str">
        <f>IF($C$14="160L",O22,"   ")</f>
        <v>   </v>
      </c>
      <c r="Q22" s="193">
        <v>580</v>
      </c>
      <c r="R22" s="228" t="str">
        <f>IF($C$14="160L",Q22,"   ")</f>
        <v>   </v>
      </c>
    </row>
    <row r="23" spans="1:18">
      <c r="A23" s="15"/>
      <c r="B23" s="219" t="s">
        <v>388</v>
      </c>
      <c r="C23" s="220">
        <v>200</v>
      </c>
      <c r="D23" s="220">
        <v>30</v>
      </c>
      <c r="E23" s="78">
        <v>100</v>
      </c>
      <c r="G23" s="196"/>
      <c r="H23" s="197">
        <f>-C17/2</f>
        <v>-300</v>
      </c>
      <c r="I23" s="197">
        <f>-E17/2</f>
        <v>-300</v>
      </c>
      <c r="J23" s="194" t="s">
        <v>433</v>
      </c>
      <c r="K23" s="194">
        <v>1350</v>
      </c>
      <c r="L23" s="194" t="str">
        <f>IF($C$14="160XL",K23,"   ")</f>
        <v>   </v>
      </c>
      <c r="M23" s="194">
        <v>760</v>
      </c>
      <c r="N23" s="194" t="str">
        <f>IF($C$14="160XL",M23,"   ")</f>
        <v>   </v>
      </c>
      <c r="O23" s="194">
        <v>700</v>
      </c>
      <c r="P23" s="194" t="str">
        <f>IF($C$14="160XL",O23,"   ")</f>
        <v>   </v>
      </c>
      <c r="Q23" s="193">
        <v>580</v>
      </c>
      <c r="R23" s="228" t="str">
        <f>IF($C$14="160XL",Q23,"   ")</f>
        <v>   </v>
      </c>
    </row>
    <row r="24" spans="1:18">
      <c r="A24" s="15"/>
      <c r="B24" s="219" t="s">
        <v>389</v>
      </c>
      <c r="C24" s="220"/>
      <c r="D24" s="220"/>
      <c r="E24" s="78"/>
      <c r="G24" s="196"/>
      <c r="H24" s="197">
        <f>C17/2</f>
        <v>300</v>
      </c>
      <c r="I24" s="197">
        <f>-E17/2</f>
        <v>-300</v>
      </c>
      <c r="J24" s="194" t="s">
        <v>434</v>
      </c>
      <c r="K24" s="194">
        <v>1400</v>
      </c>
      <c r="L24" s="194" t="str">
        <f>IF($C$14="200S",K24,IF($C$14="200H",K24,"   "))</f>
        <v>   </v>
      </c>
      <c r="M24" s="194">
        <v>680</v>
      </c>
      <c r="N24" s="194" t="str">
        <f>IF($C$14="200S",M24,IF($C$14="200H",M24,"   "))</f>
        <v>   </v>
      </c>
      <c r="O24" s="194">
        <v>850</v>
      </c>
      <c r="P24" s="194" t="str">
        <f>IF($C$14="200S",O24,IF($C$14="200H",O24,"   "))</f>
        <v>   </v>
      </c>
      <c r="Q24" s="193">
        <v>650</v>
      </c>
      <c r="R24" s="228" t="str">
        <f>IF($C$14="200S",Q24,IF($C$14="200H",Q24,"   "))</f>
        <v>   </v>
      </c>
    </row>
    <row r="25" spans="1:18">
      <c r="A25" s="15"/>
      <c r="B25" s="219" t="s">
        <v>390</v>
      </c>
      <c r="C25" s="220"/>
      <c r="D25" s="220"/>
      <c r="E25" s="78"/>
      <c r="H25" s="197">
        <f>C17/2</f>
        <v>300</v>
      </c>
      <c r="I25" s="197">
        <f>E17/2</f>
        <v>300</v>
      </c>
      <c r="J25" s="194" t="s">
        <v>435</v>
      </c>
      <c r="K25" s="194">
        <v>1400</v>
      </c>
      <c r="L25" s="194" t="str">
        <f>IF($C$14="200L",K25,"   ")</f>
        <v>   </v>
      </c>
      <c r="M25" s="194">
        <v>820</v>
      </c>
      <c r="N25" s="194" t="str">
        <f>IF($C$14="200L",M25,"   ")</f>
        <v>   </v>
      </c>
      <c r="O25" s="194">
        <v>850</v>
      </c>
      <c r="P25" s="194" t="str">
        <f>IF($C$14="200L",O25,"   ")</f>
        <v>   </v>
      </c>
      <c r="Q25" s="193">
        <v>650</v>
      </c>
      <c r="R25" s="228" t="str">
        <f>IF($C$14="200L",Q25,"   ")</f>
        <v>   </v>
      </c>
    </row>
    <row r="26" spans="1:18">
      <c r="A26" s="15"/>
      <c r="B26" s="219" t="s">
        <v>391</v>
      </c>
      <c r="C26" s="220"/>
      <c r="D26" s="220"/>
      <c r="E26" s="78"/>
      <c r="J26" s="193" t="s">
        <v>422</v>
      </c>
      <c r="K26" s="193">
        <v>1500</v>
      </c>
      <c r="L26" s="194">
        <f>IF($C$14="200XL",K26,"   ")</f>
        <v>1500</v>
      </c>
      <c r="M26" s="193">
        <v>820</v>
      </c>
      <c r="N26" s="194">
        <f>IF($C$14="200XL",M26,"   ")</f>
        <v>820</v>
      </c>
      <c r="O26" s="193">
        <v>850</v>
      </c>
      <c r="P26" s="194">
        <f>IF($C$14="200XL",O26,"   ")</f>
        <v>850</v>
      </c>
      <c r="Q26" s="193">
        <v>650</v>
      </c>
      <c r="R26" s="229">
        <f>IF($C$14="200XL",Q26,"   ")</f>
        <v>650</v>
      </c>
    </row>
    <row r="27" spans="1:18">
      <c r="A27" s="15"/>
      <c r="B27" s="219" t="s">
        <v>392</v>
      </c>
      <c r="C27" s="220"/>
      <c r="D27" s="220"/>
      <c r="E27" s="78"/>
      <c r="G27" s="11" t="s">
        <v>107</v>
      </c>
      <c r="H27" s="12"/>
      <c r="I27" s="12"/>
      <c r="J27" s="12"/>
      <c r="K27" s="142"/>
      <c r="L27" s="142"/>
      <c r="M27" s="142"/>
      <c r="N27" s="142"/>
      <c r="O27" s="142"/>
      <c r="P27" s="142"/>
      <c r="Q27" s="142"/>
      <c r="R27" s="172"/>
    </row>
    <row r="28" spans="1:18">
      <c r="A28" s="15"/>
      <c r="B28" s="219" t="s">
        <v>393</v>
      </c>
      <c r="C28" s="220"/>
      <c r="D28" s="220"/>
      <c r="E28" s="78"/>
      <c r="G28" s="145"/>
      <c r="H28" s="144"/>
      <c r="I28" s="144"/>
      <c r="K28" s="144"/>
      <c r="L28" s="144"/>
      <c r="M28" s="144"/>
      <c r="N28" s="144"/>
      <c r="O28" s="144"/>
      <c r="P28" s="144"/>
      <c r="Q28" s="144"/>
      <c r="R28" s="173"/>
    </row>
    <row r="29" spans="1:18">
      <c r="A29" s="15"/>
      <c r="B29" s="219" t="s">
        <v>394</v>
      </c>
      <c r="C29" s="220"/>
      <c r="D29" s="220"/>
      <c r="E29" s="78"/>
      <c r="G29" s="145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73"/>
    </row>
    <row r="30" spans="1:18">
      <c r="A30" s="15"/>
      <c r="B30" s="221" t="s">
        <v>395</v>
      </c>
      <c r="C30" s="222"/>
      <c r="D30" s="222"/>
      <c r="E30" s="223"/>
      <c r="G30" s="145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73"/>
    </row>
    <row r="31" spans="1:18" ht="6.000000" customHeight="1">
      <c r="A31" s="34"/>
      <c r="B31" s="224"/>
      <c r="C31" s="225"/>
      <c r="D31" s="225"/>
      <c r="E31" s="225"/>
      <c r="F31" s="35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64"/>
    </row>
    <row r="32" spans="1:18">
      <c r="A32" s="12"/>
      <c r="C32" s="72"/>
      <c r="E32" s="72"/>
    </row>
    <row r="49" spans="1:2">
      <c r="A49" s="72"/>
      <c r="B49" s="72"/>
    </row>
    <row r="50" spans="1:2">
      <c r="A50" s="72"/>
      <c r="B50" s="72"/>
    </row>
    <row r="51" spans="1:2">
      <c r="A51" s="72"/>
      <c r="B51" s="72"/>
    </row>
    <row r="52" spans="1:2">
      <c r="A52" s="72"/>
      <c r="B52" s="72"/>
    </row>
    <row r="53" spans="1:2">
      <c r="A53" s="72"/>
      <c r="B53" s="72"/>
    </row>
    <row r="54" spans="1:2">
      <c r="A54" s="72"/>
      <c r="B54" s="72"/>
    </row>
    <row r="55" spans="1:2">
      <c r="A55" s="72"/>
      <c r="B55" s="72"/>
    </row>
    <row r="56" spans="1:2">
      <c r="A56" s="72"/>
      <c r="B56" s="72"/>
    </row>
    <row r="57" spans="1:2">
      <c r="A57" s="72"/>
      <c r="B57" s="72"/>
    </row>
    <row r="58" spans="1:2">
      <c r="A58" s="72"/>
      <c r="B58" s="72"/>
    </row>
    <row r="59" spans="1:2">
      <c r="A59" s="3"/>
      <c r="B59" s="3"/>
    </row>
  </sheetData>
  <sheetProtection sheet="1" password="ce28" objects="1" scenarios="1"/>
  <mergeCells count="10">
    <mergeCell ref="A1:Q1"/>
    <mergeCell ref="E2:F2"/>
    <mergeCell ref="E3:H3"/>
    <mergeCell ref="N3:O3"/>
    <mergeCell ref="P3:Q3"/>
    <mergeCell ref="G8:G11"/>
    <mergeCell ref="C9:D9"/>
    <mergeCell ref="B11:E11"/>
    <mergeCell ref="B12:E12"/>
    <mergeCell ref="G14:G17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X97"/>
  <sheetViews>
    <sheetView showGridLines="0" showRowColHeaders="0" zoomScale="85" zoomScaleNormal="85" workbookViewId="0">
      <selection activeCell="M43" sqref="M43"/>
    </sheetView>
  </sheetViews>
  <sheetFormatPr defaultColWidth="9.00000000" defaultRowHeight="16.200000"/>
  <cols>
    <col min="1" max="1" style="3" width="10.71928583" customWidth="1" outlineLevel="0"/>
    <col min="2" max="2" style="3" width="2.14785717" customWidth="1" outlineLevel="0"/>
    <col min="3" max="3" style="3" width="9.14785753" customWidth="1" outlineLevel="0"/>
    <col min="4" max="4" style="3" width="2.14785717" customWidth="1" outlineLevel="0"/>
    <col min="5" max="5" style="3" width="9.14785753" customWidth="1" outlineLevel="0"/>
    <col min="6" max="6" style="3" width="2.14785717" customWidth="1" outlineLevel="0"/>
    <col min="7" max="7" style="3" width="9.14785753" customWidth="1" outlineLevel="0"/>
    <col min="8" max="8" style="3" width="2.14785717" customWidth="1" outlineLevel="0"/>
    <col min="9" max="9" style="3" width="9.14785753" customWidth="1" outlineLevel="0"/>
    <col min="10" max="10" style="3" width="2.14785717" customWidth="1" outlineLevel="0"/>
    <col min="11" max="11" style="3" width="9.14785753" customWidth="1" outlineLevel="0"/>
    <col min="12" max="12" style="3" width="2.14785717" customWidth="1" outlineLevel="0"/>
    <col min="13" max="13" style="3" width="9.14785753" customWidth="1" outlineLevel="0"/>
    <col min="14" max="14" style="3" width="2.14785717" customWidth="1" outlineLevel="0"/>
    <col min="15" max="15" style="3" width="9.14785753" customWidth="1" outlineLevel="0"/>
    <col min="16" max="16" style="3" width="2.14785717" customWidth="1" outlineLevel="0"/>
    <col min="17" max="17" style="3" width="9.14785753" customWidth="1" outlineLevel="0"/>
    <col min="18" max="18" style="3" width="2.14785717" customWidth="1" outlineLevel="0"/>
    <col min="19" max="19" style="3" width="9.14785753" customWidth="1" outlineLevel="0"/>
    <col min="20" max="20" style="3" width="2.14785717" customWidth="1" outlineLevel="0"/>
    <col min="21" max="21" style="3" width="9.14785753" customWidth="1" outlineLevel="0"/>
    <col min="22" max="22" style="3" width="2.14785717" customWidth="1" outlineLevel="0"/>
    <col min="23" max="23" style="3" width="9.14785753" customWidth="1" outlineLevel="0"/>
    <col min="24" max="24" style="3" width="10.71928583" customWidth="1" outlineLevel="0"/>
    <col min="25" max="16384" style="3" width="9.00499998" customWidth="1" outlineLevel="0"/>
  </cols>
  <sheetData>
    <row r="1" spans="1:24" ht="60.000000" customHeight="1">
      <c r="A1" s="646" t="s">
        <v>436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5"/>
      <c r="W1" s="65"/>
      <c r="X1" s="65"/>
    </row>
    <row r="2" spans="1:24" s="2" customFormat="1" ht="21.750000" customHeight="1">
      <c r="A2" s="65"/>
      <c r="B2" s="65"/>
      <c r="C2" s="65"/>
      <c r="E2" s="830" t="s">
        <v>437</v>
      </c>
      <c r="F2" s="831"/>
      <c r="G2" s="831"/>
      <c r="H2" s="831"/>
      <c r="I2" s="831"/>
      <c r="J2" s="831"/>
      <c r="K2" s="831"/>
      <c r="L2" s="831"/>
      <c r="M2" s="831"/>
      <c r="N2" s="65"/>
      <c r="O2" s="65"/>
      <c r="P2" s="65"/>
      <c r="Q2" s="65"/>
      <c r="R2" s="65"/>
      <c r="S2" s="150" t="s">
        <v>438</v>
      </c>
      <c r="T2" s="150"/>
      <c r="U2" s="832">
        <f>TODAY()</f>
        <v>43411</v>
      </c>
      <c r="V2" s="833"/>
      <c r="W2" s="65"/>
      <c r="X2" s="65"/>
    </row>
    <row r="3" spans="1:24" s="2" customFormat="1" ht="16.500000" customHeight="1">
      <c r="A3" s="841" t="s">
        <v>439</v>
      </c>
      <c r="B3" s="842"/>
      <c r="C3" s="70" t="s">
        <v>440</v>
      </c>
      <c r="D3" s="60"/>
      <c r="E3" s="12"/>
      <c r="F3" s="692"/>
      <c r="G3" s="829"/>
      <c r="H3" s="692"/>
      <c r="I3" s="829"/>
      <c r="J3" s="692"/>
      <c r="K3" s="829"/>
      <c r="L3" s="692"/>
      <c r="M3" s="829"/>
      <c r="N3" s="692"/>
      <c r="O3" s="829"/>
      <c r="P3" s="692"/>
      <c r="Q3" s="829"/>
      <c r="R3" s="692"/>
      <c r="S3" s="829"/>
      <c r="T3" s="692"/>
      <c r="U3" s="829"/>
      <c r="V3" s="60"/>
      <c r="W3" s="151"/>
      <c r="X3" s="65"/>
    </row>
    <row r="4" spans="1:24">
      <c r="A4" s="836" t="s">
        <v>441</v>
      </c>
      <c r="B4" s="837"/>
      <c r="C4" s="71">
        <v>41.7</v>
      </c>
      <c r="D4" s="56"/>
      <c r="E4" s="72"/>
      <c r="F4" s="3">
        <f>IF(C6&lt;=11,((C4*C6)+(C7*C6-C7)+C10+C10+C14+C14)/2,"  ")</f>
        <v>378.5</v>
      </c>
      <c r="G4" s="3">
        <f>IF(C6&lt;=11,(C5+C11+C11+C15+C15)/2,"  ")</f>
        <v>100.85</v>
      </c>
      <c r="H4" s="3">
        <f>IF(C6&lt;=11,((C4*C6)+(C7*C6-C7)+C10+C10+C14+C14)/2,"  ")</f>
        <v>378.5</v>
      </c>
      <c r="I4" s="3">
        <f>IF(C6&gt;12,"  ",I9+C8)</f>
        <v>35.85</v>
      </c>
      <c r="J4" s="3">
        <f>IF(C6&lt;=11,((C4*C6)+(C7*C6-C7)+C10+C10)/2,"  ")</f>
        <v>328.5</v>
      </c>
      <c r="K4" s="3">
        <f>IF(C6&gt;12,"  ",C10+I9)</f>
        <v>50.85</v>
      </c>
      <c r="L4" s="3">
        <f>IF(C6&gt;11,"  ",IF(C6&gt;=1,(C4+C7)*L9-G9,"  "))</f>
        <v>-298.5</v>
      </c>
      <c r="M4" s="3">
        <f>IF(C6&gt;11,"  ",IF(C6&gt;=1,I9,"  "))</f>
        <v>20.85</v>
      </c>
      <c r="N4" s="3">
        <f>IF(C6&gt;11,"  ",IF(C6&gt;=2,(C4+C7)*N9-G9,"  "))</f>
        <v>-236.8</v>
      </c>
      <c r="O4" s="3">
        <f>IF(C6&gt;11,"  ",IF(C6&gt;=2,I9,"  "))</f>
        <v>20.85</v>
      </c>
      <c r="P4" s="3">
        <f>IF(C6&gt;11,"  ",IF(C6&gt;=3,(C4+C7)*P9-G9,"  "))</f>
        <v>-175.1</v>
      </c>
      <c r="Q4" s="3">
        <f>IF(C6&gt;11,"  ",IF(C6&gt;=3,I9,"  "))</f>
        <v>20.85</v>
      </c>
      <c r="R4" s="3">
        <f>IF(C6&gt;11,"  ",IF(C6&gt;=4,(C4+C7)*R9-G9,"  "))</f>
        <v>-113.4</v>
      </c>
      <c r="S4" s="3">
        <f>IF(C6&gt;11,"  ",IF(C6&gt;=4,I9,"  "))</f>
        <v>20.85</v>
      </c>
      <c r="T4" s="3">
        <f>IF(C6&gt;11,"  ",IF(C6&gt;=5,(C4+C7)*T9-G9,"  "))</f>
        <v>-51.7</v>
      </c>
      <c r="U4" s="3">
        <f>IF(C6&gt;11,"  ",IF(C6&gt;=5,I9,"  "))</f>
        <v>20.85</v>
      </c>
      <c r="V4" s="56"/>
      <c r="W4" s="152"/>
      <c r="X4" s="65"/>
    </row>
    <row r="5" spans="1:24">
      <c r="A5" s="836" t="s">
        <v>442</v>
      </c>
      <c r="B5" s="837"/>
      <c r="C5" s="71">
        <v>41.7</v>
      </c>
      <c r="D5" s="56"/>
      <c r="E5" s="72"/>
      <c r="F5" s="3">
        <f>IF(C6&lt;=11,-((C4*C6)+(C7*C6-C7)+C10+C10+C14+C14)/2,"  ")</f>
        <v>-378.5</v>
      </c>
      <c r="G5" s="3">
        <f>IF(C6&lt;=11,(C5+C11+C11+C15+C15)/2,"  ")</f>
        <v>100.85</v>
      </c>
      <c r="H5" s="3">
        <f>IF(C6&lt;=11,-((C4*C6)+(C7*C6-C7)+C10+C10+C14+C14)/2,"  ")</f>
        <v>-378.5</v>
      </c>
      <c r="I5" s="3">
        <f>IF(C6&gt;12,"  ",I9+C8)</f>
        <v>35.85</v>
      </c>
      <c r="J5" s="3">
        <f>IF(C6&lt;=11,-((C4*C6)+(C7*C6-C7)+C10+C10)/2,"  ")</f>
        <v>-328.5</v>
      </c>
      <c r="K5" s="3">
        <f>IF(C6&gt;12,"  ",C10+I9)</f>
        <v>50.85</v>
      </c>
      <c r="L5" s="3">
        <f>IF(C6&gt;11,"  ",IF(C6&gt;=1,(C4+C7)*L9+G9,"  "))</f>
        <v>-256.8</v>
      </c>
      <c r="M5" s="3">
        <f>IF(C6&gt;11,"  ",IF(C6&gt;=1,I9,"  "))</f>
        <v>20.85</v>
      </c>
      <c r="N5" s="3">
        <f>IF(C6&gt;11,"  ",IF(C6&gt;=2,(C4+C7)*N9+G9,"  "))</f>
        <v>-195.1</v>
      </c>
      <c r="O5" s="3">
        <f>IF(C6&gt;11,"  ",IF(C6&gt;=2,I9,"  "))</f>
        <v>20.85</v>
      </c>
      <c r="P5" s="3">
        <f>IF(C6&gt;11,"  ",IF(C6&gt;=3,(C4+C7)*P9+G9,"  "))</f>
        <v>-133.4</v>
      </c>
      <c r="Q5" s="3">
        <f>IF(C6&gt;11,"  ",IF(C6&gt;=3,I9,"  "))</f>
        <v>20.85</v>
      </c>
      <c r="R5" s="3">
        <f>IF(C6&gt;11,"  ",IF(C6&gt;=4,(C4+C7)*R9+G9,"  "))</f>
        <v>-71.7</v>
      </c>
      <c r="S5" s="3">
        <f>IF(C6&gt;11,"  ",IF(C6&gt;=4,I9,"  "))</f>
        <v>20.85</v>
      </c>
      <c r="T5" s="3">
        <f>IF(C6&gt;11,"  ",IF(C6&gt;=5,(C4+C7)*T9+G9,"  "))</f>
        <v>-10</v>
      </c>
      <c r="U5" s="72">
        <f>IF(C6&gt;11,"  ",IF(C6&gt;=5,I9,"  "))</f>
        <v>20.85</v>
      </c>
      <c r="V5" s="56"/>
      <c r="W5" s="152"/>
      <c r="X5" s="65"/>
    </row>
    <row r="6" spans="1:24">
      <c r="A6" s="836" t="s">
        <v>443</v>
      </c>
      <c r="B6" s="837"/>
      <c r="C6" s="71">
        <v>10</v>
      </c>
      <c r="D6" s="56"/>
      <c r="E6" s="72"/>
      <c r="F6" s="3">
        <f>IF(C6&lt;=11,-((C4*C6)+(C7*C6-C7)+C10+C10+C14+C14)/2,"  ")</f>
        <v>-378.5</v>
      </c>
      <c r="G6" s="3">
        <f>IF(C6&lt;=11,-(C5+C11+C11+C15+C15)/2,"  ")</f>
        <v>-100.85</v>
      </c>
      <c r="H6" s="3">
        <f>IF(C6&lt;=11,-((C4*C6)+(C7*C6-C7)+C10+C10+C14+C14)/2,"  ")</f>
        <v>-378.5</v>
      </c>
      <c r="I6" s="3">
        <f>IF(C6&gt;12,"  ",-(I9+C8))</f>
        <v>-35.85</v>
      </c>
      <c r="J6" s="3">
        <f>IF(C6&lt;=11,-((C4*C6)+(C7*C6-C7)+C10+C10)/2,"  ")</f>
        <v>-328.5</v>
      </c>
      <c r="K6" s="3">
        <f>IF(C6&gt;12,"  ",-(C10+I9))</f>
        <v>-50.85</v>
      </c>
      <c r="L6" s="3">
        <f>IF(C6&gt;11,"  ",IF(C6&gt;=1,(C4+C7)*L9+G9,"  "))</f>
        <v>-256.8</v>
      </c>
      <c r="M6" s="3">
        <f>IF(C6&gt;11,"  ",IF(C6&gt;=1,-I9,"  "))</f>
        <v>-20.85</v>
      </c>
      <c r="N6" s="3">
        <f>IF(C6&gt;11,"  ",IF(C6&gt;=2,(C4+C7)*N9+G9,"  "))</f>
        <v>-195.1</v>
      </c>
      <c r="O6" s="3">
        <f>IF(C6&gt;11,"  ",IF(C6&gt;=2,-I9,"  "))</f>
        <v>-20.85</v>
      </c>
      <c r="P6" s="3">
        <f>IF(C6&gt;11,"  ",IF(C6&gt;=3,(C4+C7)*P9+G9,"  "))</f>
        <v>-133.4</v>
      </c>
      <c r="Q6" s="3">
        <f>IF(C6&gt;11,"  ",IF(C6&gt;=3,-I9,"  "))</f>
        <v>-20.85</v>
      </c>
      <c r="R6" s="3">
        <f>IF(C6&gt;11,"  ",IF(C6&gt;=4,(C4+C7)*R9+G9,"  "))</f>
        <v>-71.7</v>
      </c>
      <c r="S6" s="3">
        <f>IF(C6&gt;11,"  ",IF(C6&gt;=4,-I9,"  "))</f>
        <v>-20.85</v>
      </c>
      <c r="T6" s="3">
        <f>IF(C6&gt;11,"  ",IF(C6&gt;=5,(C4+C7)*T9+G9,"  "))</f>
        <v>-10</v>
      </c>
      <c r="U6" s="72">
        <f>IF(C6&gt;11,"  ",IF(C6&gt;=5,-I9,"  "))</f>
        <v>-20.85</v>
      </c>
      <c r="V6" s="56"/>
      <c r="W6" s="152"/>
      <c r="X6" s="65"/>
    </row>
    <row r="7" spans="1:24">
      <c r="A7" s="836" t="s">
        <v>444</v>
      </c>
      <c r="B7" s="837"/>
      <c r="C7" s="71">
        <v>20</v>
      </c>
      <c r="D7" s="56"/>
      <c r="E7" s="72"/>
      <c r="F7" s="3">
        <f>IF(C6&lt;=11,((C4*C6)+(C7*C6-C7)+C10+C10+C14+C14)/2,"  ")</f>
        <v>378.5</v>
      </c>
      <c r="G7" s="3">
        <f>IF(C6&lt;=11,-(C5+C11+C11+C15+C15)/2,"  ")</f>
        <v>-100.85</v>
      </c>
      <c r="H7" s="3">
        <f>IF(C6&lt;=11,((C4*C6)+(C7*C6-C7)+C10+C10+C14+C14)/2,"  ")</f>
        <v>378.5</v>
      </c>
      <c r="I7" s="3">
        <f>IF(C6&gt;12,"  ",-(I9+C8))</f>
        <v>-35.85</v>
      </c>
      <c r="J7" s="3">
        <f>IF(C6&lt;=11,((C4*C6)+(C7*C6-C7)+C10+C10)/2,"  ")</f>
        <v>328.5</v>
      </c>
      <c r="K7" s="3">
        <f>IF(C6&gt;12,"  ",-(C10+I9))</f>
        <v>-50.85</v>
      </c>
      <c r="L7" s="3">
        <f>IF(C6&gt;11,"  ",IF(C6&gt;=1,(C4+C7)*L9-G9,"  "))</f>
        <v>-298.5</v>
      </c>
      <c r="M7" s="3">
        <f>IF(C6&gt;11,"  ",IF(C6&gt;=1,-I9,"  "))</f>
        <v>-20.85</v>
      </c>
      <c r="N7" s="3">
        <f>IF(C6&gt;11,"  ",IF(C6&gt;=2,(C4+C7)*N9-G9,"  "))</f>
        <v>-236.8</v>
      </c>
      <c r="O7" s="3">
        <f>IF(C6&gt;11,"  ",IF(C6&gt;=2,-I9,"  "))</f>
        <v>-20.85</v>
      </c>
      <c r="P7" s="3">
        <f>IF(C6&gt;11,"  ",IF(C6&gt;=3,(C4+C7)*P9-G9,"  "))</f>
        <v>-175.1</v>
      </c>
      <c r="Q7" s="3">
        <f>IF(C6&gt;11,"  ",IF(C6&gt;=3,-I9,"  "))</f>
        <v>-20.85</v>
      </c>
      <c r="R7" s="3">
        <f>IF(C6&gt;11,"  ",IF(C6&gt;=4,(C4+C7)*R9-G9,"  "))</f>
        <v>-113.4</v>
      </c>
      <c r="S7" s="3">
        <f>IF(C6&gt;11,"  ",IF(C6&gt;=4,-I9,"  "))</f>
        <v>-20.85</v>
      </c>
      <c r="T7" s="3">
        <f>IF(C6&gt;11,"  ",IF(C6&gt;=5,(C4+C7)*T9-G9,"  "))</f>
        <v>-51.7</v>
      </c>
      <c r="U7" s="72">
        <f>IF(C6&gt;11,"  ",IF(C6&gt;=5,-I9,"  "))</f>
        <v>-20.85</v>
      </c>
      <c r="V7" s="56"/>
      <c r="W7" s="152"/>
      <c r="X7" s="65"/>
    </row>
    <row r="8" spans="1:24">
      <c r="A8" s="836" t="s">
        <v>445</v>
      </c>
      <c r="B8" s="837"/>
      <c r="C8" s="71">
        <v>15</v>
      </c>
      <c r="D8" s="56"/>
      <c r="E8" s="72"/>
      <c r="F8" s="3">
        <f>IF(C6&lt;=11,((C4*C6)+(C7*C6-C7)+C10+C10+C14+C14)/2,"  ")</f>
        <v>378.5</v>
      </c>
      <c r="G8" s="3">
        <f>IF(C6&lt;=11,(C5+C11+C11+C15+C15)/2,"  ")</f>
        <v>100.85</v>
      </c>
      <c r="J8" s="3">
        <f>IF(C6&lt;=11,((C4*C6)+(C7*C6-C7)+C10+C10)/2,"  ")</f>
        <v>328.5</v>
      </c>
      <c r="K8" s="3">
        <f>IF(C6&gt;12,"  ",C10+I9)</f>
        <v>50.85</v>
      </c>
      <c r="L8" s="3">
        <f>IF(C6&gt;11,"  ",IF(C6&gt;=1,(C4+C7)*L9-G9,"  "))</f>
        <v>-298.5</v>
      </c>
      <c r="M8" s="3">
        <f>IF(C6&gt;11,"  ",IF(C6&gt;=1,I9,"  "))</f>
        <v>20.85</v>
      </c>
      <c r="N8" s="3">
        <f>IF(C6&gt;11,"  ",IF(C6&gt;=2,(C4+C7)*N9-G9,"  "))</f>
        <v>-236.8</v>
      </c>
      <c r="O8" s="3">
        <f>IF(C6&gt;11,"  ",IF(C6&gt;=2,I9,"  "))</f>
        <v>20.85</v>
      </c>
      <c r="P8" s="3">
        <f>IF(C6&gt;11,"  ",IF(C6&gt;=3,(C4+C7)*P9-G9,"  "))</f>
        <v>-175.1</v>
      </c>
      <c r="Q8" s="3">
        <f>IF(C6&gt;11,"  ",IF(C6&gt;=3,I9,"  "))</f>
        <v>20.85</v>
      </c>
      <c r="R8" s="3">
        <f>IF(C6&gt;11,"  ",IF(C6&gt;=4,(C4+C7)*R9-G9,"  "))</f>
        <v>-113.4</v>
      </c>
      <c r="S8" s="3">
        <f>IF(C6&gt;11,"  ",IF(C6&gt;=4,I9,"  "))</f>
        <v>20.85</v>
      </c>
      <c r="T8" s="3">
        <f>IF(C6&gt;11,"  ",IF(C6&gt;=5,(C4+C7)*T9-G9,"  "))</f>
        <v>-51.7</v>
      </c>
      <c r="U8" s="72">
        <f>IF(C6&gt;11,"  ",IF(C6&gt;=5,I9,"  "))</f>
        <v>20.85</v>
      </c>
      <c r="V8" s="56"/>
      <c r="W8" s="152"/>
      <c r="X8" s="65"/>
    </row>
    <row r="9" spans="1:24">
      <c r="A9" s="843" t="s">
        <v>446</v>
      </c>
      <c r="B9" s="844"/>
      <c r="C9" s="73">
        <f>C5</f>
        <v>41.7</v>
      </c>
      <c r="D9" s="56"/>
      <c r="F9" s="74">
        <f>C6/2-0.5</f>
        <v>4.5</v>
      </c>
      <c r="G9" s="3">
        <f>C4/2</f>
        <v>20.85</v>
      </c>
      <c r="I9" s="3">
        <f>C5/2</f>
        <v>20.85</v>
      </c>
      <c r="L9" s="3">
        <f>IF(C6&gt;=1,-F9,"  ")</f>
        <v>-4.5</v>
      </c>
      <c r="N9" s="3">
        <f>IF(C6&gt;=2,L9+1,"  ")</f>
        <v>-3.5</v>
      </c>
      <c r="P9" s="3">
        <f>IF(C6&gt;=3,N9+1,"  ")</f>
        <v>-2.5</v>
      </c>
      <c r="R9" s="3">
        <f>IF(C6&gt;=4,P9+1,"  ")</f>
        <v>-1.5</v>
      </c>
      <c r="T9" s="3">
        <f>IF(C6&gt;=5,R9+1,"  ")</f>
        <v>-0.5</v>
      </c>
      <c r="V9" s="56"/>
      <c r="W9" s="152"/>
      <c r="X9" s="65"/>
    </row>
    <row r="10" spans="1:24" ht="16.500000" customHeight="1">
      <c r="A10" s="838" t="s">
        <v>447</v>
      </c>
      <c r="B10" s="839"/>
      <c r="C10" s="75">
        <v>30</v>
      </c>
      <c r="D10" s="56"/>
      <c r="E10" s="72"/>
      <c r="F10" s="76"/>
      <c r="G10" s="77"/>
      <c r="H10" s="76"/>
      <c r="I10" s="77"/>
      <c r="J10" s="76"/>
      <c r="K10" s="77"/>
      <c r="L10" s="76"/>
      <c r="M10" s="77"/>
      <c r="N10" s="76"/>
      <c r="O10" s="77"/>
      <c r="P10" s="76"/>
      <c r="Q10" s="77"/>
      <c r="V10" s="56"/>
      <c r="W10" s="153"/>
      <c r="X10" s="65"/>
    </row>
    <row r="11" spans="1:24">
      <c r="A11" s="836" t="s">
        <v>448</v>
      </c>
      <c r="B11" s="840"/>
      <c r="C11" s="78">
        <v>30</v>
      </c>
      <c r="D11" s="56"/>
      <c r="E11" s="72"/>
      <c r="F11" s="3">
        <f>IF(C6&gt;11,"  ",IF(C6&gt;=6,(C4+C7)*F16-G9,"  "))</f>
        <v>10</v>
      </c>
      <c r="G11" s="3">
        <f>IF(C6&gt;11,"  ",IF(C6&gt;=6,I9,"  "))</f>
        <v>20.85</v>
      </c>
      <c r="H11" s="3">
        <f>IF(C6&gt;11,"  ",IF(C6&gt;=7,(C4+C7)*H16-G9,"  "))</f>
        <v>71.7</v>
      </c>
      <c r="I11" s="3">
        <f>IF(C6&gt;11,"  ",IF(C6&gt;=7,I9,"  "))</f>
        <v>20.85</v>
      </c>
      <c r="J11" s="3">
        <f>IF(C6&gt;11,"  ",IF(C6&gt;=8,(C4+C7)*J16-G9,"  "))</f>
        <v>133.4</v>
      </c>
      <c r="K11" s="3">
        <f>IF(C6&gt;11,"  ",IF(C6&gt;=8,I9,"  "))</f>
        <v>20.85</v>
      </c>
      <c r="L11" s="3">
        <f>IF(C6&gt;11,"  ",IF(C6&gt;=9,(C4+C7)*L16-G9,"  "))</f>
        <v>195.1</v>
      </c>
      <c r="M11" s="3">
        <f>IF(C6&gt;11,"  ",IF(C6&gt;=9,I9,"  "))</f>
        <v>20.85</v>
      </c>
      <c r="N11" s="3">
        <f>IF(C6&gt;11,"  ",IF(C6&gt;=10,(C4+C7)*N16-G9,"  "))</f>
        <v>256.8</v>
      </c>
      <c r="O11" s="3">
        <f>IF(C6&gt;11,"  ",IF(C6&gt;=10,I9,"  "))</f>
        <v>20.85</v>
      </c>
      <c r="P11" s="3" t="str">
        <f>IF(C6&gt;11,"  ",IF(C6&gt;=11,(C4+C7)*P16-G9,"  "))</f>
        <v>  </v>
      </c>
      <c r="Q11" s="3" t="str">
        <f>IF(C6&gt;11,"  ",IF(C6&gt;=11,I9,"  "))</f>
        <v>  </v>
      </c>
      <c r="V11" s="56"/>
      <c r="W11" s="153"/>
      <c r="X11" s="65"/>
    </row>
    <row r="12" spans="1:24">
      <c r="A12" s="836" t="s">
        <v>449</v>
      </c>
      <c r="B12" s="840"/>
      <c r="C12" s="79">
        <f>(C4*C6)+C7*(C6-1)</f>
        <v>597</v>
      </c>
      <c r="D12" s="56"/>
      <c r="E12" s="56"/>
      <c r="F12" s="3">
        <f>IF(C6&gt;11,"  ",IF(C6&gt;=6,(C4+C7)*F16+G9,"  "))</f>
        <v>51.7</v>
      </c>
      <c r="G12" s="3">
        <f>IF(C6&gt;11,"  ",IF(C6&gt;=6,I9,"  "))</f>
        <v>20.85</v>
      </c>
      <c r="H12" s="3">
        <f>IF(C6&gt;11,"  ",IF(C6&gt;=7,(C4+C7)*H16+G9,"  "))</f>
        <v>113.4</v>
      </c>
      <c r="I12" s="3">
        <f>IF(C6&gt;11,"  ",IF(C6&gt;=7,I9,"  "))</f>
        <v>20.85</v>
      </c>
      <c r="J12" s="3">
        <f>IF(C6&gt;11,"  ",IF(C6&gt;=8,(C4+C7)*J16+G9,"  "))</f>
        <v>175.1</v>
      </c>
      <c r="K12" s="3">
        <f>IF(C6&gt;11,"  ",IF(C6&gt;=8,I9,"  "))</f>
        <v>20.85</v>
      </c>
      <c r="L12" s="3">
        <f>IF(C6&gt;11,"  ",IF(C6&gt;=9,(C4+C7)*L16+G9,"  "))</f>
        <v>236.8</v>
      </c>
      <c r="M12" s="3">
        <f>IF(C6&gt;11,"  ",IF(C6&gt;=9,I9,"  "))</f>
        <v>20.85</v>
      </c>
      <c r="N12" s="3">
        <f>IF(C6&gt;11,"  ",IF(C6&gt;=10,(C4+C7)*N16+G9,"  "))</f>
        <v>298.5</v>
      </c>
      <c r="O12" s="3">
        <f>IF(C6&gt;11,"  ",IF(C6&gt;=10,I9,"  "))</f>
        <v>20.85</v>
      </c>
      <c r="P12" s="3" t="str">
        <f>IF(C6&gt;11,"  ",IF(C6&gt;=11,(C4+C7)*P16+G9,"  "))</f>
        <v>  </v>
      </c>
      <c r="Q12" s="3" t="str">
        <f>IF(C6&gt;11,"  ",IF(C6&gt;=11,I9,"  "))</f>
        <v>  </v>
      </c>
      <c r="R12" s="56"/>
      <c r="S12" s="56"/>
      <c r="T12" s="56"/>
      <c r="U12" s="56"/>
      <c r="V12" s="56"/>
      <c r="W12" s="153"/>
      <c r="X12" s="65"/>
    </row>
    <row r="13" spans="1:24" ht="18.750000" customHeight="1">
      <c r="A13" s="834" t="s">
        <v>450</v>
      </c>
      <c r="B13" s="835"/>
      <c r="C13" s="80">
        <f>C5+(C11*2)</f>
        <v>101.7</v>
      </c>
      <c r="D13" s="56"/>
      <c r="E13" s="56"/>
      <c r="F13" s="3">
        <f>IF(C6&gt;11,"  ",IF(C6&gt;=6,(C4+C7)*F16+G9,"  "))</f>
        <v>51.7</v>
      </c>
      <c r="G13" s="3">
        <f>IF(C6&gt;11,"  ",IF(C6&gt;=6,-I9,"  "))</f>
        <v>-20.85</v>
      </c>
      <c r="H13" s="3">
        <f>IF(C6&gt;11,"  ",IF(C6&gt;=7,(C4+C7)*H16+G9,"  "))</f>
        <v>113.4</v>
      </c>
      <c r="I13" s="3">
        <f>IF(C6&gt;11,"  ",IF(C6&gt;=7,-I9,"  "))</f>
        <v>-20.85</v>
      </c>
      <c r="J13" s="3">
        <f>IF(C6&gt;11,"  ",IF(C6&gt;=8,(C4+C7)*J16+G9,"  "))</f>
        <v>175.1</v>
      </c>
      <c r="K13" s="3">
        <f>IF(C6&gt;11,"  ",IF(C6&gt;=8,-I9,"  "))</f>
        <v>-20.85</v>
      </c>
      <c r="L13" s="3">
        <f>IF(C6&gt;11,"  ",IF(C6&gt;=9,(C4+C7)*L16+G9,"  "))</f>
        <v>236.8</v>
      </c>
      <c r="M13" s="3">
        <f>IF(C6&gt;11,"  ",IF(C6&gt;=9,-I9,"  "))</f>
        <v>-20.85</v>
      </c>
      <c r="N13" s="3">
        <f>IF(C6&gt;11,"  ",IF(C6&gt;=10,(C4+C7)*N16+G9,"  "))</f>
        <v>298.5</v>
      </c>
      <c r="O13" s="3">
        <f>IF(C6&gt;11,"  ",IF(C6&gt;=10,-I9,"  "))</f>
        <v>-20.85</v>
      </c>
      <c r="P13" s="3" t="str">
        <f>IF(C6&gt;11,"  ",IF(C6&gt;=11,(C4+C7)*P16+G9,"  "))</f>
        <v>  </v>
      </c>
      <c r="Q13" s="3" t="str">
        <f>IF(C6&gt;11,"  ",IF(C6&gt;=11,-I9,"  "))</f>
        <v>  </v>
      </c>
      <c r="R13" s="56"/>
      <c r="S13" s="56"/>
      <c r="T13" s="56"/>
      <c r="U13" s="56"/>
      <c r="V13" s="56"/>
      <c r="W13" s="153"/>
      <c r="X13" s="65"/>
    </row>
    <row r="14" spans="1:24">
      <c r="A14" s="838" t="s">
        <v>451</v>
      </c>
      <c r="B14" s="847"/>
      <c r="C14" s="81">
        <v>50</v>
      </c>
      <c r="D14" s="56"/>
      <c r="E14" s="56"/>
      <c r="F14" s="3">
        <f>IF(C6&gt;11,"  ",IF(C6&gt;=6,(C4+C7)*F16-G9,"  "))</f>
        <v>10</v>
      </c>
      <c r="G14" s="3">
        <f>IF(C6&gt;11,"  ",IF(C6&gt;=6,-I9,"  "))</f>
        <v>-20.85</v>
      </c>
      <c r="H14" s="3">
        <f>IF(C6&gt;11,"  ",IF(C6&gt;=7,(C4+C7)*H16-G9,"  "))</f>
        <v>71.7</v>
      </c>
      <c r="I14" s="3">
        <f>IF(C6&gt;11,"  ",IF(C6&gt;=7,-I9,"  "))</f>
        <v>-20.85</v>
      </c>
      <c r="J14" s="3">
        <f>IF(C6&gt;11,"  ",IF(C6&gt;=8,(C4+C7)*J16-G9,"  "))</f>
        <v>133.4</v>
      </c>
      <c r="K14" s="3">
        <f>IF(C6&gt;11,"  ",IF(C6&gt;=8,-I9,"  "))</f>
        <v>-20.85</v>
      </c>
      <c r="L14" s="3">
        <f>IF(C6&gt;11,"  ",IF(C6&gt;=9,(C4+C7)*L16-G9,"  "))</f>
        <v>195.1</v>
      </c>
      <c r="M14" s="3">
        <f>IF(C6&gt;11,"  ",IF(C6&gt;=9,-I9,"  "))</f>
        <v>-20.85</v>
      </c>
      <c r="N14" s="3">
        <f>IF(C6&gt;11,"  ",IF(C6&gt;=10,(C4+C7)*N16-G9,"  "))</f>
        <v>256.8</v>
      </c>
      <c r="O14" s="3">
        <f>IF(C6&gt;11,"  ",IF(C6&gt;=10,-I9,"  "))</f>
        <v>-20.85</v>
      </c>
      <c r="P14" s="3" t="str">
        <f>IF(C6&gt;11,"  ",IF(C6&gt;=11,(C4+C7)*P16-G9,"  "))</f>
        <v>  </v>
      </c>
      <c r="Q14" s="3" t="str">
        <f>IF(C6&gt;11,"  ",IF(C6&gt;=11,-I9,"  "))</f>
        <v>  </v>
      </c>
      <c r="R14" s="56"/>
      <c r="S14" s="56"/>
      <c r="T14" s="56"/>
      <c r="U14" s="56"/>
      <c r="V14" s="56"/>
      <c r="W14" s="153"/>
      <c r="X14" s="65"/>
    </row>
    <row r="15" spans="1:24">
      <c r="A15" s="836" t="s">
        <v>452</v>
      </c>
      <c r="B15" s="840"/>
      <c r="C15" s="71">
        <v>50</v>
      </c>
      <c r="D15" s="56"/>
      <c r="E15" s="56"/>
      <c r="F15" s="3">
        <f>IF(C6&gt;11,"  ",IF(C6&gt;=6,(C4+C7)*F16-G9,"  "))</f>
        <v>10</v>
      </c>
      <c r="G15" s="3">
        <f>IF(C6&gt;11,"  ",IF(C6&gt;=6,I9,"  "))</f>
        <v>20.85</v>
      </c>
      <c r="H15" s="3">
        <f>IF(C6&gt;11,"  ",IF(C6&gt;=7,(C4+C7)*H16-G9,"  "))</f>
        <v>71.7</v>
      </c>
      <c r="I15" s="3">
        <f>IF(C6&gt;11,"  ",IF(C6&gt;=7,I9,"  "))</f>
        <v>20.85</v>
      </c>
      <c r="J15" s="3">
        <f>IF(C6&gt;11,"  ",IF(C6&gt;=8,(C4+C7)*J16-G9,"  "))</f>
        <v>133.4</v>
      </c>
      <c r="K15" s="3">
        <f>IF(C6&gt;11,"  ",IF(C6&gt;=8,I9,"  "))</f>
        <v>20.85</v>
      </c>
      <c r="L15" s="3">
        <f>IF(C6&gt;11,"  ",IF(C6&gt;=9,(C4+C7)*L16-G9,"  "))</f>
        <v>195.1</v>
      </c>
      <c r="M15" s="3">
        <f>IF(C6&gt;11,"  ",IF(C6&gt;=9,I9,"  "))</f>
        <v>20.85</v>
      </c>
      <c r="N15" s="3">
        <f>IF(C6&gt;11,"  ",IF(C6&gt;=10,(C4+C7)*N16-G9,"  "))</f>
        <v>256.8</v>
      </c>
      <c r="O15" s="3">
        <f>IF(C6&gt;11,"  ",IF(C6&gt;=10,I9,"  "))</f>
        <v>20.85</v>
      </c>
      <c r="P15" s="3" t="str">
        <f>IF(C6&gt;11,"  ",IF(C6&gt;=11,(C4+C7)*P16-G9,"  "))</f>
        <v>  </v>
      </c>
      <c r="Q15" s="3" t="str">
        <f>IF(C6&gt;11,"  ",IF(C6&gt;=11,I9,"  "))</f>
        <v>  </v>
      </c>
      <c r="R15" s="56"/>
      <c r="S15" s="56"/>
      <c r="T15" s="56"/>
      <c r="U15" s="56"/>
      <c r="V15" s="56"/>
      <c r="W15" s="153"/>
      <c r="X15" s="65"/>
    </row>
    <row r="16" spans="1:24">
      <c r="A16" s="836" t="s">
        <v>453</v>
      </c>
      <c r="B16" s="840"/>
      <c r="C16" s="79">
        <f>C12+(C14*2)</f>
        <v>697</v>
      </c>
      <c r="D16" s="56"/>
      <c r="E16" s="56"/>
      <c r="F16" s="3">
        <f>IF(C6&gt;=6,T9+1,"  ")</f>
        <v>0.5</v>
      </c>
      <c r="H16" s="3">
        <f>IF(C6&gt;=7,F16+1,"  ")</f>
        <v>1.5</v>
      </c>
      <c r="J16" s="3">
        <f>IF(C6&gt;=8,H16+1,"  ")</f>
        <v>2.5</v>
      </c>
      <c r="L16" s="3">
        <f>IF(C6&gt;=9,J16+1,"  ")</f>
        <v>3.5</v>
      </c>
      <c r="N16" s="3">
        <f>IF(C6&gt;=10,L16+1,"  ")</f>
        <v>4.5</v>
      </c>
      <c r="P16" s="3" t="str">
        <f>IF(C6&gt;=11,N16+1,"  ")</f>
        <v>  </v>
      </c>
      <c r="R16" s="56"/>
      <c r="S16" s="56"/>
      <c r="T16" s="56"/>
      <c r="U16" s="56"/>
      <c r="V16" s="56"/>
      <c r="W16" s="153"/>
      <c r="X16" s="65"/>
    </row>
    <row r="17" spans="1:24">
      <c r="A17" s="834" t="s">
        <v>454</v>
      </c>
      <c r="B17" s="835"/>
      <c r="C17" s="80">
        <f>C13+(C15*2)</f>
        <v>201.7</v>
      </c>
      <c r="D17" s="56"/>
      <c r="E17" s="65"/>
      <c r="R17" s="56"/>
      <c r="S17" s="56"/>
      <c r="T17" s="56"/>
      <c r="U17" s="56"/>
      <c r="V17" s="56"/>
      <c r="W17" s="153"/>
      <c r="X17" s="65"/>
    </row>
    <row r="18" spans="1:24">
      <c r="A18" s="848" t="s">
        <v>455</v>
      </c>
      <c r="B18" s="849"/>
      <c r="C18" s="82">
        <f>((E19*E18)+(F19*F18)+(G19*G18)+(H19*H18)+(I19*I18)+(J19*J18)+(K19*K18)+(L19*L18)+(M19*M18)+(N19*N18)+(O19*O18))/(SUM(E18:O18))</f>
        <v>-69.0452380952381</v>
      </c>
      <c r="D18" s="56"/>
      <c r="E18" s="83">
        <f>IF(C6&gt;=1,C25,0)</f>
        <v>100</v>
      </c>
      <c r="F18" s="83">
        <f>IF(C6&gt;=2,E25,0)</f>
        <v>100</v>
      </c>
      <c r="G18" s="83">
        <f>IF(C6&gt;=3,G25,0)</f>
        <v>500</v>
      </c>
      <c r="H18" s="83">
        <f>IF(C6&gt;=4,I25,0)</f>
        <v>500</v>
      </c>
      <c r="I18" s="83">
        <f>IF(C6&gt;=5,K25,0)</f>
        <v>100</v>
      </c>
      <c r="J18" s="83">
        <f>IF(C6&gt;=6,M25,0)</f>
        <v>700</v>
      </c>
      <c r="K18" s="83">
        <f>IF(C6&gt;=7,O25,0)</f>
        <v>100</v>
      </c>
      <c r="L18" s="83">
        <f>IF(C6&gt;=8,Q25,0)</f>
        <v>0</v>
      </c>
      <c r="M18" s="83">
        <f>IF(C6&gt;=9,S25,0)</f>
        <v>0</v>
      </c>
      <c r="N18" s="83">
        <f>IF(C6&gt;=10,U25,0)</f>
        <v>0</v>
      </c>
      <c r="O18" s="83">
        <f>IF(C6&gt;=11,W25,0)</f>
        <v>0</v>
      </c>
      <c r="P18" s="56"/>
      <c r="Q18" s="56"/>
      <c r="R18" s="56"/>
      <c r="S18" s="56"/>
      <c r="T18" s="56"/>
      <c r="U18" s="56"/>
      <c r="V18" s="56"/>
      <c r="W18" s="153"/>
      <c r="X18" s="65"/>
    </row>
    <row r="19" spans="1:24">
      <c r="A19" s="850" t="s">
        <v>456</v>
      </c>
      <c r="B19" s="851"/>
      <c r="C19" s="84">
        <f>((E20*E18)+(F20*F18)+(G20*G18)+(H20*H18)+(I20*I18)+(J20*J18)+(K20*K18)+(L20*L18)+(M20*M18)+(N20*N18)+(O20*O18))/(SUM(E16:O18))</f>
        <v>0</v>
      </c>
      <c r="D19" s="56"/>
      <c r="E19" s="83">
        <f>IF(C6&gt;=1,C26,0)</f>
        <v>-277.65</v>
      </c>
      <c r="F19" s="83">
        <f>IF(C6&gt;=2,E26,0)</f>
        <v>-215.95</v>
      </c>
      <c r="G19" s="83">
        <f>IF(C6&gt;=3,G26,0)</f>
        <v>-154.25</v>
      </c>
      <c r="H19" s="83">
        <f>IF(C6&gt;=4,I26,0)</f>
        <v>-92.55</v>
      </c>
      <c r="I19" s="83">
        <f>IF(C6&gt;=5,K26,0)</f>
        <v>-30.85</v>
      </c>
      <c r="J19" s="83">
        <f>IF(C6&gt;=6,M26,0)</f>
        <v>30.85</v>
      </c>
      <c r="K19" s="83">
        <f>IF(C6&gt;=7,O26,0)</f>
        <v>92.55</v>
      </c>
      <c r="L19" s="83">
        <f>IF(C6&gt;=8,Q26,0)</f>
        <v>154.25</v>
      </c>
      <c r="M19" s="83">
        <f>IF(C6&gt;=9,S26,0)</f>
        <v>215.95</v>
      </c>
      <c r="N19" s="83">
        <f>IF(C6&gt;=10,U26,0)</f>
        <v>277.65</v>
      </c>
      <c r="O19" s="83">
        <f>IF(C6&gt;=11,W26,0)</f>
        <v>0</v>
      </c>
      <c r="P19" s="56"/>
      <c r="Q19" s="56"/>
      <c r="R19" s="56"/>
      <c r="S19" s="56"/>
      <c r="T19" s="56"/>
      <c r="U19" s="56"/>
      <c r="V19" s="56"/>
      <c r="W19" s="153"/>
      <c r="X19" s="65"/>
    </row>
    <row r="20" spans="1:24">
      <c r="A20" s="852" t="s">
        <v>457</v>
      </c>
      <c r="B20" s="853"/>
      <c r="C20" s="85">
        <f>SUM(E18:O18)/1000</f>
        <v>2.1</v>
      </c>
      <c r="D20" s="56"/>
      <c r="E20" s="83">
        <f>IF(C6&gt;=1,C27,0)</f>
        <v>0</v>
      </c>
      <c r="F20" s="83">
        <f>IF(C6&gt;=2,E27,0)</f>
        <v>0</v>
      </c>
      <c r="G20" s="83">
        <f>IF(C6&gt;=3,G27,0)</f>
        <v>0</v>
      </c>
      <c r="H20" s="83">
        <f>IF(C6&gt;=4,I27,0)</f>
        <v>0</v>
      </c>
      <c r="I20" s="83">
        <f>IF(C6&gt;=5,K27,0)</f>
        <v>0</v>
      </c>
      <c r="J20" s="83">
        <f>IF(C6&gt;=6,M27,0)</f>
        <v>0</v>
      </c>
      <c r="K20" s="83">
        <f>IF(C6&gt;=7,O27,0)</f>
        <v>0</v>
      </c>
      <c r="L20" s="83">
        <f>IF(C6&gt;=8,Q27,0)</f>
        <v>0</v>
      </c>
      <c r="M20" s="83">
        <f>IF(C6&gt;=9,S27,0)</f>
        <v>0</v>
      </c>
      <c r="N20" s="83">
        <f>IF(C6&gt;=10,U27,0)</f>
        <v>0</v>
      </c>
      <c r="O20" s="83">
        <f>IF(C6&gt;=11,W27,0)</f>
        <v>0</v>
      </c>
      <c r="P20" s="56"/>
      <c r="Q20" s="56"/>
      <c r="R20" s="56"/>
      <c r="S20" s="56"/>
      <c r="T20" s="56"/>
      <c r="U20" s="56"/>
      <c r="V20" s="56"/>
      <c r="W20" s="153"/>
      <c r="X20" s="65"/>
    </row>
    <row r="21" spans="1:24">
      <c r="A21" s="854" t="s">
        <v>458</v>
      </c>
      <c r="B21" s="855"/>
      <c r="C21" s="86">
        <f>SUM(K35+K37+K43+K45-5)</f>
        <v>355</v>
      </c>
      <c r="D21" s="56"/>
      <c r="E21" s="83">
        <f>IF(C6&gt;=1,IF(C25=0,"  ",E19),"  ")</f>
        <v>-277.65</v>
      </c>
      <c r="F21" s="83">
        <f>IF(C6&gt;=2,IF(E25=0,"  ",F19),"  ")</f>
        <v>-215.95</v>
      </c>
      <c r="G21" s="83">
        <f>IF(C6&gt;=3,IF(G25=0,"  ",G19),"  ")</f>
        <v>-154.25</v>
      </c>
      <c r="H21" s="83">
        <f>IF(C6&gt;=4,IF(I25=0,"  ",H19),"  ")</f>
        <v>-92.55</v>
      </c>
      <c r="I21" s="83">
        <f>IF(C6&gt;=5,IF(K25=0,"  ",I19),"  ")</f>
        <v>-30.85</v>
      </c>
      <c r="J21" s="83">
        <f>IF(C6&gt;=6,IF(M25=0,"  ",J19),"  ")</f>
        <v>30.85</v>
      </c>
      <c r="K21" s="83">
        <f>IF(C6&gt;=7,IF(O25=0,"  ",K19),"  ")</f>
        <v>92.55</v>
      </c>
      <c r="L21" s="83" t="str">
        <f>IF(C6&gt;=8,IF(Q25=0,"  ",L19),"  ")</f>
        <v>  </v>
      </c>
      <c r="M21" s="83" t="str">
        <f>IF(C6&gt;=9,IF(S25=0,"  ",M19),"  ")</f>
        <v>  </v>
      </c>
      <c r="N21" s="83" t="str">
        <f>IF(C6&gt;=10,IF(U25=0,"  ",N19),"  ")</f>
        <v>  </v>
      </c>
      <c r="O21" s="83" t="str">
        <f>IF(C6&gt;=11,IF(W25=0,"  ",O19),"  ")</f>
        <v>  </v>
      </c>
      <c r="P21" s="56"/>
      <c r="Q21" s="56"/>
      <c r="R21" s="56"/>
      <c r="S21" s="56"/>
      <c r="T21" s="56"/>
      <c r="U21" s="56"/>
      <c r="V21" s="56"/>
      <c r="W21" s="153"/>
      <c r="X21" s="65"/>
    </row>
    <row r="22" spans="1:24">
      <c r="A22" s="856"/>
      <c r="B22" s="857"/>
      <c r="C22" s="87"/>
      <c r="D22" s="56"/>
      <c r="E22" s="83">
        <f>IF(C6&gt;=1,IF(C25=0,"  ",E20),"  ")</f>
        <v>0</v>
      </c>
      <c r="F22" s="83">
        <f>IF(C6&gt;=2,IF(E25=0,"  ",F20),"  ")</f>
        <v>0</v>
      </c>
      <c r="G22" s="83">
        <f>IF(C6&gt;=3,IF(G25=0,"  ",G20),"  ")</f>
        <v>0</v>
      </c>
      <c r="H22" s="83">
        <f>IF(C6&gt;=4,IF(I25=0,"  ",H20),"  ")</f>
        <v>0</v>
      </c>
      <c r="I22" s="83">
        <f>IF(C6&gt;=5,IF(K25=0,"  ",I20),"  ")</f>
        <v>0</v>
      </c>
      <c r="J22" s="83">
        <f>IF(C6&gt;=6,IF(M25=0,"  ",J20),"  ")</f>
        <v>0</v>
      </c>
      <c r="K22" s="83">
        <f>IF(C6&gt;=7,IF(O25=0,"  ",K20),"  ")</f>
        <v>0</v>
      </c>
      <c r="L22" s="83" t="str">
        <f>IF(C6&gt;=8,IF(Q25=0,"  ",L20),"  ")</f>
        <v>  </v>
      </c>
      <c r="M22" s="83" t="str">
        <f>IF(C6&gt;=9,IF(S25=0,"  ",M20),"  ")</f>
        <v>  </v>
      </c>
      <c r="N22" s="83" t="str">
        <f>IF(C6&gt;=10,IF(U25=0,"  ",N20),"  ")</f>
        <v>  </v>
      </c>
      <c r="O22" s="83" t="str">
        <f>IF(C6&gt;=11,IF(W25=0,"  ",O20),"  ")</f>
        <v>  </v>
      </c>
      <c r="P22" s="56"/>
      <c r="Q22" s="56"/>
      <c r="R22" s="56"/>
      <c r="S22" s="56"/>
      <c r="T22" s="56"/>
      <c r="U22" s="56"/>
      <c r="V22" s="56"/>
      <c r="W22" s="153"/>
      <c r="X22" s="65"/>
    </row>
    <row r="23" spans="1:24">
      <c r="A23" s="845"/>
      <c r="B23" s="846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89"/>
      <c r="Q23" s="89"/>
      <c r="R23" s="89"/>
      <c r="S23" s="89"/>
      <c r="T23" s="89"/>
      <c r="U23" s="89"/>
      <c r="V23" s="89"/>
      <c r="W23" s="154"/>
      <c r="X23" s="65"/>
    </row>
    <row r="24" spans="1:24">
      <c r="A24" s="91" t="s">
        <v>459</v>
      </c>
      <c r="B24" s="858" t="str">
        <f>IF(C6&gt;=1,"第一工程","  ")</f>
        <v>第一工程</v>
      </c>
      <c r="C24" s="858"/>
      <c r="D24" s="859" t="str">
        <f>IF(C6&gt;=2,"第二工程","  ")</f>
        <v>第二工程</v>
      </c>
      <c r="E24" s="860"/>
      <c r="F24" s="858" t="str">
        <f>IF(C6&gt;=3,"第三工程","  ")</f>
        <v>第三工程</v>
      </c>
      <c r="G24" s="858"/>
      <c r="H24" s="858" t="str">
        <f>IF(C6&gt;=4,"第四工程","  ")</f>
        <v>第四工程</v>
      </c>
      <c r="I24" s="858"/>
      <c r="J24" s="858" t="str">
        <f>IF(C6&gt;=5,"第五工程","  ")</f>
        <v>第五工程</v>
      </c>
      <c r="K24" s="858"/>
      <c r="L24" s="858" t="str">
        <f>IF(C6&gt;=6,"第六工程","  ")</f>
        <v>第六工程</v>
      </c>
      <c r="M24" s="858"/>
      <c r="N24" s="858" t="str">
        <f>IF(C6&gt;=7,"第七工程","  ")</f>
        <v>第七工程</v>
      </c>
      <c r="O24" s="858"/>
      <c r="P24" s="858" t="str">
        <f>IF(C6&gt;=8,"第八工程","  ")</f>
        <v>第八工程</v>
      </c>
      <c r="Q24" s="858"/>
      <c r="R24" s="858" t="str">
        <f>IF(C6&gt;=9,"第九工程","  ")</f>
        <v>第九工程</v>
      </c>
      <c r="S24" s="858"/>
      <c r="T24" s="858" t="str">
        <f>IF(C6&gt;=10,"第十工程","  ")</f>
        <v>第十工程</v>
      </c>
      <c r="U24" s="858"/>
      <c r="V24" s="858" t="str">
        <f>IF(C6&gt;=11,"第十一工程","  ")</f>
        <v>  </v>
      </c>
      <c r="W24" s="861"/>
      <c r="X24" s="65"/>
    </row>
    <row r="25" spans="1:24">
      <c r="A25" s="863" t="s">
        <v>460</v>
      </c>
      <c r="B25" s="92" t="str">
        <f>IF(C6&gt;=1,"P","  ")</f>
        <v>P</v>
      </c>
      <c r="C25" s="93">
        <v>100</v>
      </c>
      <c r="D25" s="92" t="str">
        <f>IF(C6&gt;=2,"P","  ")</f>
        <v>P</v>
      </c>
      <c r="E25" s="94">
        <v>100</v>
      </c>
      <c r="F25" s="92" t="str">
        <f>IF(C6&gt;=3,"P","  ")</f>
        <v>P</v>
      </c>
      <c r="G25" s="94">
        <v>500</v>
      </c>
      <c r="H25" s="92" t="str">
        <f>IF(C6&gt;=4,"P","  ")</f>
        <v>P</v>
      </c>
      <c r="I25" s="94">
        <v>500</v>
      </c>
      <c r="J25" s="92" t="str">
        <f>IF(C6&gt;=5,"P","  ")</f>
        <v>P</v>
      </c>
      <c r="K25" s="94">
        <v>100</v>
      </c>
      <c r="L25" s="92" t="str">
        <f>IF(C6&gt;=6,"P","  ")</f>
        <v>P</v>
      </c>
      <c r="M25" s="94">
        <v>700</v>
      </c>
      <c r="N25" s="92" t="str">
        <f>IF(C6&gt;=7,"P","  ")</f>
        <v>P</v>
      </c>
      <c r="O25" s="94">
        <v>100</v>
      </c>
      <c r="P25" s="92" t="str">
        <f>IF(C6&gt;=8,"P","  ")</f>
        <v>P</v>
      </c>
      <c r="Q25" s="94"/>
      <c r="R25" s="92" t="str">
        <f>IF(C6&gt;=9,"P","  ")</f>
        <v>P</v>
      </c>
      <c r="S25" s="94"/>
      <c r="T25" s="92" t="str">
        <f>IF(C6&gt;=10,"P","  ")</f>
        <v>P</v>
      </c>
      <c r="U25" s="94"/>
      <c r="V25" s="92" t="str">
        <f>IF(C6&gt;=11,"P","  ")</f>
        <v>  </v>
      </c>
      <c r="W25" s="155"/>
      <c r="X25" s="65"/>
    </row>
    <row r="26" spans="1:24">
      <c r="A26" s="864"/>
      <c r="B26" s="95" t="str">
        <f>IF(C6&gt;=1,"X","  ")</f>
        <v>X</v>
      </c>
      <c r="C26" s="96">
        <f>IF(C6&gt;11,"  ",IF(C6&gt;=1,(C4+C7)*L9,"  "))</f>
        <v>-277.65</v>
      </c>
      <c r="D26" s="95" t="str">
        <f>IF(C6&gt;=2,"X","  ")</f>
        <v>X</v>
      </c>
      <c r="E26" s="96">
        <f>IF(C6&gt;11,"  ",IF(C6&gt;=2,(C4+C7)*N9,"  "))</f>
        <v>-215.95</v>
      </c>
      <c r="F26" s="95" t="str">
        <f>IF(C6&gt;=3,"X","  ")</f>
        <v>X</v>
      </c>
      <c r="G26" s="96">
        <f>IF(C6&gt;11,"  ",IF(C6&gt;=3,(C4+C7)*P9,"  "))</f>
        <v>-154.25</v>
      </c>
      <c r="H26" s="95" t="str">
        <f>IF(C6&gt;=4,"X","  ")</f>
        <v>X</v>
      </c>
      <c r="I26" s="96">
        <f>IF(C6&gt;11,"  ",IF(C6&gt;=4,(C4+C7)*R9,"  "))</f>
        <v>-92.55</v>
      </c>
      <c r="J26" s="95" t="str">
        <f>IF(C6&gt;=5,"X","  ")</f>
        <v>X</v>
      </c>
      <c r="K26" s="96">
        <f>IF(C6&gt;11,"  ",IF(C6&gt;=5,(C4+C7)*T9,"  "))</f>
        <v>-30.85</v>
      </c>
      <c r="L26" s="95" t="str">
        <f>IF(C6&gt;=6,"X","  ")</f>
        <v>X</v>
      </c>
      <c r="M26" s="96">
        <f>IF(C6&gt;11,"  ",IF(C6&gt;=6,(C4+C7)*F16,"  "))</f>
        <v>30.85</v>
      </c>
      <c r="N26" s="95" t="str">
        <f>IF(C6&gt;=7,"X","  ")</f>
        <v>X</v>
      </c>
      <c r="O26" s="96">
        <f>IF(C6&gt;11,"  ",IF(C6&gt;=7,(C4+C7)*H16,"  "))</f>
        <v>92.55</v>
      </c>
      <c r="P26" s="95" t="str">
        <f>IF(C6&gt;=8,"X","  ")</f>
        <v>X</v>
      </c>
      <c r="Q26" s="96">
        <f>IF(C6&gt;11,"  ",IF(C6&gt;=8,(C4+C7)*J16,"  "))</f>
        <v>154.25</v>
      </c>
      <c r="R26" s="95" t="str">
        <f>IF(C6&gt;=9,"X","  ")</f>
        <v>X</v>
      </c>
      <c r="S26" s="96">
        <f>IF(C6&gt;11,"  ",IF(C6&gt;=9,(C4+C7)*L16,"  "))</f>
        <v>215.95</v>
      </c>
      <c r="T26" s="95" t="str">
        <f>IF(C6&gt;=10,"X","  ")</f>
        <v>X</v>
      </c>
      <c r="U26" s="96">
        <f>IF(C6&gt;11,"  ",IF(C6&gt;=10,(C4+C7)*N16,"  "))</f>
        <v>277.65</v>
      </c>
      <c r="V26" s="95" t="str">
        <f>IF(C6&gt;=11,"X","  ")</f>
        <v>  </v>
      </c>
      <c r="W26" s="156" t="str">
        <f>IF(C6&gt;11,"  ",IF(C6&gt;=11,(C4+C7)*P16,"  "))</f>
        <v>  </v>
      </c>
      <c r="X26" s="65"/>
    </row>
    <row r="27" spans="1:24">
      <c r="A27" s="865"/>
      <c r="B27" s="97" t="str">
        <f>IF(C6&gt;=1,"Y","  ")</f>
        <v>Y</v>
      </c>
      <c r="C27" s="98"/>
      <c r="D27" s="97" t="str">
        <f>IF(C6&gt;=2,"Y","  ")</f>
        <v>Y</v>
      </c>
      <c r="E27" s="98"/>
      <c r="F27" s="97" t="str">
        <f>IF(C6&gt;=3,"Y","  ")</f>
        <v>Y</v>
      </c>
      <c r="G27" s="98"/>
      <c r="H27" s="97" t="str">
        <f>IF(C6&gt;=4,"Y","  ")</f>
        <v>Y</v>
      </c>
      <c r="I27" s="98"/>
      <c r="J27" s="97" t="str">
        <f>IF(C6&gt;=5,"Y","  ")</f>
        <v>Y</v>
      </c>
      <c r="K27" s="98"/>
      <c r="L27" s="97" t="str">
        <f>IF(C6&gt;=6,"Y","  ")</f>
        <v>Y</v>
      </c>
      <c r="M27" s="98"/>
      <c r="N27" s="97" t="str">
        <f>IF(C6&gt;=7,"Y","  ")</f>
        <v>Y</v>
      </c>
      <c r="O27" s="98"/>
      <c r="P27" s="97" t="str">
        <f>IF(C6&gt;=8,"Y","  ")</f>
        <v>Y</v>
      </c>
      <c r="Q27" s="98"/>
      <c r="R27" s="97" t="str">
        <f>IF(C6&gt;=9,"Y","  ")</f>
        <v>Y</v>
      </c>
      <c r="S27" s="98"/>
      <c r="T27" s="97" t="str">
        <f>IF(C6&gt;=10,"Y","  ")</f>
        <v>Y</v>
      </c>
      <c r="U27" s="98"/>
      <c r="V27" s="97" t="str">
        <f>IF(C6&gt;=11,"Y","  ")</f>
        <v>  </v>
      </c>
      <c r="W27" s="157"/>
      <c r="X27" s="65"/>
    </row>
    <row r="28" spans="1:24">
      <c r="A28" s="866" t="s">
        <v>461</v>
      </c>
      <c r="B28" s="99" t="s">
        <v>462</v>
      </c>
      <c r="C28" s="100" t="str">
        <f>IF(B28="B","彎曲加工",IF(B28="C","切斷加工",IF(B28="D","引伸加工",IF(B28="E","凸緣加工",IF(B28="F","成型加工",IF(B28="M","壓印加工",IF(B28="P","沖孔加工",IF(B28="T","整型加工","  "))))))))</f>
        <v>沖孔加工</v>
      </c>
      <c r="D28" s="99" t="s">
        <v>62</v>
      </c>
      <c r="E28" s="100" t="str">
        <f>IF(D28="B","彎曲加工",IF(D28="C","切斷加工",IF(D28="D","引伸加工",IF(D28="E","凸緣加工",IF(D28="F","成型加工",IF(D28="M","壓印加工",IF(D28="P","沖孔加工",IF(D28="T","整型加工","  "))))))))</f>
        <v>凸緣加工</v>
      </c>
      <c r="F28" s="99" t="s">
        <v>29</v>
      </c>
      <c r="G28" s="100" t="str">
        <f>IF(F28="B","彎曲加工",IF(F28="C","切斷加工",IF(F28="D","引伸加工",IF(F28="E","凸緣加工",IF(F28="F","成型加工",IF(F28="M","壓印加工",IF(F28="P","沖孔加工",IF(F28="T","整型加工","  "))))))))</f>
        <v>切斷加工</v>
      </c>
      <c r="H28" s="99" t="s">
        <v>463</v>
      </c>
      <c r="I28" s="100" t="str">
        <f>IF(H28="B","彎曲加工",IF(H28="C","切斷加工",IF(H28="D","引伸加工",IF(H28="E","凸緣加工",IF(H28="F","成型加工",IF(H28="M","壓印加工",IF(H28="P","沖孔加工",IF(H28="T","整型加工","  "))))))))</f>
        <v>壓印加工</v>
      </c>
      <c r="J28" s="99" t="s">
        <v>28</v>
      </c>
      <c r="K28" s="100" t="str">
        <f>IF(J28="B","彎曲加工",IF(J28="C","切斷加工",IF(J28="D","引伸加工",IF(J28="E","凸緣加工",IF(J28="F","成型加工",IF(J28="M","壓印加工",IF(J28="P","沖孔加工",IF(J28="T","整型加工","  "))))))))</f>
        <v>彎曲加工</v>
      </c>
      <c r="L28" s="99" t="s">
        <v>29</v>
      </c>
      <c r="M28" s="100" t="str">
        <f>IF(L28="B","彎曲加工",IF(L28="C","切斷加工",IF(L28="D","引伸加工",IF(L28="E","凸緣加工",IF(L28="F","成型加工",IF(L28="M","壓印加工",IF(L28="P","沖孔加工",IF(L28="T","整型加工","  "))))))))</f>
        <v>切斷加工</v>
      </c>
      <c r="N28" s="99"/>
      <c r="O28" s="100" t="str">
        <f>IF(N28="B","彎曲加工",IF(N28="C","切斷加工",IF(N28="D","引伸加工",IF(N28="E","凸緣加工",IF(N28="F","成型加工",IF(N28="M","壓印加工",IF(N28="P","沖孔加工",IF(N28="T","整型加工","  "))))))))</f>
        <v>  </v>
      </c>
      <c r="P28" s="99"/>
      <c r="Q28" s="100" t="str">
        <f>IF(P28="B","彎曲加工",IF(P28="C","切斷加工",IF(P28="D","引伸加工",IF(P28="E","凸緣加工",IF(P28="F","成型加工",IF(P28="M","壓印加工",IF(P28="P","沖孔加工",IF(P28="T","整型加工","  "))))))))</f>
        <v>  </v>
      </c>
      <c r="R28" s="99"/>
      <c r="S28" s="100" t="str">
        <f>IF(R28="B","彎曲加工",IF(R28="C","切斷加工",IF(R28="D","引伸加工",IF(R28="E","凸緣加工",IF(R28="F","成型加工",IF(R28="M","壓印加工",IF(R28="P","沖孔加工",IF(R28="T","整型加工","  "))))))))</f>
        <v>  </v>
      </c>
      <c r="T28" s="99"/>
      <c r="U28" s="100" t="str">
        <f>IF(T28="B","彎曲加工",IF(T28="C","切斷加工",IF(T28="D","引伸加工",IF(T28="E","凸緣加工",IF(T28="F","成型加工",IF(T28="M","壓印加工",IF(T28="P","沖孔加工",IF(T28="T","整型加工","  "))))))))</f>
        <v>  </v>
      </c>
      <c r="V28" s="99"/>
      <c r="W28" s="158" t="str">
        <f>IF(V28="B","彎曲加工",IF(V28="C","切斷加工",IF(V28="D","引伸加工",IF(V28="E","凸緣加工",IF(V28="F","成型加工",IF(V28="M","壓印加工",IF(V28="P","沖孔加工",IF(V28="T","整型加工","  "))))))))</f>
        <v>  </v>
      </c>
      <c r="X28" s="65"/>
    </row>
    <row r="29" spans="1:24">
      <c r="A29" s="866"/>
      <c r="B29" s="101"/>
      <c r="C29" s="102" t="str">
        <f>IF(B29="B","彎曲加工",IF(B29="C","切斷加工",IF(B29="D","引伸加工",IF(B29="E","凸緣加工",IF(B29="F","成型加工",IF(B29="M","壓印加工",IF(B29="P","沖孔加工",IF(B29="T","整型加工","  "))))))))</f>
        <v>  </v>
      </c>
      <c r="D29" s="101"/>
      <c r="E29" s="102" t="str">
        <f>IF(D29="B","彎曲加工",IF(D29="C","切斷加工",IF(D29="D","引伸加工",IF(D29="E","凸緣加工",IF(D29="F","成型加工",IF(D29="M","壓印加工",IF(D29="P","沖孔加工",IF(D29="T","整型加工","  "))))))))</f>
        <v>  </v>
      </c>
      <c r="F29" s="101"/>
      <c r="G29" s="102" t="str">
        <f>IF(F29="B","彎曲加工",IF(F29="C","切斷加工",IF(F29="D","引伸加工",IF(F29="E","凸緣加工",IF(F29="F","成型加工",IF(F29="M","壓印加工",IF(F29="P","沖孔加工",IF(F29="T","整型加工","  "))))))))</f>
        <v>  </v>
      </c>
      <c r="H29" s="101"/>
      <c r="I29" s="102" t="str">
        <f>IF(H29="B","彎曲加工",IF(H29="C","切斷加工",IF(H29="D","引伸加工",IF(H29="E","凸緣加工",IF(H29="F","成型加工",IF(H29="M","壓印加工",IF(H29="P","沖孔加工",IF(H29="T","整型加工","  "))))))))</f>
        <v>  </v>
      </c>
      <c r="J29" s="101"/>
      <c r="K29" s="102" t="str">
        <f>IF(J29="B","彎曲加工",IF(J29="C","切斷加工",IF(J29="D","引伸加工",IF(J29="E","凸緣加工",IF(J29="F","成型加工",IF(J29="M","壓印加工",IF(J29="P","沖孔加工",IF(J29="T","整型加工","  "))))))))</f>
        <v>  </v>
      </c>
      <c r="L29" s="101"/>
      <c r="M29" s="102" t="str">
        <f>IF(L29="B","彎曲加工",IF(L29="C","切斷加工",IF(L29="D","引伸加工",IF(L29="E","凸緣加工",IF(L29="F","成型加工",IF(L29="M","壓印加工",IF(L29="P","沖孔加工",IF(L29="T","整型加工","  "))))))))</f>
        <v>  </v>
      </c>
      <c r="N29" s="101"/>
      <c r="O29" s="102" t="str">
        <f>IF(N29="B","彎曲加工",IF(N29="C","切斷加工",IF(N29="D","引伸加工",IF(N29="E","凸緣加工",IF(N29="F","成型加工",IF(N29="M","壓印加工",IF(N29="P","沖孔加工",IF(N29="T","整型加工","  "))))))))</f>
        <v>  </v>
      </c>
      <c r="P29" s="101"/>
      <c r="Q29" s="102" t="str">
        <f>IF(P29="B","彎曲加工",IF(P29="C","切斷加工",IF(P29="D","引伸加工",IF(P29="E","凸緣加工",IF(P29="F","成型加工",IF(P29="M","壓印加工",IF(P29="P","沖孔加工",IF(P29="T","整型加工","  "))))))))</f>
        <v>  </v>
      </c>
      <c r="R29" s="101"/>
      <c r="S29" s="102" t="str">
        <f>IF(R29="B","彎曲加工",IF(R29="C","切斷加工",IF(R29="D","引伸加工",IF(R29="E","凸緣加工",IF(R29="F","成型加工",IF(R29="M","壓印加工",IF(R29="P","沖孔加工",IF(R29="T","整型加工","  "))))))))</f>
        <v>  </v>
      </c>
      <c r="T29" s="101"/>
      <c r="U29" s="102" t="str">
        <f>IF(T29="B","彎曲加工",IF(T29="C","切斷加工",IF(T29="D","引伸加工",IF(T29="E","凸緣加工",IF(T29="F","成型加工",IF(T29="M","壓印加工",IF(T29="P","沖孔加工",IF(T29="T","整型加工","  "))))))))</f>
        <v>  </v>
      </c>
      <c r="V29" s="101"/>
      <c r="W29" s="159" t="str">
        <f>IF(V29="B","彎曲加工",IF(V29="C","切斷加工",IF(V29="D","引伸加工",IF(V29="E","凸緣加工",IF(V29="F","成型加工",IF(V29="M","壓印加工",IF(V29="P","沖孔加工",IF(V29="T","整型加工","  "))))))))</f>
        <v>  </v>
      </c>
      <c r="X29" s="65"/>
    </row>
    <row r="30" spans="1:24">
      <c r="A30" s="8"/>
      <c r="B30" s="103"/>
      <c r="C30" s="104" t="str">
        <f>IF(B30="B","彎曲加工",IF(B30="C","切斷加工",IF(B30="D","引伸加工",IF(B30="E","凸緣加工",IF(B30="F","成型加工",IF(B30="M","壓印加工",IF(B30="P","沖孔加工",IF(B30="T","整型加工","  "))))))))</f>
        <v>  </v>
      </c>
      <c r="D30" s="103"/>
      <c r="E30" s="104" t="str">
        <f>IF(D30="B","彎曲加工",IF(D30="C","切斷加工",IF(D30="D","引伸加工",IF(D30="E","凸緣加工",IF(D30="F","成型加工",IF(D30="M","壓印加工",IF(D30="P","沖孔加工",IF(D30="T","整型加工","  "))))))))</f>
        <v>  </v>
      </c>
      <c r="F30" s="103"/>
      <c r="G30" s="104" t="str">
        <f>IF(F30="B","彎曲加工",IF(F30="C","切斷加工",IF(F30="D","引伸加工",IF(F30="E","凸緣加工",IF(F30="F","成型加工",IF(F30="M","壓印加工",IF(F30="P","沖孔加工",IF(F30="T","整型加工","  "))))))))</f>
        <v>  </v>
      </c>
      <c r="H30" s="103"/>
      <c r="I30" s="104" t="str">
        <f>IF(H30="B","彎曲加工",IF(H30="C","切斷加工",IF(H30="D","引伸加工",IF(H30="E","凸緣加工",IF(H30="F","成型加工",IF(H30="M","壓印加工",IF(H30="P","沖孔加工",IF(H30="T","整型加工","  "))))))))</f>
        <v>  </v>
      </c>
      <c r="J30" s="103"/>
      <c r="K30" s="104" t="str">
        <f>IF(J30="B","彎曲加工",IF(J30="C","切斷加工",IF(J30="D","引伸加工",IF(J30="E","凸緣加工",IF(J30="F","成型加工",IF(J30="M","壓印加工",IF(J30="P","沖孔加工",IF(J30="T","整型加工","  "))))))))</f>
        <v>  </v>
      </c>
      <c r="L30" s="103"/>
      <c r="M30" s="104" t="str">
        <f>IF(L30="B","彎曲加工",IF(L30="C","切斷加工",IF(L30="D","引伸加工",IF(L30="E","凸緣加工",IF(L30="F","成型加工",IF(L30="M","壓印加工",IF(L30="P","沖孔加工",IF(L30="T","整型加工","  "))))))))</f>
        <v>  </v>
      </c>
      <c r="N30" s="103"/>
      <c r="O30" s="104" t="str">
        <f>IF(N30="B","彎曲加工",IF(N30="C","切斷加工",IF(N30="D","引伸加工",IF(N30="E","凸緣加工",IF(N30="F","成型加工",IF(N30="M","壓印加工",IF(N30="P","沖孔加工",IF(N30="T","整型加工","  "))))))))</f>
        <v>  </v>
      </c>
      <c r="P30" s="103"/>
      <c r="Q30" s="104" t="str">
        <f>IF(P30="B","彎曲加工",IF(P30="C","切斷加工",IF(P30="D","引伸加工",IF(P30="E","凸緣加工",IF(P30="F","成型加工",IF(P30="M","壓印加工",IF(P30="P","沖孔加工",IF(P30="T","整型加工","  "))))))))</f>
        <v>  </v>
      </c>
      <c r="R30" s="103"/>
      <c r="S30" s="104" t="str">
        <f>IF(R30="B","彎曲加工",IF(R30="C","切斷加工",IF(R30="D","引伸加工",IF(R30="E","凸緣加工",IF(R30="F","成型加工",IF(R30="M","壓印加工",IF(R30="P","沖孔加工",IF(R30="T","整型加工","  "))))))))</f>
        <v>  </v>
      </c>
      <c r="T30" s="103"/>
      <c r="U30" s="104" t="str">
        <f>IF(T30="B","彎曲加工",IF(T30="C","切斷加工",IF(T30="D","引伸加工",IF(T30="E","凸緣加工",IF(T30="F","成型加工",IF(T30="M","壓印加工",IF(T30="P","沖孔加工",IF(T30="T","整型加工","  "))))))))</f>
        <v>  </v>
      </c>
      <c r="V30" s="103"/>
      <c r="W30" s="160" t="str">
        <f>IF(V30="B","彎曲加工",IF(V30="C","切斷加工",IF(V30="D","引伸加工",IF(V30="E","凸緣加工",IF(V30="F","成型加工",IF(V30="M","壓印加工",IF(V30="P","沖孔加工",IF(V30="T","整型加工","  "))))))))</f>
        <v>  </v>
      </c>
      <c r="X30" s="65"/>
    </row>
    <row r="31" spans="1:24" ht="75.000000" customHeight="1">
      <c r="A31" s="862" t="s">
        <v>464</v>
      </c>
      <c r="B31" s="862"/>
      <c r="C31" s="862"/>
      <c r="D31" s="862"/>
      <c r="E31" s="862"/>
      <c r="F31" s="862"/>
      <c r="G31" s="862"/>
      <c r="H31" s="862"/>
      <c r="I31" s="862"/>
      <c r="J31" s="862"/>
      <c r="K31" s="862"/>
      <c r="L31" s="862"/>
      <c r="M31" s="862"/>
      <c r="N31" s="862"/>
      <c r="O31" s="862"/>
      <c r="P31" s="862"/>
      <c r="Q31" s="862"/>
      <c r="R31" s="862"/>
      <c r="S31" s="862"/>
      <c r="T31" s="862"/>
      <c r="U31" s="862"/>
      <c r="V31" s="56"/>
      <c r="W31" s="56"/>
      <c r="X31" s="65"/>
    </row>
    <row r="32" spans="1:24" s="2" customFormat="1" ht="21.750000" customHeight="1">
      <c r="A32" s="56"/>
      <c r="B32" s="56"/>
      <c r="C32" s="56"/>
      <c r="D32" s="17"/>
      <c r="E32" s="830" t="s">
        <v>465</v>
      </c>
      <c r="F32" s="831"/>
      <c r="G32" s="831"/>
      <c r="H32" s="831"/>
      <c r="I32" s="831"/>
      <c r="J32" s="831"/>
      <c r="K32" s="831"/>
      <c r="L32" s="831"/>
      <c r="M32" s="831"/>
      <c r="N32" s="56"/>
      <c r="O32" s="56"/>
      <c r="P32" s="56"/>
      <c r="Q32" s="56"/>
      <c r="R32" s="56"/>
      <c r="S32" s="150" t="s">
        <v>438</v>
      </c>
      <c r="T32" s="150"/>
      <c r="U32" s="832">
        <f>TODAY()</f>
        <v>43411</v>
      </c>
      <c r="V32" s="107"/>
      <c r="W32" s="56"/>
      <c r="X32" s="65"/>
    </row>
    <row r="33" spans="1:2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1"/>
      <c r="O33" s="131"/>
      <c r="P33" s="60"/>
      <c r="Q33" s="60"/>
      <c r="R33" s="60"/>
      <c r="S33" s="60"/>
      <c r="T33" s="60"/>
      <c r="U33" s="60"/>
      <c r="V33" s="60"/>
      <c r="W33" s="151"/>
    </row>
    <row r="34" spans="1:2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  <c r="O34" s="115"/>
      <c r="P34" s="69"/>
      <c r="Q34" s="69"/>
      <c r="R34" s="69"/>
      <c r="S34" s="69"/>
      <c r="T34" s="69"/>
      <c r="U34" s="69"/>
      <c r="V34" s="69"/>
      <c r="W34" s="152"/>
    </row>
    <row r="35" spans="1:23" ht="24.750000" customHeight="1">
      <c r="A35" s="15"/>
      <c r="B35" s="16"/>
      <c r="C35" s="16"/>
      <c r="D35" s="69"/>
      <c r="E35" s="105" t="s">
        <v>213</v>
      </c>
      <c r="F35" s="69"/>
      <c r="G35" s="69"/>
      <c r="H35" s="69"/>
      <c r="I35" s="132"/>
      <c r="K35" s="133">
        <v>50</v>
      </c>
      <c r="L35" s="16"/>
      <c r="M35" s="16"/>
      <c r="N35" s="56"/>
      <c r="O35" s="69"/>
      <c r="P35" s="69"/>
      <c r="Q35" s="69"/>
      <c r="R35" s="69"/>
      <c r="S35" s="69"/>
      <c r="T35" s="69"/>
      <c r="U35" s="161"/>
      <c r="V35" s="69"/>
      <c r="W35" s="152"/>
    </row>
    <row r="36" spans="1:23">
      <c r="A36" s="15"/>
      <c r="B36" s="16"/>
      <c r="C36" s="16"/>
      <c r="D36" s="69"/>
      <c r="E36" s="105" t="s">
        <v>214</v>
      </c>
      <c r="F36" s="69"/>
      <c r="H36" s="106">
        <v>18</v>
      </c>
      <c r="I36" s="69"/>
      <c r="K36" s="69"/>
      <c r="L36" s="16"/>
      <c r="M36" s="16"/>
      <c r="N36" s="56"/>
      <c r="O36" s="69"/>
      <c r="P36" s="69"/>
      <c r="Q36" s="162" t="s">
        <v>217</v>
      </c>
      <c r="R36" s="69"/>
      <c r="S36" s="163"/>
      <c r="T36" s="164"/>
      <c r="U36" s="165"/>
      <c r="V36" s="69"/>
      <c r="W36" s="152"/>
    </row>
    <row r="37" spans="1:23">
      <c r="A37" s="15"/>
      <c r="B37" s="107"/>
      <c r="C37" s="16"/>
      <c r="D37" s="69"/>
      <c r="E37" s="108" t="s">
        <v>216</v>
      </c>
      <c r="F37" s="69"/>
      <c r="H37" s="106">
        <v>22</v>
      </c>
      <c r="I37" s="69"/>
      <c r="K37" s="117">
        <f>SUM(H36:H42)</f>
        <v>210</v>
      </c>
      <c r="L37" s="16"/>
      <c r="M37" s="16"/>
      <c r="N37" s="56"/>
      <c r="O37" s="69"/>
      <c r="P37" s="69"/>
      <c r="Q37" s="162" t="s">
        <v>219</v>
      </c>
      <c r="R37" s="69"/>
      <c r="S37" s="110"/>
      <c r="T37" s="161"/>
      <c r="U37" s="161"/>
      <c r="V37" s="69"/>
      <c r="W37" s="152"/>
    </row>
    <row r="38" spans="1:23">
      <c r="A38" s="15"/>
      <c r="B38" s="107"/>
      <c r="C38" s="16"/>
      <c r="D38" s="69"/>
      <c r="E38" s="109"/>
      <c r="F38" s="69"/>
      <c r="H38" s="106">
        <v>90</v>
      </c>
      <c r="I38" s="113"/>
      <c r="L38" s="16"/>
      <c r="M38" s="16"/>
      <c r="N38" s="56"/>
      <c r="P38" s="69"/>
      <c r="Q38" s="162" t="s">
        <v>222</v>
      </c>
      <c r="R38" s="69"/>
      <c r="S38" s="69"/>
      <c r="T38" s="69"/>
      <c r="U38" s="165"/>
      <c r="V38" s="69"/>
      <c r="W38" s="152"/>
    </row>
    <row r="39" spans="1:23">
      <c r="A39" s="15"/>
      <c r="B39" s="107"/>
      <c r="C39" s="16"/>
      <c r="D39" s="69"/>
      <c r="E39" s="105" t="s">
        <v>221</v>
      </c>
      <c r="F39" s="69"/>
      <c r="H39" s="106">
        <v>28</v>
      </c>
      <c r="I39" s="69"/>
      <c r="K39" s="115"/>
      <c r="L39" s="134"/>
      <c r="M39" s="16"/>
      <c r="N39" s="56"/>
      <c r="O39" s="135">
        <f>(((K59/10)^2)*((K35+K37+K43-15)/10))*4*0.00644</f>
        <v>29.0299744</v>
      </c>
      <c r="P39" s="69"/>
      <c r="Q39" s="166"/>
      <c r="R39" s="69"/>
      <c r="S39" s="69"/>
      <c r="T39" s="69"/>
      <c r="U39" s="161"/>
      <c r="V39" s="69"/>
      <c r="W39" s="152"/>
    </row>
    <row r="40" spans="1:23" ht="4.500000" customHeight="1">
      <c r="A40" s="15"/>
      <c r="B40" s="16"/>
      <c r="C40" s="16"/>
      <c r="D40" s="69"/>
      <c r="E40" s="110"/>
      <c r="F40" s="69"/>
      <c r="H40" s="111"/>
      <c r="I40" s="69"/>
      <c r="K40" s="872" t="str">
        <f>"模高 ="&amp;SUM(K35+K37+K43+K45-5)</f>
        <v>模高 =355</v>
      </c>
      <c r="L40" s="873"/>
      <c r="M40" s="16"/>
      <c r="N40" s="56"/>
      <c r="O40" s="69"/>
      <c r="P40" s="69"/>
      <c r="Q40" s="69"/>
      <c r="R40" s="167"/>
      <c r="S40" s="163"/>
      <c r="T40" s="164"/>
      <c r="U40" s="161"/>
      <c r="V40" s="69"/>
      <c r="W40" s="152"/>
    </row>
    <row r="41" spans="1:23">
      <c r="A41" s="15"/>
      <c r="B41" s="16"/>
      <c r="C41" s="16"/>
      <c r="D41" s="69"/>
      <c r="E41" s="105" t="s">
        <v>466</v>
      </c>
      <c r="F41" s="69"/>
      <c r="H41" s="106">
        <v>32</v>
      </c>
      <c r="I41" s="69"/>
      <c r="K41" s="874"/>
      <c r="L41" s="875"/>
      <c r="M41" s="16"/>
      <c r="N41" s="56"/>
      <c r="O41" s="135">
        <f>E59*K52*K37*0.00000628*0.85</f>
        <v>68.060188602</v>
      </c>
      <c r="P41" s="69"/>
      <c r="Q41" s="69"/>
      <c r="R41" s="113"/>
      <c r="S41" s="168" t="s">
        <v>467</v>
      </c>
      <c r="T41" s="161"/>
      <c r="U41" s="161"/>
      <c r="V41" s="69"/>
      <c r="W41" s="152"/>
    </row>
    <row r="42" spans="1:23">
      <c r="A42" s="15"/>
      <c r="B42" s="16"/>
      <c r="C42" s="16"/>
      <c r="D42" s="69"/>
      <c r="E42" s="105" t="s">
        <v>226</v>
      </c>
      <c r="F42" s="69"/>
      <c r="H42" s="106">
        <v>20</v>
      </c>
      <c r="I42" s="69"/>
      <c r="K42" s="113"/>
      <c r="L42" s="16"/>
      <c r="M42" s="16"/>
      <c r="N42" s="56"/>
      <c r="O42" s="114"/>
      <c r="P42" s="69"/>
      <c r="Q42" s="69"/>
      <c r="R42" s="69"/>
      <c r="S42" s="110"/>
      <c r="T42" s="161"/>
      <c r="U42" s="161"/>
      <c r="V42" s="69"/>
      <c r="W42" s="152"/>
    </row>
    <row r="43" spans="1:23" ht="27.750000" customHeight="1">
      <c r="A43" s="15"/>
      <c r="B43" s="16"/>
      <c r="C43" s="16"/>
      <c r="D43" s="69"/>
      <c r="E43" s="105" t="s">
        <v>227</v>
      </c>
      <c r="F43" s="69"/>
      <c r="G43" s="69"/>
      <c r="H43" s="112"/>
      <c r="I43" s="132"/>
      <c r="K43" s="133">
        <v>90</v>
      </c>
      <c r="L43" s="16"/>
      <c r="M43" s="16"/>
      <c r="N43" s="56"/>
      <c r="O43" s="135">
        <f>(G60*M53*(K35+K43)*0.00000628)-((((K59/10)^2)*((K35+K43)/10))*4*0.00644)</f>
        <v>111.47031448</v>
      </c>
      <c r="P43" s="136"/>
      <c r="Q43" s="136" t="s">
        <v>228</v>
      </c>
      <c r="R43" s="69"/>
      <c r="S43" s="163"/>
      <c r="T43" s="164"/>
      <c r="U43" s="165"/>
      <c r="V43" s="69"/>
      <c r="W43" s="152"/>
    </row>
    <row r="44" spans="1:23" ht="6.000000" customHeight="1">
      <c r="A44" s="15"/>
      <c r="B44" s="16"/>
      <c r="C44" s="16"/>
      <c r="D44" s="69"/>
      <c r="E44" s="105"/>
      <c r="F44" s="69"/>
      <c r="G44" s="69"/>
      <c r="H44" s="69"/>
      <c r="I44" s="69"/>
      <c r="K44" s="110"/>
      <c r="L44" s="16"/>
      <c r="M44" s="16"/>
      <c r="N44" s="56"/>
      <c r="O44" s="69"/>
      <c r="P44" s="136"/>
      <c r="Q44" s="136"/>
      <c r="R44" s="69"/>
      <c r="S44" s="163"/>
      <c r="T44" s="164"/>
      <c r="U44" s="165"/>
      <c r="V44" s="69"/>
      <c r="W44" s="152"/>
    </row>
    <row r="45" spans="1:23" ht="19.500000" customHeight="1">
      <c r="A45" s="15"/>
      <c r="B45" s="16"/>
      <c r="C45" s="16"/>
      <c r="D45" s="69"/>
      <c r="E45" s="105" t="s">
        <v>229</v>
      </c>
      <c r="F45" s="69"/>
      <c r="G45" s="69"/>
      <c r="H45" s="69"/>
      <c r="I45" s="69"/>
      <c r="K45" s="133">
        <v>10</v>
      </c>
      <c r="L45" s="16"/>
      <c r="M45" s="16"/>
      <c r="N45" s="56"/>
      <c r="O45" s="135">
        <f>G60*Q48*K45*0.00000786*2</f>
        <v>8.21763</v>
      </c>
      <c r="P45" s="136"/>
      <c r="Q45" s="136" t="s">
        <v>230</v>
      </c>
      <c r="R45" s="69"/>
      <c r="S45" s="163"/>
      <c r="T45" s="164"/>
      <c r="U45" s="165"/>
      <c r="V45" s="69"/>
      <c r="W45" s="152"/>
    </row>
    <row r="46" spans="1:23" ht="6.000000" customHeight="1">
      <c r="A46" s="15"/>
      <c r="B46" s="16"/>
      <c r="C46" s="16"/>
      <c r="D46" s="113"/>
      <c r="E46" s="114"/>
      <c r="F46" s="115"/>
      <c r="G46" s="69"/>
      <c r="H46" s="69"/>
      <c r="I46" s="137"/>
      <c r="J46" s="69"/>
      <c r="K46" s="69"/>
      <c r="L46" s="16"/>
      <c r="M46" s="16"/>
      <c r="N46" s="56"/>
      <c r="O46" s="69"/>
      <c r="P46" s="69"/>
      <c r="Q46" s="69"/>
      <c r="R46" s="69"/>
      <c r="S46" s="69"/>
      <c r="T46" s="161"/>
      <c r="U46" s="161"/>
      <c r="V46" s="69"/>
      <c r="W46" s="152"/>
    </row>
    <row r="47" spans="1:23">
      <c r="A47" s="15"/>
      <c r="B47" s="16"/>
      <c r="C47" s="16"/>
      <c r="D47" s="69"/>
      <c r="E47" s="69"/>
      <c r="F47" s="69"/>
      <c r="G47" s="69"/>
      <c r="H47" s="69"/>
      <c r="I47" s="69"/>
      <c r="J47" s="113"/>
      <c r="K47" s="113"/>
      <c r="L47" s="16"/>
      <c r="M47" s="110"/>
      <c r="N47" s="56"/>
      <c r="O47" s="69"/>
      <c r="P47" s="69"/>
      <c r="Q47" s="110"/>
      <c r="R47" s="69"/>
      <c r="S47" s="69"/>
      <c r="T47" s="69"/>
      <c r="U47" s="69"/>
      <c r="V47" s="69"/>
      <c r="W47" s="152"/>
    </row>
    <row r="48" spans="1:23">
      <c r="A48" s="15"/>
      <c r="B48" s="16"/>
      <c r="C48" s="16"/>
      <c r="D48" s="69"/>
      <c r="E48" s="69"/>
      <c r="F48" s="69"/>
      <c r="G48" s="69"/>
      <c r="H48" s="69"/>
      <c r="I48" s="69"/>
      <c r="J48" s="113"/>
      <c r="K48" s="113"/>
      <c r="L48" s="16"/>
      <c r="M48" s="16"/>
      <c r="N48" s="56"/>
      <c r="O48" s="69"/>
      <c r="P48" s="69"/>
      <c r="Q48" s="169">
        <f>(C17-C9)/2-5</f>
        <v>75</v>
      </c>
      <c r="R48" s="69"/>
      <c r="S48" s="69"/>
      <c r="T48" s="69"/>
      <c r="U48" s="69"/>
      <c r="V48" s="69"/>
      <c r="W48" s="152"/>
    </row>
    <row r="49" spans="1:24">
      <c r="A49" s="15"/>
      <c r="B49" s="16"/>
      <c r="C49" s="16"/>
      <c r="D49" s="69"/>
      <c r="E49" s="69"/>
      <c r="F49" s="69"/>
      <c r="G49" s="69"/>
      <c r="H49" s="69"/>
      <c r="I49" s="138"/>
      <c r="J49" s="69"/>
      <c r="K49" s="69"/>
      <c r="L49" s="139"/>
      <c r="M49" s="16"/>
      <c r="N49" s="140"/>
      <c r="O49" s="141"/>
      <c r="P49" s="139"/>
      <c r="Q49" s="56"/>
      <c r="R49" s="56"/>
      <c r="S49" s="170"/>
      <c r="T49" s="170"/>
      <c r="U49" s="171"/>
      <c r="V49" s="56"/>
      <c r="W49" s="152"/>
    </row>
    <row r="50" spans="1:24">
      <c r="A50" s="15"/>
      <c r="B50" s="16"/>
      <c r="C50" s="16"/>
      <c r="D50" s="69"/>
      <c r="E50" s="69"/>
      <c r="F50" s="69"/>
      <c r="G50" s="69"/>
      <c r="H50" s="69"/>
      <c r="I50" s="138"/>
      <c r="L50" s="139"/>
      <c r="M50" s="16"/>
      <c r="N50" s="140"/>
      <c r="O50" s="141"/>
      <c r="P50" s="139"/>
      <c r="Q50" s="56"/>
      <c r="R50" s="56"/>
      <c r="S50" s="170"/>
      <c r="T50" s="170"/>
      <c r="U50" s="171"/>
      <c r="V50" s="56"/>
      <c r="W50" s="152"/>
    </row>
    <row r="51" spans="1:24">
      <c r="A51" s="15"/>
      <c r="B51" s="16"/>
      <c r="C51" s="16"/>
      <c r="D51" s="69"/>
      <c r="E51" s="69"/>
      <c r="F51" s="69"/>
      <c r="G51" s="69"/>
      <c r="H51" s="69"/>
      <c r="I51" s="138"/>
      <c r="J51" s="69"/>
      <c r="K51" s="69"/>
      <c r="L51" s="16"/>
      <c r="M51" s="16"/>
      <c r="N51" s="56"/>
      <c r="O51" s="730" t="s">
        <v>468</v>
      </c>
      <c r="P51" s="869"/>
      <c r="Q51" s="869"/>
      <c r="R51" s="869"/>
      <c r="S51" s="870">
        <f>SUM(O39+O41+O43+O45)</f>
        <v>216.778107482</v>
      </c>
      <c r="T51" s="871"/>
      <c r="U51" s="867" t="s">
        <v>106</v>
      </c>
      <c r="V51" s="56"/>
      <c r="W51" s="152"/>
    </row>
    <row r="52" spans="1:24">
      <c r="A52" s="15"/>
      <c r="B52" s="16"/>
      <c r="C52" s="116">
        <f>C15</f>
        <v>50</v>
      </c>
      <c r="D52" s="69"/>
      <c r="E52" s="69"/>
      <c r="F52" s="69"/>
      <c r="G52" s="117">
        <f>C10</f>
        <v>30</v>
      </c>
      <c r="H52" s="69"/>
      <c r="I52" s="138"/>
      <c r="J52" s="69"/>
      <c r="K52" s="117">
        <f>C13</f>
        <v>101.7</v>
      </c>
      <c r="L52" s="16"/>
      <c r="N52" s="16"/>
      <c r="O52" s="869"/>
      <c r="P52" s="869"/>
      <c r="Q52" s="869"/>
      <c r="R52" s="869"/>
      <c r="S52" s="871"/>
      <c r="T52" s="871"/>
      <c r="U52" s="868"/>
      <c r="V52" s="16"/>
      <c r="W52" s="63"/>
    </row>
    <row r="53" spans="1:24">
      <c r="A53" s="15"/>
      <c r="B53" s="16"/>
      <c r="C53" s="16"/>
      <c r="D53" s="69"/>
      <c r="E53" s="116">
        <f>C11</f>
        <v>30</v>
      </c>
      <c r="F53" s="69"/>
      <c r="G53" s="69"/>
      <c r="H53" s="69"/>
      <c r="I53" s="138"/>
      <c r="J53" s="69"/>
      <c r="K53" s="69"/>
      <c r="L53" s="16"/>
      <c r="M53" s="117">
        <f>C17</f>
        <v>201.7</v>
      </c>
      <c r="N53" s="16"/>
      <c r="O53" s="16"/>
      <c r="P53" s="16"/>
      <c r="Q53" s="16"/>
      <c r="R53" s="16"/>
      <c r="S53" s="16"/>
      <c r="T53" s="16"/>
      <c r="U53" s="16"/>
      <c r="V53" s="16"/>
      <c r="W53" s="63"/>
    </row>
    <row r="54" spans="1:24">
      <c r="A54" s="15"/>
      <c r="B54" s="16"/>
      <c r="C54" s="16"/>
      <c r="D54" s="69"/>
      <c r="E54" s="69"/>
      <c r="F54" s="69"/>
      <c r="G54" s="116">
        <f>C14</f>
        <v>50</v>
      </c>
      <c r="H54" s="69"/>
      <c r="I54" s="138"/>
      <c r="J54" s="69"/>
      <c r="K54" s="69"/>
      <c r="L54" s="16"/>
      <c r="M54" s="16"/>
      <c r="N54" s="16"/>
      <c r="O54" s="11" t="s">
        <v>469</v>
      </c>
      <c r="P54" s="142"/>
      <c r="Q54" s="142"/>
      <c r="R54" s="142"/>
      <c r="S54" s="142"/>
      <c r="T54" s="142"/>
      <c r="U54" s="142"/>
      <c r="V54" s="142"/>
      <c r="W54" s="172"/>
    </row>
    <row r="55" spans="1:24">
      <c r="A55" s="15"/>
      <c r="B55" s="16"/>
      <c r="C55" s="16"/>
      <c r="D55" s="113"/>
      <c r="E55" s="113"/>
      <c r="F55" s="115"/>
      <c r="G55" s="69"/>
      <c r="H55" s="69"/>
      <c r="I55" s="138"/>
      <c r="J55" s="69"/>
      <c r="K55" s="69"/>
      <c r="L55" s="16"/>
      <c r="M55" s="16"/>
      <c r="N55" s="16"/>
      <c r="O55" s="143"/>
      <c r="P55" s="144"/>
      <c r="Q55" s="144"/>
      <c r="R55" s="144"/>
      <c r="S55" s="144"/>
      <c r="T55" s="144"/>
      <c r="U55" s="144"/>
      <c r="V55" s="144"/>
      <c r="W55" s="173"/>
    </row>
    <row r="56" spans="1:24">
      <c r="A56" s="15"/>
      <c r="B56" s="16"/>
      <c r="C56" s="16"/>
      <c r="D56" s="69"/>
      <c r="E56" s="69"/>
      <c r="F56" s="69"/>
      <c r="G56" s="69"/>
      <c r="H56" s="69"/>
      <c r="I56" s="69"/>
      <c r="J56" s="69"/>
      <c r="K56" s="69"/>
      <c r="L56" s="16"/>
      <c r="M56" s="16"/>
      <c r="N56" s="16"/>
      <c r="O56" s="143"/>
      <c r="P56" s="144"/>
      <c r="Q56" s="144"/>
      <c r="R56" s="144"/>
      <c r="S56" s="144"/>
      <c r="T56" s="144"/>
      <c r="U56" s="144"/>
      <c r="V56" s="144"/>
      <c r="W56" s="173"/>
    </row>
    <row r="57" spans="1:24">
      <c r="A57" s="15"/>
      <c r="B57" s="16"/>
      <c r="C57" s="118"/>
      <c r="D57" s="118"/>
      <c r="E57" s="110"/>
      <c r="F57" s="69"/>
      <c r="G57" s="69"/>
      <c r="H57" s="69"/>
      <c r="I57" s="113"/>
      <c r="J57" s="110"/>
      <c r="K57" s="69"/>
      <c r="L57" s="16"/>
      <c r="M57" s="16"/>
      <c r="N57" s="16"/>
      <c r="O57" s="145"/>
      <c r="P57" s="144"/>
      <c r="Q57" s="144"/>
      <c r="R57" s="144"/>
      <c r="S57" s="144"/>
      <c r="T57" s="144"/>
      <c r="U57" s="144"/>
      <c r="V57" s="144"/>
      <c r="W57" s="173"/>
    </row>
    <row r="58" spans="1:24">
      <c r="A58" s="15"/>
      <c r="B58" s="16"/>
      <c r="C58" s="118"/>
      <c r="D58" s="69"/>
      <c r="E58" s="69"/>
      <c r="F58" s="110"/>
      <c r="G58" s="69"/>
      <c r="H58" s="69"/>
      <c r="I58" s="69"/>
      <c r="J58" s="69"/>
      <c r="K58" s="69"/>
      <c r="L58" s="16"/>
      <c r="M58" s="16"/>
      <c r="N58" s="16"/>
      <c r="O58" s="145"/>
      <c r="P58" s="144"/>
      <c r="Q58" s="144"/>
      <c r="R58" s="144"/>
      <c r="S58" s="144"/>
      <c r="T58" s="144"/>
      <c r="U58" s="144"/>
      <c r="V58" s="144"/>
      <c r="W58" s="173"/>
    </row>
    <row r="59" spans="1:24">
      <c r="A59" s="15"/>
      <c r="B59" s="16"/>
      <c r="D59" s="69"/>
      <c r="E59" s="119">
        <f>C12</f>
        <v>597</v>
      </c>
      <c r="F59" s="110"/>
      <c r="G59" s="69"/>
      <c r="H59" s="69"/>
      <c r="I59" s="69"/>
      <c r="J59" s="113" t="s">
        <v>470</v>
      </c>
      <c r="K59" s="146">
        <v>58</v>
      </c>
      <c r="L59" s="16"/>
      <c r="M59" s="16"/>
      <c r="N59" s="16"/>
      <c r="O59" s="145"/>
      <c r="P59" s="144"/>
      <c r="Q59" s="144"/>
      <c r="R59" s="144"/>
      <c r="S59" s="144"/>
      <c r="T59" s="144"/>
      <c r="U59" s="144"/>
      <c r="V59" s="144"/>
      <c r="W59" s="173"/>
    </row>
    <row r="60" spans="1:24">
      <c r="A60" s="15"/>
      <c r="B60" s="16"/>
      <c r="C60" s="118"/>
      <c r="D60" s="69"/>
      <c r="F60" s="110"/>
      <c r="G60" s="119">
        <f>C16</f>
        <v>697</v>
      </c>
      <c r="H60" s="69"/>
      <c r="I60" s="69"/>
      <c r="J60" s="69"/>
      <c r="K60" s="69"/>
      <c r="L60" s="16"/>
      <c r="M60" s="16"/>
      <c r="N60" s="16"/>
      <c r="O60" s="145"/>
      <c r="P60" s="144"/>
      <c r="Q60" s="144"/>
      <c r="R60" s="144"/>
      <c r="S60" s="144"/>
      <c r="T60" s="144"/>
      <c r="U60" s="144"/>
      <c r="V60" s="144"/>
      <c r="W60" s="173"/>
    </row>
    <row r="61" spans="1:24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147"/>
      <c r="P61" s="148"/>
      <c r="Q61" s="148"/>
      <c r="R61" s="148"/>
      <c r="S61" s="148"/>
      <c r="T61" s="148"/>
      <c r="U61" s="148"/>
      <c r="V61" s="148"/>
      <c r="W61" s="174"/>
    </row>
    <row r="62" spans="1:24" s="56" customFormat="1" ht="16.500000" customHeight="1">
      <c r="A62" s="120"/>
      <c r="U62" s="175"/>
    </row>
    <row r="63" spans="1:24" s="68" customFormat="1" ht="16.500000" customHeight="1">
      <c r="A63" s="69"/>
      <c r="B63" s="69"/>
      <c r="C63" s="69"/>
      <c r="E63" s="121"/>
      <c r="F63" s="122"/>
      <c r="G63" s="122"/>
      <c r="H63" s="122"/>
      <c r="I63" s="122"/>
      <c r="J63" s="122"/>
      <c r="K63" s="122"/>
      <c r="L63" s="122"/>
      <c r="M63" s="122"/>
      <c r="N63" s="69"/>
      <c r="O63" s="69"/>
      <c r="P63" s="69"/>
      <c r="Q63" s="69"/>
      <c r="R63" s="69"/>
      <c r="S63" s="113"/>
      <c r="T63" s="113"/>
      <c r="U63" s="176"/>
      <c r="V63" s="177"/>
      <c r="W63" s="69"/>
      <c r="X63" s="69"/>
    </row>
    <row r="64" spans="1:24" s="69" customFormat="1" ht="16.500000" customHeight="1">
      <c r="A64" s="123"/>
      <c r="B64" s="124"/>
      <c r="C64" s="125"/>
      <c r="D64" s="126"/>
      <c r="E64" s="127"/>
      <c r="F64" s="128"/>
      <c r="G64" s="129"/>
      <c r="H64" s="130"/>
      <c r="I64" s="149"/>
      <c r="J64" s="68"/>
      <c r="K64" s="68"/>
      <c r="L64" s="68"/>
      <c r="M64" s="68"/>
      <c r="N64" s="68"/>
      <c r="O64" s="68"/>
      <c r="P64" s="68"/>
      <c r="Q64" s="68"/>
      <c r="R64" s="68"/>
    </row>
    <row r="65" spans="1:23" s="69" customFormat="1" ht="16.500000" customHeight="1">
      <c r="A65" s="68"/>
      <c r="B65" s="178"/>
      <c r="C65" s="179"/>
      <c r="D65" s="178"/>
      <c r="E65" s="180"/>
      <c r="F65" s="180"/>
      <c r="H65" s="68"/>
      <c r="I65" s="182"/>
      <c r="J65" s="183"/>
      <c r="P65" s="184"/>
      <c r="R65" s="68"/>
    </row>
    <row r="66" spans="1:23" s="69" customFormat="1" ht="16.500000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</row>
    <row r="67" spans="1:23" s="69" customFormat="1" ht="16.500000" customHeight="1">
      <c r="A67" s="11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</row>
    <row r="68" s="69" customFormat="1" ht="16.500000" customHeight="1"/>
    <row r="69" s="69" customFormat="1" ht="16.500000" customHeight="1"/>
    <row r="70" s="69" customFormat="1" ht="16.500000" customHeight="1"/>
    <row r="71" s="69" customFormat="1" ht="16.500000" customHeight="1"/>
    <row r="72" s="69" customFormat="1" ht="16.500000" customHeight="1"/>
    <row r="73" s="69" customFormat="1" ht="16.500000" customHeight="1"/>
    <row r="74" s="69" customFormat="1" ht="16.500000" customHeight="1"/>
    <row r="75" s="69" customFormat="1" ht="16.500000" customHeight="1"/>
    <row r="76" s="69" customFormat="1" ht="16.500000" customHeight="1"/>
    <row r="77" s="69" customFormat="1" ht="16.500000" customHeight="1"/>
    <row r="78" s="69" customFormat="1" ht="16.500000" customHeight="1"/>
    <row r="79" s="69" customFormat="1" ht="16.500000" customHeight="1"/>
    <row r="80" s="69" customFormat="1" ht="16.500000" customHeight="1"/>
    <row r="81" s="69" customFormat="1" ht="16.500000" customHeight="1"/>
    <row r="82" s="69" customFormat="1" ht="16.500000" customHeight="1"/>
    <row r="83" s="69" customFormat="1" ht="16.500000" customHeight="1"/>
    <row r="84" s="69" customFormat="1" ht="16.500000" customHeight="1"/>
    <row r="85" s="69" customFormat="1" ht="16.500000" customHeight="1"/>
    <row r="86" s="69" customFormat="1" ht="16.500000" customHeight="1"/>
    <row r="87" s="69" customFormat="1" ht="16.500000" customHeight="1"/>
    <row r="88" s="69" customFormat="1" ht="16.500000" customHeight="1"/>
    <row r="89" s="56" customFormat="1" ht="16.500000" customHeight="1"/>
    <row r="90" s="56" customFormat="1" ht="16.500000" customHeight="1"/>
    <row r="91" s="56" customFormat="1" ht="16.500000" customHeight="1"/>
    <row r="92" s="16" customFormat="1"/>
    <row r="93" s="16" customFormat="1"/>
    <row r="94" s="16" customFormat="1"/>
    <row r="95" s="16" customFormat="1"/>
    <row r="96" s="16" customFormat="1"/>
    <row r="97" s="16" customFormat="1"/>
  </sheetData>
  <sheetProtection sheet="1" password="ce28" objects="1" scenarios="1"/>
  <mergeCells count="54">
    <mergeCell ref="A1:U1"/>
    <mergeCell ref="E2:M2"/>
    <mergeCell ref="S2:T2"/>
    <mergeCell ref="U2:V2"/>
    <mergeCell ref="A3:B3"/>
    <mergeCell ref="F3:G3"/>
    <mergeCell ref="H3:I3"/>
    <mergeCell ref="J3:K3"/>
    <mergeCell ref="L3:M3"/>
    <mergeCell ref="N3:O3"/>
    <mergeCell ref="P3:Q3"/>
    <mergeCell ref="R3:S3"/>
    <mergeCell ref="T3:U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A25:A27"/>
    <mergeCell ref="A28:A30"/>
    <mergeCell ref="A31:U31"/>
    <mergeCell ref="E32:M32"/>
    <mergeCell ref="S32:T32"/>
    <mergeCell ref="U32:V32"/>
    <mergeCell ref="K40:L41"/>
    <mergeCell ref="O51:R52"/>
    <mergeCell ref="S51:T52"/>
    <mergeCell ref="U51:U52"/>
  </mergeCells>
  <phoneticPr fontId="1" type="noConversion"/>
  <pageMargins left="0.55" right="0.55" top="0.79" bottom="0.59" header="0.71" footer="0.51"/>
  <pageSetup paperSize="9" orientation="landscape"/>
  <rowBreaks count="2" manualBreakCount="2">
    <brk id="30" max="16383" man="1"/>
    <brk id="61" max="16383" man="1"/>
  </rowBreaks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O49"/>
  <sheetViews>
    <sheetView showGridLines="0" showRowColHeaders="0" zoomScale="85" zoomScaleNormal="85" workbookViewId="0">
      <pane xSplit="41" topLeftCell="AP1" activePane="topRight" state="frozen"/>
      <selection pane="topRight" activeCell="A1" sqref="A1:AL1"/>
    </sheetView>
  </sheetViews>
  <sheetFormatPr defaultColWidth="9.00000000" defaultRowHeight="16.200000"/>
  <cols>
    <col min="1" max="4" style="3" width="3.14785705" customWidth="1" outlineLevel="0"/>
    <col min="5" max="5" style="3" width="4.14785705" customWidth="1" outlineLevel="0"/>
    <col min="6" max="6" style="3" width="3.14785705" customWidth="1" outlineLevel="0"/>
    <col min="7" max="8" style="3" width="2.71928583" customWidth="1" outlineLevel="0"/>
    <col min="9" max="10" style="3" width="3.14785705" customWidth="1" outlineLevel="0"/>
    <col min="11" max="11" style="3" width="5.14785705" customWidth="1" outlineLevel="0"/>
    <col min="12" max="13" style="3" width="2.71928583" customWidth="1" outlineLevel="0"/>
    <col min="14" max="14" style="3" width="2.43357144" customWidth="1" outlineLevel="0"/>
    <col min="15" max="15" style="3" width="6.71928583" customWidth="1" outlineLevel="0"/>
    <col min="16" max="16" style="3" width="4.14785705" customWidth="1" outlineLevel="0"/>
    <col min="17" max="25" style="3" width="3.14785705" customWidth="1" outlineLevel="0"/>
    <col min="26" max="26" style="3" width="2.86214290" customWidth="1" outlineLevel="0"/>
    <col min="27" max="27" style="3" width="3.29071437" customWidth="1" outlineLevel="0"/>
    <col min="28" max="28" style="3" width="3.14785705" customWidth="1" outlineLevel="0"/>
    <col min="29" max="33" style="3" width="3.29071437" customWidth="1" outlineLevel="0"/>
    <col min="34" max="34" style="3" width="2.86214290" customWidth="1" outlineLevel="0"/>
    <col min="35" max="41" style="3" width="3.29071437" customWidth="1" outlineLevel="0"/>
    <col min="42" max="43" style="3" width="3.14785705" customWidth="1" outlineLevel="0"/>
    <col min="44" max="44" style="3" width="3.43357144" customWidth="1" outlineLevel="0"/>
    <col min="45" max="65" style="3" width="6.71928583" customWidth="1" outlineLevel="0"/>
    <col min="66" max="66" style="3" width="7.71928583" customWidth="1" outlineLevel="0"/>
    <col min="67" max="75" style="3" width="3.71928583" customWidth="1" outlineLevel="0"/>
    <col min="76" max="16384" style="3" width="9.00499998" customWidth="1" outlineLevel="0"/>
  </cols>
  <sheetData>
    <row r="1" spans="1:67" s="1" customFormat="1" ht="49.500000" customHeight="1">
      <c r="A1" s="657" t="s">
        <v>471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7" s="2" customFormat="1" ht="19.500000" customHeight="1">
      <c r="J2" s="37"/>
      <c r="L2" s="38" t="s">
        <v>472</v>
      </c>
      <c r="M2" s="876" t="s">
        <v>473</v>
      </c>
      <c r="N2" s="877"/>
      <c r="O2" s="39" t="str">
        <f>"- "&amp;I5</f>
        <v>- 260</v>
      </c>
      <c r="P2" s="40">
        <f>I4</f>
        <v>8</v>
      </c>
      <c r="Q2" s="878" t="s">
        <v>474</v>
      </c>
      <c r="R2" s="653"/>
      <c r="S2" s="653"/>
      <c r="T2" s="653"/>
      <c r="U2" s="653"/>
      <c r="AE2" s="879" t="s">
        <v>475</v>
      </c>
      <c r="AF2" s="717"/>
      <c r="AG2" s="717"/>
      <c r="AH2" s="717"/>
      <c r="AI2" s="880">
        <f>TODAY()</f>
        <v>43411</v>
      </c>
      <c r="AJ2" s="655"/>
      <c r="AK2" s="655"/>
      <c r="AL2" s="655"/>
      <c r="AR2" s="3"/>
      <c r="AS2" s="3"/>
      <c r="AT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7"/>
      <c r="BO2" s="37"/>
    </row>
    <row r="3" spans="1:67" ht="16.500000" customHeight="1">
      <c r="A3" s="893" t="s">
        <v>476</v>
      </c>
      <c r="B3" s="894"/>
      <c r="C3" s="894"/>
      <c r="D3" s="894"/>
      <c r="E3" s="895"/>
      <c r="F3" s="896" t="s">
        <v>477</v>
      </c>
      <c r="G3" s="894"/>
      <c r="H3" s="894"/>
      <c r="I3" s="894"/>
      <c r="J3" s="894"/>
      <c r="K3" s="895"/>
      <c r="L3" s="896" t="s">
        <v>478</v>
      </c>
      <c r="M3" s="894"/>
      <c r="N3" s="894"/>
      <c r="O3" s="894"/>
      <c r="P3" s="894"/>
      <c r="Q3" s="894"/>
      <c r="R3" s="894"/>
      <c r="S3" s="894"/>
      <c r="T3" s="894"/>
      <c r="U3" s="894"/>
      <c r="V3" s="894"/>
      <c r="W3" s="894"/>
      <c r="X3" s="894"/>
      <c r="Y3" s="895"/>
      <c r="Z3" s="896" t="s">
        <v>479</v>
      </c>
      <c r="AA3" s="897"/>
      <c r="AB3" s="897"/>
      <c r="AC3" s="897"/>
      <c r="AD3" s="897"/>
      <c r="AE3" s="897"/>
      <c r="AF3" s="897"/>
      <c r="AG3" s="898"/>
      <c r="AH3" s="929" t="s">
        <v>480</v>
      </c>
      <c r="AI3" s="891" t="s">
        <v>481</v>
      </c>
      <c r="AJ3" s="891"/>
      <c r="AK3" s="891"/>
      <c r="AL3" s="891"/>
      <c r="AM3" s="891"/>
      <c r="AN3" s="891"/>
      <c r="AO3" s="892"/>
      <c r="AP3" s="15"/>
      <c r="AQ3" s="16"/>
      <c r="BN3" s="65"/>
      <c r="BO3" s="65"/>
    </row>
    <row r="4" spans="1:67" ht="16.500000" customHeight="1">
      <c r="A4" s="887" t="s">
        <v>482</v>
      </c>
      <c r="B4" s="4" t="s">
        <v>483</v>
      </c>
      <c r="C4" s="905">
        <v>950</v>
      </c>
      <c r="D4" s="906"/>
      <c r="E4" s="5" t="s">
        <v>51</v>
      </c>
      <c r="F4" s="881" t="s">
        <v>484</v>
      </c>
      <c r="G4" s="882"/>
      <c r="H4" s="882"/>
      <c r="I4" s="883">
        <v>8</v>
      </c>
      <c r="J4" s="884"/>
      <c r="K4" s="41" t="s">
        <v>485</v>
      </c>
      <c r="L4" s="885" t="s">
        <v>486</v>
      </c>
      <c r="M4" s="886"/>
      <c r="N4" s="903">
        <f>IF((C4+I6)*D13&lt;1000,1000,IF((C4+I6)*D13&lt;1100,1100,IF((C4+I6)*D13&lt;1200,1200,IF((C4+I6)*D13&lt;1300,1300,IF((C4+I6)*D13&lt;1500,1500,IF((C4+I6)*D13&lt;2000,2000,"  "))))))</f>
        <v>2000</v>
      </c>
      <c r="O4" s="904"/>
      <c r="P4" s="42" t="s">
        <v>51</v>
      </c>
      <c r="Q4" s="899" t="s">
        <v>487</v>
      </c>
      <c r="R4" s="900"/>
      <c r="S4" s="900"/>
      <c r="T4" s="900"/>
      <c r="U4" s="900"/>
      <c r="V4" s="49">
        <v>8</v>
      </c>
      <c r="W4" s="901" t="s">
        <v>488</v>
      </c>
      <c r="X4" s="901"/>
      <c r="Y4" s="902"/>
      <c r="Z4" s="889" t="s">
        <v>489</v>
      </c>
      <c r="AA4" s="890"/>
      <c r="AB4" s="58" t="s">
        <v>490</v>
      </c>
      <c r="AC4" s="938" t="str">
        <f>IF(AB4="N","三合一NC送料機",IF(AB4="D","雙列式積層料架","  "))</f>
        <v>三合一NC送料機</v>
      </c>
      <c r="AD4" s="938"/>
      <c r="AE4" s="938"/>
      <c r="AF4" s="938"/>
      <c r="AG4" s="939"/>
      <c r="AH4" s="930"/>
      <c r="AI4" s="940"/>
      <c r="AJ4" s="940"/>
      <c r="AK4" s="940"/>
      <c r="AL4" s="940"/>
      <c r="AM4" s="940"/>
      <c r="AN4" s="940"/>
      <c r="AO4" s="941"/>
      <c r="AP4" s="61"/>
      <c r="AQ4" s="24"/>
      <c r="BN4" s="66"/>
      <c r="BO4" s="67"/>
    </row>
    <row r="5" spans="1:67" ht="16.500000" customHeight="1">
      <c r="A5" s="888"/>
      <c r="B5" s="6" t="s">
        <v>491</v>
      </c>
      <c r="C5" s="971">
        <v>200</v>
      </c>
      <c r="D5" s="972"/>
      <c r="E5" s="7" t="s">
        <v>51</v>
      </c>
      <c r="F5" s="973" t="s">
        <v>492</v>
      </c>
      <c r="G5" s="964"/>
      <c r="H5" s="964"/>
      <c r="I5" s="978">
        <f>D10</f>
        <v>260</v>
      </c>
      <c r="J5" s="978"/>
      <c r="K5" s="43" t="s">
        <v>2</v>
      </c>
      <c r="L5" s="958" t="s">
        <v>493</v>
      </c>
      <c r="M5" s="965"/>
      <c r="N5" s="948">
        <f>C8+25</f>
        <v>75</v>
      </c>
      <c r="O5" s="949"/>
      <c r="P5" s="44" t="s">
        <v>51</v>
      </c>
      <c r="Q5" s="910" t="s">
        <v>494</v>
      </c>
      <c r="R5" s="911"/>
      <c r="S5" s="911"/>
      <c r="T5" s="911"/>
      <c r="U5" s="911"/>
      <c r="V5" s="50">
        <v>5</v>
      </c>
      <c r="W5" s="921" t="s">
        <v>488</v>
      </c>
      <c r="X5" s="921"/>
      <c r="Y5" s="922"/>
      <c r="Z5" s="923" t="s">
        <v>495</v>
      </c>
      <c r="AA5" s="924"/>
      <c r="AB5" s="59" t="s">
        <v>496</v>
      </c>
      <c r="AC5" s="925" t="str">
        <f>IF(AB5="F","由前向後送料",IF(AB5="O","由外向內送料","  "))</f>
        <v>由外向內送料</v>
      </c>
      <c r="AD5" s="925"/>
      <c r="AE5" s="925"/>
      <c r="AF5" s="925"/>
      <c r="AG5" s="926"/>
      <c r="AH5" s="931"/>
      <c r="AI5" s="927"/>
      <c r="AJ5" s="927"/>
      <c r="AK5" s="927"/>
      <c r="AL5" s="927"/>
      <c r="AM5" s="927"/>
      <c r="AN5" s="927"/>
      <c r="AO5" s="928"/>
      <c r="AP5" s="15"/>
      <c r="AQ5" s="16"/>
      <c r="BN5" s="65"/>
      <c r="BO5" s="65"/>
    </row>
    <row r="6" spans="1:67" ht="16.500000" customHeight="1">
      <c r="A6" s="888" t="s">
        <v>497</v>
      </c>
      <c r="B6" s="6" t="s">
        <v>483</v>
      </c>
      <c r="C6" s="948">
        <f>C4*0.75</f>
        <v>712.5</v>
      </c>
      <c r="D6" s="949"/>
      <c r="E6" s="7" t="s">
        <v>51</v>
      </c>
      <c r="F6" s="967" t="s">
        <v>498</v>
      </c>
      <c r="G6" s="963" t="s">
        <v>499</v>
      </c>
      <c r="H6" s="964"/>
      <c r="I6" s="956">
        <f>IF(I5=60,1000,IF(I5=80,1170,IF(I5=110,1300,IF(I5=160,1400,IF(I5=200,1700,IF(I5=260,1850,"  "))))))</f>
        <v>1850</v>
      </c>
      <c r="J6" s="957"/>
      <c r="K6" s="7" t="s">
        <v>51</v>
      </c>
      <c r="L6" s="958" t="s">
        <v>495</v>
      </c>
      <c r="M6" s="959"/>
      <c r="N6" s="45" t="s">
        <v>285</v>
      </c>
      <c r="O6" s="944" t="str">
        <f>IF(N6="L","  左→右",IF(N6="R","  左←右","  "))</f>
        <v>  左←右</v>
      </c>
      <c r="P6" s="945"/>
      <c r="Q6" s="912"/>
      <c r="R6" s="913"/>
      <c r="S6" s="913"/>
      <c r="T6" s="913"/>
      <c r="U6" s="913"/>
      <c r="V6" s="51"/>
      <c r="W6" s="946" t="s">
        <v>488</v>
      </c>
      <c r="X6" s="946"/>
      <c r="Y6" s="947"/>
      <c r="Z6" s="907" t="s">
        <v>500</v>
      </c>
      <c r="AA6" s="942" t="str">
        <f>IF(I4&gt;8,"機台數太多",IF(V4&gt;I4,"驅動單元位置超出範圍",IF(V4=0,"驅動單元與送料機重疊",IF(D10="***","成品尺寸太大",IF(I8=E12,"應選用加大行程規格",IF(I8=E13,"標準行程沖床可用","  "))))))</f>
        <v>標準行程沖床可用</v>
      </c>
      <c r="AB6" s="943"/>
      <c r="AC6" s="943"/>
      <c r="AD6" s="943"/>
      <c r="AE6" s="943"/>
      <c r="AF6" s="943"/>
      <c r="AG6" s="943"/>
      <c r="AH6" s="918" t="str">
        <f>IF(V5&gt;0,IF(V5=V7,"攻牙機與翻轉機構重疊",IF(V5=V8,"攻牙機與翻轉機構重疊",IF(V6&gt;0,IF(V6=V7,"攻牙機與翻轉機構重疊",IF(V6=V8,"攻牙機與翻轉機構重疊","  ")),"  "))),"  ")</f>
        <v>  </v>
      </c>
      <c r="AI6" s="919"/>
      <c r="AJ6" s="919"/>
      <c r="AK6" s="919"/>
      <c r="AL6" s="919"/>
      <c r="AM6" s="919"/>
      <c r="AN6" s="919"/>
      <c r="AO6" s="920"/>
      <c r="AP6" s="15"/>
      <c r="AQ6" s="16"/>
      <c r="BN6" s="65"/>
      <c r="BO6" s="65"/>
    </row>
    <row r="7" spans="1:67" ht="16.500000" customHeight="1">
      <c r="A7" s="888"/>
      <c r="B7" s="6" t="s">
        <v>491</v>
      </c>
      <c r="C7" s="948">
        <f>C5*0.75</f>
        <v>150</v>
      </c>
      <c r="D7" s="949"/>
      <c r="E7" s="7" t="s">
        <v>51</v>
      </c>
      <c r="F7" s="968"/>
      <c r="G7" s="963" t="s">
        <v>501</v>
      </c>
      <c r="H7" s="964"/>
      <c r="I7" s="956">
        <f>IF(I5=60,1600,IF(I5=80,1770,IF(I5=110,1900,IF(I5=160,2350,IF(I5=200,2650,IF(I5=260,2800,"  "))))))</f>
        <v>2800</v>
      </c>
      <c r="J7" s="957"/>
      <c r="K7" s="7" t="s">
        <v>51</v>
      </c>
      <c r="L7" s="958" t="s">
        <v>502</v>
      </c>
      <c r="M7" s="959"/>
      <c r="N7" s="45" t="s">
        <v>503</v>
      </c>
      <c r="O7" s="944" t="str">
        <f>IF(N7="M","  磁 鐵",IF(N7="V","  真 空",IF(N7="C","夾 具",IF(N7="U","真空&amp;磁鐵","  "))))</f>
        <v>  磁 鐵</v>
      </c>
      <c r="P7" s="945"/>
      <c r="Q7" s="910" t="s">
        <v>504</v>
      </c>
      <c r="R7" s="911"/>
      <c r="S7" s="911"/>
      <c r="T7" s="911"/>
      <c r="U7" s="911"/>
      <c r="V7" s="50">
        <v>3</v>
      </c>
      <c r="W7" s="921" t="s">
        <v>488</v>
      </c>
      <c r="X7" s="921"/>
      <c r="Y7" s="922"/>
      <c r="Z7" s="908"/>
      <c r="AA7" s="932" t="str">
        <f>IF(V5&gt;I4-1,"攻牙機位置超出範圍",IF(V6&gt;I4-1,"攻牙機位置超出範圍",IF(V6=0,"  ",IF(V5=V6,"攻牙機重覆設置","  "))))</f>
        <v>  </v>
      </c>
      <c r="AB7" s="767"/>
      <c r="AC7" s="767"/>
      <c r="AD7" s="767"/>
      <c r="AE7" s="767"/>
      <c r="AF7" s="767"/>
      <c r="AG7" s="767"/>
      <c r="AH7" s="933"/>
      <c r="AI7" s="934"/>
      <c r="AJ7" s="934"/>
      <c r="AK7" s="934"/>
      <c r="AL7" s="934"/>
      <c r="AM7" s="934"/>
      <c r="AN7" s="934"/>
      <c r="AO7" s="935"/>
      <c r="AP7" s="15"/>
      <c r="AQ7" s="16"/>
      <c r="BN7" s="65"/>
      <c r="BO7" s="65"/>
    </row>
    <row r="8" spans="1:67" ht="16.500000" customHeight="1">
      <c r="A8" s="8" t="s">
        <v>505</v>
      </c>
      <c r="B8" s="9" t="s">
        <v>506</v>
      </c>
      <c r="C8" s="936">
        <v>50</v>
      </c>
      <c r="D8" s="937"/>
      <c r="E8" s="10" t="s">
        <v>51</v>
      </c>
      <c r="F8" s="974" t="s">
        <v>507</v>
      </c>
      <c r="G8" s="975"/>
      <c r="H8" s="975"/>
      <c r="I8" s="976">
        <f>IF(E11&lt;E13,E13,E12)</f>
        <v>250</v>
      </c>
      <c r="J8" s="977"/>
      <c r="K8" s="10" t="s">
        <v>51</v>
      </c>
      <c r="L8" s="961" t="s">
        <v>508</v>
      </c>
      <c r="M8" s="962"/>
      <c r="N8" s="954">
        <f>C4*C5*3*0.00000786</f>
        <v>4.4802</v>
      </c>
      <c r="O8" s="955"/>
      <c r="P8" s="46" t="s">
        <v>509</v>
      </c>
      <c r="Q8" s="914"/>
      <c r="R8" s="915"/>
      <c r="S8" s="915"/>
      <c r="T8" s="915"/>
      <c r="U8" s="915"/>
      <c r="V8" s="52"/>
      <c r="W8" s="952" t="s">
        <v>488</v>
      </c>
      <c r="X8" s="952"/>
      <c r="Y8" s="953"/>
      <c r="Z8" s="909"/>
      <c r="AA8" s="950" t="str">
        <f>IF(V7&gt;I4-1,"翻轉機構位置超出範圍",IF(V8&gt;I4-1,"翻轉機構位置超出範圍",IF(V8=0,"  ",IF(V7=V8,"翻轉機構重覆設置","  "))))</f>
        <v>  </v>
      </c>
      <c r="AB8" s="951"/>
      <c r="AC8" s="951"/>
      <c r="AD8" s="951"/>
      <c r="AE8" s="951"/>
      <c r="AF8" s="951"/>
      <c r="AG8" s="951"/>
      <c r="AH8" s="916"/>
      <c r="AI8" s="916"/>
      <c r="AJ8" s="916"/>
      <c r="AK8" s="916"/>
      <c r="AL8" s="916"/>
      <c r="AM8" s="916"/>
      <c r="AN8" s="916"/>
      <c r="AO8" s="917"/>
      <c r="AP8" s="15"/>
      <c r="AQ8" s="16"/>
      <c r="BN8" s="65"/>
      <c r="BO8" s="65"/>
    </row>
    <row r="9" spans="1:67" ht="9.000000" customHeight="1">
      <c r="A9" s="11"/>
      <c r="B9" s="12"/>
      <c r="C9" s="13"/>
      <c r="D9" s="13"/>
      <c r="E9" s="13"/>
      <c r="F9" s="13"/>
      <c r="G9" s="13"/>
      <c r="H9" s="14"/>
      <c r="I9" s="12"/>
      <c r="J9" s="14"/>
      <c r="K9" s="12"/>
      <c r="L9" s="47"/>
      <c r="M9" s="12"/>
      <c r="N9" s="47"/>
      <c r="O9" s="12"/>
      <c r="P9" s="47"/>
      <c r="Q9" s="12"/>
      <c r="R9" s="47"/>
      <c r="S9" s="12"/>
      <c r="T9" s="47"/>
      <c r="U9" s="12"/>
      <c r="V9" s="53"/>
      <c r="W9" s="54" t="str">
        <f>IF(I4&gt;8,"  ",IF(I4&gt;8,U10+1,"  "))</f>
        <v>  </v>
      </c>
      <c r="X9" s="12"/>
      <c r="Y9" s="60"/>
      <c r="Z9" s="60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62"/>
    </row>
    <row r="10" spans="1:67" ht="9.000000" customHeight="1">
      <c r="A10" s="15"/>
      <c r="B10" s="16"/>
      <c r="C10" s="17"/>
      <c r="D10" s="16">
        <f>IF(D11=0,"***",IF(D12=0,"***",IF(D11&gt;D12,D11,D12)))</f>
        <v>260</v>
      </c>
      <c r="E10" s="16"/>
      <c r="F10" s="18"/>
      <c r="G10" s="19"/>
      <c r="H10" s="20">
        <f>IF(I4&gt;8,"  ",IF(I4&gt;=1,-(I4/2-0.5),"  "))</f>
        <v>-3.5</v>
      </c>
      <c r="I10" s="48">
        <f>IF(I4&gt;8,"  ",IF(I4&gt;=1,H10+0.5,"  "))</f>
        <v>-3</v>
      </c>
      <c r="J10" s="20">
        <f>IF(I4&gt;8,"  ",IF(I4&gt;=2,H10+1,"  "))</f>
        <v>-2.5</v>
      </c>
      <c r="K10" s="48">
        <f>IF(I4&gt;8,"  ",IF(I4&gt;2,I10+1,"  "))</f>
        <v>-2</v>
      </c>
      <c r="L10" s="20">
        <f>IF(I4&gt;8,"  ",IF(I4&gt;=3,J10+1,"  "))</f>
        <v>-1.5</v>
      </c>
      <c r="M10" s="48">
        <f>IF(I4&gt;8,"  ",IF(I4&gt;3,K10+1,"  "))</f>
        <v>-1</v>
      </c>
      <c r="N10" s="20">
        <f>IF(I4&gt;8,"  ",IF(I4&gt;=4,L10+1,"  "))</f>
        <v>-0.5</v>
      </c>
      <c r="O10" s="48">
        <f>IF(I4&gt;8,"  ",IF(I4&gt;4,M10+1,"  "))</f>
        <v>0</v>
      </c>
      <c r="P10" s="20">
        <f>IF(I4&gt;8,"  ",IF(I4&gt;=5,N10+1,"  "))</f>
        <v>0.5</v>
      </c>
      <c r="Q10" s="48">
        <f>IF(I4&gt;8,"  ",IF(I4&gt;5,O10+1,"  "))</f>
        <v>1</v>
      </c>
      <c r="R10" s="20">
        <f>IF(I4&gt;8,"  ",IF(I4&gt;=6,P10+1,"  "))</f>
        <v>1.5</v>
      </c>
      <c r="S10" s="48">
        <f>IF(I4&gt;8,"  ",IF(I4&gt;6,Q10+1,"  "))</f>
        <v>2</v>
      </c>
      <c r="T10" s="20">
        <f>IF(I4&gt;8,"  ",IF(I4&gt;=7,R10+1,"  "))</f>
        <v>2.5</v>
      </c>
      <c r="U10" s="48">
        <f>IF(I4&gt;8,"  ",IF(I4&gt;7,S10+1,"  "))</f>
        <v>3</v>
      </c>
      <c r="V10" s="20">
        <f>IF(I4&gt;8,"  ",IF(I4&gt;=8,T10+1,"  "))</f>
        <v>3.5</v>
      </c>
      <c r="W10" s="16"/>
      <c r="X10" s="55"/>
      <c r="Y10" s="56"/>
      <c r="Z10" s="5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63"/>
    </row>
    <row r="11" spans="1:67" ht="9.000000" customHeight="1">
      <c r="A11" s="15"/>
      <c r="B11" s="16"/>
      <c r="C11" s="16"/>
      <c r="D11" s="16">
        <f>IF(C4&lt;=500,60,IF(C4&lt;=560,80,IF(C4&lt;=650,110,IF(C4&lt;=700,160,IF(C4&lt;=850,200,IF(C4&lt;=950,260,0))))))</f>
        <v>260</v>
      </c>
      <c r="E11" s="16">
        <f>C8*2+60</f>
        <v>160</v>
      </c>
      <c r="F11" s="21"/>
      <c r="G11" s="22"/>
      <c r="H11" s="23">
        <f>IF(H10="  ",0,1)</f>
        <v>1</v>
      </c>
      <c r="I11" s="21"/>
      <c r="J11" s="23">
        <f>IF(J10="  ",0,1)</f>
        <v>1</v>
      </c>
      <c r="K11" s="21"/>
      <c r="L11" s="23">
        <f>IF(L10="  ",0,1)</f>
        <v>1</v>
      </c>
      <c r="M11" s="21"/>
      <c r="N11" s="23">
        <f>IF(N10="  ",0,1)</f>
        <v>1</v>
      </c>
      <c r="O11" s="21"/>
      <c r="P11" s="23">
        <f>IF(P10="  ",0,1)</f>
        <v>1</v>
      </c>
      <c r="Q11" s="21"/>
      <c r="R11" s="23">
        <f>IF(R10="  ",0,1)</f>
        <v>1</v>
      </c>
      <c r="S11" s="21"/>
      <c r="T11" s="23">
        <f>IF(T10="  ",0,1)</f>
        <v>1</v>
      </c>
      <c r="U11" s="21"/>
      <c r="V11" s="23">
        <f>IF(V10="  ",0,1)</f>
        <v>1</v>
      </c>
      <c r="W11" s="21"/>
      <c r="X11" s="56"/>
      <c r="Y11" s="56"/>
      <c r="Z11" s="5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63"/>
    </row>
    <row r="12" spans="1:67" ht="9.000000" customHeight="1">
      <c r="A12" s="15"/>
      <c r="B12" s="16"/>
      <c r="C12" s="24"/>
      <c r="D12" s="16">
        <f>IF(C5&lt;=210,60,IF(C5&lt;=270,80,IF(C5&lt;=320,110,IF(C5&lt;=400,160,IF(C5&lt;=480,200,IF(C5&lt;=550,260,0))))))</f>
        <v>60</v>
      </c>
      <c r="E12" s="16">
        <f>IF(I5=60,140,IF(I5=80,180,IF(I5=160,250,IF(I5=200,250,IF(I5=260,270,0)))))</f>
        <v>270</v>
      </c>
      <c r="F12" s="25">
        <f>N4/1000</f>
        <v>2</v>
      </c>
      <c r="G12" s="26"/>
      <c r="H12" s="27">
        <f>IF(H10="  ","  ",ABS(H10))</f>
        <v>3.5</v>
      </c>
      <c r="I12" s="16"/>
      <c r="J12" s="27">
        <f>IF(J10="  ","  ",ABS(J10))</f>
        <v>2.5</v>
      </c>
      <c r="K12" s="16"/>
      <c r="L12" s="27">
        <f>IF(L10="  ","  ",ABS(L10))</f>
        <v>1.5</v>
      </c>
      <c r="M12" s="16"/>
      <c r="N12" s="27">
        <f>IF(N10="  ","  ",ABS(N10))</f>
        <v>0.5</v>
      </c>
      <c r="O12" s="16"/>
      <c r="P12" s="27">
        <f>IF(P10="  ","  ",ABS(P10))</f>
        <v>0.5</v>
      </c>
      <c r="Q12" s="16"/>
      <c r="R12" s="27">
        <f>IF(R10="  ","  ",ABS(R10))</f>
        <v>1.5</v>
      </c>
      <c r="S12" s="16"/>
      <c r="T12" s="27">
        <f>IF(T10="  ","  ",ABS(T10))</f>
        <v>2.5</v>
      </c>
      <c r="U12" s="16"/>
      <c r="V12" s="27">
        <f>IF(V10="  ","  ",ABS(V10))</f>
        <v>3.5</v>
      </c>
      <c r="W12" s="16"/>
      <c r="X12" s="57"/>
      <c r="Y12" s="56"/>
      <c r="Z12" s="5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63"/>
    </row>
    <row r="13" spans="1:67" ht="9.000000" customHeight="1">
      <c r="A13" s="15"/>
      <c r="B13" s="16"/>
      <c r="C13" s="28"/>
      <c r="D13" s="29">
        <v>0.7</v>
      </c>
      <c r="E13" s="16">
        <f>IF(I5=60,120,IF(I5=80,150,IF(I5=110,180,IF(I5=160,200,IF(I5=200,200,IF(I5=260,250,0))))))</f>
        <v>250</v>
      </c>
      <c r="F13" s="3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56"/>
      <c r="Z13" s="5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63"/>
    </row>
    <row r="14" spans="1:67" ht="9.000000" customHeight="1">
      <c r="A14" s="15"/>
      <c r="B14" s="16"/>
      <c r="C14" s="16"/>
      <c r="D14" s="16"/>
      <c r="E14" s="16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1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63"/>
    </row>
    <row r="15" spans="1:67" ht="9.000000" customHeight="1">
      <c r="A15" s="15"/>
      <c r="B15" s="16"/>
      <c r="C15" s="960"/>
      <c r="D15" s="31"/>
      <c r="E15" s="31"/>
      <c r="F15" s="30">
        <f>I6/1000</f>
        <v>1.85</v>
      </c>
      <c r="G15" s="30">
        <f>F15/2</f>
        <v>0.925</v>
      </c>
      <c r="H15" s="30">
        <f>IF(I4&gt;8,0,IF(I4&gt;=1,(F15+F12)*H10+G15,0))</f>
        <v>-12.55</v>
      </c>
      <c r="I15" s="22">
        <f>IF(I4&gt;8,0,IF(I4&gt;=1,G16*H11+F16*H11,0))</f>
        <v>3.8</v>
      </c>
      <c r="J15" s="30">
        <f>IF(I4&gt;8,0,IF(I4&gt;=2,(F15+F12)*J10+G15,0))</f>
        <v>-8.7</v>
      </c>
      <c r="K15" s="22">
        <f>IF(I4&gt;8,0,IF(I4&gt;=2,G16*J11+F16*J11,0))</f>
        <v>3.8</v>
      </c>
      <c r="L15" s="30">
        <f>IF(I4&gt;8,0,IF(I4&gt;=3,(F15+F12)*L10+G15,0))</f>
        <v>-4.85</v>
      </c>
      <c r="M15" s="22">
        <f>IF(I4&gt;8,0,IF(I4&gt;=3,G16*L11+F16*L11,0))</f>
        <v>3.8</v>
      </c>
      <c r="N15" s="30">
        <f>IF(I4&gt;8,0,IF(I4&gt;=4,(F15+F12)*N10+G15,0))</f>
        <v>-1</v>
      </c>
      <c r="O15" s="22">
        <f>IF(I4&gt;8,0,IF(I4&gt;=4,G16*N11+F16*N11,0))</f>
        <v>3.8</v>
      </c>
      <c r="P15" s="30">
        <f>IF(I4&gt;8,0,IF(I4&gt;=5,(F15+F12)*P10+G15,0))</f>
        <v>2.85</v>
      </c>
      <c r="Q15" s="22">
        <f>IF(I4&gt;8,0,IF(I4&gt;=5,G16*P11+F16*P11,0))</f>
        <v>3.8</v>
      </c>
      <c r="R15" s="30">
        <f>IF(I4&gt;8,0,IF(I4&gt;=6,(F15+F12)*R10+G15,0))</f>
        <v>6.7</v>
      </c>
      <c r="S15" s="22">
        <f>IF(I4&gt;8,0,IF(I4&gt;=6,G16*R11+F16*R11,0))</f>
        <v>3.8</v>
      </c>
      <c r="T15" s="30">
        <f>IF(I4&gt;8,0,IF(I4&gt;=7,(F15+F12)*T10+G15,0))</f>
        <v>10.55</v>
      </c>
      <c r="U15" s="22">
        <f>IF(I4&gt;8,0,IF(I4&gt;=7,G16*T11+F16*T11,0))</f>
        <v>3.8</v>
      </c>
      <c r="V15" s="30">
        <f>IF(I4&gt;8,0,IF(I4&gt;=8,(F15+F12)*V10+G15,0))</f>
        <v>14.4</v>
      </c>
      <c r="W15" s="22">
        <f>IF(I4&gt;8,0,IF(I4&gt;=8,G16*V11+F16*V11,0))</f>
        <v>3.8</v>
      </c>
      <c r="X15" s="32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63"/>
    </row>
    <row r="16" spans="1:67" ht="9.000000" customHeight="1">
      <c r="A16" s="15"/>
      <c r="B16" s="16"/>
      <c r="C16" s="960"/>
      <c r="D16" s="31"/>
      <c r="E16" s="31"/>
      <c r="F16" s="30">
        <f>I7/1000</f>
        <v>2.8</v>
      </c>
      <c r="G16" s="30">
        <v>1</v>
      </c>
      <c r="H16" s="30">
        <f>IF(I4&gt;8,0,IF(I4&gt;=1,(F15+F12)*H10-G15,0))</f>
        <v>-14.4</v>
      </c>
      <c r="I16" s="22">
        <f>IF(I4&gt;8,0,IF(I4&gt;=1,G16*H11+F16*H11,0))</f>
        <v>3.8</v>
      </c>
      <c r="J16" s="30">
        <f>IF(I4&gt;8,0,IF(I4&gt;=2,(F15+F12)*J10-G15,0))</f>
        <v>-10.55</v>
      </c>
      <c r="K16" s="22">
        <f>IF(I4&gt;8,0,IF(I4&gt;=2,G16*J11+F16*J11,0))</f>
        <v>3.8</v>
      </c>
      <c r="L16" s="30">
        <f>IF(I4&gt;8,0,IF(I4&gt;=3,(F15+F12)*L10-G15,0))</f>
        <v>-6.7</v>
      </c>
      <c r="M16" s="22">
        <f>IF(I4&gt;8,0,IF(I4&gt;=3,G16*L11+F16*L11,0))</f>
        <v>3.8</v>
      </c>
      <c r="N16" s="30">
        <f>IF(I4&gt;8,"0",IF(I4&gt;=4,(F15+F12)*N10-G15,0))</f>
        <v>-2.85</v>
      </c>
      <c r="O16" s="22">
        <f>IF(I4&gt;8,0,IF(I4&gt;=4,G16*N11+F16*N11,0))</f>
        <v>3.8</v>
      </c>
      <c r="P16" s="30">
        <f>IF(I4&gt;8,0,IF(I4&gt;=5,(F15+F12)*P10-G15,0))</f>
        <v>1</v>
      </c>
      <c r="Q16" s="22">
        <f>IF(I4&gt;8,0,IF(I4&gt;=5,G16*P11+F16*P11,0))</f>
        <v>3.8</v>
      </c>
      <c r="R16" s="30">
        <f>IF(I4&gt;8,0,IF(I4&gt;=6,(F15+F12)*R10-G15,0))</f>
        <v>4.85</v>
      </c>
      <c r="S16" s="22">
        <f>IF(I4&gt;8,0,IF(I4&gt;=6,G16*R11+F16*R11,0))</f>
        <v>3.8</v>
      </c>
      <c r="T16" s="30">
        <f>IF(I4&gt;8,0,IF(I4&gt;=7,(F15+F12)*T10-G15,0))</f>
        <v>8.7</v>
      </c>
      <c r="U16" s="22">
        <f>IF(I4&gt;8,0,IF(I4&gt;=7,G16*T11+F16*T11,0))</f>
        <v>3.8</v>
      </c>
      <c r="V16" s="30">
        <f>IF(I4&gt;8,0,IF(I4&gt;=8,(F15+F12)*V10-G15,0))</f>
        <v>12.55</v>
      </c>
      <c r="W16" s="22">
        <f>IF(I4&gt;8,0,IF(I4&gt;=8,G16*V11+F16*V11,0))</f>
        <v>3.8</v>
      </c>
      <c r="X16" s="32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63"/>
    </row>
    <row r="17" spans="1:41" ht="9.000000" customHeight="1">
      <c r="A17" s="15"/>
      <c r="B17" s="16"/>
      <c r="C17" s="960"/>
      <c r="D17" s="31"/>
      <c r="E17" s="31"/>
      <c r="F17" s="30"/>
      <c r="G17" s="30"/>
      <c r="H17" s="30">
        <f>IF(I4&gt;8,0,IF(I4&gt;=1,(F15+F12)*H10-G15,0))</f>
        <v>-14.4</v>
      </c>
      <c r="I17" s="22">
        <f>IF(I4&gt;8,0,IF(I4&gt;=1,G16*H11,0))</f>
        <v>1</v>
      </c>
      <c r="J17" s="30">
        <f>IF(I4&gt;8,0,IF(I4&gt;=2,(F15+F12)*J10-G15,0))</f>
        <v>-10.55</v>
      </c>
      <c r="K17" s="22">
        <f>IF(I4&gt;8,0,IF(I4&gt;=2,G16*J11,0))</f>
        <v>1</v>
      </c>
      <c r="L17" s="30">
        <f>IF(I4&gt;8,0,IF(I4&gt;=3,(F15+F12)*L10-G15,0))</f>
        <v>-6.7</v>
      </c>
      <c r="M17" s="22">
        <f>IF(I4&gt;8,0,IF(I4&gt;=3,G16*L11,0))</f>
        <v>1</v>
      </c>
      <c r="N17" s="30">
        <f>IF(I4&gt;8,0,IF(I4&gt;=4,(F15+F12)*N10-G15,0))</f>
        <v>-2.85</v>
      </c>
      <c r="O17" s="22">
        <f>IF(I4&gt;8,0,IF(I4&gt;=4,G16*N11,0))</f>
        <v>1</v>
      </c>
      <c r="P17" s="30">
        <f>IF(I4&gt;8,0,IF(I4&gt;=5,(F15+F12)*P10-G15,0))</f>
        <v>1</v>
      </c>
      <c r="Q17" s="22">
        <f>IF(I4&gt;8,0,IF(I4&gt;=5,G16*P11,0))</f>
        <v>1</v>
      </c>
      <c r="R17" s="30">
        <f>IF(I4&gt;8,0,IF(I4&gt;=6,(F15+F12)*R10-G15,0))</f>
        <v>4.85</v>
      </c>
      <c r="S17" s="22">
        <f>IF(I4&gt;8,0,IF(I4&gt;=6,G16*R11,0))</f>
        <v>1</v>
      </c>
      <c r="T17" s="30">
        <f>IF(I4&gt;8,0,IF(I4&gt;=7,(F15+F12)*T10-G15,0))</f>
        <v>8.7</v>
      </c>
      <c r="U17" s="22">
        <f>IF(I4&gt;8,0,IF(I4&gt;=7,G16*T11,0))</f>
        <v>1</v>
      </c>
      <c r="V17" s="30">
        <f>IF(I4&gt;8,0,IF(I4&gt;=8,(F15+F12)*V10-G15,0))</f>
        <v>12.55</v>
      </c>
      <c r="W17" s="22">
        <f>IF(I4&gt;8,0,IF(I4&gt;=8,G16*V11,0))</f>
        <v>1</v>
      </c>
      <c r="X17" s="32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63"/>
    </row>
    <row r="18" spans="1:41" ht="9.000000" customHeight="1">
      <c r="A18" s="15"/>
      <c r="B18" s="16"/>
      <c r="C18" s="960"/>
      <c r="D18" s="31"/>
      <c r="E18" s="31"/>
      <c r="F18" s="30"/>
      <c r="G18" s="30"/>
      <c r="H18" s="30">
        <f>IF(I4&gt;8,0,IF(I4&gt;=1,(F15+F12)*H10+G15,0))</f>
        <v>-12.55</v>
      </c>
      <c r="I18" s="22">
        <f>IF(I4&gt;8,0,IF(I4&gt;=1,G16*H11,0))</f>
        <v>1</v>
      </c>
      <c r="J18" s="30">
        <f>IF(I4&gt;8,0,IF(I4&gt;=2,(F15+F12)*J10+G15,0))</f>
        <v>-8.7</v>
      </c>
      <c r="K18" s="22">
        <f>IF(I4&gt;8,0,IF(I4&gt;=2,G16*J11,0))</f>
        <v>1</v>
      </c>
      <c r="L18" s="30">
        <f>IF(I4&gt;8,0,IF(I4&gt;=3,(F15+F12)*L10+G15,0))</f>
        <v>-4.85</v>
      </c>
      <c r="M18" s="22">
        <f>IF(I4&gt;8,0,IF(I4&gt;=3,G16*L11,0))</f>
        <v>1</v>
      </c>
      <c r="N18" s="30">
        <f>IF(I4&gt;8,0,IF(I4&gt;=4,(F15+F12)*N10+G15,0))</f>
        <v>-1</v>
      </c>
      <c r="O18" s="22">
        <f>IF(I4&gt;8,0,IF(I4&gt;=4,G16*N11,0))</f>
        <v>1</v>
      </c>
      <c r="P18" s="30">
        <f>IF(I4&gt;8,0,IF(I4&gt;=5,(F15+F12)*P10+G15,0))</f>
        <v>2.85</v>
      </c>
      <c r="Q18" s="22">
        <f>IF(I4&gt;8,0,IF(I4&gt;=5,G16*P11,0))</f>
        <v>1</v>
      </c>
      <c r="R18" s="30">
        <f>IF(I4&gt;8,"0",IF(I4&gt;=6,(F15+F12)*R10+G15,0))</f>
        <v>6.7</v>
      </c>
      <c r="S18" s="22">
        <f>IF(I4&gt;8,0,IF(I4&gt;=6,G16*R11,0))</f>
        <v>1</v>
      </c>
      <c r="T18" s="30">
        <f>IF(I4&gt;8,0,IF(I4&gt;=7,(F15+F12)*T10+G15,0))</f>
        <v>10.55</v>
      </c>
      <c r="U18" s="22">
        <f>IF(I4&gt;8,0,IF(I4&gt;=7,G16*T11,0))</f>
        <v>1</v>
      </c>
      <c r="V18" s="30">
        <f>IF(I4&gt;8,0,IF(I4&gt;=8,(F15+F12)*V10+G15,0))</f>
        <v>14.4</v>
      </c>
      <c r="W18" s="22">
        <f>IF(I4&gt;8,0,IF(I4&gt;=8,G16*V11,0))</f>
        <v>1</v>
      </c>
      <c r="X18" s="32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63"/>
    </row>
    <row r="19" spans="1:41" ht="9.000000" customHeight="1">
      <c r="A19" s="15"/>
      <c r="B19" s="16"/>
      <c r="C19" s="960"/>
      <c r="D19" s="31"/>
      <c r="E19" s="31"/>
      <c r="F19" s="30"/>
      <c r="G19" s="30"/>
      <c r="H19" s="30">
        <f>IF(I4&gt;8,0,IF(I4&gt;=1,(F15+F12)*H10+G15,0))</f>
        <v>-12.55</v>
      </c>
      <c r="I19" s="22">
        <f>IF(I4&gt;8,0,IF(I4&gt;=1,G16*H11+F16*H11,0))</f>
        <v>3.8</v>
      </c>
      <c r="J19" s="30">
        <f>IF(I4&gt;8,0,IF(I4&gt;=2,(F15+F12)*J10+G15,0))</f>
        <v>-8.7</v>
      </c>
      <c r="K19" s="22">
        <f>IF(I4&gt;8,0,IF(I4&gt;=2,G16*J11+F16*J11,0))</f>
        <v>3.8</v>
      </c>
      <c r="L19" s="30">
        <f>IF(I4&gt;8,0,IF(I4&gt;=3,(F15+F12)*L10+G15,0))</f>
        <v>-4.85</v>
      </c>
      <c r="M19" s="22">
        <f>IF(I4&gt;8,0,IF(I4&gt;=3,G16*L11+F16*L11,0))</f>
        <v>3.8</v>
      </c>
      <c r="N19" s="30">
        <f>IF(I4&gt;8,0,IF(I4&gt;=4,(F15+F12)*N10+G15,0))</f>
        <v>-1</v>
      </c>
      <c r="O19" s="22">
        <f>IF(I4&gt;8,0,IF(I4&gt;=4,G16*N11+F16*N11,0))</f>
        <v>3.8</v>
      </c>
      <c r="P19" s="30">
        <f>IF(I4&gt;8,0,IF(I4&gt;=5,(F15+F12)*P10+G15,0))</f>
        <v>2.85</v>
      </c>
      <c r="Q19" s="22">
        <f>IF(I4&gt;8,0,IF(I4&gt;=5,G16*P11+F16*P11,0))</f>
        <v>3.8</v>
      </c>
      <c r="R19" s="30">
        <f>IF(I4&gt;8,0,IF(I4&gt;=6,(F15+F12)*R10+G15,0))</f>
        <v>6.7</v>
      </c>
      <c r="S19" s="22">
        <f>IF(I4&gt;8,0,IF(I4&gt;=6,G16*R11+F16*R11,0))</f>
        <v>3.8</v>
      </c>
      <c r="T19" s="30">
        <f>IF(I4&gt;8,0,IF(I4&gt;=7,(F15+F12)*T10+G15,0))</f>
        <v>10.55</v>
      </c>
      <c r="U19" s="22">
        <f>IF(I4&gt;8,0,IF(I4&gt;=7,G16*T11+F16*T11,0))</f>
        <v>3.8</v>
      </c>
      <c r="V19" s="30">
        <f>IF(I4&gt;8,0,IF(I4&gt;=8,(F15+F12)*V10+G15,0))</f>
        <v>14.4</v>
      </c>
      <c r="W19" s="22">
        <f>IF(I4&gt;8,0,IF(I4&gt;=8,G16*V11+F16*V11,0))</f>
        <v>3.8</v>
      </c>
      <c r="X19" s="32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63"/>
    </row>
    <row r="20" spans="1:41" ht="9.000000" customHeight="1">
      <c r="A20" s="15"/>
      <c r="B20" s="16"/>
      <c r="C20" s="960"/>
      <c r="D20" s="31"/>
      <c r="E20" s="31"/>
      <c r="F20" s="30">
        <f>C4/1000</f>
        <v>0.95</v>
      </c>
      <c r="G20" s="30">
        <f>F20/2</f>
        <v>0.475</v>
      </c>
      <c r="H20" s="30">
        <f>IF(I4&gt;8,0,IF(I4&gt;=1,(F15+F12)*H10+G20,0))</f>
        <v>-13</v>
      </c>
      <c r="I20" s="22">
        <f>IF(I4&gt;8,0,IF(I4&gt;=1,G22*H11+F21*H11,0))</f>
        <v>1.5</v>
      </c>
      <c r="J20" s="30">
        <f>IF(I4&gt;8,0,IF(I4&gt;=2,(F15+F12)*J10+G20,0))</f>
        <v>-9.15</v>
      </c>
      <c r="K20" s="22">
        <f>IF(I4&gt;8,0,IF(I4&gt;=2,G22*H11+F21*H11,0))</f>
        <v>1.5</v>
      </c>
      <c r="L20" s="30">
        <f>IF(I4&gt;8,0,IF(I4&gt;=3,(F15+F12)*L10+G20,0))</f>
        <v>-5.3</v>
      </c>
      <c r="M20" s="22">
        <f>IF(I4&gt;8,0,IF(I4&gt;=3,G22*H11+F21*H11,0))</f>
        <v>1.5</v>
      </c>
      <c r="N20" s="30">
        <f>IF(I4&gt;8,0,IF(I4&gt;=4,(F15+F12)*N10+G20,0))</f>
        <v>-1.45</v>
      </c>
      <c r="O20" s="22">
        <f>IF(I4&gt;8,0,IF(I4&gt;=4,G22*H11+F21*H11,0))</f>
        <v>1.5</v>
      </c>
      <c r="P20" s="30">
        <f>IF(I4&gt;8,0,IF(I4&gt;=5,(F15+F12)*P10+G20,0))</f>
        <v>2.4</v>
      </c>
      <c r="Q20" s="22">
        <f>IF(I4&gt;8,0,IF(I4&gt;=5,G22*H11+F21*H11,0))</f>
        <v>1.5</v>
      </c>
      <c r="R20" s="30">
        <f>IF(I4&gt;8,0,IF(I4&gt;=6,(F15+F12)*R10+G20,0))</f>
        <v>6.25</v>
      </c>
      <c r="S20" s="22">
        <f>IF(I4&gt;8,0,IF(I4&gt;=6,G22*H11+F21*H11,0))</f>
        <v>1.5</v>
      </c>
      <c r="T20" s="30">
        <f>IF(I4&gt;8,0,IF(I4&gt;=7,(F15+F12)*T10+G20,0))</f>
        <v>10.1</v>
      </c>
      <c r="U20" s="22">
        <f>IF(I4&gt;8,0,IF(I4&gt;=7,G22*H11+F21*H11,0))</f>
        <v>1.5</v>
      </c>
      <c r="V20" s="30">
        <f>IF(I4&gt;8,0,IF(I4&gt;=8,(F15+F12)*V10+G20,0))</f>
        <v>13.95</v>
      </c>
      <c r="W20" s="22">
        <f>IF(I4&gt;8,0,IF(I4&gt;=8,G22*H11+F21*H11,0))</f>
        <v>1.5</v>
      </c>
      <c r="X20" s="32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63"/>
    </row>
    <row r="21" spans="1:41" ht="9.000000" customHeight="1">
      <c r="A21" s="15"/>
      <c r="B21" s="16"/>
      <c r="C21" s="960"/>
      <c r="D21" s="31"/>
      <c r="E21" s="31"/>
      <c r="F21" s="30">
        <f>C5/1000</f>
        <v>0.2</v>
      </c>
      <c r="G21" s="30">
        <f>F21/2</f>
        <v>0.1</v>
      </c>
      <c r="H21" s="30">
        <f>IF(I4&gt;8,0,IF(I4&gt;=1,(F15+F12)*H10-G20,0))</f>
        <v>-13.95</v>
      </c>
      <c r="I21" s="22">
        <f>IF(I4&gt;8,0,IF(I4&gt;=1,G22*H11+F21*H11,0))</f>
        <v>1.5</v>
      </c>
      <c r="J21" s="30">
        <f>IF(I4&gt;8,0,IF(I4&gt;=2,(F15+F12)*J10-G20,0))</f>
        <v>-10.1</v>
      </c>
      <c r="K21" s="22">
        <f>IF(I4&gt;8,0,IF(I4&gt;=2,G22*H11+F21*H11,0))</f>
        <v>1.5</v>
      </c>
      <c r="L21" s="30">
        <f>IF(I4&gt;8,0,IF(I4&gt;=3,(F15+F12)*L10-G20,0))</f>
        <v>-6.25</v>
      </c>
      <c r="M21" s="22">
        <f>IF(I4&gt;8,0,IF(I4&gt;=3,G22*H11+F21*H11,0))</f>
        <v>1.5</v>
      </c>
      <c r="N21" s="30">
        <f>IF(I4&gt;8,0,IF(I4&gt;=4,(F15+F12)*N10-G20,0))</f>
        <v>-2.4</v>
      </c>
      <c r="O21" s="22">
        <f>IF(I4&gt;8,0,IF(I4&gt;=4,G22*H11+F21*H11,0))</f>
        <v>1.5</v>
      </c>
      <c r="P21" s="30">
        <f>IF(I4&gt;8,0,IF(I4&gt;=5,(F15+F12)*P10-G20,0))</f>
        <v>1.45</v>
      </c>
      <c r="Q21" s="22">
        <f>IF(I4&gt;8,0,IF(I4&gt;=5,G22*H11+F21*H11,0))</f>
        <v>1.5</v>
      </c>
      <c r="R21" s="30">
        <f>IF(I4&gt;8,0,IF(I4&gt;=6,(F15+F12)*R10-G20,0))</f>
        <v>5.3</v>
      </c>
      <c r="S21" s="22">
        <f>IF(I4&gt;8,0,IF(I4&gt;=6,G22*H11+F21*H11,0))</f>
        <v>1.5</v>
      </c>
      <c r="T21" s="30">
        <f>IF(I4&gt;8,0,IF(I4&gt;=7,(F15+F12)*T10-G20,0))</f>
        <v>9.15</v>
      </c>
      <c r="U21" s="22">
        <f>IF(I4&gt;8,0,IF(I4&gt;=7,G22*H11+F21*H11,0))</f>
        <v>1.5</v>
      </c>
      <c r="V21" s="30">
        <f>IF(I4&gt;8,0,IF(I4&gt;=8,(F15+F12)*V10-G20,0))</f>
        <v>13</v>
      </c>
      <c r="W21" s="22">
        <f>IF(I4&gt;8,0,IF(I4&gt;=8,G22*H11+F21*H11,0))</f>
        <v>1.5</v>
      </c>
      <c r="X21" s="32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63"/>
    </row>
    <row r="22" spans="1:41" ht="9.000000" customHeight="1">
      <c r="A22" s="15"/>
      <c r="B22" s="16"/>
      <c r="C22" s="960"/>
      <c r="D22" s="31"/>
      <c r="E22" s="31"/>
      <c r="F22" s="30"/>
      <c r="G22" s="30">
        <f>G32+G31-G21</f>
        <v>1.3</v>
      </c>
      <c r="H22" s="30">
        <f>IF(I4&gt;8,0,IF(I4&gt;=1,(F15+F12)*H10-G20,0))</f>
        <v>-13.95</v>
      </c>
      <c r="I22" s="22">
        <f>IF(I4&gt;8,0,IF(I4&gt;=1,G22*H11,0))</f>
        <v>1.3</v>
      </c>
      <c r="J22" s="30">
        <f>IF(I4&gt;8,0,IF(I4&gt;=2,(F15+F12)*J10-G20,0))</f>
        <v>-10.1</v>
      </c>
      <c r="K22" s="22">
        <f>IF(I4&gt;8,0,IF(I4&gt;=2,G22*H11,0))</f>
        <v>1.3</v>
      </c>
      <c r="L22" s="30">
        <f>IF(I4&gt;8,0,IF(I4&gt;=3,(F15+F12)*L10-G20,0))</f>
        <v>-6.25</v>
      </c>
      <c r="M22" s="22">
        <f>IF(I4&gt;8,0,IF(I4&gt;=3,G22*H11,0))</f>
        <v>1.3</v>
      </c>
      <c r="N22" s="30">
        <f>IF(I4&gt;8,0,IF(I4&gt;=4,(F15+F12)*N10-G20,0))</f>
        <v>-2.4</v>
      </c>
      <c r="O22" s="22">
        <f>IF(I4&gt;8,0,IF(I4&gt;=4,G22*H11,0))</f>
        <v>1.3</v>
      </c>
      <c r="P22" s="30">
        <f>IF(I4&gt;8,0,IF(I4&gt;=5,(F15+F12)*P10-G20,0))</f>
        <v>1.45</v>
      </c>
      <c r="Q22" s="22">
        <f>IF(I4&gt;8,0,IF(I4&gt;=5,G22*H11,0))</f>
        <v>1.3</v>
      </c>
      <c r="R22" s="30">
        <f>IF(I4&gt;8,0,IF(I4&gt;=6,(F15+F12)*R10-G20,0))</f>
        <v>5.3</v>
      </c>
      <c r="S22" s="22">
        <f>IF(I4&gt;8,0,IF(I4&gt;=6,G22*H11,0))</f>
        <v>1.3</v>
      </c>
      <c r="T22" s="30">
        <f>IF(I4&gt;8,0,IF(I4&gt;=7,(F15+F12)*T10-G20,0))</f>
        <v>9.15</v>
      </c>
      <c r="U22" s="22">
        <f>IF(I4&gt;8,0,IF(I4&gt;=7,G22*H11,0))</f>
        <v>1.3</v>
      </c>
      <c r="V22" s="30">
        <f>IF(I4&gt;8,0,IF(I4&gt;=8,(F15+F12)*V10-G20,0))</f>
        <v>13</v>
      </c>
      <c r="W22" s="22">
        <f>IF(I4&gt;8,0,IF(I4&gt;=8,G22*H11,0))</f>
        <v>1.3</v>
      </c>
      <c r="X22" s="3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63"/>
    </row>
    <row r="23" spans="1:41" ht="9.000000" customHeight="1">
      <c r="A23" s="15"/>
      <c r="B23" s="16"/>
      <c r="C23" s="960"/>
      <c r="D23" s="31"/>
      <c r="E23" s="31"/>
      <c r="F23" s="30"/>
      <c r="G23" s="30"/>
      <c r="H23" s="30">
        <f>IF(I4&gt;8,0,IF(I4&gt;=1,(F15+F12)*H10+G20,0))</f>
        <v>-13</v>
      </c>
      <c r="I23" s="22">
        <f>IF(I4&gt;8,0,IF(I4&gt;=1,G22*H11,0))</f>
        <v>1.3</v>
      </c>
      <c r="J23" s="30">
        <f>IF(I4&gt;8,0,IF(I4&gt;=2,(F15+F12)*J10+G20,0))</f>
        <v>-9.15</v>
      </c>
      <c r="K23" s="22">
        <f>IF(I4&gt;8,0,IF(I4&gt;=2,G22*H11,0))</f>
        <v>1.3</v>
      </c>
      <c r="L23" s="30">
        <f>IF(I4&gt;8,0,IF(I4&gt;=3,(F15+F12)*L10+G20,0))</f>
        <v>-5.3</v>
      </c>
      <c r="M23" s="22">
        <f>IF(I4&gt;8,0,IF(I4&gt;=3,G22*H11,0))</f>
        <v>1.3</v>
      </c>
      <c r="N23" s="30">
        <f>IF(I4&gt;8,0,IF(I4&gt;=4,(F15+F12)*N10+G20,0))</f>
        <v>-1.45</v>
      </c>
      <c r="O23" s="22">
        <f>IF(I4&gt;8,0,IF(I4&gt;=4,G22*H11,0))</f>
        <v>1.3</v>
      </c>
      <c r="P23" s="30">
        <f>IF(I4&gt;8,0,IF(I4&gt;=5,(F15+F12)*P10+G20,0))</f>
        <v>2.4</v>
      </c>
      <c r="Q23" s="22">
        <f>IF(I4&gt;8,0,IF(I4&gt;=5,G22*H11,0))</f>
        <v>1.3</v>
      </c>
      <c r="R23" s="30">
        <f>IF(I4&gt;8,0,IF(I4&gt;=6,(F15+F12)*R10+G20,0))</f>
        <v>6.25</v>
      </c>
      <c r="S23" s="22">
        <f>IF(I4&gt;8,0,IF(I4&gt;=6,G22*H11,0))</f>
        <v>1.3</v>
      </c>
      <c r="T23" s="30">
        <f>IF(I4&gt;8,0,IF(I4&gt;=7,(F15+F12)*T10+G20,0))</f>
        <v>10.1</v>
      </c>
      <c r="U23" s="22">
        <f>IF(I4&gt;8,0,IF(I4&gt;=7,G22*H11,0))</f>
        <v>1.3</v>
      </c>
      <c r="V23" s="30">
        <f>IF(I4&gt;8,0,IF(I4&gt;=8,(F15+F12)*V10+G20,0))</f>
        <v>13.95</v>
      </c>
      <c r="W23" s="22">
        <f>IF(I4&gt;8,0,IF(I4&gt;=8,G22*H11,0))</f>
        <v>1.3</v>
      </c>
      <c r="X23" s="32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63"/>
    </row>
    <row r="24" spans="1:41" ht="9.000000" customHeight="1">
      <c r="A24" s="15"/>
      <c r="B24" s="16"/>
      <c r="C24" s="960"/>
      <c r="D24" s="31"/>
      <c r="E24" s="31"/>
      <c r="F24" s="30"/>
      <c r="G24" s="30"/>
      <c r="H24" s="30">
        <f>IF(I4&gt;8,0,IF(I4&gt;=1,(F15+F12)*H10+G20,0))</f>
        <v>-13</v>
      </c>
      <c r="I24" s="22">
        <f>IF(I4&gt;8,0,IF(I4&gt;=1,G22*H11+F21*H11,0))</f>
        <v>1.5</v>
      </c>
      <c r="J24" s="30">
        <f>IF(I4&gt;8,0,IF(I4&gt;=2,(F15+F12)*J10+G20,0))</f>
        <v>-9.15</v>
      </c>
      <c r="K24" s="22">
        <f>IF(I4&gt;8,0,IF(I4&gt;=2,G22*H11+F21*H11,0))</f>
        <v>1.5</v>
      </c>
      <c r="L24" s="30">
        <f>IF(I4&gt;8,0,IF(I4&gt;=3,(F15+F12)*L10+G20,0))</f>
        <v>-5.3</v>
      </c>
      <c r="M24" s="22">
        <f>IF(I4&gt;8,0,IF(I4&gt;=3,G22*H11+F21*H11,0))</f>
        <v>1.5</v>
      </c>
      <c r="N24" s="30">
        <f>IF(I4&gt;8,0,IF(I4&gt;=4,(F15+F12)*N10+G20,0))</f>
        <v>-1.45</v>
      </c>
      <c r="O24" s="22">
        <f>IF(I4&gt;8,0,IF(I4&gt;=4,G22*H11+F21*H11,0))</f>
        <v>1.5</v>
      </c>
      <c r="P24" s="30">
        <f>IF(I4&gt;8,0,IF(I4&gt;=5,(F15+F12)*P10+G20,0))</f>
        <v>2.4</v>
      </c>
      <c r="Q24" s="22">
        <f>IF(I4&gt;8,0,IF(I4&gt;=5,G22*H11+F21*H11,0))</f>
        <v>1.5</v>
      </c>
      <c r="R24" s="30">
        <f>IF(I4&gt;8,0,IF(I4&gt;=6,(F15+F12)*R10+G20,0))</f>
        <v>6.25</v>
      </c>
      <c r="S24" s="22">
        <f>IF(I4&gt;8,0,IF(I4&gt;=6,G22*H11+F21*H11,0))</f>
        <v>1.5</v>
      </c>
      <c r="T24" s="30">
        <f>IF(I4&gt;8,0,IF(I4&gt;=7,(F15+F12)*T10+G20,0))</f>
        <v>10.1</v>
      </c>
      <c r="U24" s="22">
        <f>IF(I4&gt;8,0,IF(I4&gt;=7,G22*H11+F21*H11,0))</f>
        <v>1.5</v>
      </c>
      <c r="V24" s="30">
        <f>IF(I4&gt;8,0,IF(I4&gt;=8,(F15+F12)*V10+G20,0))</f>
        <v>13.95</v>
      </c>
      <c r="W24" s="22">
        <f>IF(I4&gt;8,0,IF(I4&gt;=8,G22*H11+F21*H11,0))</f>
        <v>1.5</v>
      </c>
      <c r="X24" s="32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63"/>
    </row>
    <row r="25" spans="1:41" ht="9.000000" customHeight="1">
      <c r="A25" s="15"/>
      <c r="B25" s="16"/>
      <c r="C25" s="960"/>
      <c r="D25" s="31"/>
      <c r="E25" s="31"/>
      <c r="F25" s="30"/>
      <c r="G25" s="30"/>
      <c r="H25" s="30"/>
      <c r="I25" s="30">
        <f>IF(I4&gt;8,0,IF(I4&gt;=2,(F15+F12)*I10+G20,0))</f>
        <v>-11.075</v>
      </c>
      <c r="J25" s="22">
        <f>IF(I4&gt;8,0,IF(I4&gt;=2,G22*H11+F21*H11,0))</f>
        <v>1.5</v>
      </c>
      <c r="K25" s="30">
        <f>IF(I4&gt;8,0,IF(I4&gt;=3,(F15+F12)*K10+G20,0))</f>
        <v>-7.225</v>
      </c>
      <c r="L25" s="22">
        <f>IF(I4&gt;8,0,IF(I4&gt;=3,G22*H11+F21*H11,0))</f>
        <v>1.5</v>
      </c>
      <c r="M25" s="30">
        <f>IF(I4&gt;8,0,IF(I4&gt;=4,(F15+F12)*M10+G20,0))</f>
        <v>-3.375</v>
      </c>
      <c r="N25" s="22">
        <f>IF(I4&gt;8,0,IF(I4&gt;=4,G22*H11+F21*H11,0))</f>
        <v>1.5</v>
      </c>
      <c r="O25" s="30">
        <f>IF(I4&gt;8,0,IF(I4&gt;=5,(F15+F12)*O10+G20,0))</f>
        <v>0.475</v>
      </c>
      <c r="P25" s="22">
        <f>IF(I4&gt;8,0,IF(I4&gt;=5,G22*H11+F21*H11,0))</f>
        <v>1.5</v>
      </c>
      <c r="Q25" s="30">
        <f>IF(I4&gt;8,0,IF(I4&gt;=6,(F15+F12)*Q10+G20,0))</f>
        <v>4.325</v>
      </c>
      <c r="R25" s="22">
        <f>IF(I4&gt;8,0,IF(I4&gt;=6,G22*H11+F21*H11,0))</f>
        <v>1.5</v>
      </c>
      <c r="S25" s="30">
        <f>IF(I4&gt;8,0,IF(I4&gt;=7,(F15+F12)*S10+G20,0))</f>
        <v>8.175</v>
      </c>
      <c r="T25" s="22">
        <f>IF(I4&gt;8,0,IF(I4&gt;=7,G22*H11+F21*H11,0))</f>
        <v>1.5</v>
      </c>
      <c r="U25" s="30">
        <f>IF(I4&gt;8,0,IF(I4&gt;=8,(F15+F12)*U10+G20,0))</f>
        <v>12.025</v>
      </c>
      <c r="V25" s="22">
        <f>IF(I4&gt;8,0,IF(I4&gt;=8,G22*H11+F21*H11,0))</f>
        <v>1.5</v>
      </c>
      <c r="W25" s="30"/>
      <c r="X25" s="22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63"/>
    </row>
    <row r="26" spans="1:41" ht="9.000000" customHeight="1">
      <c r="A26" s="15"/>
      <c r="B26" s="16"/>
      <c r="C26" s="960"/>
      <c r="D26" s="31"/>
      <c r="E26" s="31"/>
      <c r="F26" s="30"/>
      <c r="G26" s="30"/>
      <c r="H26" s="30"/>
      <c r="I26" s="30">
        <f>IF(I4&gt;8,0,IF(I4&gt;=2,(F15+F12)*I10-G20,0))</f>
        <v>-12.025</v>
      </c>
      <c r="J26" s="22">
        <f>IF(I4&gt;8,0,IF(I4&gt;=2,G22*H11+F21*H11,0))</f>
        <v>1.5</v>
      </c>
      <c r="K26" s="30">
        <f>IF(I4&gt;8,0,IF(I4&gt;=3,(F15+F12)*K10-G20,0))</f>
        <v>-8.175</v>
      </c>
      <c r="L26" s="22">
        <f>IF(I4&gt;8,0,IF(I4&gt;=3,G22*H11+F21*H11,0))</f>
        <v>1.5</v>
      </c>
      <c r="M26" s="30">
        <f>IF(I4&gt;8,0,IF(I4&gt;=4,(F15+F12)*M10-G20,0))</f>
        <v>-4.325</v>
      </c>
      <c r="N26" s="22">
        <f>IF(I4&gt;8,0,IF(I4&gt;=4,G22*H11+F21*H11,0))</f>
        <v>1.5</v>
      </c>
      <c r="O26" s="30">
        <f>IF(I4&gt;8,0,IF(I4&gt;=5,(F15+F12)*O10-G20,0))</f>
        <v>-0.475</v>
      </c>
      <c r="P26" s="22">
        <f>IF(I4&gt;8,0,IF(I4&gt;=5,G22*H11+F21*H11,0))</f>
        <v>1.5</v>
      </c>
      <c r="Q26" s="30">
        <f>IF(I4&gt;8,0,IF(I4&gt;=6,(F15+F12)*Q10-G20,0))</f>
        <v>3.375</v>
      </c>
      <c r="R26" s="22">
        <f>IF(I4&gt;8,0,IF(I4&gt;=6,G22*H11+F21*H11,0))</f>
        <v>1.5</v>
      </c>
      <c r="S26" s="30">
        <f>IF(I4&gt;8,0,IF(I4&gt;=7,(F15+F12)*S10-G20,0))</f>
        <v>7.225</v>
      </c>
      <c r="T26" s="22">
        <f>IF(I4&gt;8,0,IF(I4&gt;=7,G22*H11+F21*H11,0))</f>
        <v>1.5</v>
      </c>
      <c r="U26" s="30">
        <f>IF(I4&gt;8,0,IF(I4&gt;=8,(F15+F12)*U10-G20,0))</f>
        <v>11.075</v>
      </c>
      <c r="V26" s="22">
        <f>IF(I4&gt;8,0,IF(I4&gt;=8,G22*H11+F21*H11,0))</f>
        <v>1.5</v>
      </c>
      <c r="W26" s="30"/>
      <c r="X26" s="22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63"/>
    </row>
    <row r="27" spans="1:41" ht="9.000000" customHeight="1">
      <c r="A27" s="15"/>
      <c r="B27" s="16"/>
      <c r="C27" s="960"/>
      <c r="D27" s="31"/>
      <c r="E27" s="31"/>
      <c r="F27" s="30"/>
      <c r="G27" s="30"/>
      <c r="H27" s="30"/>
      <c r="I27" s="30">
        <f>IF(I4&gt;8,0,IF(I4&gt;=2,(F15+F12)*I10-G20,0))</f>
        <v>-12.025</v>
      </c>
      <c r="J27" s="22">
        <f>IF(I4&gt;8,0,IF(I4&gt;=2,G22*H11,0))</f>
        <v>1.3</v>
      </c>
      <c r="K27" s="30">
        <f>IF(I4&gt;8,0,IF(I4&gt;=3,(F15+F12)*K10-G20,0))</f>
        <v>-8.175</v>
      </c>
      <c r="L27" s="22">
        <f>IF(I4&gt;8,0,IF(I4&gt;=3,G22*H11,0))</f>
        <v>1.3</v>
      </c>
      <c r="M27" s="30">
        <f>IF(I4&gt;8,0,IF(I4&gt;=4,(F15+F12)*M10-G20,0))</f>
        <v>-4.325</v>
      </c>
      <c r="N27" s="22">
        <f>IF(I4&gt;8,0,IF(I4&gt;=4,G22*H11,0))</f>
        <v>1.3</v>
      </c>
      <c r="O27" s="30">
        <f>IF(I4&gt;8,0,IF(I4&gt;=5,(F15+F12)*O10-G20,0))</f>
        <v>-0.475</v>
      </c>
      <c r="P27" s="22">
        <f>IF(I4&gt;8,0,IF(I4&gt;=5,G22*H11,0))</f>
        <v>1.3</v>
      </c>
      <c r="Q27" s="30">
        <f>IF(I4&gt;8,0,IF(I4&gt;=6,(F15+F12)*Q10-G20,0))</f>
        <v>3.375</v>
      </c>
      <c r="R27" s="22">
        <f>IF(I4&gt;8,0,IF(I4&gt;=6,G22*H11,0))</f>
        <v>1.3</v>
      </c>
      <c r="S27" s="30">
        <f>IF(I4&gt;8,0,IF(I4&gt;=7,(F15+F12)*S10-G20,0))</f>
        <v>7.225</v>
      </c>
      <c r="T27" s="22">
        <f>IF(I4&gt;8,0,IF(I4&gt;=7,G22*H11,0))</f>
        <v>1.3</v>
      </c>
      <c r="U27" s="30">
        <f>IF(I4&gt;8,0,IF(I4&gt;=8,(F15+F12)*U10-G20,0))</f>
        <v>11.075</v>
      </c>
      <c r="V27" s="22">
        <f>IF(I4&gt;8,0,IF(I4&gt;=8,G22*H11,0))</f>
        <v>1.3</v>
      </c>
      <c r="W27" s="30"/>
      <c r="X27" s="22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63"/>
    </row>
    <row r="28" spans="1:41" ht="9.000000" customHeight="1">
      <c r="A28" s="15"/>
      <c r="B28" s="16"/>
      <c r="C28" s="960"/>
      <c r="D28" s="31"/>
      <c r="E28" s="31"/>
      <c r="F28" s="30"/>
      <c r="G28" s="30"/>
      <c r="H28" s="30"/>
      <c r="I28" s="30">
        <f>IF(I4&gt;8,0,IF(I4&gt;=2,(F15+F12)*I10+G20,0))</f>
        <v>-11.075</v>
      </c>
      <c r="J28" s="22">
        <f>IF(I4&gt;8,0,IF(I4&gt;=2,G22*H11,0))</f>
        <v>1.3</v>
      </c>
      <c r="K28" s="30">
        <f>IF(I4&gt;8,0,IF(I4&gt;=3,(F15+F12)*K10+G20,0))</f>
        <v>-7.225</v>
      </c>
      <c r="L28" s="22">
        <f>IF(I4&gt;8,0,IF(I4&gt;=3,G22*H11,0))</f>
        <v>1.3</v>
      </c>
      <c r="M28" s="30">
        <f>IF(I4&gt;8,0,IF(I4&gt;=4,(F15+F12)*M10+G20,0))</f>
        <v>-3.375</v>
      </c>
      <c r="N28" s="22">
        <f>IF(I4&gt;8,0,IF(I4&gt;=4,G22*H11,0))</f>
        <v>1.3</v>
      </c>
      <c r="O28" s="30">
        <f>IF(I4&gt;8,0,IF(I4&gt;=5,(F15+F12)*O10+G20,0))</f>
        <v>0.475</v>
      </c>
      <c r="P28" s="22">
        <f>IF(I4&gt;8,0,IF(I4&gt;=5,G22*H11,0))</f>
        <v>1.3</v>
      </c>
      <c r="Q28" s="30">
        <f>IF(I4&gt;8,0,IF(I4&gt;=6,(F15+F12)*Q10+G20,0))</f>
        <v>4.325</v>
      </c>
      <c r="R28" s="22">
        <f>IF(I4&gt;8,0,IF(I4&gt;=6,G22*H11,0))</f>
        <v>1.3</v>
      </c>
      <c r="S28" s="30">
        <f>IF(I4&gt;8,0,IF(I4&gt;=7,(F15+F12)*S10+G20,0))</f>
        <v>8.175</v>
      </c>
      <c r="T28" s="22">
        <f>IF(I4&gt;8,0,IF(I4&gt;=7,G22*H11,0))</f>
        <v>1.3</v>
      </c>
      <c r="U28" s="30">
        <f>IF(I4&gt;8,0,IF(I4&gt;=8,(F15+F12)*U10+G20,0))</f>
        <v>12.025</v>
      </c>
      <c r="V28" s="22">
        <f>IF(I4&gt;8,0,IF(I4&gt;=8,G22*H11,0))</f>
        <v>1.3</v>
      </c>
      <c r="W28" s="30"/>
      <c r="X28" s="22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63"/>
    </row>
    <row r="29" spans="1:41" ht="9.000000" customHeight="1">
      <c r="A29" s="15"/>
      <c r="B29" s="16"/>
      <c r="C29" s="960"/>
      <c r="D29" s="31"/>
      <c r="E29" s="31"/>
      <c r="F29" s="30"/>
      <c r="G29" s="30"/>
      <c r="H29" s="30"/>
      <c r="I29" s="30">
        <f>IF(I4&gt;8,0,IF(I4&gt;=2,(F15+F12)*I10+G20,0))</f>
        <v>-11.075</v>
      </c>
      <c r="J29" s="22">
        <f>IF(I4&gt;8,0,IF(I4&gt;=2,G22*H11+F21*H11,0))</f>
        <v>1.5</v>
      </c>
      <c r="K29" s="30">
        <f>IF(I4&gt;8,0,IF(I4&gt;=3,(F15+F12)*K10+G20,0))</f>
        <v>-7.225</v>
      </c>
      <c r="L29" s="22">
        <f>IF(I4&gt;8,0,IF(I4&gt;=3,G22*H11+F21*H11,0))</f>
        <v>1.5</v>
      </c>
      <c r="M29" s="30">
        <f>IF(I4&gt;8,0,IF(I4&gt;=4,(F15+F12)*M10+G20,0))</f>
        <v>-3.375</v>
      </c>
      <c r="N29" s="22">
        <f>IF(I4&gt;8,0,IF(I4&gt;=4,G22*H11+F21*H11,0))</f>
        <v>1.5</v>
      </c>
      <c r="O29" s="30">
        <f>IF(I4&gt;8,0,IF(I4&gt;=5,(F15+F12)*O10+G20,0))</f>
        <v>0.475</v>
      </c>
      <c r="P29" s="22">
        <f>IF(I4&gt;8,0,IF(I4&gt;=5,G22*H11+F21*H11,0))</f>
        <v>1.5</v>
      </c>
      <c r="Q29" s="30">
        <f>IF(I4&gt;8,0,IF(I4&gt;=6,(F15+F12)*Q10+G20,0))</f>
        <v>4.325</v>
      </c>
      <c r="R29" s="22">
        <f>IF(I4&gt;8,0,IF(I4&gt;=6,G22*H11+F21*H11,0))</f>
        <v>1.5</v>
      </c>
      <c r="S29" s="30">
        <f>IF(I4&gt;8,0,IF(I4&gt;=7,(F15+F12)*S10+G20,0))</f>
        <v>8.175</v>
      </c>
      <c r="T29" s="22">
        <f>IF(I4&gt;8,0,IF(I4&gt;=7,G22*H11+F21*H11,0))</f>
        <v>1.5</v>
      </c>
      <c r="U29" s="30">
        <f>IF(I4&gt;8,0,IF(I4&gt;=8,(F15+F12)*U10+G20,0))</f>
        <v>12.025</v>
      </c>
      <c r="V29" s="22">
        <f>IF(I4&gt;8,0,IF(I4&gt;=8,G22*H11+F21*H11,0))</f>
        <v>1.5</v>
      </c>
      <c r="W29" s="30"/>
      <c r="X29" s="22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63"/>
    </row>
    <row r="30" spans="1:41" ht="9.000000" customHeight="1">
      <c r="A30" s="15"/>
      <c r="B30" s="16"/>
      <c r="C30" s="960"/>
      <c r="D30" s="31"/>
      <c r="E30" s="31"/>
      <c r="F30" s="30">
        <f>(C4+300)/1000</f>
        <v>1.25</v>
      </c>
      <c r="G30" s="30">
        <f>F30/2</f>
        <v>0.625</v>
      </c>
      <c r="H30" s="30"/>
      <c r="I30" s="22"/>
      <c r="J30" s="30">
        <f>IF(I4&gt;8,0,IF(I4&gt;=2,(F15+F12)*I10+G30,0))</f>
        <v>-10.925</v>
      </c>
      <c r="K30" s="22">
        <f>IF(I4&gt;8,0,IF(I4&gt;=2,G32*H11+F31*H11,0))</f>
        <v>1.6</v>
      </c>
      <c r="L30" s="30">
        <f>IF(I4&gt;8,0,IF(I4&gt;=3,(F15+F12)*K10+G30,0))</f>
        <v>-7.075</v>
      </c>
      <c r="M30" s="22">
        <f>IF(I4&gt;8,0,IF(I4&gt;=3,G32*H11+F31*H11,0))</f>
        <v>1.6</v>
      </c>
      <c r="N30" s="30">
        <f>IF(I4&gt;8,0,IF(I4&gt;=4,(F15+F12)*M10+G30,0))</f>
        <v>-3.225</v>
      </c>
      <c r="O30" s="22">
        <f>IF(I4&gt;8,0,IF(I4&gt;=4,G32*H11+F31*H11,0))</f>
        <v>1.6</v>
      </c>
      <c r="P30" s="30">
        <f>IF(I4&gt;8,0,IF(I4&gt;=5,(F15+F12)*O10+G30,0))</f>
        <v>0.625</v>
      </c>
      <c r="Q30" s="22">
        <f>IF(I4&gt;8,0,IF(I4&gt;=5,G32*H11+F31*H11,0))</f>
        <v>1.6</v>
      </c>
      <c r="R30" s="30">
        <f>IF(I4&gt;8,0,IF(I4&gt;=6,(F15+F12)*Q10+G30,0))</f>
        <v>4.475</v>
      </c>
      <c r="S30" s="22">
        <f>IF(I4&gt;8,0,IF(I4&gt;=6,G32*H11+F31*H11,0))</f>
        <v>1.6</v>
      </c>
      <c r="T30" s="30">
        <f>IF(I4&gt;8,0,IF(I4&gt;=7,(F15+F12)*S10+G30,0))</f>
        <v>8.325</v>
      </c>
      <c r="U30" s="22">
        <f>IF(I4&gt;8,0,IF(I4&gt;=7,G32*H11+F31*H11,0))</f>
        <v>1.6</v>
      </c>
      <c r="V30" s="30">
        <f>IF(I4&gt;8,0,IF(I4&gt;=8,(F15+F12)*U10+G30,0))</f>
        <v>12.175</v>
      </c>
      <c r="W30" s="22">
        <f>IF(I4&gt;8,0,IF(I4&gt;=8,G32*H11+F31*H11,0))</f>
        <v>1.6</v>
      </c>
      <c r="X30" s="30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63"/>
    </row>
    <row r="31" spans="1:41" ht="9.000000" customHeight="1">
      <c r="A31" s="15"/>
      <c r="B31" s="16"/>
      <c r="C31" s="960"/>
      <c r="D31" s="31"/>
      <c r="E31" s="31"/>
      <c r="F31" s="30">
        <f>(C5+200)/1000</f>
        <v>0.4</v>
      </c>
      <c r="G31" s="30">
        <f>F31/2</f>
        <v>0.2</v>
      </c>
      <c r="H31" s="30"/>
      <c r="I31" s="22"/>
      <c r="J31" s="30">
        <f>IF(I4&gt;8,0,IF(I4&gt;=2,(F15+F12)*I10-G30,0))</f>
        <v>-12.175</v>
      </c>
      <c r="K31" s="22">
        <f>IF(I4&gt;8,0,IF(I4&gt;=2,G32*H11+F31*H11,0))</f>
        <v>1.6</v>
      </c>
      <c r="L31" s="30">
        <f>IF(I4&gt;8,0,IF(I4&gt;=3,(F15+F12)*K10-G30,0))</f>
        <v>-8.325</v>
      </c>
      <c r="M31" s="22">
        <f>IF(I4&gt;8,0,IF(I4&gt;=3,G32*H11+F31*H11,0))</f>
        <v>1.6</v>
      </c>
      <c r="N31" s="30">
        <f>IF(I4&gt;8,0,IF(I4&gt;=4,(F15+F12)*M10-G30,0))</f>
        <v>-4.475</v>
      </c>
      <c r="O31" s="22">
        <f>IF(I4&gt;8,0,IF(I4&gt;=4,G32*H11+F31*H11,0))</f>
        <v>1.6</v>
      </c>
      <c r="P31" s="30">
        <f>IF(I4&gt;8,0,IF(I4&gt;=5,(F15+F12)*O10-G30,0))</f>
        <v>-0.625</v>
      </c>
      <c r="Q31" s="22">
        <f>IF(I4&gt;8,0,IF(I4&gt;=5,G32*H11+F31*H11,0))</f>
        <v>1.6</v>
      </c>
      <c r="R31" s="30">
        <f>IF(I4&gt;8,0,IF(I4&gt;=6,(F15+F12)*Q10-G30,0))</f>
        <v>3.225</v>
      </c>
      <c r="S31" s="22">
        <f>IF(I4&gt;8,0,IF(I4&gt;=6,G32*H11+F31*H11,0))</f>
        <v>1.6</v>
      </c>
      <c r="T31" s="30">
        <f>IF(I4&gt;8,0,IF(I4&gt;=7,(F15+F12)*S10-G30,0))</f>
        <v>7.075</v>
      </c>
      <c r="U31" s="22">
        <f>IF(I4&gt;8,0,IF(I4&gt;=7,G32*H11+F31*H11,0))</f>
        <v>1.6</v>
      </c>
      <c r="V31" s="30">
        <f>IF(I4&gt;8,0,IF(I4&gt;=8,(F15+F12)*U10-G30,0))</f>
        <v>10.925</v>
      </c>
      <c r="W31" s="22">
        <f>IF(I4&gt;8,0,IF(I4&gt;=8,G32*H11+F31*H11,0))</f>
        <v>1.6</v>
      </c>
      <c r="X31" s="30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63"/>
    </row>
    <row r="32" spans="1:41" ht="9.000000" customHeight="1">
      <c r="A32" s="15"/>
      <c r="B32" s="16"/>
      <c r="C32" s="960"/>
      <c r="D32" s="31"/>
      <c r="E32" s="31"/>
      <c r="F32" s="30"/>
      <c r="G32" s="30">
        <v>1.2</v>
      </c>
      <c r="H32" s="30"/>
      <c r="I32" s="22"/>
      <c r="J32" s="30">
        <f>IF(I4&gt;8,0,IF(I4&gt;=2,(F15+F12)*I10-G30,0))</f>
        <v>-12.175</v>
      </c>
      <c r="K32" s="22">
        <f>IF(I4&gt;8,0,IF(I4&gt;=2,G32*H11,0))</f>
        <v>1.2</v>
      </c>
      <c r="L32" s="30">
        <f>IF(I4&gt;8,0,IF(I4&gt;=3,(F15+F12)*K10-G30,0))</f>
        <v>-8.325</v>
      </c>
      <c r="M32" s="22">
        <f>IF(I4&gt;8,0,IF(I4&gt;=3,G32*H11,0))</f>
        <v>1.2</v>
      </c>
      <c r="N32" s="30">
        <f>IF(I4&gt;8,0,IF(I4&gt;=4,(F15+F12)*M10-G30,0))</f>
        <v>-4.475</v>
      </c>
      <c r="O32" s="22">
        <f>IF(I4&gt;8,0,IF(I4&gt;=4,G32*H11,0))</f>
        <v>1.2</v>
      </c>
      <c r="P32" s="30">
        <f>IF(I4&gt;8,0,IF(I4&gt;=5,(F15+F12)*O10-G30,0))</f>
        <v>-0.625</v>
      </c>
      <c r="Q32" s="22">
        <f>IF(I4&gt;8,0,IF(I4&gt;=5,G32*H11,0))</f>
        <v>1.2</v>
      </c>
      <c r="R32" s="30">
        <f>IF(I4&gt;8,0,IF(I4&gt;=6,(F15+F12)*Q10-G30,0))</f>
        <v>3.225</v>
      </c>
      <c r="S32" s="22">
        <f>IF(I4&gt;8,0,IF(I4&gt;=6,G32*H11,0))</f>
        <v>1.2</v>
      </c>
      <c r="T32" s="30">
        <f>IF(I4&gt;8,0,IF(I4&gt;=7,(F15+F12)*S10-G30,0))</f>
        <v>7.075</v>
      </c>
      <c r="U32" s="22">
        <f>IF(I4&gt;8,0,IF(I4&gt;=7,G32*H11,0))</f>
        <v>1.2</v>
      </c>
      <c r="V32" s="30">
        <f>IF(I4&gt;8,0,IF(I4&gt;=8,(F15+F12)*U10-G30,0))</f>
        <v>10.925</v>
      </c>
      <c r="W32" s="22">
        <f>IF(I4&gt;8,0,IF(I4&gt;=8,G32*H11,0))</f>
        <v>1.2</v>
      </c>
      <c r="X32" s="30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63"/>
    </row>
    <row r="33" spans="1:41" ht="9.000000" customHeight="1">
      <c r="A33" s="15"/>
      <c r="B33" s="16"/>
      <c r="C33" s="960"/>
      <c r="D33" s="31"/>
      <c r="E33" s="31"/>
      <c r="F33" s="30" t="s">
        <v>313</v>
      </c>
      <c r="G33" s="30"/>
      <c r="H33" s="30"/>
      <c r="I33" s="22"/>
      <c r="J33" s="30">
        <f>IF(I4&gt;8,0,IF(I4&gt;=2,(F15+F12)*I10+G30,0))</f>
        <v>-10.925</v>
      </c>
      <c r="K33" s="22">
        <f>IF(I4&gt;8,0,IF(I4&gt;=2,G32*H11,0))</f>
        <v>1.2</v>
      </c>
      <c r="L33" s="30">
        <f>IF(I4&gt;8,0,IF(I4&gt;=3,(F15+F12)*K10+G30,0))</f>
        <v>-7.075</v>
      </c>
      <c r="M33" s="22">
        <f>IF(I4&gt;8,0,IF(I4&gt;=3,G32*H11,0))</f>
        <v>1.2</v>
      </c>
      <c r="N33" s="30">
        <f>IF(I4&gt;8,0,IF(I4&gt;=4,(F15+F12)*M10+G30,0))</f>
        <v>-3.225</v>
      </c>
      <c r="O33" s="22">
        <f>IF(I4&gt;8,0,IF(I4&gt;=4,G32*H11,0))</f>
        <v>1.2</v>
      </c>
      <c r="P33" s="30">
        <f>IF(I4&gt;8,0,IF(I4&gt;=5,(F15+F12)*O10+G30,0))</f>
        <v>0.625</v>
      </c>
      <c r="Q33" s="22">
        <f>IF(I4&gt;8,0,IF(I4&gt;=5,G32*H11,0))</f>
        <v>1.2</v>
      </c>
      <c r="R33" s="30">
        <f>IF(I4&gt;8,0,IF(I4&gt;=6,(F15+F12)*Q10+G30,0))</f>
        <v>4.475</v>
      </c>
      <c r="S33" s="22">
        <f>IF(I4&gt;8,0,IF(I4&gt;=6,G32*H11,0))</f>
        <v>1.2</v>
      </c>
      <c r="T33" s="30">
        <f>IF(I4&gt;8,0,IF(I4&gt;=7,(F15+F12)*S10+G30,0))</f>
        <v>8.325</v>
      </c>
      <c r="U33" s="22">
        <f>IF(I4&gt;8,0,IF(I4&gt;=7,G32*H11,0))</f>
        <v>1.2</v>
      </c>
      <c r="V33" s="30">
        <f>IF(I4&gt;8,0,IF(I4&gt;=8,(F15+F12)*U10+G30,0))</f>
        <v>12.175</v>
      </c>
      <c r="W33" s="22">
        <f>IF(I4&gt;8,0,IF(I4&gt;=8,G32*H11,0))</f>
        <v>1.2</v>
      </c>
      <c r="X33" s="30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63"/>
    </row>
    <row r="34" spans="1:41" ht="9.000000" customHeight="1">
      <c r="A34" s="15"/>
      <c r="B34" s="16"/>
      <c r="C34" s="960"/>
      <c r="D34" s="31"/>
      <c r="E34" s="31"/>
      <c r="F34" s="30"/>
      <c r="G34" s="30">
        <v>1.15</v>
      </c>
      <c r="H34" s="30"/>
      <c r="I34" s="22"/>
      <c r="J34" s="30">
        <f>IF(I4&gt;8,0,IF(I4&gt;=2,(F15+F12)*I10+G30,0))</f>
        <v>-10.925</v>
      </c>
      <c r="K34" s="22">
        <f>IF(I4&gt;8,0,IF(I4&gt;=2,G32*H11+F31*H11,0))</f>
        <v>1.6</v>
      </c>
      <c r="L34" s="30">
        <f>IF(I4&gt;8,0,IF(I4&gt;=3,(F15+F12)*K10+G30,0))</f>
        <v>-7.075</v>
      </c>
      <c r="M34" s="22">
        <f>IF(I4&gt;8,0,IF(I4&gt;=3,G32*H11+F31*H11,0))</f>
        <v>1.6</v>
      </c>
      <c r="N34" s="30">
        <f>IF(I4&gt;8,0,IF(I4&gt;=4,(F15+F12)*M10+G30,0))</f>
        <v>-3.225</v>
      </c>
      <c r="O34" s="22">
        <f>IF(I4&gt;8,0,IF(I4&gt;=4,G32*H11+F31*H11,0))</f>
        <v>1.6</v>
      </c>
      <c r="P34" s="30">
        <f>IF(I4&gt;8,0,IF(I4&gt;=5,(F15+F12)*O10+G30,0))</f>
        <v>0.625</v>
      </c>
      <c r="Q34" s="22">
        <f>IF(I4&gt;8,0,IF(I4&gt;=5,G32*H11+F31*H11,0))</f>
        <v>1.6</v>
      </c>
      <c r="R34" s="30">
        <f>IF(I4&gt;8,0,IF(I4&gt;=6,(F15+F12)*Q10+G30,0))</f>
        <v>4.475</v>
      </c>
      <c r="S34" s="22">
        <f>IF(I4&gt;8,0,IF(I4&gt;=6,G32*H11+F31*H11,0))</f>
        <v>1.6</v>
      </c>
      <c r="T34" s="30">
        <f>IF(I4&gt;8,0,IF(I4&gt;=7,(F15+F12)*S10+G30,0))</f>
        <v>8.325</v>
      </c>
      <c r="U34" s="22">
        <f>IF(I4&gt;8,0,IF(I4&gt;=7,G32*H11+F31*H11,0))</f>
        <v>1.6</v>
      </c>
      <c r="V34" s="30">
        <f>IF(I4&gt;8,0,IF(I4&gt;=8,(F15+F12)*U10+G30,0))</f>
        <v>12.175</v>
      </c>
      <c r="W34" s="22">
        <f>IF(I4&gt;8,0,IF(I4&gt;=8,G32*H11+F31*H11,0))</f>
        <v>1.6</v>
      </c>
      <c r="X34" s="30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63"/>
    </row>
    <row r="35" spans="1:41" ht="9.000000" customHeight="1">
      <c r="A35" s="15"/>
      <c r="B35" s="16"/>
      <c r="C35" s="960"/>
      <c r="D35" s="31"/>
      <c r="E35" s="31"/>
      <c r="F35" s="30">
        <f>(C4+300)/1000</f>
        <v>1.25</v>
      </c>
      <c r="G35" s="30">
        <f>F35/2</f>
        <v>0.625</v>
      </c>
      <c r="H35" s="30">
        <f>IF(I4&gt;8,0,IF(V7&gt;I4-1,0,IF(V7=0,0,(F12+F15)*F37+G35)))</f>
        <v>4.475</v>
      </c>
      <c r="I35" s="22">
        <f>IF(I4&gt;8,0,IF(V7&gt;I4-1,0,IF(V7=0,0,G32)))</f>
        <v>1.2</v>
      </c>
      <c r="J35" s="30"/>
      <c r="K35" s="22"/>
      <c r="L35" s="969"/>
      <c r="M35" s="30">
        <f>(C4+200)/1000</f>
        <v>1.15</v>
      </c>
      <c r="N35" s="30">
        <f>M35/2</f>
        <v>0.575</v>
      </c>
      <c r="O35" s="30">
        <f>IF(I4&gt;8,0,IF(V5&gt;I4-1,0,IF(V5=0,0,(F12+F15)*M37+N35)))</f>
        <v>-3.275</v>
      </c>
      <c r="P35" s="22">
        <f>IF(I4&gt;8,0,IF(V5&gt;I4-1,0,IF(V5=0,0,G34)))</f>
        <v>1.15</v>
      </c>
      <c r="Q35" s="30"/>
      <c r="R35" s="22"/>
      <c r="S35" s="969"/>
      <c r="T35" s="30">
        <f>(C4+400)/1000</f>
        <v>1.35</v>
      </c>
      <c r="U35" s="30">
        <f>T35/2</f>
        <v>0.675</v>
      </c>
      <c r="V35" s="30">
        <f>IF(I4&gt;8,0,IF(V4&gt;I4,0,IF(V4=0,0,(F12+F15)*T37+U35)))</f>
        <v>-14.725</v>
      </c>
      <c r="W35" s="22">
        <f>IF(I4&gt;8,0,IF(V4&gt;I4,0,IF(V4=0,0,G32*H11+F31*H11+0.4)))</f>
        <v>2</v>
      </c>
      <c r="X35" s="30">
        <f>IF(I4&gt;8,0,IF(I4&gt;=1,(F15+F12)*H10-F15,0))</f>
        <v>-15.325</v>
      </c>
      <c r="Y35" s="22">
        <f>IF(I4&gt;8,0,IF(I4=0,0,G32*H11+F31*H11+0.2))</f>
        <v>1.8</v>
      </c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63"/>
    </row>
    <row r="36" spans="1:41" ht="9.000000" customHeight="1">
      <c r="A36" s="15"/>
      <c r="B36" s="16"/>
      <c r="C36" s="960"/>
      <c r="D36" s="31"/>
      <c r="E36" s="31"/>
      <c r="F36" s="30">
        <f>(C5+300)/1000</f>
        <v>0.5</v>
      </c>
      <c r="G36" s="30">
        <f>F36/2</f>
        <v>0.25</v>
      </c>
      <c r="H36" s="30">
        <f>IF(I4&gt;8,0,IF(V7&gt;I4-1,0,IF(V7=0,0,(F12+F15)*F37-G35)))</f>
        <v>3.225</v>
      </c>
      <c r="I36" s="22">
        <f>IF(I4&gt;8,0,IF(V7&gt;I4-1,0,IF(V7=0,0,G32)))</f>
        <v>1.2</v>
      </c>
      <c r="J36" s="30"/>
      <c r="K36" s="22"/>
      <c r="L36" s="970"/>
      <c r="M36" s="30">
        <f>(C5+400)/1000</f>
        <v>0.6</v>
      </c>
      <c r="N36" s="30">
        <f>M36/2</f>
        <v>0.3</v>
      </c>
      <c r="O36" s="30">
        <f>IF(I4&gt;8,0,IF(V5&gt;I4-1,0,IF(V5=0,0,(F12+F15)*M37-N35)))</f>
        <v>-4.425</v>
      </c>
      <c r="P36" s="22">
        <f>IF(I4&gt;8,0,IF(V5&gt;I4-1,0,IF(V5=0,0,G34)))</f>
        <v>1.15</v>
      </c>
      <c r="Q36" s="30"/>
      <c r="R36" s="22"/>
      <c r="S36" s="970"/>
      <c r="T36" s="30">
        <v>0.6</v>
      </c>
      <c r="U36" s="30">
        <f>T36/2</f>
        <v>0.3</v>
      </c>
      <c r="V36" s="30">
        <f>IF(I4&gt;8,0,IF(V4&gt;I4,0,IF(V4=0,0,(F12+F15)*T37-U35)))</f>
        <v>-16.075</v>
      </c>
      <c r="W36" s="22">
        <f>IF(I4&gt;8,0,IF(V4&gt;I4,0,IF(V4=0,0,G32*H11+F31*H11+0.4)))</f>
        <v>2</v>
      </c>
      <c r="X36" s="16">
        <f>-X35</f>
        <v>15.325</v>
      </c>
      <c r="Y36" s="22">
        <f>IF(I4&gt;8,0,IF(I4=0,0,G32*H11+F31*H11+0.2))</f>
        <v>1.8</v>
      </c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63"/>
    </row>
    <row r="37" spans="1:41" ht="9.000000" customHeight="1">
      <c r="A37" s="15"/>
      <c r="B37" s="16"/>
      <c r="C37" s="960"/>
      <c r="D37" s="31"/>
      <c r="E37" s="31"/>
      <c r="F37" s="32">
        <f>IF(N6="L",F38,IF(N6="R",G38,0))</f>
        <v>1</v>
      </c>
      <c r="G37" s="22" t="str">
        <f>IF(N6="L",F39,IF(N6="R",G39,0))</f>
        <v>  </v>
      </c>
      <c r="H37" s="30">
        <f>IF(I4&gt;8,0,IF(V7&gt;I4-1,0,IF(V7=0,0,(F12+F15)*F37-G35)))</f>
        <v>3.225</v>
      </c>
      <c r="I37" s="22">
        <f>IF(I4&gt;8,0,IF(V7&gt;I4-1,0,IF(V7=0,0,G32-F36)))</f>
        <v>0.7</v>
      </c>
      <c r="J37" s="30"/>
      <c r="K37" s="22"/>
      <c r="L37" s="970"/>
      <c r="M37" s="32">
        <f>IF(N6="L",M38,IF(N6="R",N38,0))</f>
        <v>-1</v>
      </c>
      <c r="N37" s="22" t="str">
        <f>IF(N6="L",M39,IF(N6="R",N39,0))</f>
        <v>  </v>
      </c>
      <c r="O37" s="30">
        <f>IF(I4&gt;8,0,IF(V5&gt;I4-1,0,IF(V5=0,0,(F12+F15)*M37-N35)))</f>
        <v>-4.425</v>
      </c>
      <c r="P37" s="22">
        <f>IF(I4&gt;8,0,IF(V5&gt;I4-1,0,IF(V5=0,0,G34-M36)))</f>
        <v>0.55</v>
      </c>
      <c r="Q37" s="30"/>
      <c r="R37" s="22"/>
      <c r="S37" s="970"/>
      <c r="T37" s="32">
        <f>IF(N6="L",T38,IF(N6="R",U38,0))</f>
        <v>-4</v>
      </c>
      <c r="U37" s="22"/>
      <c r="V37" s="30">
        <f>IF(I4&gt;8,0,IF(V4&gt;I4,0,IF(V4=0,0,(F12+F15)*T37-U35)))</f>
        <v>-16.075</v>
      </c>
      <c r="W37" s="22">
        <f>IF(I4&gt;8,0,IF(V4&gt;I4,0,IF(V4=0,0,G32*H11+F31*H11+0.4+T36)))</f>
        <v>2.6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63"/>
    </row>
    <row r="38" spans="1:41" ht="9.000000" customHeight="1">
      <c r="A38" s="15"/>
      <c r="B38" s="16"/>
      <c r="C38" s="960"/>
      <c r="D38" s="31"/>
      <c r="E38" s="31"/>
      <c r="F38" s="30">
        <f>IF(V7&gt;I4-1,"  ",IF(V7=1,I10,IF(V7=2,K10,IF(V7=3,M10,IF(V7=4,O10,IF(V7=5,Q10,IF(V7=6,S10,IF(V7=7,U10,"  "))))))))</f>
        <v>-1</v>
      </c>
      <c r="G38" s="30">
        <f>IF(I4&gt;8,0,IF(V7&gt;I4-1,"  ",IF(V7=0,"  ",-F38)))</f>
        <v>1</v>
      </c>
      <c r="H38" s="30">
        <f>IF(I4&gt;8,0,IF(V7&gt;I4-1,0,IF(V7=0,0,(F12+F15)*F37+G35)))</f>
        <v>4.475</v>
      </c>
      <c r="I38" s="22">
        <f>IF(I4&gt;8,0,IF(V7&gt;I4-1,0,IF(V7=0,0,G32-F36)))</f>
        <v>0.7</v>
      </c>
      <c r="J38" s="30"/>
      <c r="K38" s="22"/>
      <c r="L38" s="970"/>
      <c r="M38" s="30">
        <f>IF(V5&gt;I4-1,"  ",IF(V5=1,I10,IF(V5=2,K10,IF(V5=3,M10,IF(V5=4,O10,IF(V5=5,Q10,IF(V5=6,S10,IF(V5=7,U10,"  "))))))))</f>
        <v>1</v>
      </c>
      <c r="N38" s="30">
        <f>IF(I4&gt;8,0,IF(V5&gt;I4-1,"  ",IF(V5=0,"  ",-M38)))</f>
        <v>-1</v>
      </c>
      <c r="O38" s="30">
        <f>IF(I4&gt;8,0,IF(V5&gt;I4-1,0,IF(V5=0,0,(F12+F15)*M37+N35)))</f>
        <v>-3.275</v>
      </c>
      <c r="P38" s="22">
        <f>IF(I4&gt;8,0,IF(V5&gt;I4-1,0,IF(V5=0,0,G34-M36)))</f>
        <v>0.55</v>
      </c>
      <c r="Q38" s="30"/>
      <c r="R38" s="22"/>
      <c r="S38" s="970"/>
      <c r="T38" s="30">
        <f>IF(V4=0,I10-1,IF(V4=1,I10,IF(V4=2,I10+1,IF(V4=3,K10+1,IF(V4=4,M10+1,IF(V4=5,O10+1,IF(V4=6,Q10+1,IF(V4=7,S10+1,U10+1))))))))</f>
        <v>4</v>
      </c>
      <c r="U38" s="30">
        <f>IF(I4&gt;8,0,IF(V4&gt;I4,0,-T38))</f>
        <v>-4</v>
      </c>
      <c r="V38" s="30">
        <f>IF(I4&gt;8,0,IF(V4&gt;I4,0,IF(V4=0,0,(F12+F15)*T37+U35)))</f>
        <v>-14.725</v>
      </c>
      <c r="W38" s="22">
        <f>IF(I4&gt;8,0,IF(V4&gt;I4,0,IF(V4=0,0,G32*H11+F31*H11+0.4+T36)))</f>
        <v>2.6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63"/>
    </row>
    <row r="39" spans="1:41" ht="9.000000" customHeight="1">
      <c r="A39" s="15"/>
      <c r="B39" s="16"/>
      <c r="C39" s="960"/>
      <c r="D39" s="31"/>
      <c r="E39" s="31"/>
      <c r="F39" s="30" t="str">
        <f>IF(V8&gt;I4-1,"  ",IF(V8=1,I10,IF(V8=2,K10,IF(V8=3,M10,IF(V8=4,O10,IF(V8=5,Q10,IF(V8=6,S10,IF(V8=7,U10,"  "))))))))</f>
        <v>  </v>
      </c>
      <c r="G39" s="30" t="str">
        <f>IF(V8&gt;I4-1,"  ",IF(V8=0,"  ",-F39))</f>
        <v>  </v>
      </c>
      <c r="H39" s="30">
        <f>IF(I4&gt;8,0,IF(V7&gt;I4-1,0,IF(V7=0,0,(F12+F15)*F37+G35)))</f>
        <v>4.475</v>
      </c>
      <c r="I39" s="22">
        <f>IF(I4&gt;8,0,IF(V7&gt;I4-1,0,IF(V7=0,0,G32)))</f>
        <v>1.2</v>
      </c>
      <c r="J39" s="30"/>
      <c r="K39" s="22"/>
      <c r="L39" s="970"/>
      <c r="M39" s="30" t="str">
        <f>IF(V6&gt;I4-1,"  ",IF(V6=1,I10,IF(V6=2,K10,IF(V6=3,M10,IF(V6=4,O10,IF(V6=5,Q10,IF(V6=6,S10,IF(V6=7,U10,"  "))))))))</f>
        <v>  </v>
      </c>
      <c r="N39" s="30" t="str">
        <f>IF(I4&gt;8,0,IF(V6&gt;I4-1,"  ",IF(V6=0,"  ",-M39)))</f>
        <v>  </v>
      </c>
      <c r="O39" s="30">
        <f>IF(I4&gt;8,0,IF(V5&gt;I4-1,0,IF(V5=0,0,(F12+F15)*M37+N35)))</f>
        <v>-3.275</v>
      </c>
      <c r="P39" s="22">
        <f>IF(I4&gt;8,0,IF(V5&gt;I4-1,0,IF(V5=0,0,G34)))</f>
        <v>1.15</v>
      </c>
      <c r="Q39" s="30"/>
      <c r="R39" s="22"/>
      <c r="S39" s="970"/>
      <c r="T39" s="30"/>
      <c r="U39" s="30"/>
      <c r="V39" s="30">
        <f>IF(I4&gt;8,0,IF(V4&gt;I4,0,IF(V4=0,0,(F12+F15)*T37+U35)))</f>
        <v>-14.725</v>
      </c>
      <c r="W39" s="22">
        <f>IF(I4&gt;8,0,IF(V4&gt;I4,0,IF(V4=0,0,G32*H11+F31*H11+0.4)))</f>
        <v>2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63"/>
    </row>
    <row r="40" spans="1:41" ht="9.000000" customHeight="1">
      <c r="A40" s="15"/>
      <c r="B40" s="16"/>
      <c r="C40" s="960"/>
      <c r="D40" s="31"/>
      <c r="E40" s="31"/>
      <c r="F40" s="30">
        <f>(C4+300)/1000</f>
        <v>1.25</v>
      </c>
      <c r="G40" s="30">
        <f>F40/2</f>
        <v>0.625</v>
      </c>
      <c r="H40" s="30">
        <f>IF(AB4="D",IF(I4&gt;8,0,(F15+F12)*F43+G20),0)</f>
        <v>0</v>
      </c>
      <c r="I40" s="22">
        <f>IF(AB4="D",IF(I4&gt;8,0,G22*H11+F21*H11),0)</f>
        <v>0</v>
      </c>
      <c r="J40" s="30">
        <f>IF(AB4="D",IF(I4&gt;8,0,(F15+F12)*F43+G40),0)</f>
        <v>0</v>
      </c>
      <c r="K40" s="22">
        <f>IF(AB4="D",IF(I4&gt;8,0,G42+F41),0)</f>
        <v>0</v>
      </c>
      <c r="L40" s="30">
        <f>IF(AB4="D",IF(I4&gt;8,0,(F15+F12)*F43+G40),0)</f>
        <v>0</v>
      </c>
      <c r="M40" s="22">
        <f>IF(I4=0,0,IF(I4&gt;8,0,IF(AB4="D",IF(AB5="F",G42+F41-F41,G42+F41+F41),0)))</f>
        <v>0</v>
      </c>
      <c r="N40" s="30">
        <f>IF(AB4="D",IF(I4&gt;8,0,(F15+F12)*F43+G20),0)</f>
        <v>0</v>
      </c>
      <c r="O40" s="22">
        <f>IF(AB4="D",IF(I4&gt;8,0,IF(AB5="F",G22*H11+F21*H11-F41,G22*H11+F21*H11+F41)),0)</f>
        <v>0</v>
      </c>
      <c r="P40" s="30"/>
      <c r="Q40" s="30"/>
      <c r="R40" s="30"/>
      <c r="S40" s="30"/>
      <c r="T40" s="30"/>
      <c r="U40" s="30"/>
      <c r="V40" s="30"/>
      <c r="W40" s="30"/>
      <c r="X40" s="30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63"/>
    </row>
    <row r="41" spans="1:41" ht="9.000000" customHeight="1">
      <c r="A41" s="15"/>
      <c r="B41" s="16"/>
      <c r="C41" s="960"/>
      <c r="D41" s="31"/>
      <c r="E41" s="31"/>
      <c r="F41" s="30">
        <f>(C5+500)/1000</f>
        <v>0.7</v>
      </c>
      <c r="G41" s="30">
        <f>F41/2</f>
        <v>0.35</v>
      </c>
      <c r="H41" s="30">
        <f>IF(AB4="D",IF(I4&gt;8,0,(F15+F12)*F43-G20),0)</f>
        <v>0</v>
      </c>
      <c r="I41" s="22">
        <f>IF(AB4="D",IF(I4&gt;8,0,G22*H11+F21*H11),0)</f>
        <v>0</v>
      </c>
      <c r="J41" s="30">
        <f>IF(AB4="D",IF(I4&gt;8,0,(F15+F12)*F43-G40),0)</f>
        <v>0</v>
      </c>
      <c r="K41" s="22">
        <f>IF(AB4="D",IF(I4&gt;8,0,G42+F41),0)</f>
        <v>0</v>
      </c>
      <c r="L41" s="30">
        <f>IF(AB4="D",IF(I4&gt;8,0,(F15+F12)*F43-G40),0)</f>
        <v>0</v>
      </c>
      <c r="M41" s="22">
        <f>IF(I4=0,0,IF(I4&gt;8,0,IF(AB4="D",IF(AB5="F",G42+F41-F41,G42+F41+F41),0)))</f>
        <v>0</v>
      </c>
      <c r="N41" s="30">
        <f>IF(AB4="D",IF(I4&gt;8,0,(F15+F12)*F43-G20),0)</f>
        <v>0</v>
      </c>
      <c r="O41" s="22">
        <f>IF(AB4="D",IF(I4&gt;8,0,IF(AB5="F",G22*H11+F21*H11-F41,G22*H11+F21*H11+F41)),0)</f>
        <v>0</v>
      </c>
      <c r="P41" s="30"/>
      <c r="Q41" s="30"/>
      <c r="R41" s="30"/>
      <c r="S41" s="30"/>
      <c r="T41" s="30"/>
      <c r="U41" s="30"/>
      <c r="V41" s="30"/>
      <c r="W41" s="30"/>
      <c r="X41" s="30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63"/>
    </row>
    <row r="42" spans="1:41" ht="9.000000" customHeight="1">
      <c r="A42" s="15"/>
      <c r="B42" s="16"/>
      <c r="C42" s="960"/>
      <c r="D42" s="31"/>
      <c r="E42" s="31"/>
      <c r="F42" s="30"/>
      <c r="G42" s="30">
        <f>G32+G31-G41</f>
        <v>1.05</v>
      </c>
      <c r="H42" s="30">
        <f>IF(AB4="D",IF(I4&gt;8,0,(F15+F12)*F43-G20),0)</f>
        <v>0</v>
      </c>
      <c r="I42" s="22">
        <f>IF(AB4="D",IF(I4&gt;8,0,G22*H11),0)</f>
        <v>0</v>
      </c>
      <c r="J42" s="30">
        <f>IF(AB4="D",IF(I4&gt;8,0,(F15+F12)*F43-G40),0)</f>
        <v>0</v>
      </c>
      <c r="K42" s="22">
        <f>IF(AB4="D",IF(I4&gt;8,0,G42),0)</f>
        <v>0</v>
      </c>
      <c r="L42" s="30">
        <f>IF(AB4="D",IF(I4&gt;8,0,(F15+F12)*F43-G40),0)</f>
        <v>0</v>
      </c>
      <c r="M42" s="22">
        <f>IF(I4=0,0,IF(I4&gt;8,0,IF(AB4="D",IF(AB5="F",G42-F41,G42+F41),0)))</f>
        <v>0</v>
      </c>
      <c r="N42" s="30">
        <f>IF(AB4="D",IF(I4&gt;8,0,(F15+F12)*F43-G20),0)</f>
        <v>0</v>
      </c>
      <c r="O42" s="22">
        <f>IF(AB4="D",IF(I4&gt;8,0,IF(AB5="F",G22*H11-F41,G22*H11+F41)),0)</f>
        <v>0</v>
      </c>
      <c r="P42" s="30"/>
      <c r="Q42" s="30"/>
      <c r="R42" s="30"/>
      <c r="S42" s="30"/>
      <c r="T42" s="30"/>
      <c r="U42" s="30"/>
      <c r="V42" s="30"/>
      <c r="W42" s="30"/>
      <c r="X42" s="30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63"/>
    </row>
    <row r="43" spans="1:41" ht="9.000000" customHeight="1">
      <c r="A43" s="15"/>
      <c r="B43" s="16"/>
      <c r="C43" s="960"/>
      <c r="D43" s="31"/>
      <c r="E43" s="31"/>
      <c r="F43" s="32">
        <f>IF(N6="L",F44,IF(N6="R",G44,0))</f>
        <v>4</v>
      </c>
      <c r="G43" s="30"/>
      <c r="H43" s="30">
        <f>IF(AB4="D",IF(I4&gt;8,0,(F15+F12)*F43+G20),0)</f>
        <v>0</v>
      </c>
      <c r="I43" s="22">
        <f>IF(AB4="D",IF(I4&gt;8,0,G22*H11),0)</f>
        <v>0</v>
      </c>
      <c r="J43" s="30">
        <f>IF(AB4="D",IF(I4&gt;8,0,(F15+F12)*F43+G40),0)</f>
        <v>0</v>
      </c>
      <c r="K43" s="22">
        <f>IF(AB4="D",IF(I4&gt;8,0,G42),0)</f>
        <v>0</v>
      </c>
      <c r="L43" s="30">
        <f>IF(AB4="D",IF(I4&gt;8,0,(F15+F12)*F43+G40),0)</f>
        <v>0</v>
      </c>
      <c r="M43" s="22">
        <f>IF(I4=0,0,IF(I4&gt;8,0,IF(AB4="D",IF(AB5="F",G42-F41,G42+F41),0)))</f>
        <v>0</v>
      </c>
      <c r="N43" s="30">
        <f>IF(AB4="D",IF(I4&gt;8,0,(F15+F12)*F43+G20),0)</f>
        <v>0</v>
      </c>
      <c r="O43" s="22">
        <f>IF(AB4="D",IF(I4&gt;8,0,IF(AB5="F",G22*H11-F41,G22*H11+F41)),0)</f>
        <v>0</v>
      </c>
      <c r="P43" s="30"/>
      <c r="Q43" s="30"/>
      <c r="R43" s="30"/>
      <c r="S43" s="30"/>
      <c r="T43" s="30"/>
      <c r="U43" s="30"/>
      <c r="V43" s="30"/>
      <c r="W43" s="30"/>
      <c r="X43" s="30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63"/>
    </row>
    <row r="44" spans="1:41" ht="9.000000" customHeight="1">
      <c r="A44" s="15"/>
      <c r="B44" s="16"/>
      <c r="C44" s="960"/>
      <c r="D44" s="31"/>
      <c r="E44" s="31"/>
      <c r="F44" s="33">
        <f>IF(I4&gt;8,0,IF(I4&gt;8,"  ",IF(I4&gt;=1,-I4/2,"  ")))</f>
        <v>-4</v>
      </c>
      <c r="G44" s="33">
        <f>IF(I4&gt;8,0,-F44)</f>
        <v>4</v>
      </c>
      <c r="H44" s="30">
        <f>IF(AB4="D",IF(I4&gt;8,0,(F15+F12)*F43+G20),0)</f>
        <v>0</v>
      </c>
      <c r="I44" s="22">
        <f>IF(AB4="D",IF(I4&gt;8,0,G22*H11+F21*H11),0)</f>
        <v>0</v>
      </c>
      <c r="J44" s="30">
        <f>IF(AB4="D",IF(I4&gt;8,0,(F15+F12)*F43+G40),0)</f>
        <v>0</v>
      </c>
      <c r="K44" s="22">
        <f>IF(AB4="D",IF(I4&gt;8,0,G42+F41),0)</f>
        <v>0</v>
      </c>
      <c r="L44" s="30">
        <f>IF(AB4="D",IF(I4&gt;8,0,(F15+F12)*F43+G40),0)</f>
        <v>0</v>
      </c>
      <c r="M44" s="22">
        <f>IF(I4=0,0,IF(I4&gt;8,0,IF(AB4="D",IF(AB5="F",G42+F41-F41,G42+F41+F41),0)))</f>
        <v>0</v>
      </c>
      <c r="N44" s="30">
        <f>IF(AB4="D",IF(I4&gt;8,0,(F15+F12)*F43+G20),0)</f>
        <v>0</v>
      </c>
      <c r="O44" s="22">
        <f>IF(AB4="D",IF(I4&gt;8,0,IF(AB5="F",G22*H11+F21*H11-F41,G22*H11+F21*H11+F41)),0)</f>
        <v>0</v>
      </c>
      <c r="P44" s="30"/>
      <c r="Q44" s="30"/>
      <c r="R44" s="30"/>
      <c r="S44" s="30"/>
      <c r="T44" s="30"/>
      <c r="U44" s="30"/>
      <c r="V44" s="30"/>
      <c r="W44" s="30"/>
      <c r="X44" s="30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63"/>
    </row>
    <row r="45" spans="1:41" ht="9.000000" customHeight="1">
      <c r="A45" s="15"/>
      <c r="B45" s="16"/>
      <c r="C45" s="960"/>
      <c r="D45" s="31"/>
      <c r="E45" s="3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63"/>
    </row>
    <row r="46" spans="1:41" ht="9.000000" customHeight="1">
      <c r="A46" s="15"/>
      <c r="B46" s="16"/>
      <c r="C46" s="960"/>
      <c r="D46" s="31"/>
      <c r="E46" s="3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63"/>
    </row>
    <row r="47" spans="1:41" ht="9.000000" customHeight="1">
      <c r="A47" s="15"/>
      <c r="B47" s="16"/>
      <c r="C47" s="960"/>
      <c r="D47" s="31"/>
      <c r="E47" s="3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63"/>
    </row>
    <row r="48" spans="1:41" ht="9.000000" customHeight="1">
      <c r="A48" s="15"/>
      <c r="B48" s="16"/>
      <c r="C48" s="960"/>
      <c r="D48" s="31"/>
      <c r="E48" s="3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63"/>
    </row>
    <row r="49" spans="1:41" ht="9.000000" customHeight="1">
      <c r="A49" s="34"/>
      <c r="B49" s="35"/>
      <c r="C49" s="966"/>
      <c r="D49" s="36" t="s">
        <v>510</v>
      </c>
      <c r="E49" s="36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64"/>
    </row>
  </sheetData>
  <sheetProtection sheet="1" password="ce28" objects="1" scenarios="1"/>
  <mergeCells count="77">
    <mergeCell ref="A1:AL1"/>
    <mergeCell ref="M2:N2"/>
    <mergeCell ref="Q2:U2"/>
    <mergeCell ref="AE2:AH2"/>
    <mergeCell ref="AI2:AL2"/>
    <mergeCell ref="A3:E3"/>
    <mergeCell ref="F3:K3"/>
    <mergeCell ref="L3:Y3"/>
    <mergeCell ref="Z3:AG3"/>
    <mergeCell ref="AH3:AH5"/>
    <mergeCell ref="AI3:AO3"/>
    <mergeCell ref="A4:A5"/>
    <mergeCell ref="C4:D4"/>
    <mergeCell ref="F4:H4"/>
    <mergeCell ref="I4:J4"/>
    <mergeCell ref="L4:M4"/>
    <mergeCell ref="N4:O4"/>
    <mergeCell ref="Q4:U4"/>
    <mergeCell ref="W4:Y4"/>
    <mergeCell ref="Z4:AA4"/>
    <mergeCell ref="AC4:AG4"/>
    <mergeCell ref="AI4:AO4"/>
    <mergeCell ref="C5:D5"/>
    <mergeCell ref="F5:H5"/>
    <mergeCell ref="I5:J5"/>
    <mergeCell ref="L5:M5"/>
    <mergeCell ref="N5:O5"/>
    <mergeCell ref="Q5:U6"/>
    <mergeCell ref="W5:Y5"/>
    <mergeCell ref="Z5:AA5"/>
    <mergeCell ref="AC5:AG5"/>
    <mergeCell ref="AI5:AO5"/>
    <mergeCell ref="A6:A7"/>
    <mergeCell ref="C6:D6"/>
    <mergeCell ref="F6:F7"/>
    <mergeCell ref="G6:H6"/>
    <mergeCell ref="I6:J6"/>
    <mergeCell ref="L6:M6"/>
    <mergeCell ref="O6:P6"/>
    <mergeCell ref="W6:Y6"/>
    <mergeCell ref="Z6:Z8"/>
    <mergeCell ref="AA6:AG6"/>
    <mergeCell ref="AH6:AO6"/>
    <mergeCell ref="C7:D7"/>
    <mergeCell ref="G7:H7"/>
    <mergeCell ref="I7:J7"/>
    <mergeCell ref="L7:M7"/>
    <mergeCell ref="O7:P7"/>
    <mergeCell ref="Q7:U8"/>
    <mergeCell ref="W7:Y7"/>
    <mergeCell ref="AA7:AG7"/>
    <mergeCell ref="AH7:AO7"/>
    <mergeCell ref="C8:D8"/>
    <mergeCell ref="F8:H8"/>
    <mergeCell ref="I8:J8"/>
    <mergeCell ref="L8:M8"/>
    <mergeCell ref="N8:O8"/>
    <mergeCell ref="W8:Y8"/>
    <mergeCell ref="AA8:AG8"/>
    <mergeCell ref="AH8:AO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C15:C19"/>
    <mergeCell ref="C20:C29"/>
    <mergeCell ref="C30:C34"/>
    <mergeCell ref="C35:C39"/>
    <mergeCell ref="L35:L39"/>
    <mergeCell ref="S35:S39"/>
    <mergeCell ref="C40:C44"/>
    <mergeCell ref="C45:C49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I10:I12"/>
  <sheetViews>
    <sheetView showRowColHeaders="0" tabSelected="1" zoomScale="160" zoomScaleNormal="160" workbookViewId="0">
      <pane xSplit="8" ySplit="17" topLeftCell="I18" activePane="bottomRight" state="frozen"/>
      <selection pane="topRight" activeCell="I1" sqref="I1"/>
      <selection pane="bottomLeft" activeCell="A18" sqref="A18"/>
      <selection pane="bottomRight" activeCell="D4" sqref="D4"/>
    </sheetView>
  </sheetViews>
  <sheetFormatPr defaultColWidth="9.00000000" defaultRowHeight="16.200000"/>
  <sheetData>
    <row r="10" spans="9:9">
      <c r="I10" s="259"/>
    </row>
    <row r="12" spans="9:9">
      <c r="I12" s="622"/>
    </row>
  </sheetData>
  <sheetProtection sheet="1" password="ce28" objects="1" scenarios="1" formatCells="0" formatColumns="0" formatRows="0" insertColumns="0" insertRows="0" insertHyperlinks="0" deleteColumns="0" deleteRows="0" sort="0" autoFilter="0"/>
  <phoneticPr fontId="1" type="noConversion"/>
  <pageMargins left="0.75" right="0.75" top="1.00" bottom="1.00" header="0.50" footer="0.5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5"/>
  <sheetViews>
    <sheetView showGridLines="0" showRowColHeaders="0" zoomScale="85" zoomScaleNormal="85" workbookViewId="0">
      <pane xSplit="28" ySplit="29" topLeftCell="AC30" activePane="bottomRight" state="frozen"/>
      <selection pane="topRight" activeCell="AC1" sqref="AC1"/>
      <selection pane="bottomLeft" activeCell="A30" sqref="A30"/>
      <selection pane="bottomRight" activeCell="B13" sqref="B13"/>
    </sheetView>
  </sheetViews>
  <sheetFormatPr defaultColWidth="9.00000000" defaultRowHeight="16.200000"/>
  <cols>
    <col min="1" max="2" style="3" width="7.86214290" customWidth="1" outlineLevel="0"/>
    <col min="3" max="3" style="3" width="1.29071431" customWidth="1" outlineLevel="0"/>
    <col min="4" max="4" style="3" width="7.86214290" customWidth="1" outlineLevel="0"/>
    <col min="5" max="5" style="3" width="8.71928583" customWidth="1" outlineLevel="0"/>
    <col min="6" max="7" style="3" width="5.86214290" customWidth="1" outlineLevel="0"/>
    <col min="8" max="8" style="3" width="1.29071431" customWidth="1" outlineLevel="0"/>
    <col min="9" max="28" style="3" width="4.29071437" customWidth="1" outlineLevel="0"/>
    <col min="29" max="29" style="3" width="7.71928583" customWidth="1" outlineLevel="0"/>
    <col min="30" max="30" style="3" width="3.29071437" hidden="1" customWidth="1" outlineLevel="0"/>
    <col min="31" max="31" style="3" width="4.71928583" hidden="1" customWidth="1" outlineLevel="0"/>
    <col min="32" max="32" style="556" width="7.29071413" hidden="1" customWidth="1" outlineLevel="0"/>
    <col min="33" max="16384" style="3" width="9.00499998" customWidth="1" outlineLevel="0"/>
  </cols>
  <sheetData>
    <row r="1" spans="1:32" ht="27.750000" customHeight="1">
      <c r="A1" s="646" t="s">
        <v>0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B1" s="16"/>
    </row>
    <row r="2" spans="1:32" ht="15.750000" customHeight="1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B2" s="16"/>
    </row>
    <row r="3" spans="1:32" ht="27.750000" customHeight="1">
      <c r="A3" s="647" t="s">
        <v>1</v>
      </c>
      <c r="B3" s="647"/>
      <c r="C3" s="648"/>
      <c r="D3" s="557">
        <f>B10*B13*AD32*(1+AD34)*(1+AD35)*(1+AD36)/1000</f>
        <v>256.49715</v>
      </c>
      <c r="E3" s="558" t="s">
        <v>2</v>
      </c>
      <c r="G3" s="559" t="s">
        <v>3</v>
      </c>
      <c r="K3" s="649">
        <f>D3*AF32*B10</f>
        <v>662.099704440364</v>
      </c>
      <c r="L3" s="649"/>
      <c r="M3" s="650" t="s">
        <v>4</v>
      </c>
      <c r="N3" s="651"/>
      <c r="O3" s="586" t="str">
        <f>IF(B5=1,"  ",IF(B5=2,"  ","B.選擇材料特性錯誤"))</f>
        <v>  </v>
      </c>
      <c r="U3" s="397"/>
      <c r="X3" s="652" t="s">
        <v>5</v>
      </c>
      <c r="Y3" s="653"/>
      <c r="Z3" s="654">
        <f>TODAY()</f>
        <v>43411</v>
      </c>
      <c r="AA3" s="655"/>
      <c r="AB3" s="655"/>
    </row>
    <row r="4" spans="1:32" ht="17.550000">
      <c r="A4" s="641" t="s">
        <v>6</v>
      </c>
      <c r="B4" s="642"/>
      <c r="C4" s="434"/>
      <c r="D4" s="641" t="s">
        <v>7</v>
      </c>
      <c r="E4" s="645"/>
      <c r="F4" s="560"/>
      <c r="G4" s="561"/>
      <c r="I4" s="629" t="s">
        <v>8</v>
      </c>
      <c r="J4" s="315"/>
      <c r="K4" s="315"/>
      <c r="L4" s="315"/>
      <c r="M4" s="315"/>
      <c r="N4" s="587"/>
      <c r="O4" s="587"/>
      <c r="P4" s="588"/>
      <c r="Q4" s="587"/>
      <c r="R4" s="588"/>
      <c r="S4" s="588"/>
      <c r="T4" s="587"/>
      <c r="U4" s="588"/>
      <c r="V4" s="12"/>
      <c r="W4" s="12"/>
      <c r="X4" s="12"/>
      <c r="Y4" s="12"/>
      <c r="Z4" s="12"/>
      <c r="AA4" s="12"/>
      <c r="AB4" s="62"/>
    </row>
    <row r="5" spans="1:32">
      <c r="A5" s="562" t="s">
        <v>9</v>
      </c>
      <c r="B5" s="563">
        <v>2</v>
      </c>
      <c r="C5" s="434"/>
      <c r="D5" s="564" t="s">
        <v>9</v>
      </c>
      <c r="E5" s="565">
        <v>11</v>
      </c>
      <c r="F5" s="115" t="s">
        <v>10</v>
      </c>
      <c r="G5" s="566" t="s">
        <v>11</v>
      </c>
      <c r="I5" s="589" t="s">
        <v>12</v>
      </c>
      <c r="J5" s="590"/>
      <c r="K5" s="590"/>
      <c r="L5" s="591"/>
      <c r="M5" s="592" t="s">
        <v>13</v>
      </c>
      <c r="N5" s="590"/>
      <c r="O5" s="590"/>
      <c r="P5" s="591"/>
      <c r="Q5" s="592" t="s">
        <v>14</v>
      </c>
      <c r="R5" s="590"/>
      <c r="S5" s="590"/>
      <c r="T5" s="591"/>
      <c r="U5" s="592" t="s">
        <v>15</v>
      </c>
      <c r="V5" s="590"/>
      <c r="W5" s="590"/>
      <c r="X5" s="591"/>
      <c r="Y5" s="592" t="s">
        <v>16</v>
      </c>
      <c r="Z5" s="590"/>
      <c r="AA5" s="590"/>
      <c r="AB5" s="617"/>
    </row>
    <row r="6" spans="1:32">
      <c r="A6" s="567" t="s">
        <v>17</v>
      </c>
      <c r="B6" s="475"/>
      <c r="C6" s="434"/>
      <c r="D6" s="568" t="s">
        <v>18</v>
      </c>
      <c r="E6" s="118"/>
      <c r="F6" s="115">
        <v>3</v>
      </c>
      <c r="G6" s="569" t="s">
        <v>19</v>
      </c>
      <c r="I6" s="15"/>
      <c r="J6" s="16"/>
      <c r="K6" s="16"/>
      <c r="L6" s="393"/>
      <c r="M6" s="391"/>
      <c r="N6" s="16"/>
      <c r="O6" s="16"/>
      <c r="P6" s="393"/>
      <c r="Q6" s="391"/>
      <c r="R6" s="16"/>
      <c r="S6" s="16"/>
      <c r="T6" s="393"/>
      <c r="U6" s="391"/>
      <c r="V6" s="16"/>
      <c r="W6" s="16"/>
      <c r="X6" s="393"/>
      <c r="Y6" s="391"/>
      <c r="Z6" s="16"/>
      <c r="AA6" s="16"/>
      <c r="AB6" s="63"/>
      <c r="AD6" s="226" t="str">
        <f>IF($B$5=1,F6,IF($B$5=2,G6,0))</f>
        <v>---</v>
      </c>
      <c r="AE6" s="226">
        <f>IF($E$5=1,AD6,0)</f>
        <v>0</v>
      </c>
      <c r="AF6" s="556" t="str">
        <f>IF(AE6=0,"  ",(1/AE6^0.3)*1.5)</f>
        <v>  </v>
      </c>
    </row>
    <row r="7" spans="1:32" ht="16.500000" customHeight="1">
      <c r="A7" s="570" t="s">
        <v>20</v>
      </c>
      <c r="B7" s="571"/>
      <c r="C7" s="434"/>
      <c r="D7" s="568" t="s">
        <v>21</v>
      </c>
      <c r="E7" s="118"/>
      <c r="F7" s="115">
        <v>4</v>
      </c>
      <c r="G7" s="569" t="s">
        <v>19</v>
      </c>
      <c r="I7" s="15"/>
      <c r="J7" s="16"/>
      <c r="K7" s="16"/>
      <c r="L7" s="393"/>
      <c r="M7" s="391"/>
      <c r="N7" s="16"/>
      <c r="O7" s="16"/>
      <c r="P7" s="393"/>
      <c r="Q7" s="391"/>
      <c r="R7" s="16"/>
      <c r="S7" s="16"/>
      <c r="T7" s="393"/>
      <c r="U7" s="391"/>
      <c r="V7" s="16"/>
      <c r="W7" s="16"/>
      <c r="X7" s="393"/>
      <c r="Y7" s="391"/>
      <c r="Z7" s="16"/>
      <c r="AA7" s="16"/>
      <c r="AB7" s="63"/>
      <c r="AD7" s="226" t="str">
        <f>IF($B$5=1,F7,IF($B$5=2,G7,0))</f>
        <v>---</v>
      </c>
      <c r="AE7" s="226">
        <f>IF($E$5=2,AD7,0)</f>
        <v>0</v>
      </c>
      <c r="AF7" s="556" t="str">
        <f>IF(AE7=0,"  ",(1/AE7^0.3)*1.5)</f>
        <v>  </v>
      </c>
    </row>
    <row r="8" spans="1:32">
      <c r="A8" s="572"/>
      <c r="B8" s="324"/>
      <c r="C8" s="324"/>
      <c r="D8" s="568" t="s">
        <v>22</v>
      </c>
      <c r="E8" s="118"/>
      <c r="F8" s="115">
        <v>9</v>
      </c>
      <c r="G8" s="566">
        <v>16</v>
      </c>
      <c r="I8" s="593"/>
      <c r="J8" s="30"/>
      <c r="K8" s="30"/>
      <c r="L8" s="594"/>
      <c r="M8" s="595"/>
      <c r="N8" s="596"/>
      <c r="O8" s="596"/>
      <c r="P8" s="597"/>
      <c r="Q8" s="612"/>
      <c r="R8" s="30"/>
      <c r="S8" s="30"/>
      <c r="T8" s="594"/>
      <c r="U8" s="595"/>
      <c r="V8" s="16"/>
      <c r="W8" s="16"/>
      <c r="X8" s="393"/>
      <c r="Y8" s="391"/>
      <c r="Z8" s="16"/>
      <c r="AA8" s="16"/>
      <c r="AB8" s="63"/>
      <c r="AD8" s="226">
        <f>IF($B$5=1,F8,IF($B$5=2,G8,0))</f>
        <v>16</v>
      </c>
      <c r="AE8" s="226">
        <f>IF($E$5=3,AD8,0)</f>
        <v>0</v>
      </c>
      <c r="AF8" s="556" t="str">
        <f>IF(AE8=0,"  ",(1/AE8^0.3)*1.5)</f>
        <v>  </v>
      </c>
    </row>
    <row r="9" spans="1:32" ht="16.950000">
      <c r="A9" s="573" t="s">
        <v>23</v>
      </c>
      <c r="B9" s="472"/>
      <c r="C9" s="324"/>
      <c r="D9" s="568" t="s">
        <v>24</v>
      </c>
      <c r="E9" s="118"/>
      <c r="F9" s="115">
        <v>22</v>
      </c>
      <c r="G9" s="566">
        <v>36</v>
      </c>
      <c r="I9" s="598"/>
      <c r="J9" s="30"/>
      <c r="K9" s="30"/>
      <c r="L9" s="599"/>
      <c r="M9" s="595"/>
      <c r="N9" s="21"/>
      <c r="O9" s="21"/>
      <c r="P9" s="597"/>
      <c r="Q9" s="613"/>
      <c r="R9" s="30"/>
      <c r="S9" s="30"/>
      <c r="T9" s="614"/>
      <c r="U9" s="595"/>
      <c r="V9" s="16"/>
      <c r="W9" s="16"/>
      <c r="X9" s="393"/>
      <c r="Y9" s="391"/>
      <c r="Z9" s="16"/>
      <c r="AA9" s="16"/>
      <c r="AB9" s="63"/>
      <c r="AD9" s="226">
        <f>IF($B$5=1,F9,IF($B$5=2,G9,0))</f>
        <v>36</v>
      </c>
      <c r="AE9" s="226">
        <f>IF($E$5=4,AD9,0)</f>
        <v>0</v>
      </c>
      <c r="AF9" s="556" t="str">
        <f>IF(AE9=0,"  ",(1/AE9^0.3)*1.5)</f>
        <v>  </v>
      </c>
    </row>
    <row r="10" spans="1:32" ht="16.950000">
      <c r="A10" s="574" t="s">
        <v>25</v>
      </c>
      <c r="B10" s="575">
        <v>5</v>
      </c>
      <c r="C10" s="324"/>
      <c r="D10" s="568" t="s">
        <v>26</v>
      </c>
      <c r="E10" s="118"/>
      <c r="F10" s="115">
        <v>11</v>
      </c>
      <c r="G10" s="566">
        <v>18</v>
      </c>
      <c r="I10" s="15"/>
      <c r="J10" s="16"/>
      <c r="K10" s="16"/>
      <c r="L10" s="393"/>
      <c r="M10" s="391"/>
      <c r="N10" s="16"/>
      <c r="O10" s="16"/>
      <c r="P10" s="393"/>
      <c r="Q10" s="391"/>
      <c r="R10" s="600" t="s">
        <v>27</v>
      </c>
      <c r="S10" s="600" t="s">
        <v>28</v>
      </c>
      <c r="T10" s="601" t="s">
        <v>29</v>
      </c>
      <c r="Y10" s="391"/>
      <c r="Z10" s="600" t="s">
        <v>27</v>
      </c>
      <c r="AA10" s="600" t="s">
        <v>28</v>
      </c>
      <c r="AB10" s="618" t="s">
        <v>29</v>
      </c>
      <c r="AD10" s="226">
        <f>IF($B$5=1,F10,IF($B$5=2,G10,0))</f>
        <v>18</v>
      </c>
      <c r="AE10" s="226">
        <f>IF($E$5=5,AD10,0)</f>
        <v>0</v>
      </c>
      <c r="AF10" s="556" t="str">
        <f>IF(AE10=0,"  ",(1/AE10^0.3)*1.5)</f>
        <v>  </v>
      </c>
    </row>
    <row r="11" spans="1:32">
      <c r="A11" s="324"/>
      <c r="B11" s="324"/>
      <c r="C11" s="324"/>
      <c r="D11" s="568" t="s">
        <v>30</v>
      </c>
      <c r="E11" s="118"/>
      <c r="F11" s="115">
        <v>12</v>
      </c>
      <c r="G11" s="566">
        <v>20</v>
      </c>
      <c r="I11" s="15"/>
      <c r="J11" s="16"/>
      <c r="K11" s="16"/>
      <c r="L11" s="393"/>
      <c r="M11" s="391"/>
      <c r="N11" s="600" t="s">
        <v>27</v>
      </c>
      <c r="O11" s="600" t="s">
        <v>28</v>
      </c>
      <c r="P11" s="601" t="s">
        <v>29</v>
      </c>
      <c r="Q11" s="602" t="s">
        <v>31</v>
      </c>
      <c r="R11" s="603"/>
      <c r="S11" s="603"/>
      <c r="T11" s="603"/>
      <c r="U11" s="391"/>
      <c r="V11" s="600" t="s">
        <v>27</v>
      </c>
      <c r="W11" s="600" t="s">
        <v>28</v>
      </c>
      <c r="X11" s="601" t="s">
        <v>29</v>
      </c>
      <c r="Y11" s="602" t="s">
        <v>32</v>
      </c>
      <c r="Z11" s="603"/>
      <c r="AA11" s="603"/>
      <c r="AB11" s="619"/>
      <c r="AD11" s="226">
        <f>IF($B$5=1,F11,IF($B$5=2,G11,0))</f>
        <v>20</v>
      </c>
      <c r="AE11" s="226">
        <f>IF($E$5=6,AD11,0)</f>
        <v>0</v>
      </c>
      <c r="AF11" s="556" t="str">
        <f>IF(AE11=0,"  ",(1/AE11^0.3)*1.5)</f>
        <v>  </v>
      </c>
    </row>
    <row r="12" spans="1:32" ht="16.950000">
      <c r="A12" s="576" t="s">
        <v>33</v>
      </c>
      <c r="B12" s="561"/>
      <c r="C12" s="324"/>
      <c r="D12" s="568" t="s">
        <v>34</v>
      </c>
      <c r="E12" s="118"/>
      <c r="F12" s="115">
        <v>20</v>
      </c>
      <c r="G12" s="566">
        <v>30</v>
      </c>
      <c r="I12" s="15"/>
      <c r="J12" s="600" t="s">
        <v>27</v>
      </c>
      <c r="K12" s="600" t="s">
        <v>28</v>
      </c>
      <c r="L12" s="601" t="s">
        <v>29</v>
      </c>
      <c r="M12" s="602" t="s">
        <v>31</v>
      </c>
      <c r="N12" s="603"/>
      <c r="O12" s="603"/>
      <c r="P12" s="603"/>
      <c r="Q12" s="602" t="s">
        <v>35</v>
      </c>
      <c r="R12" s="605"/>
      <c r="S12" s="605"/>
      <c r="T12" s="605"/>
      <c r="U12" s="615" t="s">
        <v>36</v>
      </c>
      <c r="V12" s="603"/>
      <c r="W12" s="603"/>
      <c r="X12" s="603"/>
      <c r="Y12" s="602" t="s">
        <v>37</v>
      </c>
      <c r="Z12" s="605"/>
      <c r="AA12" s="605"/>
      <c r="AB12" s="620"/>
      <c r="AD12" s="226">
        <f>IF($B$5=1,F12,IF($B$5=2,G12,0))</f>
        <v>30</v>
      </c>
      <c r="AE12" s="226">
        <f>IF($E$5=7,AD12,0)</f>
        <v>0</v>
      </c>
      <c r="AF12" s="556" t="str">
        <f>IF(AE12=0,"  ",(1/AE12^0.3)*1.5)</f>
        <v>  </v>
      </c>
    </row>
    <row r="13" spans="1:32" ht="16.950000">
      <c r="A13" s="574" t="s">
        <v>38</v>
      </c>
      <c r="B13" s="577">
        <v>817</v>
      </c>
      <c r="C13" s="324"/>
      <c r="D13" s="568" t="s">
        <v>39</v>
      </c>
      <c r="E13" s="118"/>
      <c r="F13" s="115">
        <v>25</v>
      </c>
      <c r="G13" s="566">
        <v>40</v>
      </c>
      <c r="I13" s="604" t="s">
        <v>40</v>
      </c>
      <c r="J13" s="603">
        <v>260</v>
      </c>
      <c r="K13" s="603"/>
      <c r="L13" s="603"/>
      <c r="M13" s="602" t="s">
        <v>35</v>
      </c>
      <c r="N13" s="605"/>
      <c r="O13" s="605"/>
      <c r="P13" s="605"/>
      <c r="Q13" s="602" t="s">
        <v>41</v>
      </c>
      <c r="R13" s="605"/>
      <c r="S13" s="605"/>
      <c r="T13" s="605"/>
      <c r="U13" s="615" t="s">
        <v>42</v>
      </c>
      <c r="V13" s="605"/>
      <c r="W13" s="605"/>
      <c r="X13" s="605"/>
      <c r="Y13" s="602" t="s">
        <v>43</v>
      </c>
      <c r="Z13" s="605"/>
      <c r="AA13" s="605"/>
      <c r="AB13" s="620"/>
      <c r="AD13" s="226">
        <f>IF($B$5=1,F13,IF($B$5=2,G13,0))</f>
        <v>40</v>
      </c>
      <c r="AE13" s="226">
        <f>IF($E$5=8,AD13,0)</f>
        <v>0</v>
      </c>
      <c r="AF13" s="556" t="str">
        <f>IF(AE13=0,"  ",(1/AE13^0.3)*1.5)</f>
        <v>  </v>
      </c>
    </row>
    <row r="14" spans="1:32">
      <c r="A14" s="324"/>
      <c r="B14" s="324"/>
      <c r="C14" s="324"/>
      <c r="D14" s="568" t="s">
        <v>44</v>
      </c>
      <c r="E14" s="118"/>
      <c r="F14" s="115">
        <v>35</v>
      </c>
      <c r="G14" s="566">
        <v>60</v>
      </c>
      <c r="I14" s="604" t="s">
        <v>45</v>
      </c>
      <c r="J14" s="605">
        <v>1</v>
      </c>
      <c r="K14" s="605"/>
      <c r="L14" s="605"/>
      <c r="M14" s="602" t="s">
        <v>45</v>
      </c>
      <c r="N14" s="605"/>
      <c r="O14" s="605"/>
      <c r="P14" s="605"/>
      <c r="Q14" s="602" t="s">
        <v>45</v>
      </c>
      <c r="R14" s="605"/>
      <c r="S14" s="605"/>
      <c r="T14" s="605"/>
      <c r="U14" s="615" t="s">
        <v>45</v>
      </c>
      <c r="V14" s="605"/>
      <c r="W14" s="605"/>
      <c r="X14" s="605"/>
      <c r="Y14" s="602" t="s">
        <v>45</v>
      </c>
      <c r="Z14" s="605"/>
      <c r="AA14" s="605"/>
      <c r="AB14" s="620"/>
      <c r="AD14" s="226">
        <f>IF($B$5=1,F14,IF($B$5=2,G14,0))</f>
        <v>60</v>
      </c>
      <c r="AE14" s="226">
        <f>IF($E$5=9,AD14,0)</f>
        <v>0</v>
      </c>
      <c r="AF14" s="556" t="str">
        <f>IF(AE14=0,"  ",(1/AE14^0.3)*1.5)</f>
        <v>  </v>
      </c>
    </row>
    <row r="15" spans="1:32" ht="16.950000">
      <c r="A15" s="576" t="s">
        <v>46</v>
      </c>
      <c r="B15" s="561"/>
      <c r="C15" s="324"/>
      <c r="D15" s="568" t="s">
        <v>47</v>
      </c>
      <c r="E15" s="118"/>
      <c r="F15" s="115">
        <v>45</v>
      </c>
      <c r="G15" s="566">
        <v>70</v>
      </c>
      <c r="I15" s="606" t="s">
        <v>48</v>
      </c>
      <c r="J15" s="607">
        <f>J13*3.14159*J14</f>
        <v>816.8134</v>
      </c>
      <c r="K15" s="607">
        <f>K13*3.14159*K14</f>
        <v>0</v>
      </c>
      <c r="L15" s="607">
        <f>L13*3.14159*L14</f>
        <v>0</v>
      </c>
      <c r="M15" s="608" t="s">
        <v>48</v>
      </c>
      <c r="N15" s="607">
        <f>(N12+N13)*2*N14</f>
        <v>0</v>
      </c>
      <c r="O15" s="607">
        <f>(O12+O13)*2*O14</f>
        <v>0</v>
      </c>
      <c r="P15" s="607">
        <f>(P12+P13)*2*P14</f>
        <v>0</v>
      </c>
      <c r="Q15" s="608" t="s">
        <v>48</v>
      </c>
      <c r="R15" s="607">
        <f>((R11+R12)*2-(R13*8)+(R13*3.14159))*R14</f>
        <v>0</v>
      </c>
      <c r="S15" s="607">
        <f>((S11+S12)*2-(S13*8)+(S13*3.14159))*S14</f>
        <v>0</v>
      </c>
      <c r="T15" s="607">
        <f>((T11+T12)*2-(T13*8)+(T13*3.14159))*T14</f>
        <v>0</v>
      </c>
      <c r="U15" s="616" t="s">
        <v>48</v>
      </c>
      <c r="V15" s="607">
        <f>((2*(V12^2+V13^2))^0.5*3.14059)*V14</f>
        <v>0</v>
      </c>
      <c r="W15" s="607">
        <f>((2*(W12^2+W13^2))^0.5*3.14059)*W14</f>
        <v>0</v>
      </c>
      <c r="X15" s="607">
        <f>((2*(X12^2+X13^2))^0.5*3.14059)*X14</f>
        <v>0</v>
      </c>
      <c r="Y15" s="608" t="s">
        <v>48</v>
      </c>
      <c r="Z15" s="607">
        <f>((((((Z11-Z12)/2)^2+(Z13)^2)^0.5)*2)+Z11+Z12)*Z14</f>
        <v>0</v>
      </c>
      <c r="AA15" s="607">
        <f>((((((AA11-AA12)/2)^2+(AA13)^2)^0.5)*2)+AA11+AA12)*AA14</f>
        <v>0</v>
      </c>
      <c r="AB15" s="621">
        <f>((((((AB11-AB12)/2)^2+(AB13)^2)^0.5)*2)+AB11+AB12)*AB14</f>
        <v>0</v>
      </c>
      <c r="AD15" s="226">
        <f>IF($B$5=1,F15,IF($B$5=2,G15,0))</f>
        <v>70</v>
      </c>
      <c r="AE15" s="226">
        <f>IF($E$5=10,AD15,0)</f>
        <v>0</v>
      </c>
      <c r="AF15" s="556" t="str">
        <f>IF(AE15=0,"  ",(1/AE15^0.3)*1.5)</f>
        <v>  </v>
      </c>
    </row>
    <row r="16" spans="1:32" ht="16.950000">
      <c r="A16" s="564" t="s">
        <v>9</v>
      </c>
      <c r="B16" s="563">
        <v>2</v>
      </c>
      <c r="C16" s="324"/>
      <c r="D16" s="568" t="s">
        <v>49</v>
      </c>
      <c r="E16" s="118"/>
      <c r="F16" s="115">
        <v>32</v>
      </c>
      <c r="G16" s="566">
        <v>35</v>
      </c>
      <c r="I16" s="633" t="s">
        <v>50</v>
      </c>
      <c r="J16" s="634"/>
      <c r="K16" s="634"/>
      <c r="L16" s="635"/>
      <c r="M16" s="630">
        <f>SUM(J15:L15,N15:P15,R15:T15,V15:X15,Z15:AB15)</f>
        <v>816.8134</v>
      </c>
      <c r="N16" s="631"/>
      <c r="O16" s="627" t="s">
        <v>51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63"/>
      <c r="AD16" s="226">
        <f>IF($B$5=1,F16,IF($B$5=2,G16,0))</f>
        <v>35</v>
      </c>
      <c r="AE16" s="226">
        <f>IF($E$5=11,AD16,0)</f>
        <v>35</v>
      </c>
      <c r="AF16" s="556">
        <f>IF(AE16=0,"  ",(1/AE16^0.3)*1.5)</f>
        <v>0.516262815739172</v>
      </c>
    </row>
    <row r="17" spans="1:32" ht="17.700000">
      <c r="A17" s="567" t="s">
        <v>52</v>
      </c>
      <c r="B17" s="295"/>
      <c r="C17" s="324"/>
      <c r="D17" s="568" t="s">
        <v>53</v>
      </c>
      <c r="E17" s="118"/>
      <c r="F17" s="115">
        <v>32</v>
      </c>
      <c r="G17" s="566">
        <v>35</v>
      </c>
      <c r="I17" s="636"/>
      <c r="J17" s="637"/>
      <c r="K17" s="637"/>
      <c r="L17" s="638"/>
      <c r="M17" s="632"/>
      <c r="N17" s="632"/>
      <c r="O17" s="628"/>
      <c r="P17" s="36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64"/>
      <c r="AD17" s="226">
        <f>IF($B$5=1,F17,IF($B$5=2,G17,0))</f>
        <v>35</v>
      </c>
      <c r="AE17" s="226">
        <f>IF($E$5=12,AD17,0)</f>
        <v>0</v>
      </c>
      <c r="AF17" s="556" t="str">
        <f>IF(AE17=0,"  ",(1/AE17^0.3)*1.5)</f>
        <v>  </v>
      </c>
    </row>
    <row r="18" spans="1:32" ht="17.700000">
      <c r="A18" s="578" t="s">
        <v>54</v>
      </c>
      <c r="B18" s="295"/>
      <c r="C18" s="324"/>
      <c r="D18" s="568" t="s">
        <v>55</v>
      </c>
      <c r="E18" s="118"/>
      <c r="F18" s="115">
        <v>32</v>
      </c>
      <c r="G18" s="566">
        <v>35</v>
      </c>
      <c r="I18" s="609"/>
      <c r="J18" s="609"/>
      <c r="K18" s="609"/>
      <c r="L18" s="609"/>
      <c r="M18" s="609"/>
      <c r="N18" s="609"/>
      <c r="O18" s="609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2"/>
      <c r="AD18" s="226">
        <f>IF($B$5=1,F18,IF($B$5=2,G18,0))</f>
        <v>35</v>
      </c>
      <c r="AE18" s="226">
        <f>IF($E$5=13,AD18,0)</f>
        <v>0</v>
      </c>
      <c r="AF18" s="556" t="str">
        <f>IF(AE18=0,"  ",(1/AE18^0.3)*1.5)</f>
        <v>  </v>
      </c>
    </row>
    <row r="19" spans="1:32" ht="16.950000">
      <c r="A19" s="570" t="s">
        <v>56</v>
      </c>
      <c r="B19" s="579"/>
      <c r="C19" s="324"/>
      <c r="D19" s="568" t="s">
        <v>57</v>
      </c>
      <c r="E19" s="118"/>
      <c r="F19" s="115">
        <v>32</v>
      </c>
      <c r="G19" s="566">
        <v>40</v>
      </c>
      <c r="I19" s="639" t="s">
        <v>58</v>
      </c>
      <c r="J19" s="640"/>
      <c r="K19" s="610" t="s">
        <v>59</v>
      </c>
      <c r="L19" s="610" t="s">
        <v>60</v>
      </c>
      <c r="M19" s="610"/>
      <c r="N19" s="610" t="s">
        <v>59</v>
      </c>
      <c r="O19" s="610" t="s">
        <v>61</v>
      </c>
      <c r="P19" s="610"/>
      <c r="Q19" s="610" t="s">
        <v>59</v>
      </c>
      <c r="R19" s="610" t="s">
        <v>62</v>
      </c>
      <c r="S19" s="610"/>
      <c r="T19" s="610" t="s">
        <v>59</v>
      </c>
      <c r="U19" s="610" t="s">
        <v>63</v>
      </c>
      <c r="V19" s="610"/>
      <c r="W19" s="610" t="s">
        <v>59</v>
      </c>
      <c r="X19" s="610" t="s">
        <v>64</v>
      </c>
      <c r="Y19" s="610"/>
      <c r="Z19" s="610" t="s">
        <v>65</v>
      </c>
      <c r="AA19" s="12"/>
      <c r="AB19" s="62"/>
      <c r="AD19" s="226">
        <f>IF($B$5=1,F19,IF($B$5=2,G19,0))</f>
        <v>40</v>
      </c>
      <c r="AE19" s="226">
        <f>IF($E$5=14,AD19,0)</f>
        <v>0</v>
      </c>
      <c r="AF19" s="556" t="str">
        <f>IF(AE19=0,"  ",(1/AE19^0.3)*1.5)</f>
        <v>  </v>
      </c>
    </row>
    <row r="20" spans="1:32" ht="16.950000">
      <c r="A20" s="324"/>
      <c r="B20" s="324"/>
      <c r="C20" s="324"/>
      <c r="D20" s="568" t="s">
        <v>66</v>
      </c>
      <c r="E20" s="118"/>
      <c r="F20" s="115">
        <v>36</v>
      </c>
      <c r="G20" s="566">
        <v>48</v>
      </c>
      <c r="I20" s="625">
        <f>AD32</f>
        <v>35</v>
      </c>
      <c r="J20" s="90"/>
      <c r="K20" s="611" t="s">
        <v>59</v>
      </c>
      <c r="L20" s="626">
        <f>B10</f>
        <v>5</v>
      </c>
      <c r="M20" s="626"/>
      <c r="N20" s="611" t="s">
        <v>59</v>
      </c>
      <c r="O20" s="644">
        <f>B13</f>
        <v>817</v>
      </c>
      <c r="P20" s="644"/>
      <c r="Q20" s="611" t="s">
        <v>59</v>
      </c>
      <c r="R20" s="643">
        <f>AD34+1</f>
        <v>1.15</v>
      </c>
      <c r="S20" s="643"/>
      <c r="T20" s="611" t="s">
        <v>59</v>
      </c>
      <c r="U20" s="643">
        <f>AD35+1</f>
        <v>1.3</v>
      </c>
      <c r="V20" s="643"/>
      <c r="W20" s="611" t="s">
        <v>59</v>
      </c>
      <c r="X20" s="643">
        <f>AD36+1</f>
        <v>1.2</v>
      </c>
      <c r="Y20" s="643"/>
      <c r="Z20" s="611" t="s">
        <v>65</v>
      </c>
      <c r="AA20" s="35"/>
      <c r="AB20" s="64"/>
      <c r="AD20" s="226">
        <f>IF($B$5=1,F20,IF($B$5=2,G20,0))</f>
        <v>48</v>
      </c>
      <c r="AE20" s="226">
        <f>IF($E$5=15,AD20,0)</f>
        <v>0</v>
      </c>
      <c r="AF20" s="556" t="str">
        <f>IF(AE20=0,"  ",(1/AE20^0.3)*1.5)</f>
        <v>  </v>
      </c>
    </row>
    <row r="21" spans="1:32" ht="16.950000">
      <c r="A21" s="580" t="s">
        <v>67</v>
      </c>
      <c r="B21" s="561"/>
      <c r="C21" s="324"/>
      <c r="D21" s="568" t="s">
        <v>68</v>
      </c>
      <c r="E21" s="118"/>
      <c r="F21" s="115">
        <v>45</v>
      </c>
      <c r="G21" s="566">
        <v>56</v>
      </c>
      <c r="I21" s="15" t="s">
        <v>69</v>
      </c>
      <c r="J21" s="16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73"/>
      <c r="AD21" s="226">
        <f>IF($B$5=1,F21,IF($B$5=2,G21,0))</f>
        <v>56</v>
      </c>
      <c r="AE21" s="226">
        <f>IF($E$5=16,AD21,0)</f>
        <v>0</v>
      </c>
      <c r="AF21" s="556" t="str">
        <f>IF(AE21=0,"  ",(1/AE21^0.3)*1.5)</f>
        <v>  </v>
      </c>
    </row>
    <row r="22" spans="1:32">
      <c r="A22" s="564" t="s">
        <v>9</v>
      </c>
      <c r="B22" s="563">
        <v>1</v>
      </c>
      <c r="C22" s="324"/>
      <c r="D22" s="568" t="s">
        <v>70</v>
      </c>
      <c r="E22" s="118"/>
      <c r="F22" s="115">
        <v>55</v>
      </c>
      <c r="G22" s="566">
        <v>72</v>
      </c>
      <c r="I22" s="145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73"/>
      <c r="AD22" s="226">
        <f>IF($B$5=1,F22,IF($B$5=2,G22,0))</f>
        <v>72</v>
      </c>
      <c r="AE22" s="226">
        <f>IF($E$5=17,AD22,0)</f>
        <v>0</v>
      </c>
      <c r="AF22" s="556" t="str">
        <f>IF(AE22=0,"  ",(1/AE22^0.3)*1.5)</f>
        <v>  </v>
      </c>
    </row>
    <row r="23" spans="1:32">
      <c r="A23" s="567" t="s">
        <v>71</v>
      </c>
      <c r="B23" s="295"/>
      <c r="C23" s="324"/>
      <c r="D23" s="568" t="s">
        <v>72</v>
      </c>
      <c r="E23" s="118"/>
      <c r="F23" s="115">
        <v>70</v>
      </c>
      <c r="G23" s="566">
        <v>90</v>
      </c>
      <c r="I23" s="145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73"/>
      <c r="AD23" s="226">
        <f>IF($B$5=1,F23,IF($B$5=2,G23,0))</f>
        <v>90</v>
      </c>
      <c r="AE23" s="226">
        <f>IF($E$5=18,AD23,0)</f>
        <v>0</v>
      </c>
      <c r="AF23" s="556" t="str">
        <f>IF(AE23=0,"  ",(1/AE23^0.3)*1.5)</f>
        <v>  </v>
      </c>
    </row>
    <row r="24" spans="1:32">
      <c r="A24" s="578" t="s">
        <v>73</v>
      </c>
      <c r="B24" s="295"/>
      <c r="C24" s="324"/>
      <c r="D24" s="568" t="s">
        <v>74</v>
      </c>
      <c r="E24" s="118"/>
      <c r="F24" s="115">
        <v>80</v>
      </c>
      <c r="G24" s="566">
        <v>105</v>
      </c>
      <c r="I24" s="145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73"/>
      <c r="AD24" s="226">
        <f>IF($B$5=1,F24,IF($B$5=2,G24,0))</f>
        <v>105</v>
      </c>
      <c r="AE24" s="226">
        <f>IF($E$5=19,AD24,0)</f>
        <v>0</v>
      </c>
      <c r="AF24" s="556" t="str">
        <f>IF(AE24=0,"  ",(1/AE24^0.3)*1.5)</f>
        <v>  </v>
      </c>
    </row>
    <row r="25" spans="1:32" ht="16.950000">
      <c r="A25" s="570" t="s">
        <v>75</v>
      </c>
      <c r="B25" s="579"/>
      <c r="C25" s="324"/>
      <c r="D25" s="568" t="s">
        <v>76</v>
      </c>
      <c r="E25" s="118"/>
      <c r="F25" s="115">
        <v>20</v>
      </c>
      <c r="G25" s="566">
        <v>56</v>
      </c>
      <c r="I25" s="145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73"/>
      <c r="AD25" s="226">
        <f>IF($B$5=1,F25,IF($B$5=2,G25,0))</f>
        <v>56</v>
      </c>
      <c r="AE25" s="226">
        <f>IF($E$5=20,AD25,0)</f>
        <v>0</v>
      </c>
      <c r="AF25" s="556" t="str">
        <f>IF(AE25=0,"  ",(1/AE25^0.3)*1.5)</f>
        <v>  </v>
      </c>
    </row>
    <row r="26" spans="1:32">
      <c r="A26" s="324"/>
      <c r="B26" s="324"/>
      <c r="C26" s="324"/>
      <c r="D26" s="568" t="s">
        <v>77</v>
      </c>
      <c r="E26" s="118"/>
      <c r="F26" s="115">
        <v>45</v>
      </c>
      <c r="G26" s="566">
        <v>55</v>
      </c>
      <c r="I26" s="145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73"/>
      <c r="AD26" s="226">
        <f>IF($B$5=1,F26,IF($B$5=2,G26,0))</f>
        <v>55</v>
      </c>
      <c r="AE26" s="226">
        <f>IF($E$5=21,AD26,0)</f>
        <v>0</v>
      </c>
      <c r="AF26" s="556" t="str">
        <f>IF(AE26=0,"  ",(1/AE26^0.3)*1.5)</f>
        <v>  </v>
      </c>
    </row>
    <row r="27" spans="1:32" ht="16.950000">
      <c r="A27" s="581" t="s">
        <v>78</v>
      </c>
      <c r="B27" s="561"/>
      <c r="C27" s="324"/>
      <c r="D27" s="568" t="s">
        <v>79</v>
      </c>
      <c r="E27" s="118"/>
      <c r="F27" s="115">
        <v>25</v>
      </c>
      <c r="G27" s="566">
        <v>30</v>
      </c>
      <c r="I27" s="145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73"/>
      <c r="AD27" s="226">
        <f>IF($B$5=1,F27,IF($B$5=2,G27,0))</f>
        <v>30</v>
      </c>
      <c r="AE27" s="226">
        <f>IF($E$5=22,AD27,0)</f>
        <v>0</v>
      </c>
      <c r="AF27" s="556" t="str">
        <f>IF(AE27=0,"  ",(1/AE27^0.3)*1.5)</f>
        <v>  </v>
      </c>
    </row>
    <row r="28" spans="1:32">
      <c r="A28" s="564" t="s">
        <v>9</v>
      </c>
      <c r="B28" s="563">
        <v>2</v>
      </c>
      <c r="C28" s="324"/>
      <c r="D28" s="568" t="s">
        <v>80</v>
      </c>
      <c r="E28" s="118"/>
      <c r="F28" s="115">
        <v>13</v>
      </c>
      <c r="G28" s="623" t="s">
        <v>81</v>
      </c>
      <c r="I28" s="145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73"/>
      <c r="AD28" s="226" t="str">
        <f>IF($B$5=1,F28,IF($B$5=2,G28,0))</f>
        <v>----</v>
      </c>
      <c r="AE28" s="226">
        <f>IF($E$5=23,AD28,0)</f>
        <v>0</v>
      </c>
      <c r="AF28" s="556" t="str">
        <f>IF(AE28=0,"  ",(1/AE28^0.3)*1.5)</f>
        <v>  </v>
      </c>
    </row>
    <row r="29" spans="1:32" ht="16.950000">
      <c r="A29" s="582" t="s">
        <v>82</v>
      </c>
      <c r="B29" s="583" t="s">
        <v>83</v>
      </c>
      <c r="C29" s="324"/>
      <c r="D29" s="584" t="s">
        <v>84</v>
      </c>
      <c r="E29" s="534"/>
      <c r="F29" s="585">
        <v>8</v>
      </c>
      <c r="G29" s="624" t="s">
        <v>81</v>
      </c>
      <c r="I29" s="147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74"/>
      <c r="AD29" s="226" t="str">
        <f>IF($B$5=1,F29,IF($B$5=2,G29,0))</f>
        <v>----</v>
      </c>
      <c r="AE29" s="226">
        <f>IF($E$5=24,AD29,0)</f>
        <v>0</v>
      </c>
      <c r="AF29" s="556" t="str">
        <f>IF(AE29=0,"  ",(1/AE29^0.3)*1.5)</f>
        <v>  </v>
      </c>
    </row>
    <row r="30" spans="1:32" ht="21.750000" customHeight="1">
      <c r="AB30" s="16"/>
    </row>
    <row r="31" spans="1:32" ht="15.000000" customHeight="1">
      <c r="AB31" s="16"/>
    </row>
    <row r="32" spans="1:32" ht="15.000000" customHeight="1">
      <c r="AB32" s="16"/>
      <c r="AD32" s="226">
        <f>SUM(AE6:AE29)</f>
        <v>35</v>
      </c>
      <c r="AF32" s="556">
        <f>SUM(AF6:AF29)</f>
        <v>0.516262815739172</v>
      </c>
    </row>
    <row r="33" spans="28:30">
      <c r="AB33" s="16"/>
    </row>
    <row r="34" spans="28:30">
      <c r="AB34" s="16"/>
      <c r="AD34" s="3">
        <f>IF(B16=1,0.1,IF(B16=2,0.15,IF(B16=3,0.2,0)))</f>
        <v>0.15</v>
      </c>
    </row>
    <row r="35" spans="28:30">
      <c r="AB35" s="16"/>
      <c r="AD35" s="3">
        <f>IF(B22=1,0.3,IF(B22=2,0.35,IF(B22=3,0.4,0)))</f>
        <v>0.3</v>
      </c>
    </row>
    <row r="36" spans="28:30">
      <c r="AB36" s="16"/>
      <c r="AD36" s="3">
        <f>IF(B28=1,0.1,IF(B28=2,0.2,0))</f>
        <v>0.2</v>
      </c>
    </row>
    <row r="37" spans="28:30">
      <c r="AB37" s="16"/>
    </row>
    <row r="38" spans="28:30">
      <c r="AB38" s="16"/>
    </row>
    <row r="39" spans="28:30">
      <c r="AB39" s="16"/>
    </row>
    <row r="40" spans="28:30">
      <c r="AB40" s="16"/>
    </row>
    <row r="41" spans="28:30">
      <c r="AB41" s="16"/>
    </row>
    <row r="42" spans="28:30">
      <c r="AB42" s="16"/>
    </row>
    <row r="43" spans="28:30">
      <c r="AB43" s="16"/>
    </row>
    <row r="44" spans="28:30">
      <c r="AB44" s="16"/>
    </row>
    <row r="45" spans="28:30">
      <c r="AB45" s="16"/>
    </row>
    <row r="46" spans="28:30">
      <c r="AB46" s="16"/>
    </row>
    <row r="47" spans="28:30">
      <c r="AB47" s="16"/>
    </row>
    <row r="48" spans="28:30">
      <c r="AB48" s="16"/>
    </row>
    <row r="49" spans="28:28">
      <c r="AB49" s="16"/>
    </row>
    <row r="50" spans="28:28">
      <c r="AB50" s="16"/>
    </row>
    <row r="51" spans="28:28">
      <c r="AB51" s="16"/>
    </row>
    <row r="52" spans="28:28">
      <c r="AB52" s="16"/>
    </row>
    <row r="53" spans="28:28">
      <c r="AB53" s="16"/>
    </row>
    <row r="54" spans="28:28">
      <c r="AB54" s="16"/>
    </row>
    <row r="55" spans="28:28">
      <c r="AB55" s="16"/>
    </row>
  </sheetData>
  <sheetProtection sheet="1" password="ce28" objects="1" scenarios="1"/>
  <mergeCells count="24">
    <mergeCell ref="A1:Z2"/>
    <mergeCell ref="A3:C3"/>
    <mergeCell ref="K3:L3"/>
    <mergeCell ref="M3:N3"/>
    <mergeCell ref="X3:Y3"/>
    <mergeCell ref="Z3:AB3"/>
    <mergeCell ref="A4:B4"/>
    <mergeCell ref="D4:E4"/>
    <mergeCell ref="I4:M4"/>
    <mergeCell ref="I16:L17"/>
    <mergeCell ref="M16:N17"/>
    <mergeCell ref="O16:O17"/>
    <mergeCell ref="I19:J19"/>
    <mergeCell ref="L19:M19"/>
    <mergeCell ref="O19:P19"/>
    <mergeCell ref="R19:S19"/>
    <mergeCell ref="U19:V19"/>
    <mergeCell ref="X19:Y19"/>
    <mergeCell ref="I20:J20"/>
    <mergeCell ref="L20:M20"/>
    <mergeCell ref="O20:P20"/>
    <mergeCell ref="R20:S20"/>
    <mergeCell ref="U20:V20"/>
    <mergeCell ref="X20:Y20"/>
  </mergeCells>
  <phoneticPr fontId="1" type="noConversion"/>
  <pageMargins left="0.55" right="0.55" top="0.79" bottom="0.59" header="0.71" footer="0.51"/>
  <pageSetup paperSize="9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1"/>
  <sheetViews>
    <sheetView showGridLines="0" showRowColHeaders="0" zoomScale="70" zoomScaleNormal="70" workbookViewId="0">
      <pane xSplit="24" ySplit="36" topLeftCell="Y37" activePane="bottomRight" state="frozen"/>
      <selection pane="topRight" activeCell="Y1" sqref="Y1"/>
      <selection pane="bottomLeft" activeCell="A37" sqref="A37"/>
      <selection pane="bottomRight" activeCell="M22" sqref="M22"/>
    </sheetView>
  </sheetViews>
  <sheetFormatPr defaultColWidth="9.00000000" defaultRowHeight="16.200000"/>
  <cols>
    <col min="1" max="1" style="3" width="2.43357144" customWidth="1" outlineLevel="0"/>
    <col min="2" max="2" style="3" width="7.29071413" customWidth="1" outlineLevel="0"/>
    <col min="3" max="5" style="3" width="9.43357168" customWidth="1" outlineLevel="0"/>
    <col min="6" max="7" style="3" width="5.14785705" customWidth="1" outlineLevel="0"/>
    <col min="8" max="8" style="3" width="1.29071431" customWidth="1" outlineLevel="0"/>
    <col min="9" max="11" style="3" width="6.00499998" customWidth="1" outlineLevel="0"/>
    <col min="12" max="12" style="3" width="6.71928583" customWidth="1" outlineLevel="0"/>
    <col min="13" max="13" style="3" width="8.00499998" customWidth="1" outlineLevel="0"/>
    <col min="14" max="14" style="3" width="9.00499998" customWidth="1" outlineLevel="0"/>
    <col min="15" max="15" style="3" width="4.71928583" customWidth="1" outlineLevel="0"/>
    <col min="16" max="16" style="3" width="1.14785714" customWidth="1" outlineLevel="0"/>
    <col min="17" max="21" style="3" width="7.29071413" customWidth="1" outlineLevel="0"/>
    <col min="22" max="22" style="3" width="7.71928583" customWidth="1" outlineLevel="0"/>
    <col min="23" max="23" style="3" width="6.43357120" hidden="1" customWidth="1" outlineLevel="0"/>
    <col min="24" max="24" style="3" width="8.86214243" hidden="1" customWidth="1" outlineLevel="0"/>
    <col min="25" max="25" style="3" width="7.29071413" customWidth="1" outlineLevel="0"/>
    <col min="26" max="16384" style="3" width="9.00499998" customWidth="1" outlineLevel="0"/>
  </cols>
  <sheetData>
    <row r="1" spans="1:21" ht="50.250000" customHeight="1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</row>
    <row r="2" spans="1:21" ht="20.250000">
      <c r="B2" s="658" t="s">
        <v>86</v>
      </c>
      <c r="C2" s="659"/>
      <c r="D2" s="659"/>
      <c r="E2" s="532">
        <f>IF(I20=2,F19*M22*W19/1000,IF(L26/L24&gt;0.45,"*****",F19*M22*W19/1000))</f>
        <v>84.75</v>
      </c>
      <c r="F2" s="660" t="s">
        <v>2</v>
      </c>
      <c r="G2" s="661"/>
    </row>
    <row r="3" spans="1:21" ht="21.000000">
      <c r="B3" s="662" t="s">
        <v>87</v>
      </c>
      <c r="C3" s="663"/>
      <c r="D3" s="663"/>
      <c r="E3" s="532">
        <f>IF(I20=2,F19*M22*W19/1000*L26,IF(L26/L24&gt;0.45,"****",F19*M22*W19/1000*L26))</f>
        <v>33.9</v>
      </c>
      <c r="F3" s="664" t="s">
        <v>4</v>
      </c>
      <c r="G3" s="665"/>
      <c r="S3" s="252" t="s">
        <v>88</v>
      </c>
      <c r="T3" s="654">
        <f>TODAY()</f>
        <v>43411</v>
      </c>
      <c r="U3" s="673"/>
    </row>
    <row r="4" spans="1:21" ht="26.25000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2"/>
    </row>
    <row r="5" spans="1:2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63"/>
    </row>
    <row r="6" spans="1:2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63"/>
    </row>
    <row r="7" spans="1:21">
      <c r="A7" s="15"/>
      <c r="B7" s="16"/>
      <c r="C7" s="30" t="s">
        <v>89</v>
      </c>
      <c r="D7" s="16"/>
      <c r="E7" s="16"/>
      <c r="F7" s="16"/>
      <c r="G7" s="21" t="s">
        <v>90</v>
      </c>
      <c r="H7" s="21"/>
      <c r="I7" s="21"/>
      <c r="J7" s="16"/>
      <c r="K7" s="16"/>
      <c r="L7" s="16"/>
      <c r="M7" s="16"/>
      <c r="N7" s="107" t="s">
        <v>91</v>
      </c>
      <c r="O7" s="16"/>
      <c r="P7" s="16"/>
      <c r="Q7" s="16"/>
      <c r="R7" s="16"/>
      <c r="S7" s="16"/>
      <c r="T7" s="16"/>
      <c r="U7" s="63"/>
    </row>
    <row r="8" spans="1:2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63"/>
    </row>
    <row r="9" spans="1:2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63"/>
    </row>
    <row r="10" spans="1:21">
      <c r="A10" s="15"/>
      <c r="B10" s="16"/>
      <c r="C10" s="30" t="s">
        <v>92</v>
      </c>
      <c r="D10" s="16"/>
      <c r="E10" s="16"/>
      <c r="F10" s="16"/>
      <c r="G10" s="21" t="s">
        <v>93</v>
      </c>
      <c r="H10" s="21"/>
      <c r="I10" s="21"/>
      <c r="J10" s="16"/>
      <c r="K10" s="16"/>
      <c r="L10" s="16"/>
      <c r="M10" s="16"/>
      <c r="N10" s="107" t="s">
        <v>94</v>
      </c>
      <c r="O10" s="16"/>
      <c r="P10" s="16"/>
      <c r="Q10" s="16"/>
      <c r="R10" s="16"/>
      <c r="S10" s="16"/>
      <c r="T10" s="16"/>
      <c r="U10" s="63"/>
    </row>
    <row r="11" spans="1:2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63"/>
    </row>
    <row r="12" spans="1:21" ht="10.500000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63"/>
    </row>
    <row r="13" spans="1:21">
      <c r="A13" s="15"/>
      <c r="B13" s="656" t="s">
        <v>95</v>
      </c>
      <c r="C13" s="238"/>
      <c r="D13" s="238"/>
      <c r="E13" s="16"/>
      <c r="F13" s="656" t="s">
        <v>96</v>
      </c>
      <c r="G13" s="238"/>
      <c r="H13" s="238"/>
      <c r="I13" s="238"/>
      <c r="J13" s="238"/>
      <c r="K13" s="16"/>
      <c r="L13" s="16"/>
      <c r="M13" s="656" t="s">
        <v>97</v>
      </c>
      <c r="N13" s="238"/>
      <c r="O13" s="238"/>
      <c r="P13" s="16"/>
      <c r="Q13" s="16"/>
      <c r="R13" s="16"/>
      <c r="S13" s="656" t="s">
        <v>98</v>
      </c>
      <c r="T13" s="238"/>
      <c r="U13" s="63"/>
    </row>
    <row r="14" spans="1:21" ht="7.500000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63"/>
    </row>
    <row r="15" spans="1:21">
      <c r="A15" s="15"/>
      <c r="B15" s="56"/>
      <c r="C15" s="56"/>
      <c r="D15" s="56"/>
      <c r="E15" s="16"/>
      <c r="F15" s="56" t="s">
        <v>99</v>
      </c>
      <c r="G15" s="56"/>
      <c r="H15" s="56"/>
      <c r="I15" s="56"/>
      <c r="J15" s="56"/>
      <c r="K15" s="16"/>
      <c r="L15" s="16"/>
      <c r="M15" s="56" t="s">
        <v>100</v>
      </c>
      <c r="N15" s="56"/>
      <c r="O15" s="56"/>
      <c r="P15" s="56"/>
      <c r="Q15" s="56"/>
      <c r="R15" s="321" t="s">
        <v>101</v>
      </c>
      <c r="S15" s="238"/>
      <c r="T15" s="238"/>
      <c r="U15" s="365"/>
    </row>
    <row r="16" spans="1:21">
      <c r="A16" s="15"/>
      <c r="B16" s="16"/>
      <c r="C16" s="16"/>
      <c r="D16" s="16"/>
      <c r="E16" s="16"/>
      <c r="F16" s="56" t="s">
        <v>102</v>
      </c>
      <c r="G16" s="56"/>
      <c r="H16" s="56"/>
      <c r="I16" s="56"/>
      <c r="J16" s="56"/>
      <c r="K16" s="238"/>
      <c r="L16" s="16"/>
      <c r="M16" s="56" t="s">
        <v>103</v>
      </c>
      <c r="N16" s="56"/>
      <c r="O16" s="56"/>
      <c r="P16" s="56"/>
      <c r="Q16" s="56"/>
      <c r="R16" s="16"/>
      <c r="S16" s="16"/>
      <c r="T16" s="16"/>
      <c r="U16" s="63"/>
    </row>
    <row r="17" spans="1:24" ht="20.250000" customHeight="1">
      <c r="A17" s="533"/>
      <c r="B17" s="534"/>
      <c r="C17" s="534"/>
      <c r="D17" s="534"/>
      <c r="E17" s="534"/>
      <c r="F17" s="534"/>
      <c r="G17" s="534"/>
      <c r="H17" s="534"/>
      <c r="I17" s="118"/>
      <c r="J17" s="118"/>
      <c r="K17" s="118"/>
      <c r="L17" s="118"/>
      <c r="M17" s="118"/>
      <c r="N17" s="118"/>
      <c r="O17" s="118"/>
      <c r="P17" s="35"/>
      <c r="Q17" s="35"/>
      <c r="R17" s="35"/>
      <c r="S17" s="35"/>
      <c r="T17" s="35"/>
      <c r="U17" s="64"/>
      <c r="X17" s="3" t="str">
        <f>IF(D19=9,B29,IF(D19=10,B30,"   "))</f>
        <v>   </v>
      </c>
    </row>
    <row r="18" spans="1:24" ht="7.500000" customHeight="1">
      <c r="A18" s="324"/>
      <c r="B18" s="324"/>
      <c r="C18" s="324"/>
      <c r="D18" s="324"/>
      <c r="E18" s="324"/>
      <c r="F18" s="324"/>
      <c r="G18" s="324"/>
      <c r="H18" s="324"/>
      <c r="I18" s="680" t="s">
        <v>104</v>
      </c>
      <c r="J18" s="681"/>
      <c r="K18" s="681"/>
      <c r="L18" s="681"/>
      <c r="M18" s="681"/>
      <c r="N18" s="681"/>
      <c r="O18" s="365"/>
      <c r="Q18" s="144"/>
      <c r="R18" s="144"/>
      <c r="S18" s="144"/>
      <c r="T18" s="144"/>
      <c r="U18" s="144"/>
    </row>
    <row r="19" spans="1:24" ht="16.500000">
      <c r="A19" s="674" t="s">
        <v>105</v>
      </c>
      <c r="B19" s="675"/>
      <c r="C19" s="675"/>
      <c r="D19" s="535">
        <v>5</v>
      </c>
      <c r="E19" s="536" t="str">
        <f>IF(D19=1,B21,IF(D19=2,B22,IF(D19=3,B23,IF(D19=4,B24,IF(D19=5,B25,IF(D19=6,B26,IF(D19=7,B27,IF(D19=8,B28,X17))))))))</f>
        <v>軟鋼板</v>
      </c>
      <c r="F19" s="537">
        <f>IF(D19="  ","  ",IF(D19&gt;10,"  ",X31))</f>
        <v>250</v>
      </c>
      <c r="G19" s="538" t="s">
        <v>106</v>
      </c>
      <c r="H19" s="324"/>
      <c r="I19" s="682"/>
      <c r="J19" s="681"/>
      <c r="K19" s="681"/>
      <c r="L19" s="681"/>
      <c r="M19" s="681"/>
      <c r="N19" s="681"/>
      <c r="O19" s="365"/>
      <c r="Q19" s="348" t="s">
        <v>107</v>
      </c>
      <c r="R19" s="142"/>
      <c r="S19" s="142"/>
      <c r="T19" s="142"/>
      <c r="U19" s="172"/>
      <c r="W19" s="3">
        <f>IF(L28=1,1.5,IF(L28=2,1,0))</f>
        <v>1.5</v>
      </c>
    </row>
    <row r="20" spans="1:24" ht="16.500000">
      <c r="A20" s="539"/>
      <c r="B20" s="540" t="s">
        <v>108</v>
      </c>
      <c r="C20" s="541" t="s">
        <v>109</v>
      </c>
      <c r="D20" s="541" t="s">
        <v>110</v>
      </c>
      <c r="E20" s="541" t="s">
        <v>111</v>
      </c>
      <c r="F20" s="666" t="s">
        <v>112</v>
      </c>
      <c r="G20" s="667"/>
      <c r="H20" s="324"/>
      <c r="I20" s="548">
        <v>4</v>
      </c>
      <c r="J20" s="676" t="str">
        <f>IF(I20=1,C20,IF(I20=2,D20,IF(I20=3,E20,IF(I20=4,F20,"壓印型式選擇不正確"))))</f>
        <v>壓縮成型</v>
      </c>
      <c r="K20" s="677"/>
      <c r="L20" s="677"/>
      <c r="M20" s="677"/>
      <c r="N20" s="677"/>
      <c r="O20" s="678"/>
      <c r="Q20" s="145"/>
      <c r="R20" s="144"/>
      <c r="S20" s="144"/>
      <c r="T20" s="144"/>
      <c r="U20" s="173"/>
    </row>
    <row r="21" spans="1:24" ht="17.250000">
      <c r="A21" s="542" t="s">
        <v>113</v>
      </c>
      <c r="B21" s="543" t="s">
        <v>114</v>
      </c>
      <c r="C21" s="541">
        <v>8</v>
      </c>
      <c r="D21" s="541">
        <v>10</v>
      </c>
      <c r="E21" s="541">
        <v>15</v>
      </c>
      <c r="F21" s="666">
        <v>110</v>
      </c>
      <c r="G21" s="667"/>
      <c r="H21" s="324"/>
      <c r="I21" s="679"/>
      <c r="J21" s="679"/>
      <c r="K21" s="679"/>
      <c r="L21" s="679"/>
      <c r="M21" s="679"/>
      <c r="N21" s="679"/>
      <c r="O21" s="679"/>
      <c r="Q21" s="145"/>
      <c r="R21" s="144"/>
      <c r="S21" s="144"/>
      <c r="T21" s="144"/>
      <c r="U21" s="173"/>
      <c r="W21" s="3">
        <f>IF($I$20=1,C21,IF($I$20=2,D21,IF($I$20=3,E21,IF($I$20=4,F21,"    "))))</f>
        <v>110</v>
      </c>
      <c r="X21" s="3">
        <f>IF($D$19=1,W21,0)</f>
        <v>0</v>
      </c>
    </row>
    <row r="22" spans="1:24" ht="17.250000">
      <c r="A22" s="542" t="s">
        <v>115</v>
      </c>
      <c r="B22" s="543" t="s">
        <v>116</v>
      </c>
      <c r="C22" s="541">
        <v>15</v>
      </c>
      <c r="D22" s="541">
        <v>14</v>
      </c>
      <c r="E22" s="541">
        <v>35</v>
      </c>
      <c r="F22" s="666">
        <v>70</v>
      </c>
      <c r="G22" s="667"/>
      <c r="H22" s="324"/>
      <c r="I22" s="668" t="s">
        <v>117</v>
      </c>
      <c r="J22" s="669"/>
      <c r="K22" s="669"/>
      <c r="L22" s="669"/>
      <c r="M22" s="549">
        <v>226</v>
      </c>
      <c r="N22" s="670" t="s">
        <v>118</v>
      </c>
      <c r="O22" s="671"/>
      <c r="Q22" s="145"/>
      <c r="R22" s="144"/>
      <c r="S22" s="144"/>
      <c r="T22" s="144"/>
      <c r="U22" s="173"/>
      <c r="W22" s="3">
        <f>IF($I$20=1,C22,IF($I$20=2,D22,IF($I$20=3,E22,IF($I$20=4,F22,"    "))))</f>
        <v>70</v>
      </c>
      <c r="X22" s="3">
        <f>IF($D$19=2,W22,0)</f>
        <v>0</v>
      </c>
    </row>
    <row r="23" spans="1:24" ht="17.250000">
      <c r="A23" s="542" t="s">
        <v>119</v>
      </c>
      <c r="B23" s="543" t="s">
        <v>120</v>
      </c>
      <c r="C23" s="541">
        <v>30</v>
      </c>
      <c r="D23" s="541">
        <v>25</v>
      </c>
      <c r="E23" s="541">
        <v>90</v>
      </c>
      <c r="F23" s="666">
        <v>120</v>
      </c>
      <c r="G23" s="667"/>
      <c r="H23" s="324"/>
      <c r="I23" s="672"/>
      <c r="J23" s="638"/>
      <c r="K23" s="638"/>
      <c r="L23" s="638"/>
      <c r="M23" s="638"/>
      <c r="N23" s="638"/>
      <c r="O23" s="638"/>
      <c r="Q23" s="145"/>
      <c r="R23" s="144"/>
      <c r="S23" s="144"/>
      <c r="T23" s="144"/>
      <c r="U23" s="173"/>
      <c r="W23" s="3">
        <f>IF($I$20=1,C23,IF($I$20=2,D23,IF($I$20=3,E23,IF($I$20=4,F23,"    "))))</f>
        <v>120</v>
      </c>
      <c r="X23" s="3">
        <f>IF($D$19=3,W23,0)</f>
        <v>0</v>
      </c>
    </row>
    <row r="24" spans="1:24" ht="17.250000">
      <c r="A24" s="542" t="s">
        <v>121</v>
      </c>
      <c r="B24" s="543" t="s">
        <v>122</v>
      </c>
      <c r="C24" s="541">
        <v>30</v>
      </c>
      <c r="D24" s="541">
        <v>30</v>
      </c>
      <c r="E24" s="541">
        <v>100</v>
      </c>
      <c r="F24" s="666">
        <v>180</v>
      </c>
      <c r="G24" s="667"/>
      <c r="H24" s="324"/>
      <c r="I24" s="696" t="s">
        <v>123</v>
      </c>
      <c r="J24" s="697"/>
      <c r="K24" s="697"/>
      <c r="L24" s="550">
        <v>1</v>
      </c>
      <c r="M24" s="670" t="s">
        <v>51</v>
      </c>
      <c r="N24" s="700"/>
      <c r="O24" s="701"/>
      <c r="Q24" s="145"/>
      <c r="R24" s="144"/>
      <c r="S24" s="144"/>
      <c r="T24" s="144"/>
      <c r="U24" s="173"/>
      <c r="W24" s="3">
        <f>IF($I$20=1,C24,IF($I$20=2,D24,IF($I$20=3,E24,IF($I$20=4,F24,"    "))))</f>
        <v>180</v>
      </c>
      <c r="X24" s="3">
        <f>IF($D$19=4,W24,0)</f>
        <v>0</v>
      </c>
    </row>
    <row r="25" spans="1:24" ht="17.250000">
      <c r="A25" s="542" t="s">
        <v>124</v>
      </c>
      <c r="B25" s="543" t="s">
        <v>125</v>
      </c>
      <c r="C25" s="541">
        <v>40</v>
      </c>
      <c r="D25" s="541">
        <v>40</v>
      </c>
      <c r="E25" s="541">
        <v>150</v>
      </c>
      <c r="F25" s="666">
        <v>250</v>
      </c>
      <c r="G25" s="667"/>
      <c r="H25" s="324"/>
      <c r="I25" s="672"/>
      <c r="J25" s="638"/>
      <c r="K25" s="638"/>
      <c r="L25" s="638"/>
      <c r="M25" s="638"/>
      <c r="N25" s="638"/>
      <c r="O25" s="638"/>
      <c r="Q25" s="145"/>
      <c r="R25" s="144"/>
      <c r="S25" s="144"/>
      <c r="T25" s="144"/>
      <c r="U25" s="173"/>
      <c r="W25" s="3">
        <f>IF($I$20=1,C25,IF($I$20=2,D25,IF($I$20=3,E25,IF($I$20=4,F25,"    "))))</f>
        <v>250</v>
      </c>
      <c r="X25" s="3">
        <f>IF($D$19=5,W25,0)</f>
        <v>250</v>
      </c>
    </row>
    <row r="26" spans="1:24" ht="17.250000">
      <c r="A26" s="542" t="s">
        <v>126</v>
      </c>
      <c r="B26" s="543" t="s">
        <v>127</v>
      </c>
      <c r="C26" s="541">
        <v>80</v>
      </c>
      <c r="D26" s="541">
        <v>90</v>
      </c>
      <c r="E26" s="541">
        <v>250</v>
      </c>
      <c r="F26" s="666">
        <v>350</v>
      </c>
      <c r="G26" s="667"/>
      <c r="H26" s="324"/>
      <c r="I26" s="696" t="s">
        <v>128</v>
      </c>
      <c r="J26" s="697"/>
      <c r="K26" s="697"/>
      <c r="L26" s="551">
        <v>0.4</v>
      </c>
      <c r="M26" s="552" t="s">
        <v>51</v>
      </c>
      <c r="N26" s="698" t="str">
        <f>IF(I20=2,"  ",IF(L26/L24&gt;0.3,"壓印深度過大","    "))</f>
        <v>壓印深度過大</v>
      </c>
      <c r="O26" s="699"/>
      <c r="Q26" s="554"/>
      <c r="R26" s="555"/>
      <c r="S26" s="555"/>
      <c r="T26" s="144"/>
      <c r="U26" s="173"/>
      <c r="W26" s="3">
        <f>IF($I$20=1,C26,IF($I$20=2,D26,IF($I$20=3,E26,IF($I$20=4,F26,"    "))))</f>
        <v>350</v>
      </c>
      <c r="X26" s="3">
        <f>IF($D$19=6,W26,0)</f>
        <v>0</v>
      </c>
    </row>
    <row r="27" spans="1:24" ht="17.250000">
      <c r="A27" s="542" t="s">
        <v>129</v>
      </c>
      <c r="B27" s="543" t="s">
        <v>130</v>
      </c>
      <c r="C27" s="541">
        <v>50</v>
      </c>
      <c r="D27" s="541">
        <v>35</v>
      </c>
      <c r="E27" s="541">
        <v>150</v>
      </c>
      <c r="F27" s="666">
        <v>180</v>
      </c>
      <c r="G27" s="667"/>
      <c r="H27" s="324"/>
      <c r="I27" s="679"/>
      <c r="J27" s="679"/>
      <c r="K27" s="679"/>
      <c r="L27" s="679"/>
      <c r="M27" s="679"/>
      <c r="N27" s="679"/>
      <c r="O27" s="679"/>
      <c r="Q27" s="145"/>
      <c r="R27" s="144"/>
      <c r="S27" s="144"/>
      <c r="T27" s="144"/>
      <c r="U27" s="173"/>
      <c r="W27" s="3">
        <f>IF($I$20=1,C27,IF($I$20=2,D27,IF($I$20=3,E27,IF($I$20=4,F27,"    "))))</f>
        <v>180</v>
      </c>
      <c r="X27" s="3">
        <f>IF($D$19=7,W27,0)</f>
        <v>0</v>
      </c>
    </row>
    <row r="28" spans="1:24" ht="16.500000">
      <c r="A28" s="542" t="s">
        <v>131</v>
      </c>
      <c r="B28" s="543" t="s">
        <v>132</v>
      </c>
      <c r="C28" s="541">
        <v>40</v>
      </c>
      <c r="D28" s="541">
        <v>40</v>
      </c>
      <c r="E28" s="541">
        <v>170</v>
      </c>
      <c r="F28" s="666">
        <v>220</v>
      </c>
      <c r="G28" s="667"/>
      <c r="H28" s="324"/>
      <c r="I28" s="689" t="s">
        <v>133</v>
      </c>
      <c r="J28" s="690"/>
      <c r="K28" s="690"/>
      <c r="L28" s="553">
        <v>1</v>
      </c>
      <c r="M28" s="691" t="str">
        <f>IF(L28=1,"曲柄式沖床",IF(L28=2,"肘節式沖床","請選擇正確沖床型式  "))</f>
        <v>曲柄式沖床</v>
      </c>
      <c r="N28" s="692"/>
      <c r="O28" s="693"/>
      <c r="Q28" s="145"/>
      <c r="R28" s="144"/>
      <c r="S28" s="144"/>
      <c r="T28" s="144"/>
      <c r="U28" s="173"/>
      <c r="W28" s="3">
        <f>IF($I$20=1,C28,IF($I$20=2,D28,IF($I$20=3,E28,IF($I$20=4,F28,"    "))))</f>
        <v>220</v>
      </c>
      <c r="X28" s="3">
        <f>IF($D$19=8,W28,0)</f>
        <v>0</v>
      </c>
    </row>
    <row r="29" spans="1:24">
      <c r="A29" s="542" t="s">
        <v>134</v>
      </c>
      <c r="B29" s="543" t="s">
        <v>135</v>
      </c>
      <c r="C29" s="544">
        <v>18</v>
      </c>
      <c r="D29" s="544">
        <v>16</v>
      </c>
      <c r="E29" s="544">
        <v>80</v>
      </c>
      <c r="F29" s="666">
        <v>150</v>
      </c>
      <c r="G29" s="667"/>
      <c r="H29" s="324"/>
      <c r="I29" s="694" t="s">
        <v>136</v>
      </c>
      <c r="J29" s="695"/>
      <c r="K29" s="695"/>
      <c r="L29" s="109"/>
      <c r="M29" s="65"/>
      <c r="N29" s="65"/>
      <c r="O29" s="152"/>
      <c r="Q29" s="145"/>
      <c r="R29" s="144"/>
      <c r="S29" s="144"/>
      <c r="T29" s="144"/>
      <c r="U29" s="173"/>
      <c r="W29" s="3">
        <f>IF($I$20=1,C29,IF($I$20=2,D29,IF($I$20=3,E29,IF($I$20=4,F29,"    "))))</f>
        <v>150</v>
      </c>
      <c r="X29" s="3">
        <f>IF($D$19=9,W29,0)</f>
        <v>0</v>
      </c>
    </row>
    <row r="30" spans="1:24" ht="16.500000">
      <c r="A30" s="545" t="s">
        <v>137</v>
      </c>
      <c r="B30" s="546" t="s">
        <v>138</v>
      </c>
      <c r="C30" s="547">
        <v>20</v>
      </c>
      <c r="D30" s="547">
        <v>18</v>
      </c>
      <c r="E30" s="547">
        <v>100</v>
      </c>
      <c r="F30" s="683">
        <v>180</v>
      </c>
      <c r="G30" s="684"/>
      <c r="H30" s="324"/>
      <c r="I30" s="685" t="s">
        <v>139</v>
      </c>
      <c r="J30" s="686"/>
      <c r="K30" s="686"/>
      <c r="L30" s="687"/>
      <c r="M30" s="89"/>
      <c r="N30" s="89"/>
      <c r="O30" s="688"/>
      <c r="Q30" s="147"/>
      <c r="R30" s="148"/>
      <c r="S30" s="148"/>
      <c r="T30" s="148"/>
      <c r="U30" s="174"/>
      <c r="W30" s="3">
        <f>IF($I$20=1,C30,IF($I$20=2,D30,IF($I$20=3,E30,IF($I$20=4,F30,"    "))))</f>
        <v>180</v>
      </c>
      <c r="X30" s="3">
        <f>IF($D$19=10,W30,0)</f>
        <v>0</v>
      </c>
    </row>
    <row r="31" spans="1:24">
      <c r="A31" s="324"/>
      <c r="B31" s="324"/>
      <c r="C31" s="324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X31" s="3">
        <f>SUM(X21:X30)</f>
        <v>250</v>
      </c>
    </row>
  </sheetData>
  <sheetProtection sheet="1" password="ce28" objects="1" scenarios="1"/>
  <mergeCells count="46">
    <mergeCell ref="A1:S1"/>
    <mergeCell ref="B2:D2"/>
    <mergeCell ref="F2:G2"/>
    <mergeCell ref="B3:D3"/>
    <mergeCell ref="F3:G3"/>
    <mergeCell ref="T3:U3"/>
    <mergeCell ref="G7:I7"/>
    <mergeCell ref="G10:I10"/>
    <mergeCell ref="B13:D13"/>
    <mergeCell ref="F13:J13"/>
    <mergeCell ref="M13:O13"/>
    <mergeCell ref="S13:T13"/>
    <mergeCell ref="B15:D15"/>
    <mergeCell ref="F15:J15"/>
    <mergeCell ref="M15:Q15"/>
    <mergeCell ref="R15:U15"/>
    <mergeCell ref="F16:K16"/>
    <mergeCell ref="M16:Q16"/>
    <mergeCell ref="I18:O19"/>
    <mergeCell ref="A19:C19"/>
    <mergeCell ref="F20:G20"/>
    <mergeCell ref="J20:O20"/>
    <mergeCell ref="F21:G21"/>
    <mergeCell ref="I21:O21"/>
    <mergeCell ref="F22:G22"/>
    <mergeCell ref="I22:L22"/>
    <mergeCell ref="N22:O22"/>
    <mergeCell ref="F23:G23"/>
    <mergeCell ref="I23:O23"/>
    <mergeCell ref="F24:G24"/>
    <mergeCell ref="I24:K24"/>
    <mergeCell ref="M24:O24"/>
    <mergeCell ref="F25:G25"/>
    <mergeCell ref="I25:O25"/>
    <mergeCell ref="F26:G26"/>
    <mergeCell ref="I26:K26"/>
    <mergeCell ref="N26:O26"/>
    <mergeCell ref="F27:G27"/>
    <mergeCell ref="I27:O27"/>
    <mergeCell ref="F28:G28"/>
    <mergeCell ref="I28:K28"/>
    <mergeCell ref="M28:O28"/>
    <mergeCell ref="F29:G29"/>
    <mergeCell ref="I29:O29"/>
    <mergeCell ref="F30:G30"/>
    <mergeCell ref="I30:O30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59"/>
  <sheetViews>
    <sheetView showGridLines="0" showRowColHeaders="0" zoomScale="85" zoomScaleNormal="85" workbookViewId="0">
      <pane xSplit="20" ySplit="25" topLeftCell="U26" activePane="bottomRight" state="frozen"/>
      <selection pane="topRight" activeCell="U1" sqref="U1"/>
      <selection pane="bottomLeft" activeCell="A26" sqref="A26"/>
      <selection pane="bottomRight" activeCell="A1" sqref="A1:R1"/>
    </sheetView>
  </sheetViews>
  <sheetFormatPr defaultColWidth="9.00000000" defaultRowHeight="16.200000"/>
  <cols>
    <col min="1" max="1" style="3" width="7.71928583" customWidth="1" outlineLevel="0"/>
    <col min="2" max="4" style="3" width="7.86214290" customWidth="1" outlineLevel="0"/>
    <col min="5" max="5" style="3" width="2.86214290" customWidth="1" outlineLevel="0"/>
    <col min="6" max="6" style="3" width="5.71928583" customWidth="1" outlineLevel="0"/>
    <col min="7" max="7" style="3" width="7.71928583" customWidth="1" outlineLevel="0"/>
    <col min="8" max="12" style="3" width="7.86214290" customWidth="1" outlineLevel="0"/>
    <col min="13" max="13" style="3" width="8.71928583" customWidth="1" outlineLevel="0"/>
    <col min="14" max="14" style="3" width="2.71928583" customWidth="1" outlineLevel="0"/>
    <col min="15" max="15" style="3" width="9.14785753" customWidth="1" outlineLevel="0"/>
    <col min="16" max="16" style="3" width="4.14785705" customWidth="1" outlineLevel="0"/>
    <col min="17" max="17" style="3" width="2.86214290" customWidth="1" outlineLevel="0"/>
    <col min="18" max="18" style="3" width="14.86214243" customWidth="1" outlineLevel="0"/>
    <col min="19" max="19" style="3" width="4.86214290" customWidth="1" outlineLevel="0"/>
    <col min="20" max="20" style="3" width="1.29071431" customWidth="1" outlineLevel="0"/>
    <col min="21" max="21" style="3" width="9.71928583" customWidth="1" outlineLevel="0"/>
    <col min="22" max="22" style="3" width="13.29071413" hidden="1" customWidth="1" outlineLevel="0"/>
    <col min="23" max="23" style="3" width="7.14785705" hidden="1" customWidth="1" outlineLevel="0"/>
    <col min="24" max="24" style="3" width="7.29071413" hidden="1" customWidth="1" outlineLevel="0"/>
    <col min="25" max="25" style="3" width="6.43357120" hidden="1" customWidth="1" outlineLevel="0"/>
    <col min="26" max="26" style="3" width="6.14785705" hidden="1" customWidth="1" outlineLevel="0"/>
    <col min="27" max="27" style="3" width="6.71928583" hidden="1" customWidth="1" outlineLevel="0"/>
    <col min="28" max="28" style="3" width="6.43357120" hidden="1" customWidth="1" outlineLevel="0"/>
    <col min="29" max="29" style="3" width="6.71928583" hidden="1" customWidth="1" outlineLevel="0"/>
    <col min="30" max="30" style="3" width="7.14785705" hidden="1" customWidth="1" outlineLevel="0"/>
    <col min="31" max="31" style="3" width="11.29071413" customWidth="1" outlineLevel="0"/>
    <col min="32" max="16384" style="3" width="9.00499998" customWidth="1" outlineLevel="0"/>
  </cols>
  <sheetData>
    <row r="1" spans="1:31" ht="49.500000">
      <c r="A1" s="703" t="s">
        <v>140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16"/>
      <c r="T1" s="16"/>
    </row>
    <row r="2" spans="1:31" s="65" customFormat="1" ht="27.750000" customHeight="1">
      <c r="A2" s="704" t="s">
        <v>141</v>
      </c>
      <c r="B2" s="705"/>
      <c r="C2" s="705"/>
      <c r="D2" s="454">
        <f>(W12*(S5*K11*(K7^2)/D13))/1000</f>
        <v>1.96625</v>
      </c>
      <c r="E2" s="429" t="s">
        <v>2</v>
      </c>
      <c r="F2" s="429"/>
      <c r="H2" s="704" t="s">
        <v>142</v>
      </c>
      <c r="K2" s="454">
        <f>(W17*(S5*K11*(K7^2)/D23))/1000</f>
        <v>5.18955171428571</v>
      </c>
      <c r="L2" s="429" t="s">
        <v>2</v>
      </c>
    </row>
    <row r="3" spans="1:31" s="65" customFormat="1" ht="21.750000" customHeight="1">
      <c r="A3" s="705" t="s">
        <v>143</v>
      </c>
      <c r="B3" s="705"/>
      <c r="C3" s="705"/>
      <c r="D3" s="455">
        <f>D2*X13*W14*100</f>
        <v>816.976875</v>
      </c>
      <c r="E3" s="430" t="s">
        <v>144</v>
      </c>
      <c r="F3" s="430"/>
      <c r="H3" s="706" t="s">
        <v>145</v>
      </c>
      <c r="I3" s="89"/>
      <c r="J3" s="89"/>
      <c r="K3" s="455">
        <f>K2*X15*W16*100</f>
        <v>1467.34574721429</v>
      </c>
      <c r="L3" s="504" t="s">
        <v>144</v>
      </c>
      <c r="O3" s="397" t="s">
        <v>146</v>
      </c>
      <c r="P3" s="654">
        <f>TODAY()</f>
        <v>43411</v>
      </c>
      <c r="Q3" s="89"/>
      <c r="R3" s="89"/>
      <c r="S3" s="89"/>
      <c r="T3" s="89"/>
    </row>
    <row r="4" spans="1:31" ht="19.500000" customHeight="1">
      <c r="A4" s="431"/>
      <c r="B4" s="432"/>
      <c r="C4" s="500"/>
      <c r="D4" s="432"/>
      <c r="E4" s="432"/>
      <c r="F4" s="432"/>
      <c r="G4" s="432"/>
      <c r="H4" s="432"/>
      <c r="I4" s="456"/>
      <c r="J4" s="456"/>
      <c r="K4" s="432"/>
      <c r="L4" s="432"/>
      <c r="M4" s="432"/>
      <c r="N4" s="432"/>
      <c r="O4" s="432"/>
      <c r="P4" s="432"/>
      <c r="Q4" s="432"/>
      <c r="R4" s="432"/>
      <c r="S4" s="432"/>
      <c r="T4" s="472"/>
    </row>
    <row r="5" spans="1:31" ht="19.500000" customHeight="1">
      <c r="A5" s="434"/>
      <c r="B5" s="69"/>
      <c r="D5" s="435" t="s">
        <v>147</v>
      </c>
      <c r="E5" s="69"/>
      <c r="F5" s="69"/>
      <c r="G5" s="69"/>
      <c r="H5" s="69"/>
      <c r="I5" s="138"/>
      <c r="J5" s="138"/>
      <c r="K5" s="69"/>
      <c r="L5" s="69"/>
      <c r="M5" s="69"/>
      <c r="N5" s="505" t="s">
        <v>148</v>
      </c>
      <c r="O5" s="458"/>
      <c r="P5" s="473">
        <v>13</v>
      </c>
      <c r="Q5" s="702" t="str">
        <f>IF(P5&gt;14,"  ",IF(P5&gt;=8,W5,V5))</f>
        <v>碳鋼 1.0%C</v>
      </c>
      <c r="R5" s="702"/>
      <c r="S5" s="474">
        <f>IF(P5&gt;14,"  ",IF(P5&gt;=8,Y5,X5))</f>
        <v>130</v>
      </c>
      <c r="T5" s="475"/>
      <c r="V5" s="3" t="str">
        <f>IF(P5=1,O6,IF(P5=2,O7,IF(P5=3,O8,IF(P5=4,O9,IF(P5=5,O10,IF(P5=6,O11,IF(P5=7,O12,"  ")))))))</f>
        <v>  </v>
      </c>
      <c r="W5" s="3" t="str">
        <f>IF(P5=8,R6,IF(P5=9,R7,IF(P5=10,R8,IF(P5=11,R9,IF(P5=12,R10,IF(P5=13,R11,IF(P5=14,R12,"  ")))))))</f>
        <v>碳鋼 1.0%C</v>
      </c>
      <c r="X5" s="3" t="str">
        <f>IF(P5=1,P6,IF(P5=2,P7,IF(P5=3,P8,IF(P5=4,P9,IF(P5=5,P10,IF(P5=6,P11,IF(P5=7,P12,"  ")))))))</f>
        <v>  </v>
      </c>
      <c r="Y5" s="3">
        <f>IF(P5=8,S6,IF(P5=9,S7,IF(P5=10,S8,IF(P5=11,S9,IF(P5=12,S10,IF(P5=13,S11,IF(P5=14,S12,"  ")))))))</f>
        <v>130</v>
      </c>
    </row>
    <row r="6" spans="1:31" ht="19.500000" customHeight="1">
      <c r="A6" s="434"/>
      <c r="B6" s="69"/>
      <c r="C6" s="439"/>
      <c r="D6" s="69"/>
      <c r="E6" s="69"/>
      <c r="F6" s="69"/>
      <c r="G6" s="69"/>
      <c r="H6" s="69"/>
      <c r="I6" s="69"/>
      <c r="J6" s="109"/>
      <c r="K6" s="69"/>
      <c r="L6" s="69"/>
      <c r="M6" s="69"/>
      <c r="N6" s="506" t="s">
        <v>113</v>
      </c>
      <c r="O6" s="460" t="s">
        <v>149</v>
      </c>
      <c r="P6" s="476">
        <v>20</v>
      </c>
      <c r="Q6" s="477" t="s">
        <v>150</v>
      </c>
      <c r="R6" s="460" t="s">
        <v>151</v>
      </c>
      <c r="S6" s="478">
        <v>28</v>
      </c>
      <c r="T6" s="479"/>
    </row>
    <row r="7" spans="1:31" ht="19.500000" customHeight="1">
      <c r="A7" s="434"/>
      <c r="B7" s="69"/>
      <c r="C7" s="439"/>
      <c r="D7" s="69"/>
      <c r="E7" s="69"/>
      <c r="F7" s="69"/>
      <c r="G7" s="69"/>
      <c r="H7" s="69"/>
      <c r="I7" s="69"/>
      <c r="J7" s="108" t="s">
        <v>152</v>
      </c>
      <c r="K7" s="501">
        <v>1</v>
      </c>
      <c r="L7" s="69"/>
      <c r="M7" s="69"/>
      <c r="N7" s="507" t="s">
        <v>115</v>
      </c>
      <c r="O7" s="118" t="s">
        <v>116</v>
      </c>
      <c r="P7" s="480">
        <v>45</v>
      </c>
      <c r="Q7" s="481" t="s">
        <v>153</v>
      </c>
      <c r="R7" s="118" t="s">
        <v>154</v>
      </c>
      <c r="S7" s="522">
        <v>45</v>
      </c>
      <c r="T7" s="483"/>
      <c r="W7" s="72" t="s">
        <v>155</v>
      </c>
      <c r="X7" s="72" t="s">
        <v>156</v>
      </c>
      <c r="Y7" s="72" t="s">
        <v>157</v>
      </c>
      <c r="Z7" s="72" t="s">
        <v>158</v>
      </c>
      <c r="AA7" s="72" t="s">
        <v>159</v>
      </c>
      <c r="AB7" s="72" t="s">
        <v>160</v>
      </c>
      <c r="AC7" s="72" t="s">
        <v>161</v>
      </c>
      <c r="AD7" s="72" t="s">
        <v>162</v>
      </c>
      <c r="AE7" s="72"/>
    </row>
    <row r="8" spans="1:31" ht="19.500000" customHeight="1">
      <c r="A8" s="434"/>
      <c r="B8" s="69"/>
      <c r="C8" s="439"/>
      <c r="D8" s="501">
        <v>1</v>
      </c>
      <c r="E8" s="69"/>
      <c r="F8" s="69"/>
      <c r="G8" s="69"/>
      <c r="H8" s="69"/>
      <c r="I8" s="69"/>
      <c r="L8" s="69"/>
      <c r="M8" s="166"/>
      <c r="N8" s="507" t="s">
        <v>119</v>
      </c>
      <c r="O8" s="118" t="s">
        <v>163</v>
      </c>
      <c r="P8" s="480">
        <v>60</v>
      </c>
      <c r="Q8" s="481" t="s">
        <v>164</v>
      </c>
      <c r="R8" s="118" t="s">
        <v>165</v>
      </c>
      <c r="S8" s="482">
        <v>45</v>
      </c>
      <c r="T8" s="479"/>
      <c r="V8" s="72" t="s">
        <v>166</v>
      </c>
      <c r="W8" s="3">
        <v>1.8</v>
      </c>
      <c r="X8" s="3">
        <v>1.65</v>
      </c>
      <c r="Y8" s="3">
        <v>1.5</v>
      </c>
      <c r="Z8" s="3">
        <v>1.42</v>
      </c>
      <c r="AA8" s="3">
        <v>1.36</v>
      </c>
      <c r="AB8" s="3">
        <v>1.28</v>
      </c>
      <c r="AC8" s="3">
        <v>1.21</v>
      </c>
      <c r="AD8" s="3">
        <v>1.18</v>
      </c>
    </row>
    <row r="9" spans="1:31" ht="19.500000" customHeight="1">
      <c r="A9" s="434"/>
      <c r="B9" s="69"/>
      <c r="C9" s="439"/>
      <c r="D9" s="440" t="s">
        <v>167</v>
      </c>
      <c r="E9" s="69"/>
      <c r="F9" s="69"/>
      <c r="G9" s="69"/>
      <c r="H9" s="69"/>
      <c r="I9" s="113"/>
      <c r="L9" s="69"/>
      <c r="M9" s="166"/>
      <c r="N9" s="507" t="s">
        <v>121</v>
      </c>
      <c r="O9" s="118" t="s">
        <v>168</v>
      </c>
      <c r="P9" s="480">
        <v>35</v>
      </c>
      <c r="Q9" s="481" t="s">
        <v>169</v>
      </c>
      <c r="R9" s="118" t="s">
        <v>170</v>
      </c>
      <c r="S9" s="482">
        <v>70</v>
      </c>
      <c r="T9" s="483"/>
      <c r="V9" s="72" t="s">
        <v>171</v>
      </c>
      <c r="W9" s="3">
        <v>1.55</v>
      </c>
      <c r="X9" s="3">
        <v>1.5</v>
      </c>
      <c r="Y9" s="3">
        <v>1.4</v>
      </c>
      <c r="Z9" s="3">
        <v>1.35</v>
      </c>
      <c r="AA9" s="3">
        <v>1.3</v>
      </c>
      <c r="AB9" s="3">
        <v>1.25</v>
      </c>
      <c r="AC9" s="3">
        <v>1.2</v>
      </c>
      <c r="AD9" s="3">
        <v>1.18</v>
      </c>
    </row>
    <row r="10" spans="1:31" ht="19.500000" customHeight="1">
      <c r="A10" s="434"/>
      <c r="B10" s="69"/>
      <c r="C10" s="439"/>
      <c r="D10" s="69"/>
      <c r="E10" s="69"/>
      <c r="F10" s="501">
        <v>2.5</v>
      </c>
      <c r="G10" s="69"/>
      <c r="H10" s="69"/>
      <c r="I10" s="69"/>
      <c r="J10" s="69"/>
      <c r="K10" s="69"/>
      <c r="L10" s="69"/>
      <c r="M10" s="166"/>
      <c r="N10" s="507" t="s">
        <v>124</v>
      </c>
      <c r="O10" s="118" t="s">
        <v>172</v>
      </c>
      <c r="P10" s="480">
        <v>60</v>
      </c>
      <c r="Q10" s="481" t="s">
        <v>173</v>
      </c>
      <c r="R10" s="118" t="s">
        <v>174</v>
      </c>
      <c r="S10" s="482">
        <v>90</v>
      </c>
      <c r="T10" s="479"/>
      <c r="V10" s="72" t="s">
        <v>175</v>
      </c>
      <c r="W10" s="3">
        <v>1.42</v>
      </c>
      <c r="X10" s="3">
        <v>1.39</v>
      </c>
      <c r="Y10" s="3">
        <v>1.32</v>
      </c>
      <c r="Z10" s="3">
        <v>1.28</v>
      </c>
      <c r="AA10" s="3">
        <v>1.25</v>
      </c>
      <c r="AB10" s="3">
        <v>1.21</v>
      </c>
      <c r="AC10" s="3">
        <v>1.19</v>
      </c>
      <c r="AD10" s="3">
        <v>1.18</v>
      </c>
    </row>
    <row r="11" spans="1:31" ht="19.500000" customHeight="1">
      <c r="A11" s="434"/>
      <c r="B11" s="69"/>
      <c r="C11" s="439"/>
      <c r="D11" s="69"/>
      <c r="E11" s="69"/>
      <c r="F11" s="69"/>
      <c r="G11" s="69"/>
      <c r="H11" s="69"/>
      <c r="I11" s="69"/>
      <c r="J11" s="114" t="s">
        <v>176</v>
      </c>
      <c r="K11" s="447">
        <v>200</v>
      </c>
      <c r="L11" s="69"/>
      <c r="M11" s="69"/>
      <c r="N11" s="507" t="s">
        <v>126</v>
      </c>
      <c r="O11" s="118" t="s">
        <v>177</v>
      </c>
      <c r="P11" s="487">
        <v>50</v>
      </c>
      <c r="Q11" s="481" t="s">
        <v>178</v>
      </c>
      <c r="R11" s="118" t="s">
        <v>179</v>
      </c>
      <c r="S11" s="522">
        <v>130</v>
      </c>
      <c r="T11" s="479"/>
      <c r="V11" s="3">
        <f>D8/K7</f>
        <v>1</v>
      </c>
      <c r="W11" s="3">
        <f>IF($V$11&lt;=1,W8,IF($V$11&lt;=1.9,W9,W10))</f>
        <v>1.8</v>
      </c>
      <c r="X11" s="3">
        <f>IF($V$11&lt;=1,X8,IF($V$11&lt;=1.9,X9,X10))</f>
        <v>1.65</v>
      </c>
      <c r="Y11" s="3">
        <f>IF($V$11&lt;=1,Y8,IF($V$11&lt;=1.9,Y9,Y10))</f>
        <v>1.5</v>
      </c>
      <c r="Z11" s="3">
        <f>IF($V$11&lt;=1,Z8,IF($V$11&lt;=1.9,Z9,Z10))</f>
        <v>1.42</v>
      </c>
      <c r="AA11" s="3">
        <f>IF($V$11&lt;=1,AA8,IF($V$11&lt;=1.9,AA9,AA10))</f>
        <v>1.36</v>
      </c>
      <c r="AB11" s="3">
        <f>IF($V$11&lt;=1,AB8,IF($V$11&lt;=1.9,AB9,AB10))</f>
        <v>1.28</v>
      </c>
      <c r="AC11" s="3">
        <f>IF($V$11&lt;=1,AC8,IF($V$11&lt;=1.9,AC9,AC10))</f>
        <v>1.21</v>
      </c>
      <c r="AD11" s="3">
        <f>IF($V$11&lt;=1,AD8,IF($V$11&lt;=1.9,AD9,AD10))</f>
        <v>1.18</v>
      </c>
    </row>
    <row r="12" spans="1:31" ht="19.500000" customHeight="1">
      <c r="A12" s="434"/>
      <c r="B12" s="69"/>
      <c r="C12" s="439"/>
      <c r="D12" s="69"/>
      <c r="E12" s="69"/>
      <c r="F12" s="69"/>
      <c r="G12" s="69"/>
      <c r="H12" s="69"/>
      <c r="I12" s="69"/>
      <c r="J12" s="69"/>
      <c r="L12" s="69"/>
      <c r="M12" s="69"/>
      <c r="N12" s="508" t="s">
        <v>129</v>
      </c>
      <c r="O12" s="463" t="s">
        <v>180</v>
      </c>
      <c r="P12" s="488">
        <v>70</v>
      </c>
      <c r="Q12" s="489" t="s">
        <v>181</v>
      </c>
      <c r="R12" s="463" t="s">
        <v>182</v>
      </c>
      <c r="S12" s="523">
        <v>70</v>
      </c>
      <c r="T12" s="479"/>
      <c r="V12" s="3">
        <f>D13/K7</f>
        <v>16</v>
      </c>
      <c r="W12" s="3">
        <f>IF(V12&lt;=5,W11,IF(V12&lt;=6,X11,IF(V12&lt;=8,Y11,IF(V12&lt;=10,Z11,IF(V12&lt;=12,AA11,IF(V12&lt;=15,AB11,IF(V12&lt;=20,AC11,AD11)))))))</f>
        <v>1.21</v>
      </c>
    </row>
    <row r="13" spans="1:31" ht="19.500000" customHeight="1">
      <c r="A13" s="434"/>
      <c r="B13" s="69"/>
      <c r="C13" s="439"/>
      <c r="D13" s="447">
        <v>16</v>
      </c>
      <c r="E13" s="69"/>
      <c r="F13" s="69"/>
      <c r="G13" s="502" t="str">
        <f>IF(D13&lt;X21,"模寬太小建議大於 "&amp;X21,"  ")</f>
        <v>  </v>
      </c>
      <c r="H13" s="503"/>
      <c r="I13" s="503"/>
      <c r="J13" s="503"/>
      <c r="K13" s="69"/>
      <c r="L13" s="69"/>
      <c r="M13" s="69"/>
      <c r="N13" s="464"/>
      <c r="O13" s="16"/>
      <c r="P13" s="69"/>
      <c r="Q13" s="464"/>
      <c r="R13" s="118"/>
      <c r="S13" s="161"/>
      <c r="T13" s="479"/>
      <c r="V13" s="3" t="s">
        <v>183</v>
      </c>
      <c r="W13" s="3">
        <f>(0.5*D13)-(0.35*K7)-(0.29*F10)</f>
        <v>6.925</v>
      </c>
      <c r="X13" s="3">
        <f>IF(W13&gt;(D13/2),(D13/2),W13)</f>
        <v>6.925</v>
      </c>
    </row>
    <row r="14" spans="1:31" ht="19.500000" customHeight="1">
      <c r="A14" s="434"/>
      <c r="B14" s="69"/>
      <c r="C14" s="439"/>
      <c r="D14" s="69"/>
      <c r="E14" s="69"/>
      <c r="F14" s="69"/>
      <c r="G14" s="69"/>
      <c r="H14" s="69"/>
      <c r="I14" s="509" t="s">
        <v>184</v>
      </c>
      <c r="J14" s="510"/>
      <c r="K14" s="467"/>
      <c r="L14" s="511"/>
      <c r="M14" s="511"/>
      <c r="N14" s="468"/>
      <c r="O14" s="512"/>
      <c r="P14" s="467"/>
      <c r="Q14" s="468"/>
      <c r="R14" s="142"/>
      <c r="S14" s="142"/>
      <c r="T14" s="493"/>
      <c r="V14" s="3" t="s">
        <v>185</v>
      </c>
      <c r="W14" s="3">
        <v>0.6</v>
      </c>
    </row>
    <row r="15" spans="1:31" ht="19.500000" customHeight="1">
      <c r="A15" s="434"/>
      <c r="B15" s="69"/>
      <c r="C15" s="439"/>
      <c r="D15" s="435" t="s">
        <v>186</v>
      </c>
      <c r="E15" s="69"/>
      <c r="F15" s="69"/>
      <c r="G15" s="69"/>
      <c r="H15" s="69"/>
      <c r="I15" s="513"/>
      <c r="J15" s="361"/>
      <c r="K15" s="514"/>
      <c r="L15" s="515"/>
      <c r="M15" s="515"/>
      <c r="N15" s="516"/>
      <c r="O15" s="144"/>
      <c r="P15" s="514"/>
      <c r="Q15" s="516"/>
      <c r="R15" s="144"/>
      <c r="S15" s="524"/>
      <c r="T15" s="525"/>
      <c r="V15" s="3" t="s">
        <v>183</v>
      </c>
      <c r="W15" s="3">
        <f>(0.5*D23)-(0.35*K7)-(0.29*F20)</f>
        <v>9.425</v>
      </c>
      <c r="X15" s="3">
        <f>IF(W15&gt;(D23/2),(D23/2),W15)</f>
        <v>9.425</v>
      </c>
    </row>
    <row r="16" spans="1:31" ht="19.500000" customHeight="1">
      <c r="A16" s="434"/>
      <c r="B16" s="69"/>
      <c r="C16" s="439"/>
      <c r="D16" s="69"/>
      <c r="E16" s="69"/>
      <c r="F16" s="69"/>
      <c r="G16" s="69"/>
      <c r="H16" s="69"/>
      <c r="I16" s="513"/>
      <c r="J16" s="514"/>
      <c r="K16" s="514"/>
      <c r="L16" s="514"/>
      <c r="M16" s="514"/>
      <c r="N16" s="514"/>
      <c r="O16" s="514"/>
      <c r="P16" s="514"/>
      <c r="Q16" s="144"/>
      <c r="R16" s="144"/>
      <c r="S16" s="526"/>
      <c r="T16" s="527"/>
      <c r="V16" s="3" t="s">
        <v>185</v>
      </c>
      <c r="W16" s="3">
        <v>0.3</v>
      </c>
    </row>
    <row r="17" spans="1:30" ht="19.500000" customHeight="1">
      <c r="A17" s="434"/>
      <c r="B17" s="69"/>
      <c r="C17" s="439"/>
      <c r="D17" s="69"/>
      <c r="E17" s="69"/>
      <c r="F17" s="69"/>
      <c r="G17" s="69"/>
      <c r="H17" s="69"/>
      <c r="I17" s="513"/>
      <c r="J17" s="363"/>
      <c r="K17" s="363"/>
      <c r="L17" s="514"/>
      <c r="M17" s="359"/>
      <c r="N17" s="359"/>
      <c r="O17" s="359"/>
      <c r="P17" s="514"/>
      <c r="Q17" s="144"/>
      <c r="R17" s="144"/>
      <c r="S17" s="514"/>
      <c r="T17" s="528"/>
      <c r="W17" s="3">
        <f>(W12^3)+(2*W12)</f>
        <v>4.191561</v>
      </c>
    </row>
    <row r="18" spans="1:30" ht="19.500000" customHeight="1">
      <c r="A18" s="434"/>
      <c r="B18" s="69"/>
      <c r="C18" s="439"/>
      <c r="D18" s="501">
        <v>1</v>
      </c>
      <c r="E18" s="69"/>
      <c r="F18" s="69"/>
      <c r="G18" s="69"/>
      <c r="H18" s="69"/>
      <c r="I18" s="513"/>
      <c r="J18" s="363"/>
      <c r="K18" s="363"/>
      <c r="L18" s="514"/>
      <c r="M18" s="514"/>
      <c r="N18" s="514"/>
      <c r="O18" s="514"/>
      <c r="P18" s="514"/>
      <c r="Q18" s="514"/>
      <c r="R18" s="514"/>
      <c r="S18" s="514"/>
      <c r="T18" s="528"/>
    </row>
    <row r="19" spans="1:30" ht="19.500000" customHeight="1">
      <c r="A19" s="434"/>
      <c r="B19" s="69"/>
      <c r="C19" s="439"/>
      <c r="D19" s="440" t="s">
        <v>167</v>
      </c>
      <c r="E19" s="69"/>
      <c r="F19" s="69"/>
      <c r="G19" s="69"/>
      <c r="H19" s="69"/>
      <c r="I19" s="517"/>
      <c r="J19" s="514"/>
      <c r="K19" s="514"/>
      <c r="L19" s="518"/>
      <c r="M19" s="514"/>
      <c r="N19" s="514"/>
      <c r="O19" s="514"/>
      <c r="P19" s="514"/>
      <c r="Q19" s="529"/>
      <c r="R19" s="529"/>
      <c r="S19" s="529"/>
      <c r="T19" s="530"/>
      <c r="W19" s="72"/>
      <c r="X19" s="72"/>
      <c r="Y19" s="72"/>
      <c r="Z19" s="72"/>
      <c r="AA19" s="72"/>
      <c r="AB19" s="72"/>
      <c r="AC19" s="72"/>
      <c r="AD19" s="72"/>
    </row>
    <row r="20" spans="1:30" ht="19.500000" customHeight="1">
      <c r="A20" s="434"/>
      <c r="B20" s="69"/>
      <c r="C20" s="439"/>
      <c r="D20" s="69"/>
      <c r="E20" s="69"/>
      <c r="F20" s="501">
        <v>2.5</v>
      </c>
      <c r="G20" s="69"/>
      <c r="H20" s="69"/>
      <c r="I20" s="517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28"/>
      <c r="V20" s="3" t="s">
        <v>187</v>
      </c>
      <c r="W20" s="226">
        <f>(S5^0.5+1/K7*10)*K7</f>
        <v>21.4017542509914</v>
      </c>
      <c r="X20" s="226">
        <f>(S5^0.5+1/K7*10)*K7*0.75</f>
        <v>16.0513156882435</v>
      </c>
    </row>
    <row r="21" spans="1:30" ht="19.500000" customHeight="1">
      <c r="A21" s="434"/>
      <c r="B21" s="69"/>
      <c r="C21" s="439"/>
      <c r="D21" s="69"/>
      <c r="E21" s="69"/>
      <c r="F21" s="69"/>
      <c r="G21" s="69"/>
      <c r="H21" s="69"/>
      <c r="I21" s="513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28"/>
      <c r="W21" s="226">
        <f>INT(W20)</f>
        <v>21</v>
      </c>
      <c r="X21" s="226">
        <f>INT(X20)</f>
        <v>16</v>
      </c>
    </row>
    <row r="22" spans="1:30" ht="19.500000" customHeight="1">
      <c r="A22" s="434"/>
      <c r="B22" s="69"/>
      <c r="C22" s="439"/>
      <c r="D22" s="69"/>
      <c r="E22" s="69"/>
      <c r="F22" s="69"/>
      <c r="G22" s="69"/>
      <c r="H22" s="69"/>
      <c r="I22" s="519"/>
      <c r="J22" s="359"/>
      <c r="K22" s="514"/>
      <c r="L22" s="514"/>
      <c r="M22" s="514"/>
      <c r="N22" s="514"/>
      <c r="O22" s="514"/>
      <c r="P22" s="514"/>
      <c r="Q22" s="514"/>
      <c r="R22" s="514"/>
      <c r="S22" s="514"/>
      <c r="T22" s="528"/>
    </row>
    <row r="23" spans="1:30" ht="19.500000" customHeight="1">
      <c r="A23" s="434"/>
      <c r="B23" s="69"/>
      <c r="C23" s="439"/>
      <c r="D23" s="447">
        <v>21</v>
      </c>
      <c r="E23" s="69"/>
      <c r="F23" s="69"/>
      <c r="G23" s="69"/>
      <c r="H23" s="69"/>
      <c r="I23" s="513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28"/>
    </row>
    <row r="24" spans="1:30" ht="19.500000" customHeight="1">
      <c r="A24" s="434"/>
      <c r="B24" s="69"/>
      <c r="D24" s="502" t="str">
        <f>IF(D23&lt;W21,"模寬太小建議大於 "&amp;W21,"  ")</f>
        <v>  </v>
      </c>
      <c r="E24" s="503"/>
      <c r="F24" s="503"/>
      <c r="G24" s="69"/>
      <c r="H24" s="69"/>
      <c r="I24" s="513"/>
      <c r="J24" s="514"/>
      <c r="K24" s="514"/>
      <c r="L24" s="514"/>
      <c r="M24" s="514"/>
      <c r="N24" s="514"/>
      <c r="O24" s="514"/>
      <c r="P24" s="514"/>
      <c r="Q24" s="514"/>
      <c r="R24" s="514"/>
      <c r="S24" s="514"/>
      <c r="T24" s="528"/>
    </row>
    <row r="25" spans="1:30" ht="19.500000" customHeight="1">
      <c r="A25" s="449"/>
      <c r="B25" s="450"/>
      <c r="C25" s="450"/>
      <c r="D25" s="450"/>
      <c r="E25" s="450"/>
      <c r="F25" s="450"/>
      <c r="G25" s="450"/>
      <c r="H25" s="450"/>
      <c r="I25" s="520"/>
      <c r="J25" s="521"/>
      <c r="K25" s="521"/>
      <c r="L25" s="521"/>
      <c r="M25" s="521"/>
      <c r="N25" s="521"/>
      <c r="O25" s="521"/>
      <c r="P25" s="521"/>
      <c r="Q25" s="521"/>
      <c r="R25" s="521"/>
      <c r="S25" s="521"/>
      <c r="T25" s="531"/>
    </row>
    <row r="26" spans="1:30">
      <c r="P26" s="16"/>
      <c r="Q26" s="16"/>
      <c r="R26" s="16"/>
      <c r="S26" s="16"/>
      <c r="T26" s="16"/>
    </row>
    <row r="27" spans="1:30">
      <c r="P27" s="16"/>
      <c r="Q27" s="16"/>
      <c r="R27" s="16"/>
      <c r="S27" s="16"/>
      <c r="T27" s="16"/>
    </row>
    <row r="28" spans="1:30">
      <c r="P28" s="16"/>
      <c r="Q28" s="16"/>
      <c r="R28" s="16"/>
      <c r="S28" s="16"/>
      <c r="T28" s="16"/>
    </row>
    <row r="29" spans="1:30">
      <c r="P29" s="16"/>
      <c r="Q29" s="16"/>
      <c r="R29" s="16"/>
      <c r="S29" s="16"/>
      <c r="T29" s="16"/>
    </row>
    <row r="30" spans="1:30">
      <c r="P30" s="16"/>
      <c r="Q30" s="16"/>
      <c r="R30" s="16"/>
      <c r="S30" s="16"/>
      <c r="T30" s="16"/>
    </row>
    <row r="31" spans="1:30">
      <c r="P31" s="16"/>
      <c r="Q31" s="16"/>
      <c r="R31" s="16"/>
      <c r="S31" s="16"/>
      <c r="T31" s="16"/>
    </row>
    <row r="32" spans="1:30">
      <c r="P32" s="16"/>
      <c r="Q32" s="16"/>
      <c r="R32" s="16"/>
      <c r="S32" s="16"/>
      <c r="T32" s="16"/>
    </row>
    <row r="33" spans="16:20">
      <c r="P33" s="16"/>
      <c r="Q33" s="16"/>
      <c r="R33" s="16"/>
      <c r="S33" s="16"/>
      <c r="T33" s="16"/>
    </row>
    <row r="34" spans="16:20">
      <c r="P34" s="16"/>
      <c r="Q34" s="16"/>
      <c r="R34" s="16"/>
      <c r="S34" s="16"/>
      <c r="T34" s="16"/>
    </row>
    <row r="35" spans="16:20">
      <c r="P35" s="16"/>
      <c r="Q35" s="16"/>
      <c r="R35" s="16"/>
      <c r="S35" s="16"/>
      <c r="T35" s="16"/>
    </row>
    <row r="36" spans="16:20">
      <c r="P36" s="16"/>
      <c r="Q36" s="16"/>
      <c r="R36" s="16"/>
      <c r="S36" s="16"/>
      <c r="T36" s="16"/>
    </row>
    <row r="37" spans="16:20">
      <c r="P37" s="16"/>
      <c r="Q37" s="16"/>
      <c r="R37" s="16"/>
      <c r="S37" s="16"/>
      <c r="T37" s="16"/>
    </row>
    <row r="38" spans="16:20">
      <c r="P38" s="16"/>
      <c r="Q38" s="16"/>
      <c r="R38" s="16"/>
      <c r="S38" s="16"/>
      <c r="T38" s="16"/>
    </row>
    <row r="39" spans="16:20">
      <c r="P39" s="16"/>
      <c r="Q39" s="16"/>
      <c r="R39" s="16"/>
      <c r="S39" s="16"/>
      <c r="T39" s="16"/>
    </row>
    <row r="40" spans="16:20">
      <c r="P40" s="16"/>
      <c r="Q40" s="16"/>
      <c r="R40" s="16"/>
      <c r="S40" s="16"/>
      <c r="T40" s="16"/>
    </row>
    <row r="41" spans="16:20">
      <c r="P41" s="16"/>
      <c r="Q41" s="16"/>
      <c r="R41" s="16"/>
      <c r="S41" s="16"/>
      <c r="T41" s="16"/>
    </row>
    <row r="42" spans="16:20">
      <c r="P42" s="16"/>
      <c r="Q42" s="16"/>
      <c r="R42" s="16"/>
      <c r="S42" s="16"/>
      <c r="T42" s="16"/>
    </row>
    <row r="43" spans="16:20">
      <c r="P43" s="16"/>
      <c r="Q43" s="16"/>
      <c r="R43" s="16"/>
      <c r="S43" s="16"/>
      <c r="T43" s="16"/>
    </row>
    <row r="44" spans="16:20">
      <c r="P44" s="16"/>
      <c r="Q44" s="16"/>
      <c r="R44" s="16"/>
      <c r="S44" s="16"/>
      <c r="T44" s="16"/>
    </row>
    <row r="45" spans="16:20">
      <c r="P45" s="16"/>
      <c r="Q45" s="16"/>
      <c r="R45" s="16"/>
      <c r="S45" s="16"/>
      <c r="T45" s="16"/>
    </row>
    <row r="46" spans="16:20">
      <c r="P46" s="16"/>
      <c r="Q46" s="16"/>
      <c r="R46" s="16"/>
      <c r="S46" s="16"/>
      <c r="T46" s="16"/>
    </row>
    <row r="47" spans="16:20">
      <c r="P47" s="16"/>
      <c r="Q47" s="16"/>
      <c r="R47" s="16"/>
      <c r="S47" s="16"/>
      <c r="T47" s="16"/>
    </row>
    <row r="48" spans="16:20">
      <c r="P48" s="16"/>
      <c r="Q48" s="16"/>
      <c r="R48" s="16"/>
      <c r="S48" s="16"/>
      <c r="T48" s="16"/>
    </row>
    <row r="49" spans="16:20">
      <c r="P49" s="16"/>
      <c r="Q49" s="16"/>
      <c r="R49" s="16"/>
      <c r="S49" s="16"/>
      <c r="T49" s="16"/>
    </row>
    <row r="50" spans="16:20">
      <c r="P50" s="16"/>
      <c r="Q50" s="16"/>
      <c r="R50" s="16"/>
      <c r="S50" s="16"/>
      <c r="T50" s="16"/>
    </row>
    <row r="51" spans="16:20">
      <c r="P51" s="16"/>
      <c r="Q51" s="16"/>
      <c r="R51" s="16"/>
      <c r="S51" s="16"/>
      <c r="T51" s="16"/>
    </row>
    <row r="52" spans="16:20">
      <c r="P52" s="16"/>
      <c r="Q52" s="16"/>
      <c r="R52" s="16"/>
      <c r="S52" s="16"/>
      <c r="T52" s="16"/>
    </row>
    <row r="53" spans="16:20">
      <c r="P53" s="16"/>
      <c r="Q53" s="16"/>
      <c r="R53" s="16"/>
      <c r="S53" s="16"/>
      <c r="T53" s="16"/>
    </row>
    <row r="54" spans="16:20">
      <c r="P54" s="16"/>
      <c r="Q54" s="16"/>
      <c r="R54" s="16"/>
      <c r="S54" s="16"/>
      <c r="T54" s="16"/>
    </row>
    <row r="55" spans="16:20">
      <c r="P55" s="16"/>
      <c r="Q55" s="16"/>
      <c r="R55" s="16"/>
      <c r="S55" s="16"/>
      <c r="T55" s="16"/>
    </row>
    <row r="56" spans="16:20">
      <c r="P56" s="16"/>
      <c r="Q56" s="16"/>
      <c r="R56" s="16"/>
      <c r="S56" s="16"/>
      <c r="T56" s="16"/>
    </row>
    <row r="57" spans="16:20">
      <c r="P57" s="16"/>
      <c r="Q57" s="16"/>
      <c r="R57" s="16"/>
      <c r="S57" s="16"/>
      <c r="T57" s="16"/>
    </row>
    <row r="58" spans="16:20">
      <c r="P58" s="16"/>
      <c r="Q58" s="16"/>
      <c r="R58" s="16"/>
      <c r="S58" s="16"/>
      <c r="T58" s="16"/>
    </row>
    <row r="59" spans="16:20">
      <c r="P59" s="16"/>
      <c r="Q59" s="16"/>
      <c r="R59" s="16"/>
      <c r="S59" s="16"/>
      <c r="T59" s="16"/>
    </row>
  </sheetData>
  <sheetProtection sheet="1" password="ce28" objects="1" scenarios="1"/>
  <mergeCells count="9">
    <mergeCell ref="A1:R1"/>
    <mergeCell ref="A2:C2"/>
    <mergeCell ref="E2:F2"/>
    <mergeCell ref="H2:J2"/>
    <mergeCell ref="A3:C3"/>
    <mergeCell ref="E3:F3"/>
    <mergeCell ref="H3:J3"/>
    <mergeCell ref="P3:R3"/>
    <mergeCell ref="Q5:R5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0"/>
  <sheetViews>
    <sheetView showGridLines="0" showRowColHeaders="0" zoomScale="85" zoomScaleNormal="85" workbookViewId="0">
      <pane xSplit="29" ySplit="26" topLeftCell="AD27" activePane="bottomRight" state="frozen"/>
      <selection pane="topRight" activeCell="AD1" sqref="AD1"/>
      <selection pane="bottomLeft" activeCell="A27" sqref="A27"/>
      <selection pane="bottomRight" activeCell="A1" sqref="A1:AA1"/>
    </sheetView>
  </sheetViews>
  <sheetFormatPr defaultColWidth="9.00000000" defaultRowHeight="16.200000"/>
  <cols>
    <col min="1" max="1" style="3" width="4.14785705" customWidth="1" outlineLevel="0"/>
    <col min="2" max="2" style="3" width="3.71928583" customWidth="1" outlineLevel="0"/>
    <col min="3" max="3" style="3" width="5.14785705" customWidth="1" outlineLevel="0"/>
    <col min="4" max="5" style="3" width="4.14785705" customWidth="1" outlineLevel="0"/>
    <col min="6" max="6" style="3" width="6.29071413" customWidth="1" outlineLevel="0"/>
    <col min="7" max="12" style="3" width="4.14785705" customWidth="1" outlineLevel="0"/>
    <col min="13" max="13" style="3" width="3.71928583" customWidth="1" outlineLevel="0"/>
    <col min="14" max="14" style="3" width="5.14785705" customWidth="1" outlineLevel="0"/>
    <col min="15" max="16" style="3" width="4.14785705" customWidth="1" outlineLevel="0"/>
    <col min="17" max="17" style="3" width="6.29071413" customWidth="1" outlineLevel="0"/>
    <col min="18" max="19" style="3" width="4.14785705" customWidth="1" outlineLevel="0"/>
    <col min="20" max="20" style="3" width="4.00499998" customWidth="1" outlineLevel="0"/>
    <col min="21" max="21" style="3" width="4.14785705" customWidth="1" outlineLevel="0"/>
    <col min="22" max="22" style="3" width="3.14785705" customWidth="1" outlineLevel="0"/>
    <col min="23" max="23" style="3" width="2.71928583" customWidth="1" outlineLevel="0"/>
    <col min="24" max="24" style="3" width="9.14785753" customWidth="1" outlineLevel="0"/>
    <col min="25" max="25" style="3" width="4.14785705" customWidth="1" outlineLevel="0"/>
    <col min="26" max="26" style="3" width="2.86214290" customWidth="1" outlineLevel="0"/>
    <col min="27" max="27" style="3" width="14.86214243" customWidth="1" outlineLevel="0"/>
    <col min="28" max="28" style="3" width="4.71928583" customWidth="1" outlineLevel="0"/>
    <col min="29" max="29" style="3" width="1.71928571" customWidth="1" outlineLevel="0"/>
    <col min="30" max="30" style="3" width="8.14785705" customWidth="1" outlineLevel="0"/>
    <col min="31" max="31" style="3" width="7.29071413" hidden="1" customWidth="1" outlineLevel="0"/>
    <col min="32" max="32" style="3" width="7.14785705" hidden="1" customWidth="1" outlineLevel="0"/>
    <col min="33" max="35" style="3" width="5.86214290" hidden="1" customWidth="1" outlineLevel="0"/>
    <col min="36" max="36" style="3" width="6.00499998" hidden="1" customWidth="1" outlineLevel="0"/>
    <col min="37" max="37" style="3" width="6.43357120" hidden="1" customWidth="1" outlineLevel="0"/>
    <col min="38" max="38" style="3" width="5.86214290" hidden="1" customWidth="1" outlineLevel="0"/>
    <col min="39" max="39" style="3" width="7.43357120" hidden="1" customWidth="1" outlineLevel="0"/>
    <col min="40" max="40" style="3" width="8.29071413" customWidth="1" outlineLevel="0"/>
    <col min="41" max="16384" style="3" width="9.00499998" customWidth="1" outlineLevel="0"/>
  </cols>
  <sheetData>
    <row r="1" spans="1:40" ht="45.750000">
      <c r="A1" s="703" t="s">
        <v>188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  <c r="P1" s="703"/>
      <c r="Q1" s="703"/>
      <c r="R1" s="703"/>
      <c r="S1" s="703"/>
      <c r="T1" s="703"/>
      <c r="U1" s="703"/>
      <c r="V1" s="703"/>
      <c r="W1" s="703"/>
      <c r="X1" s="703"/>
      <c r="Y1" s="703"/>
      <c r="Z1" s="703"/>
      <c r="AA1" s="703"/>
      <c r="AB1" s="16"/>
      <c r="AC1" s="16"/>
    </row>
    <row r="2" spans="1:40" s="65" customFormat="1" ht="27.750000" customHeight="1">
      <c r="A2" s="707" t="s">
        <v>189</v>
      </c>
      <c r="B2" s="708"/>
      <c r="C2" s="708"/>
      <c r="D2" s="708"/>
      <c r="E2" s="708"/>
      <c r="F2" s="709">
        <f>F5+F13</f>
        <v>18.72</v>
      </c>
      <c r="G2" s="238"/>
      <c r="H2" s="429" t="s">
        <v>2</v>
      </c>
      <c r="I2" s="429"/>
      <c r="J2" s="429"/>
      <c r="K2" s="704" t="s">
        <v>190</v>
      </c>
      <c r="L2" s="710"/>
      <c r="M2" s="710"/>
      <c r="N2" s="710"/>
      <c r="O2" s="710"/>
      <c r="P2" s="710"/>
      <c r="Q2" s="711">
        <f>Q5+Q13</f>
        <v>101.088</v>
      </c>
      <c r="R2" s="712"/>
      <c r="S2" s="429" t="s">
        <v>2</v>
      </c>
      <c r="U2" s="454"/>
    </row>
    <row r="3" spans="1:40" s="65" customFormat="1" ht="21.750000" customHeight="1">
      <c r="A3" s="713" t="s">
        <v>191</v>
      </c>
      <c r="B3" s="655"/>
      <c r="C3" s="655"/>
      <c r="D3" s="655"/>
      <c r="E3" s="655"/>
      <c r="F3" s="714">
        <f>F5*AF23*AF24</f>
        <v>76.122503638776</v>
      </c>
      <c r="G3" s="715"/>
      <c r="H3" s="430" t="s">
        <v>144</v>
      </c>
      <c r="I3" s="430"/>
      <c r="J3" s="430"/>
      <c r="K3" s="716" t="s">
        <v>192</v>
      </c>
      <c r="L3" s="717"/>
      <c r="M3" s="717"/>
      <c r="N3" s="717"/>
      <c r="O3" s="717"/>
      <c r="P3" s="717"/>
      <c r="Q3" s="718">
        <f>Q2*AJ23*AJ24</f>
        <v>254.466655021051</v>
      </c>
      <c r="R3" s="653"/>
      <c r="S3" s="430" t="s">
        <v>144</v>
      </c>
      <c r="T3" s="89"/>
      <c r="U3" s="455"/>
      <c r="X3" s="397" t="s">
        <v>146</v>
      </c>
      <c r="Y3" s="654">
        <f>TODAY()</f>
        <v>43411</v>
      </c>
      <c r="Z3" s="89"/>
      <c r="AA3" s="89"/>
      <c r="AB3" s="89"/>
      <c r="AC3" s="89"/>
    </row>
    <row r="4" spans="1:40" ht="19.500000" customHeight="1">
      <c r="A4" s="431"/>
      <c r="B4" s="432"/>
      <c r="C4" s="433" t="s">
        <v>147</v>
      </c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 t="s">
        <v>186</v>
      </c>
      <c r="O4" s="432"/>
      <c r="P4" s="432"/>
      <c r="Q4" s="432"/>
      <c r="R4" s="432"/>
      <c r="S4" s="456"/>
      <c r="T4" s="456"/>
      <c r="U4" s="432"/>
      <c r="V4" s="432"/>
      <c r="W4" s="432"/>
      <c r="X4" s="432"/>
      <c r="Y4" s="432"/>
      <c r="Z4" s="432"/>
      <c r="AA4" s="432"/>
      <c r="AB4" s="432"/>
      <c r="AC4" s="472"/>
    </row>
    <row r="5" spans="1:40" ht="19.500000" customHeight="1">
      <c r="A5" s="434"/>
      <c r="B5" s="69"/>
      <c r="C5" s="118"/>
      <c r="D5" s="435"/>
      <c r="E5" s="69"/>
      <c r="F5" s="436">
        <f>AF14*AB5*(F14+F15)*2*F20/1000</f>
        <v>14.4</v>
      </c>
      <c r="G5" s="161"/>
      <c r="H5" s="118"/>
      <c r="I5" s="69"/>
      <c r="J5" s="69"/>
      <c r="K5" s="69"/>
      <c r="L5" s="69"/>
      <c r="M5" s="69"/>
      <c r="N5" s="69"/>
      <c r="O5" s="69"/>
      <c r="P5" s="69"/>
      <c r="Q5" s="436">
        <f>AG22*AB5*(Q14+Q15)*2*F20/1000</f>
        <v>77.76</v>
      </c>
      <c r="R5" s="161"/>
      <c r="S5" s="118"/>
      <c r="T5" s="108"/>
      <c r="U5" s="438"/>
      <c r="V5" s="69"/>
      <c r="W5" s="457" t="s">
        <v>148</v>
      </c>
      <c r="X5" s="458"/>
      <c r="Y5" s="473">
        <v>12</v>
      </c>
      <c r="Z5" s="702" t="str">
        <f>IF(Y5&gt;14,"  ",IF(Y5&gt;=8,AF5,AE5))</f>
        <v>碳鋼  0.6-0.8%C</v>
      </c>
      <c r="AA5" s="702"/>
      <c r="AB5" s="474">
        <f>IF(Y5&gt;14,"  ",IF(Y5&gt;=8,AH5,AG5))</f>
        <v>90</v>
      </c>
      <c r="AC5" s="475"/>
      <c r="AE5" s="3" t="str">
        <f>IF(Y5=1,X6,IF(Y5=2,X7,IF(Y5=3,X8,IF(Y5=4,X9,IF(Y5=5,X10,IF(Y5=6,X11,IF(Y5=7,X12,"  ")))))))</f>
        <v>  </v>
      </c>
      <c r="AF5" s="3" t="str">
        <f>IF(Y5=8,AA6,IF(Y5=9,AA7,IF(Y5=10,AA8,IF(Y5=11,AA9,IF(Y5=12,AA10,IF(Y5=13,AA11,IF(Y5=14,AA12,"  ")))))))</f>
        <v>碳鋼  0.6-0.8%C</v>
      </c>
      <c r="AG5" s="3" t="str">
        <f>IF(Y5=1,Y6,IF(Y5=2,Y7,IF(Y5=3,Y8,IF(Y5=4,Y9,IF(Y5=5,Y10,IF(Y5=6,Y11,IF(Y5=7,Y12,"  ")))))))</f>
        <v>  </v>
      </c>
      <c r="AH5" s="3">
        <f>IF(Y5=8,AB6,IF(Y5=9,AB7,IF(Y5=10,AB8,IF(Y5=11,AB9,IF(Y5=12,AB10,IF(Y5=13,AB11,IF(Y5=14,AB12,"  ")))))))</f>
        <v>90</v>
      </c>
    </row>
    <row r="6" spans="1:40" ht="19.500000" customHeight="1">
      <c r="A6" s="434"/>
      <c r="B6" s="354"/>
      <c r="C6" s="354"/>
      <c r="D6" s="69"/>
      <c r="E6" s="69"/>
      <c r="F6" s="69"/>
      <c r="G6" s="69"/>
      <c r="H6" s="69"/>
      <c r="I6" s="69"/>
      <c r="P6" s="69"/>
      <c r="Q6" s="69"/>
      <c r="R6" s="69"/>
      <c r="S6" s="69"/>
      <c r="V6" s="69"/>
      <c r="W6" s="459" t="s">
        <v>113</v>
      </c>
      <c r="X6" s="460" t="s">
        <v>149</v>
      </c>
      <c r="Y6" s="476">
        <v>20</v>
      </c>
      <c r="Z6" s="477" t="s">
        <v>150</v>
      </c>
      <c r="AA6" s="460" t="s">
        <v>151</v>
      </c>
      <c r="AB6" s="478">
        <v>28</v>
      </c>
      <c r="AC6" s="479"/>
    </row>
    <row r="7" spans="1:40" ht="19.500000" customHeight="1">
      <c r="A7" s="434"/>
      <c r="B7" s="69"/>
      <c r="C7" s="437"/>
      <c r="D7" s="438"/>
      <c r="E7" s="69"/>
      <c r="F7" s="69"/>
      <c r="G7" s="69"/>
      <c r="H7" s="69"/>
      <c r="I7" s="719">
        <f>((N16^0.5)*(F20^0.75)*(N9^0.2))/3</f>
        <v>3.6340661094354</v>
      </c>
      <c r="J7" s="720"/>
      <c r="L7" s="438"/>
      <c r="M7" s="438"/>
      <c r="N7" s="438"/>
      <c r="O7" s="438"/>
      <c r="P7" s="438"/>
      <c r="Q7" s="69"/>
      <c r="R7" s="69"/>
      <c r="S7" s="113"/>
      <c r="T7" s="719">
        <f>((N16^0.5)*(F20^0.75)*(N9^0.2))/3</f>
        <v>3.6340661094354</v>
      </c>
      <c r="U7" s="720"/>
      <c r="V7" s="69"/>
      <c r="W7" s="461" t="s">
        <v>115</v>
      </c>
      <c r="X7" s="118" t="s">
        <v>116</v>
      </c>
      <c r="Y7" s="480">
        <v>45</v>
      </c>
      <c r="Z7" s="481" t="s">
        <v>153</v>
      </c>
      <c r="AA7" s="118" t="s">
        <v>154</v>
      </c>
      <c r="AB7" s="482">
        <v>45</v>
      </c>
      <c r="AC7" s="483"/>
      <c r="AE7" s="388"/>
      <c r="AF7" s="484" t="s">
        <v>193</v>
      </c>
      <c r="AG7" s="484" t="s">
        <v>194</v>
      </c>
      <c r="AH7" s="484" t="s">
        <v>195</v>
      </c>
      <c r="AI7" s="484" t="s">
        <v>196</v>
      </c>
      <c r="AJ7" s="484" t="s">
        <v>197</v>
      </c>
      <c r="AK7" s="484" t="s">
        <v>198</v>
      </c>
      <c r="AL7" s="484" t="s">
        <v>199</v>
      </c>
      <c r="AM7" s="497" t="s">
        <v>200</v>
      </c>
      <c r="AN7" s="72"/>
    </row>
    <row r="8" spans="1:40" ht="19.500000" customHeight="1">
      <c r="A8" s="434"/>
      <c r="B8" s="69"/>
      <c r="C8" s="439"/>
      <c r="D8" s="440"/>
      <c r="E8" s="69"/>
      <c r="F8" s="441">
        <f>(L24-F20)</f>
        <v>0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441">
        <f>L24-F20</f>
        <v>0</v>
      </c>
      <c r="R8" s="69"/>
      <c r="S8" s="69"/>
      <c r="T8" s="69"/>
      <c r="U8" s="69"/>
      <c r="V8" s="166"/>
      <c r="W8" s="461" t="s">
        <v>119</v>
      </c>
      <c r="X8" s="118" t="s">
        <v>163</v>
      </c>
      <c r="Y8" s="480">
        <v>60</v>
      </c>
      <c r="Z8" s="481" t="s">
        <v>164</v>
      </c>
      <c r="AA8" s="118" t="s">
        <v>165</v>
      </c>
      <c r="AB8" s="482">
        <v>45</v>
      </c>
      <c r="AC8" s="479"/>
      <c r="AE8" s="392" t="s">
        <v>201</v>
      </c>
      <c r="AF8" s="485">
        <v>0.6</v>
      </c>
      <c r="AG8" s="485">
        <v>0.5</v>
      </c>
      <c r="AH8" s="485">
        <v>0.4</v>
      </c>
      <c r="AI8" s="485">
        <v>0.35</v>
      </c>
      <c r="AJ8" s="485">
        <v>0.325</v>
      </c>
      <c r="AK8" s="485">
        <v>0.3</v>
      </c>
      <c r="AL8" s="485">
        <v>0.228</v>
      </c>
      <c r="AM8" s="498">
        <v>0.226</v>
      </c>
      <c r="AN8" s="72"/>
    </row>
    <row r="9" spans="1:40" ht="19.500000" customHeight="1">
      <c r="A9" s="434"/>
      <c r="B9" s="69"/>
      <c r="C9" s="442">
        <f>((1/(AB5/10))+((N16/10)^0.5))*(F20^0.5)+F20</f>
        <v>3.7568624221757</v>
      </c>
      <c r="D9" s="69"/>
      <c r="E9" s="69"/>
      <c r="F9" s="438"/>
      <c r="G9" s="438"/>
      <c r="H9" s="438"/>
      <c r="I9" s="438"/>
      <c r="J9" s="438"/>
      <c r="K9" s="438"/>
      <c r="L9" s="69"/>
      <c r="M9" s="69"/>
      <c r="N9" s="442">
        <f>((1/(AB5/10))+((N16/10)^0.5))*(F20^0.5)+F20</f>
        <v>3.7568624221757</v>
      </c>
      <c r="O9" s="69"/>
      <c r="P9" s="69"/>
      <c r="Q9" s="69"/>
      <c r="R9" s="69"/>
      <c r="S9" s="69"/>
      <c r="T9" s="114"/>
      <c r="U9" s="337"/>
      <c r="V9" s="166"/>
      <c r="W9" s="461" t="s">
        <v>121</v>
      </c>
      <c r="X9" s="118" t="s">
        <v>168</v>
      </c>
      <c r="Y9" s="480">
        <v>35</v>
      </c>
      <c r="Z9" s="481" t="s">
        <v>169</v>
      </c>
      <c r="AA9" s="118" t="s">
        <v>170</v>
      </c>
      <c r="AB9" s="482">
        <v>70</v>
      </c>
      <c r="AC9" s="483"/>
      <c r="AE9" s="392" t="s">
        <v>202</v>
      </c>
      <c r="AF9" s="486">
        <v>0.5</v>
      </c>
      <c r="AG9" s="486">
        <v>0.4</v>
      </c>
      <c r="AH9" s="486">
        <v>0.35</v>
      </c>
      <c r="AI9" s="486">
        <v>0.325</v>
      </c>
      <c r="AJ9" s="486">
        <v>0.3</v>
      </c>
      <c r="AK9" s="486">
        <v>0.228</v>
      </c>
      <c r="AL9" s="486">
        <v>0.226</v>
      </c>
      <c r="AM9" s="499">
        <v>0.224</v>
      </c>
    </row>
    <row r="10" spans="1:40" ht="19.500000" customHeight="1">
      <c r="A10" s="434"/>
      <c r="B10" s="69"/>
      <c r="C10" s="43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118"/>
      <c r="V10" s="166"/>
      <c r="W10" s="461" t="s">
        <v>124</v>
      </c>
      <c r="X10" s="118" t="s">
        <v>172</v>
      </c>
      <c r="Y10" s="480">
        <v>60</v>
      </c>
      <c r="Z10" s="481" t="s">
        <v>173</v>
      </c>
      <c r="AA10" s="118" t="s">
        <v>174</v>
      </c>
      <c r="AB10" s="482">
        <v>90</v>
      </c>
      <c r="AC10" s="479"/>
      <c r="AE10" s="392" t="s">
        <v>171</v>
      </c>
      <c r="AF10" s="486">
        <v>0.4</v>
      </c>
      <c r="AG10" s="486">
        <v>0.35</v>
      </c>
      <c r="AH10" s="486">
        <v>0.325</v>
      </c>
      <c r="AI10" s="486">
        <v>0.3</v>
      </c>
      <c r="AJ10" s="486">
        <v>0.228</v>
      </c>
      <c r="AK10" s="486">
        <v>0.226</v>
      </c>
      <c r="AL10" s="486">
        <v>0.224</v>
      </c>
      <c r="AM10" s="499">
        <v>0.222</v>
      </c>
    </row>
    <row r="11" spans="1:40" ht="19.500000" customHeight="1">
      <c r="A11" s="434"/>
      <c r="B11" s="69"/>
      <c r="C11" s="43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461" t="s">
        <v>126</v>
      </c>
      <c r="X11" s="118" t="s">
        <v>177</v>
      </c>
      <c r="Y11" s="487">
        <v>50</v>
      </c>
      <c r="Z11" s="481" t="s">
        <v>178</v>
      </c>
      <c r="AA11" s="118" t="s">
        <v>203</v>
      </c>
      <c r="AB11" s="482">
        <v>130</v>
      </c>
      <c r="AC11" s="479"/>
      <c r="AE11" s="392" t="s">
        <v>175</v>
      </c>
      <c r="AF11" s="486">
        <v>0.35</v>
      </c>
      <c r="AG11" s="486">
        <v>0.325</v>
      </c>
      <c r="AH11" s="486">
        <v>0.3</v>
      </c>
      <c r="AI11" s="486">
        <v>0.228</v>
      </c>
      <c r="AJ11" s="486">
        <v>0.226</v>
      </c>
      <c r="AK11" s="486">
        <v>0.224</v>
      </c>
      <c r="AL11" s="486">
        <v>0.222</v>
      </c>
      <c r="AM11" s="499">
        <v>0.2</v>
      </c>
    </row>
    <row r="12" spans="1:40" ht="19.500000" customHeight="1">
      <c r="A12" s="434"/>
      <c r="B12" s="69"/>
      <c r="C12" s="439"/>
      <c r="D12" s="337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115"/>
      <c r="T12" s="109"/>
      <c r="U12" s="69"/>
      <c r="V12" s="69"/>
      <c r="W12" s="462" t="s">
        <v>129</v>
      </c>
      <c r="X12" s="463" t="s">
        <v>180</v>
      </c>
      <c r="Y12" s="488">
        <v>70</v>
      </c>
      <c r="Z12" s="489" t="s">
        <v>181</v>
      </c>
      <c r="AA12" s="463" t="s">
        <v>182</v>
      </c>
      <c r="AB12" s="490">
        <v>70</v>
      </c>
      <c r="AC12" s="479"/>
      <c r="AE12" s="392" t="s">
        <v>204</v>
      </c>
      <c r="AF12" s="486">
        <v>0.325</v>
      </c>
      <c r="AG12" s="486">
        <v>0.3</v>
      </c>
      <c r="AH12" s="486">
        <v>0.228</v>
      </c>
      <c r="AI12" s="486">
        <v>0.226</v>
      </c>
      <c r="AJ12" s="486">
        <v>0.224</v>
      </c>
      <c r="AK12" s="486">
        <v>0.222</v>
      </c>
      <c r="AL12" s="486">
        <v>0.2</v>
      </c>
      <c r="AM12" s="499">
        <v>0.18</v>
      </c>
    </row>
    <row r="13" spans="1:40" ht="19.500000" customHeight="1">
      <c r="A13" s="434"/>
      <c r="B13" s="69"/>
      <c r="C13" s="439"/>
      <c r="E13" s="69"/>
      <c r="F13" s="443">
        <f>F5*0.3</f>
        <v>4.32</v>
      </c>
      <c r="G13" s="161"/>
      <c r="H13" s="69"/>
      <c r="I13" s="69"/>
      <c r="J13" s="69"/>
      <c r="K13" s="69"/>
      <c r="L13" s="69"/>
      <c r="M13" s="69"/>
      <c r="N13" s="69"/>
      <c r="O13" s="69"/>
      <c r="Q13" s="443">
        <f>Q5*0.3</f>
        <v>23.328</v>
      </c>
      <c r="R13" s="69"/>
      <c r="S13" s="69"/>
      <c r="T13" s="69"/>
      <c r="U13" s="69"/>
      <c r="V13" s="69"/>
      <c r="W13" s="464"/>
      <c r="X13" s="16"/>
      <c r="Y13" s="69"/>
      <c r="Z13" s="464"/>
      <c r="AA13" s="118"/>
      <c r="AB13" s="161"/>
      <c r="AC13" s="479"/>
      <c r="AE13" s="391">
        <f>(L24-F20)/F20</f>
        <v>0</v>
      </c>
      <c r="AF13" s="16">
        <f>IF($AE$13&lt;=0.5,AF8,IF($AE$13&lt;=1,AF9,IF($AE$13&lt;=1.5,AF10,IF($AE$13&lt;=2,AF11,AF12))))</f>
        <v>0.6</v>
      </c>
      <c r="AG13" s="16">
        <f>IF($AE$13&lt;=0.5,AG8,IF($AE$13&lt;=1,AG9,IF($AE$13&lt;=1.5,AG10,IF($AE$13&lt;=2,AG11,AG12))))</f>
        <v>0.5</v>
      </c>
      <c r="AH13" s="16">
        <f>IF($AE$13&lt;=0.5,AH8,IF($AE$13&lt;=1,AH9,IF($AE$13&lt;=1.5,AH10,IF($AE$13&lt;=2,AH11,AH12))))</f>
        <v>0.4</v>
      </c>
      <c r="AI13" s="16">
        <f>IF($AE$13&lt;=0.5,AI8,IF($AE$13&lt;=1,AI9,IF($AE$13&lt;=1.5,AI10,IF($AE$13&lt;=2,AI11,AI12))))</f>
        <v>0.35</v>
      </c>
      <c r="AJ13" s="16">
        <f>IF($AE$13&lt;=0.5,AJ8,IF($AE$13&lt;=1,AJ9,IF($AE$13&lt;=1.5,AJ10,IF($AE$13&lt;=2,AJ11,AJ12))))</f>
        <v>0.325</v>
      </c>
      <c r="AK13" s="16">
        <f>IF($AE$13&lt;=0.5,AK8,IF($AE$13&lt;=1,AK9,IF($AE$13&lt;=1.5,AK10,IF($AE$13&lt;=2,AK11,AK12))))</f>
        <v>0.3</v>
      </c>
      <c r="AL13" s="16">
        <f>IF($AE$13&lt;=0.5,AL8,IF($AE$13&lt;=1,AL9,IF($AE$13&lt;=1.5,AL10,IF($AE$13&lt;=2,AL11,AL12))))</f>
        <v>0.228</v>
      </c>
      <c r="AM13" s="393">
        <f>IF($AE$13&lt;=0.5,AM8,IF($AE$13&lt;=1,AM9,IF($AE$13&lt;=1.5,AM10,IF($AE$13&lt;=2,AM11,AM12))))</f>
        <v>0.226</v>
      </c>
    </row>
    <row r="14" spans="1:40" ht="19.500000" customHeight="1">
      <c r="A14" s="434"/>
      <c r="B14" s="69"/>
      <c r="C14" s="439"/>
      <c r="E14" s="444" t="s">
        <v>205</v>
      </c>
      <c r="F14" s="445">
        <f>L21</f>
        <v>200</v>
      </c>
      <c r="G14" s="69"/>
      <c r="H14" s="69"/>
      <c r="I14" s="69"/>
      <c r="J14" s="69"/>
      <c r="K14" s="69"/>
      <c r="L14" s="69"/>
      <c r="M14" s="438"/>
      <c r="N14" s="438"/>
      <c r="O14" s="69"/>
      <c r="P14" s="444" t="s">
        <v>205</v>
      </c>
      <c r="Q14" s="445">
        <f>L21</f>
        <v>200</v>
      </c>
      <c r="R14" s="69"/>
      <c r="S14" s="69"/>
      <c r="T14" s="69"/>
      <c r="U14" s="69"/>
      <c r="V14" s="69"/>
      <c r="W14" s="464"/>
      <c r="X14" s="16"/>
      <c r="Y14" s="69"/>
      <c r="Z14" s="464"/>
      <c r="AA14" s="118"/>
      <c r="AB14" s="161"/>
      <c r="AC14" s="479"/>
      <c r="AE14" s="491">
        <f>C9/F20</f>
        <v>3.7568624221757</v>
      </c>
      <c r="AF14" s="395">
        <f>IF(AE14&lt;=2,AF13,IF(AE14&lt;=3,AG13,IF(AE14&lt;=4,AH13,IF(AE14&lt;=5,AI13,IF(AE14&lt;=6,AJ13,IF(AE14&lt;=7,AK13,IF(AE14&lt;=8,AL13,AM13)))))))</f>
        <v>0.4</v>
      </c>
      <c r="AG14" s="395"/>
      <c r="AH14" s="395"/>
      <c r="AI14" s="395"/>
      <c r="AJ14" s="395"/>
      <c r="AK14" s="395"/>
      <c r="AL14" s="395"/>
      <c r="AM14" s="396"/>
    </row>
    <row r="15" spans="1:40" ht="19.500000" customHeight="1">
      <c r="A15" s="434"/>
      <c r="B15" s="69"/>
      <c r="C15" s="439"/>
      <c r="E15" s="444" t="s">
        <v>206</v>
      </c>
      <c r="F15" s="446">
        <f>F24</f>
        <v>0</v>
      </c>
      <c r="G15" s="69"/>
      <c r="H15" s="69"/>
      <c r="I15" s="69"/>
      <c r="J15" s="69"/>
      <c r="K15" s="451" t="str">
        <f>IF(N16&lt;(L24+T7+F20),"高度輸入錯誤","  ")</f>
        <v>  </v>
      </c>
      <c r="L15" s="721"/>
      <c r="M15" s="721"/>
      <c r="N15" s="721"/>
      <c r="O15" s="69"/>
      <c r="P15" s="444" t="s">
        <v>206</v>
      </c>
      <c r="Q15" s="445">
        <f>F24</f>
        <v>0</v>
      </c>
      <c r="R15" s="69"/>
      <c r="S15" s="69"/>
      <c r="T15" s="69"/>
      <c r="U15" s="69"/>
      <c r="V15" s="69"/>
      <c r="W15" s="464"/>
      <c r="X15" s="16"/>
      <c r="Y15" s="69"/>
      <c r="Z15" s="464"/>
      <c r="AA15" s="118"/>
      <c r="AB15" s="161"/>
      <c r="AC15" s="479"/>
      <c r="AE15" s="388"/>
      <c r="AF15" s="484" t="s">
        <v>193</v>
      </c>
      <c r="AG15" s="484" t="s">
        <v>194</v>
      </c>
      <c r="AH15" s="484" t="s">
        <v>195</v>
      </c>
      <c r="AI15" s="484" t="s">
        <v>196</v>
      </c>
      <c r="AJ15" s="484" t="s">
        <v>197</v>
      </c>
      <c r="AK15" s="484" t="s">
        <v>198</v>
      </c>
      <c r="AL15" s="484" t="s">
        <v>199</v>
      </c>
      <c r="AM15" s="497" t="s">
        <v>200</v>
      </c>
    </row>
    <row r="16" spans="1:40" ht="19.500000" customHeight="1">
      <c r="A16" s="434"/>
      <c r="B16" s="439"/>
      <c r="C16" s="43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133">
        <v>70</v>
      </c>
      <c r="O16" s="438"/>
      <c r="P16" s="438"/>
      <c r="Q16" s="69"/>
      <c r="R16" s="69"/>
      <c r="S16" s="138"/>
      <c r="T16" s="113"/>
      <c r="U16" s="113"/>
      <c r="V16" s="136"/>
      <c r="W16" s="464"/>
      <c r="X16" s="118"/>
      <c r="Y16" s="69"/>
      <c r="Z16" s="464"/>
      <c r="AA16" s="16"/>
      <c r="AB16" s="16"/>
      <c r="AC16" s="483"/>
      <c r="AE16" s="392" t="s">
        <v>201</v>
      </c>
      <c r="AF16" s="485">
        <v>0.6</v>
      </c>
      <c r="AG16" s="485">
        <v>0.5</v>
      </c>
      <c r="AH16" s="485">
        <v>0.4</v>
      </c>
      <c r="AI16" s="485">
        <v>0.35</v>
      </c>
      <c r="AJ16" s="485">
        <v>0.325</v>
      </c>
      <c r="AK16" s="485">
        <v>0.3</v>
      </c>
      <c r="AL16" s="485">
        <v>0.228</v>
      </c>
      <c r="AM16" s="498">
        <v>0.226</v>
      </c>
    </row>
    <row r="17" spans="1:39" ht="19.500000" customHeight="1">
      <c r="A17" s="434"/>
      <c r="B17" s="439"/>
      <c r="C17" s="440"/>
      <c r="D17" s="69"/>
      <c r="E17" s="69"/>
      <c r="F17" s="69"/>
      <c r="G17" s="69"/>
      <c r="H17" s="69"/>
      <c r="I17" s="69"/>
      <c r="J17" s="69"/>
      <c r="K17" s="438"/>
      <c r="L17" s="69"/>
      <c r="M17" s="69"/>
      <c r="N17" s="69"/>
      <c r="O17" s="69"/>
      <c r="P17" s="722" t="s">
        <v>207</v>
      </c>
      <c r="Q17" s="723"/>
      <c r="R17" s="465"/>
      <c r="S17" s="466"/>
      <c r="T17" s="466"/>
      <c r="U17" s="466"/>
      <c r="V17" s="467"/>
      <c r="W17" s="468"/>
      <c r="X17" s="142"/>
      <c r="Y17" s="467"/>
      <c r="Z17" s="468"/>
      <c r="AA17" s="142"/>
      <c r="AB17" s="492"/>
      <c r="AC17" s="493"/>
      <c r="AE17" s="392" t="s">
        <v>202</v>
      </c>
      <c r="AF17" s="486">
        <v>0.5</v>
      </c>
      <c r="AG17" s="486">
        <v>0.4</v>
      </c>
      <c r="AH17" s="486">
        <v>0.35</v>
      </c>
      <c r="AI17" s="486">
        <v>0.325</v>
      </c>
      <c r="AJ17" s="486">
        <v>0.3</v>
      </c>
      <c r="AK17" s="486">
        <v>0.228</v>
      </c>
      <c r="AL17" s="486">
        <v>0.226</v>
      </c>
      <c r="AM17" s="499">
        <v>0.224</v>
      </c>
    </row>
    <row r="18" spans="1:39" ht="19.500000" customHeight="1">
      <c r="A18" s="434"/>
      <c r="B18" s="439"/>
      <c r="C18" s="69"/>
      <c r="D18" s="69"/>
      <c r="E18" s="438"/>
      <c r="F18" s="438"/>
      <c r="G18" s="438"/>
      <c r="H18" s="438"/>
      <c r="I18" s="69"/>
      <c r="J18" s="69"/>
      <c r="K18" s="69"/>
      <c r="L18" s="69"/>
      <c r="M18" s="69"/>
      <c r="N18" s="69"/>
      <c r="O18" s="69"/>
      <c r="P18" s="452"/>
      <c r="Q18" s="469"/>
      <c r="R18" s="469"/>
      <c r="S18" s="469"/>
      <c r="T18" s="469"/>
      <c r="U18" s="469"/>
      <c r="V18" s="359"/>
      <c r="W18" s="469"/>
      <c r="X18" s="469"/>
      <c r="Y18" s="469"/>
      <c r="Z18" s="350"/>
      <c r="AA18" s="350"/>
      <c r="AB18" s="359"/>
      <c r="AC18" s="494"/>
      <c r="AE18" s="392" t="s">
        <v>171</v>
      </c>
      <c r="AF18" s="486">
        <v>0.4</v>
      </c>
      <c r="AG18" s="486">
        <v>0.35</v>
      </c>
      <c r="AH18" s="486">
        <v>0.325</v>
      </c>
      <c r="AI18" s="486">
        <v>0.3</v>
      </c>
      <c r="AJ18" s="486">
        <v>0.228</v>
      </c>
      <c r="AK18" s="486">
        <v>0.226</v>
      </c>
      <c r="AL18" s="486">
        <v>0.224</v>
      </c>
      <c r="AM18" s="499">
        <v>0.222</v>
      </c>
    </row>
    <row r="19" spans="1:39" ht="19.500000" customHeight="1">
      <c r="A19" s="434"/>
      <c r="B19" s="439"/>
      <c r="C19" s="69"/>
      <c r="D19" s="69"/>
      <c r="G19" s="69"/>
      <c r="H19" s="69"/>
      <c r="I19" s="69"/>
      <c r="J19" s="69"/>
      <c r="K19" s="69"/>
      <c r="L19" s="69"/>
      <c r="M19" s="69"/>
      <c r="N19" s="69"/>
      <c r="O19" s="69"/>
      <c r="P19" s="452"/>
      <c r="Q19" s="469"/>
      <c r="R19" s="469"/>
      <c r="S19" s="469"/>
      <c r="T19" s="469"/>
      <c r="U19" s="469"/>
      <c r="V19" s="469"/>
      <c r="W19" s="359"/>
      <c r="X19" s="359"/>
      <c r="Y19" s="469"/>
      <c r="Z19" s="350"/>
      <c r="AA19" s="350"/>
      <c r="AB19" s="469"/>
      <c r="AC19" s="495"/>
      <c r="AE19" s="392" t="s">
        <v>175</v>
      </c>
      <c r="AF19" s="486">
        <v>0.35</v>
      </c>
      <c r="AG19" s="486">
        <v>0.325</v>
      </c>
      <c r="AH19" s="486">
        <v>0.3</v>
      </c>
      <c r="AI19" s="486">
        <v>0.228</v>
      </c>
      <c r="AJ19" s="486">
        <v>0.226</v>
      </c>
      <c r="AK19" s="486">
        <v>0.224</v>
      </c>
      <c r="AL19" s="486">
        <v>0.222</v>
      </c>
      <c r="AM19" s="499">
        <v>0.2</v>
      </c>
    </row>
    <row r="20" spans="1:39" ht="19.500000" customHeight="1">
      <c r="A20" s="434"/>
      <c r="B20" s="439"/>
      <c r="C20" s="337"/>
      <c r="D20" s="69"/>
      <c r="E20" s="43" t="s">
        <v>208</v>
      </c>
      <c r="F20" s="447">
        <v>1</v>
      </c>
      <c r="G20" s="69"/>
      <c r="H20" s="69"/>
      <c r="I20" s="69"/>
      <c r="J20" s="69"/>
      <c r="K20" s="69"/>
      <c r="N20" s="69"/>
      <c r="O20" s="69"/>
      <c r="P20" s="452"/>
      <c r="Q20" s="469"/>
      <c r="R20" s="470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95"/>
      <c r="AE20" s="392" t="s">
        <v>204</v>
      </c>
      <c r="AF20" s="486">
        <v>0.325</v>
      </c>
      <c r="AG20" s="486">
        <v>0.3</v>
      </c>
      <c r="AH20" s="486">
        <v>0.228</v>
      </c>
      <c r="AI20" s="486">
        <v>0.226</v>
      </c>
      <c r="AJ20" s="486">
        <v>0.224</v>
      </c>
      <c r="AK20" s="486">
        <v>0.222</v>
      </c>
      <c r="AL20" s="486">
        <v>0.2</v>
      </c>
      <c r="AM20" s="499">
        <v>0.18</v>
      </c>
    </row>
    <row r="21" spans="1:39" ht="19.500000" customHeight="1">
      <c r="A21" s="434"/>
      <c r="B21" s="439"/>
      <c r="C21" s="337"/>
      <c r="D21" s="69"/>
      <c r="E21" s="69"/>
      <c r="F21" s="69"/>
      <c r="G21" s="69"/>
      <c r="H21" s="69"/>
      <c r="I21" s="69"/>
      <c r="J21" s="69"/>
      <c r="K21" s="448" t="s">
        <v>205</v>
      </c>
      <c r="L21" s="724">
        <v>200</v>
      </c>
      <c r="M21" s="725"/>
      <c r="N21" s="69"/>
      <c r="O21" s="69"/>
      <c r="P21" s="452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  <c r="AB21" s="469"/>
      <c r="AC21" s="495"/>
      <c r="AE21" s="391">
        <f>(L24-F20)/F20</f>
        <v>0</v>
      </c>
      <c r="AF21" s="16">
        <f>IF($AE$21&lt;=0.5,AF16,IF($AE$21&lt;=1,AF17,IF($AE$21&lt;=1.5,AF18,IF($AE$21&lt;=2,AF19,AF20))))</f>
        <v>0.6</v>
      </c>
      <c r="AG21" s="16">
        <f>IF($AE$21&lt;=0.5,AG16,IF($AE$21&lt;=1,AG17,IF($AE$21&lt;=1.5,AG18,IF($AE$21&lt;=2,AG19,AG20))))</f>
        <v>0.5</v>
      </c>
      <c r="AH21" s="16">
        <f>IF($AE$21&lt;=0.5,AH16,IF($AE$21&lt;=1,AH17,IF($AE$21&lt;=1.5,AH18,IF($AE$21&lt;=2,AH19,AH20))))</f>
        <v>0.4</v>
      </c>
      <c r="AI21" s="16">
        <f>IF($AE$21&lt;=0.5,AI16,IF($AE$21&lt;=1,AI17,IF($AE$21&lt;=1.5,AI18,IF($AE$21&lt;=2,AI19,AI20))))</f>
        <v>0.35</v>
      </c>
      <c r="AJ21" s="16">
        <f>IF($AE$21&lt;=0.5,AJ16,IF($AE$21&lt;=1,AJ17,IF($AE$21&lt;=1.5,AJ18,IF($AE$21&lt;=2,AJ19,AJ20))))</f>
        <v>0.325</v>
      </c>
      <c r="AK21" s="16">
        <f>IF($AE$21&lt;=0.5,AK16,IF($AE$21&lt;=1,AK17,IF($AE$21&lt;=1.5,AK18,IF($AE$21&lt;=2,AK19,AK20))))</f>
        <v>0.3</v>
      </c>
      <c r="AL21" s="16">
        <f>IF($AE$13&lt;=0.5,AL16,IF($AE$13&lt;=1,AL17,IF($AE$13&lt;=1.5,AL18,IF($AE$13&lt;=2,AL19,AL20))))</f>
        <v>0.228</v>
      </c>
      <c r="AM21" s="393">
        <f>IF($AE$13&lt;=0.5,AM16,IF($AE$13&lt;=1,AM17,IF($AE$13&lt;=1.5,AM18,IF($AE$13&lt;=2,AM19,AM20))))</f>
        <v>0.226</v>
      </c>
    </row>
    <row r="22" spans="1:39" ht="19.500000" customHeight="1">
      <c r="A22" s="434"/>
      <c r="B22" s="439"/>
      <c r="C22" s="337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452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95"/>
      <c r="AE22" s="491">
        <f>N9/F20</f>
        <v>3.7568624221757</v>
      </c>
      <c r="AF22" s="395">
        <f>IF(AE22&lt;=2,AF21,IF(AE22&lt;=3,AG21,IF(AE22&lt;=4,AH21,IF(AE22&lt;=5,AI21,IF(AE22&lt;=6,AJ21,IF(AE22&lt;=7,AK21,IF(AE22&lt;=8,AL21,AM21)))))))</f>
        <v>0.4</v>
      </c>
      <c r="AG22" s="395">
        <f>(AF22^2)+(5*AF22)</f>
        <v>2.16</v>
      </c>
      <c r="AH22" s="395"/>
      <c r="AI22" s="395"/>
      <c r="AJ22" s="395"/>
      <c r="AK22" s="395"/>
      <c r="AL22" s="395"/>
      <c r="AM22" s="396"/>
    </row>
    <row r="23" spans="1:39" ht="19.500000" customHeight="1">
      <c r="A23" s="434"/>
      <c r="B23" s="439"/>
      <c r="C23" s="337"/>
      <c r="D23" s="69"/>
      <c r="E23" s="69"/>
      <c r="F23" s="69"/>
      <c r="G23" s="69"/>
      <c r="H23" s="69"/>
      <c r="I23" s="69"/>
      <c r="J23" s="451" t="str">
        <f>IF((L24-F20)&lt;0,"外圓角錯誤應大於 "&amp;F20,"  ")</f>
        <v>  </v>
      </c>
      <c r="K23" s="238"/>
      <c r="L23" s="238"/>
      <c r="M23" s="238"/>
      <c r="N23" s="238"/>
      <c r="O23" s="69"/>
      <c r="P23" s="452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  <c r="AB23" s="469"/>
      <c r="AC23" s="495"/>
      <c r="AE23" s="3" t="s">
        <v>183</v>
      </c>
      <c r="AF23" s="334">
        <f>F20+C9+I7</f>
        <v>8.39092853161111</v>
      </c>
      <c r="AI23" s="3" t="s">
        <v>183</v>
      </c>
      <c r="AJ23" s="334">
        <f>F20+N9+T7</f>
        <v>8.39092853161111</v>
      </c>
    </row>
    <row r="24" spans="1:39" ht="19.500000" customHeight="1">
      <c r="A24" s="434"/>
      <c r="B24" s="69"/>
      <c r="C24" s="439"/>
      <c r="D24" s="337"/>
      <c r="E24" s="448" t="s">
        <v>206</v>
      </c>
      <c r="F24" s="408">
        <v>0</v>
      </c>
      <c r="G24" s="69"/>
      <c r="H24" s="69"/>
      <c r="I24" s="69"/>
      <c r="J24" s="114" t="s">
        <v>209</v>
      </c>
      <c r="K24" s="659"/>
      <c r="L24" s="408">
        <v>1</v>
      </c>
      <c r="M24" s="337"/>
      <c r="N24" s="69"/>
      <c r="O24" s="69"/>
      <c r="P24" s="452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95"/>
      <c r="AE24" s="3" t="s">
        <v>185</v>
      </c>
      <c r="AF24" s="3">
        <v>0.63</v>
      </c>
      <c r="AI24" s="3" t="s">
        <v>185</v>
      </c>
      <c r="AJ24" s="3">
        <v>0.3</v>
      </c>
    </row>
    <row r="25" spans="1:39" ht="19.500000" customHeight="1">
      <c r="A25" s="434"/>
      <c r="B25" s="69"/>
      <c r="C25" s="439"/>
      <c r="D25" s="337"/>
      <c r="E25" s="69"/>
      <c r="F25" s="337" t="s">
        <v>210</v>
      </c>
      <c r="G25" s="69"/>
      <c r="H25" s="69"/>
      <c r="I25" s="69"/>
      <c r="J25" s="69"/>
      <c r="K25" s="69"/>
      <c r="L25" s="69"/>
      <c r="M25" s="69"/>
      <c r="N25" s="69"/>
      <c r="O25" s="69"/>
      <c r="P25" s="452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  <c r="AB25" s="469"/>
      <c r="AC25" s="495"/>
      <c r="AH25" s="72"/>
      <c r="AI25" s="72"/>
      <c r="AK25" s="72"/>
    </row>
    <row r="26" spans="1:39" ht="4.500000" customHeight="1">
      <c r="A26" s="449"/>
      <c r="B26" s="450"/>
      <c r="C26" s="450"/>
      <c r="D26" s="450"/>
      <c r="E26" s="450"/>
      <c r="F26" s="450"/>
      <c r="G26" s="450"/>
      <c r="H26" s="450"/>
      <c r="I26" s="450"/>
      <c r="J26" s="450"/>
      <c r="K26" s="450"/>
      <c r="L26" s="450"/>
      <c r="M26" s="450"/>
      <c r="N26" s="450"/>
      <c r="O26" s="450"/>
      <c r="P26" s="453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71"/>
      <c r="AB26" s="471"/>
      <c r="AC26" s="496"/>
    </row>
    <row r="27" spans="1:39">
      <c r="Y27" s="16"/>
      <c r="Z27" s="16"/>
      <c r="AA27" s="16"/>
      <c r="AB27" s="16"/>
      <c r="AC27" s="16"/>
    </row>
    <row r="28" spans="1:39">
      <c r="Y28" s="16"/>
      <c r="Z28" s="16"/>
      <c r="AA28" s="16"/>
      <c r="AB28" s="16"/>
      <c r="AC28" s="16"/>
    </row>
    <row r="29" spans="1:39">
      <c r="Y29" s="16"/>
      <c r="Z29" s="16"/>
      <c r="AA29" s="16"/>
      <c r="AB29" s="16"/>
      <c r="AC29" s="16"/>
    </row>
    <row r="30" spans="1:39">
      <c r="Y30" s="16"/>
      <c r="Z30" s="16"/>
      <c r="AA30" s="16"/>
      <c r="AB30" s="16"/>
      <c r="AC30" s="16"/>
    </row>
    <row r="31" spans="1:39">
      <c r="Y31" s="16"/>
      <c r="Z31" s="16"/>
      <c r="AA31" s="16"/>
      <c r="AB31" s="16"/>
      <c r="AC31" s="16"/>
    </row>
    <row r="32" spans="1:39">
      <c r="Y32" s="16"/>
      <c r="Z32" s="16"/>
      <c r="AA32" s="16"/>
      <c r="AB32" s="16"/>
      <c r="AC32" s="16"/>
    </row>
    <row r="33" spans="25:29">
      <c r="Y33" s="16"/>
      <c r="Z33" s="16"/>
      <c r="AA33" s="16"/>
      <c r="AB33" s="16"/>
      <c r="AC33" s="16"/>
    </row>
    <row r="34" spans="25:29">
      <c r="Y34" s="16"/>
      <c r="Z34" s="16"/>
      <c r="AA34" s="16"/>
      <c r="AB34" s="16"/>
      <c r="AC34" s="16"/>
    </row>
    <row r="35" spans="25:29">
      <c r="Y35" s="16"/>
      <c r="Z35" s="16"/>
      <c r="AA35" s="16"/>
      <c r="AB35" s="16"/>
      <c r="AC35" s="16"/>
    </row>
    <row r="36" spans="25:29">
      <c r="Y36" s="16"/>
      <c r="Z36" s="16"/>
      <c r="AA36" s="16"/>
      <c r="AB36" s="16"/>
      <c r="AC36" s="16"/>
    </row>
    <row r="37" spans="25:29">
      <c r="Y37" s="16"/>
      <c r="Z37" s="16"/>
      <c r="AA37" s="16"/>
      <c r="AB37" s="16"/>
      <c r="AC37" s="16"/>
    </row>
    <row r="38" spans="25:29">
      <c r="Y38" s="16"/>
      <c r="Z38" s="16"/>
      <c r="AA38" s="16"/>
      <c r="AB38" s="16"/>
      <c r="AC38" s="16"/>
    </row>
    <row r="39" spans="25:29">
      <c r="Y39" s="16"/>
      <c r="Z39" s="16"/>
      <c r="AA39" s="16"/>
      <c r="AB39" s="16"/>
      <c r="AC39" s="16"/>
    </row>
    <row r="40" spans="25:29">
      <c r="Y40" s="16"/>
      <c r="Z40" s="16"/>
      <c r="AA40" s="16"/>
      <c r="AB40" s="16"/>
      <c r="AC40" s="16"/>
    </row>
    <row r="41" spans="25:29">
      <c r="Y41" s="16"/>
      <c r="Z41" s="16"/>
      <c r="AA41" s="16"/>
      <c r="AB41" s="16"/>
      <c r="AC41" s="16"/>
    </row>
    <row r="42" spans="25:29">
      <c r="Y42" s="16"/>
      <c r="Z42" s="16"/>
      <c r="AA42" s="16"/>
      <c r="AB42" s="16"/>
      <c r="AC42" s="16"/>
    </row>
    <row r="43" spans="25:29">
      <c r="Y43" s="16"/>
      <c r="Z43" s="16"/>
      <c r="AA43" s="16"/>
      <c r="AB43" s="16"/>
      <c r="AC43" s="16"/>
    </row>
    <row r="44" spans="25:29">
      <c r="Y44" s="16"/>
      <c r="Z44" s="16"/>
      <c r="AA44" s="16"/>
      <c r="AB44" s="16"/>
      <c r="AC44" s="16"/>
    </row>
    <row r="45" spans="25:29">
      <c r="Y45" s="16"/>
      <c r="Z45" s="16"/>
      <c r="AA45" s="16"/>
      <c r="AB45" s="16"/>
      <c r="AC45" s="16"/>
    </row>
    <row r="46" spans="25:29">
      <c r="Y46" s="16"/>
      <c r="Z46" s="16"/>
      <c r="AA46" s="16"/>
      <c r="AB46" s="16"/>
      <c r="AC46" s="16"/>
    </row>
    <row r="47" spans="25:29">
      <c r="Y47" s="16"/>
      <c r="Z47" s="16"/>
      <c r="AA47" s="16"/>
      <c r="AB47" s="16"/>
      <c r="AC47" s="16"/>
    </row>
    <row r="48" spans="25:29">
      <c r="Y48" s="16"/>
      <c r="Z48" s="16"/>
      <c r="AA48" s="16"/>
      <c r="AB48" s="16"/>
      <c r="AC48" s="16"/>
    </row>
    <row r="49" spans="25:29">
      <c r="Y49" s="16"/>
      <c r="Z49" s="16"/>
      <c r="AA49" s="16"/>
      <c r="AB49" s="16"/>
      <c r="AC49" s="16"/>
    </row>
    <row r="50" spans="25:29">
      <c r="Y50" s="16"/>
      <c r="Z50" s="16"/>
      <c r="AA50" s="16"/>
      <c r="AB50" s="16"/>
      <c r="AC50" s="16"/>
    </row>
    <row r="51" spans="25:29">
      <c r="Y51" s="16"/>
      <c r="Z51" s="16"/>
      <c r="AA51" s="16"/>
      <c r="AB51" s="16"/>
      <c r="AC51" s="16"/>
    </row>
    <row r="52" spans="25:29">
      <c r="Y52" s="16"/>
      <c r="Z52" s="16"/>
      <c r="AA52" s="16"/>
      <c r="AB52" s="16"/>
      <c r="AC52" s="16"/>
    </row>
    <row r="53" spans="25:29">
      <c r="Y53" s="16"/>
      <c r="Z53" s="16"/>
      <c r="AA53" s="16"/>
      <c r="AB53" s="16"/>
      <c r="AC53" s="16"/>
    </row>
    <row r="54" spans="25:29">
      <c r="Y54" s="16"/>
      <c r="Z54" s="16"/>
      <c r="AA54" s="16"/>
      <c r="AB54" s="16"/>
      <c r="AC54" s="16"/>
    </row>
    <row r="55" spans="25:29">
      <c r="Y55" s="16"/>
      <c r="Z55" s="16"/>
      <c r="AA55" s="16"/>
      <c r="AB55" s="16"/>
      <c r="AC55" s="16"/>
    </row>
    <row r="56" spans="25:29">
      <c r="Y56" s="16"/>
      <c r="Z56" s="16"/>
      <c r="AA56" s="16"/>
      <c r="AB56" s="16"/>
      <c r="AC56" s="16"/>
    </row>
    <row r="57" spans="25:29">
      <c r="Y57" s="16"/>
      <c r="Z57" s="16"/>
      <c r="AA57" s="16"/>
      <c r="AB57" s="16"/>
      <c r="AC57" s="16"/>
    </row>
    <row r="58" spans="25:29">
      <c r="Y58" s="16"/>
      <c r="Z58" s="16"/>
      <c r="AA58" s="16"/>
      <c r="AB58" s="16"/>
      <c r="AC58" s="16"/>
    </row>
    <row r="59" spans="25:29">
      <c r="Y59" s="16"/>
      <c r="Z59" s="16"/>
      <c r="AA59" s="16"/>
      <c r="AB59" s="16"/>
      <c r="AC59" s="16"/>
    </row>
    <row r="60" spans="25:29">
      <c r="Y60" s="16"/>
      <c r="Z60" s="16"/>
      <c r="AA60" s="16"/>
      <c r="AB60" s="16"/>
      <c r="AC60" s="16"/>
    </row>
  </sheetData>
  <sheetProtection sheet="1" password="ce28" objects="1" scenarios="1"/>
  <mergeCells count="18">
    <mergeCell ref="A1:AA1"/>
    <mergeCell ref="A2:E2"/>
    <mergeCell ref="F2:G2"/>
    <mergeCell ref="K2:P2"/>
    <mergeCell ref="Q2:R2"/>
    <mergeCell ref="A3:E3"/>
    <mergeCell ref="F3:G3"/>
    <mergeCell ref="K3:P3"/>
    <mergeCell ref="Q3:R3"/>
    <mergeCell ref="Y3:AA3"/>
    <mergeCell ref="Z5:AA5"/>
    <mergeCell ref="B6:C6"/>
    <mergeCell ref="I7:J7"/>
    <mergeCell ref="T7:U7"/>
    <mergeCell ref="K15:N15"/>
    <mergeCell ref="P17:Q17"/>
    <mergeCell ref="L21:M21"/>
    <mergeCell ref="J24:K24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62"/>
  <sheetViews>
    <sheetView showGridLines="0" showRowColHeaders="0" zoomScale="85" zoomScaleNormal="85" workbookViewId="0">
      <pane xSplit="21" topLeftCell="V1" activePane="topRight" state="frozen"/>
      <selection pane="topRight" activeCell="K13" sqref="K13"/>
    </sheetView>
  </sheetViews>
  <sheetFormatPr defaultColWidth="9.00000000" defaultRowHeight="16.200000"/>
  <cols>
    <col min="1" max="1" style="3" width="5.43357120" customWidth="1" outlineLevel="0"/>
    <col min="2" max="2" style="3" width="8.71928583" customWidth="1" outlineLevel="0"/>
    <col min="3" max="3" style="3" width="5.43357120" customWidth="1" outlineLevel="0"/>
    <col min="4" max="4" style="3" width="6.00499998" customWidth="1" outlineLevel="0"/>
    <col min="5" max="5" style="3" width="5.43357120" customWidth="1" outlineLevel="0"/>
    <col min="6" max="6" style="3" width="6.00499998" customWidth="1" outlineLevel="0"/>
    <col min="7" max="7" style="3" width="5.43357120" customWidth="1" outlineLevel="0"/>
    <col min="8" max="8" style="3" width="8.71928583" customWidth="1" outlineLevel="0"/>
    <col min="9" max="9" style="3" width="7.14785705" customWidth="1" outlineLevel="0"/>
    <col min="10" max="17" style="3" width="7.00499998" customWidth="1" outlineLevel="0"/>
    <col min="18" max="19" style="3" width="6.00499998" customWidth="1" outlineLevel="0"/>
    <col min="20" max="20" style="3" width="5.14785705" customWidth="1" outlineLevel="0"/>
    <col min="21" max="21" style="3" width="3.43357144" customWidth="1" outlineLevel="0"/>
    <col min="22" max="16384" style="3" width="9.00499998" customWidth="1" outlineLevel="0"/>
  </cols>
  <sheetData>
    <row r="1" spans="1:21" ht="42.750000">
      <c r="A1" s="729" t="s">
        <v>211</v>
      </c>
      <c r="B1" s="729"/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  <c r="P1" s="729"/>
      <c r="Q1" s="729"/>
      <c r="R1" s="729"/>
      <c r="S1" s="729"/>
      <c r="T1" s="16"/>
      <c r="U1" s="16"/>
    </row>
    <row r="2" spans="1:21" ht="8.250000" customHeight="1">
      <c r="A2" s="412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s="3" customFormat="1" ht="27.750000" customHeight="1">
      <c r="A3" s="730" t="s">
        <v>212</v>
      </c>
      <c r="B3" s="730"/>
      <c r="C3" s="730"/>
      <c r="D3" s="731"/>
      <c r="E3" s="732">
        <f>SUM(S14,S6,S10,S13)</f>
        <v>856.6485568</v>
      </c>
      <c r="F3" s="731"/>
      <c r="G3" s="386" t="s">
        <v>106</v>
      </c>
      <c r="H3" s="16"/>
      <c r="I3" s="16"/>
      <c r="J3" s="16"/>
      <c r="K3" s="16"/>
      <c r="L3" s="16"/>
      <c r="M3" s="16"/>
      <c r="N3" s="16"/>
      <c r="O3" s="16"/>
      <c r="P3" s="16"/>
      <c r="R3" s="397" t="s">
        <v>146</v>
      </c>
      <c r="S3" s="654">
        <f>TODAY()</f>
        <v>43411</v>
      </c>
      <c r="T3" s="654"/>
      <c r="U3" s="653"/>
    </row>
    <row r="4" spans="1:21" ht="16.500000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1"/>
      <c r="O4" s="131"/>
      <c r="P4" s="12"/>
      <c r="Q4" s="12"/>
      <c r="R4" s="12"/>
      <c r="S4" s="12"/>
      <c r="T4" s="12"/>
      <c r="U4" s="62"/>
    </row>
    <row r="5" spans="1:21" ht="27.750000" customHeight="1">
      <c r="A5" s="15"/>
      <c r="B5" s="16"/>
      <c r="C5" s="16"/>
      <c r="D5" s="69"/>
      <c r="E5" s="105" t="s">
        <v>213</v>
      </c>
      <c r="F5" s="69"/>
      <c r="G5" s="69"/>
      <c r="H5" s="69"/>
      <c r="I5" s="69"/>
      <c r="J5" s="133">
        <v>50</v>
      </c>
      <c r="K5" s="69"/>
      <c r="L5" s="16"/>
      <c r="M5" s="16"/>
      <c r="N5" s="16"/>
      <c r="O5" s="16"/>
      <c r="P5" s="16"/>
      <c r="Q5" s="16"/>
      <c r="R5" s="16"/>
      <c r="S5" s="16"/>
      <c r="T5" s="16"/>
      <c r="U5" s="420"/>
    </row>
    <row r="6" spans="1:21">
      <c r="A6" s="15"/>
      <c r="B6" s="16"/>
      <c r="C6" s="16"/>
      <c r="D6" s="69"/>
      <c r="E6" s="413" t="s">
        <v>214</v>
      </c>
      <c r="F6" s="69"/>
      <c r="G6" s="111">
        <v>18</v>
      </c>
      <c r="H6" s="69"/>
      <c r="I6" s="69"/>
      <c r="J6" s="69"/>
      <c r="K6" s="69"/>
      <c r="L6" s="16"/>
      <c r="M6" s="16"/>
      <c r="N6" s="16"/>
      <c r="O6" s="16"/>
      <c r="P6" s="16"/>
      <c r="Q6" s="16"/>
      <c r="R6" s="16"/>
      <c r="S6" s="421">
        <f>(((J26/10)^2)*((J5+J8+J13-15)/10))*4*0.00644</f>
        <v>7.7815808</v>
      </c>
      <c r="T6" s="422" t="s">
        <v>106</v>
      </c>
      <c r="U6" s="423"/>
    </row>
    <row r="7" spans="1:21">
      <c r="A7" s="15"/>
      <c r="B7" s="293" t="s">
        <v>215</v>
      </c>
      <c r="C7" s="16"/>
      <c r="D7" s="69"/>
      <c r="E7" s="414" t="s">
        <v>216</v>
      </c>
      <c r="F7" s="69"/>
      <c r="G7" s="111">
        <v>22</v>
      </c>
      <c r="H7" s="69"/>
      <c r="I7" s="69"/>
      <c r="J7" s="69"/>
      <c r="K7" s="69"/>
      <c r="L7" s="16"/>
      <c r="M7" s="16"/>
      <c r="N7" s="16"/>
      <c r="O7" s="16"/>
      <c r="P7" s="16"/>
      <c r="Q7" s="30" t="s">
        <v>217</v>
      </c>
      <c r="R7" s="16"/>
      <c r="S7" s="83"/>
      <c r="T7" s="424"/>
      <c r="U7" s="420"/>
    </row>
    <row r="8" spans="1:21">
      <c r="A8" s="15"/>
      <c r="B8" s="293" t="s">
        <v>218</v>
      </c>
      <c r="C8" s="16"/>
      <c r="D8" s="69"/>
      <c r="E8" s="69"/>
      <c r="F8" s="69"/>
      <c r="G8" s="111">
        <v>90</v>
      </c>
      <c r="H8" s="69"/>
      <c r="I8" s="113"/>
      <c r="J8" s="117">
        <f>SUM(G6:G12)</f>
        <v>210</v>
      </c>
      <c r="K8" s="113"/>
      <c r="L8" s="16"/>
      <c r="M8" s="16"/>
      <c r="N8" s="16"/>
      <c r="O8" s="16"/>
      <c r="P8" s="16"/>
      <c r="Q8" s="30" t="s">
        <v>219</v>
      </c>
      <c r="R8" s="16"/>
      <c r="S8" s="3"/>
      <c r="T8" s="3"/>
      <c r="U8" s="423"/>
    </row>
    <row r="9" spans="1:21">
      <c r="A9" s="15"/>
      <c r="B9" s="293" t="s">
        <v>220</v>
      </c>
      <c r="C9" s="16"/>
      <c r="D9" s="69"/>
      <c r="E9" s="105" t="s">
        <v>221</v>
      </c>
      <c r="F9" s="69"/>
      <c r="G9" s="111">
        <v>28</v>
      </c>
      <c r="H9" s="69"/>
      <c r="I9" s="69"/>
      <c r="J9" s="69"/>
      <c r="K9" s="69"/>
      <c r="L9" s="16"/>
      <c r="M9" s="16"/>
      <c r="N9" s="16"/>
      <c r="O9" s="16"/>
      <c r="P9" s="16"/>
      <c r="Q9" s="30" t="s">
        <v>222</v>
      </c>
      <c r="R9" s="16"/>
      <c r="U9" s="420"/>
    </row>
    <row r="10" spans="1:21" ht="4.500000" customHeight="1">
      <c r="A10" s="15"/>
      <c r="B10" s="16"/>
      <c r="C10" s="16"/>
      <c r="D10" s="69"/>
      <c r="E10" s="110"/>
      <c r="F10" s="69"/>
      <c r="G10" s="111"/>
      <c r="H10" s="69"/>
      <c r="I10" s="69"/>
      <c r="J10" s="69"/>
      <c r="K10" s="69"/>
      <c r="L10" s="16"/>
      <c r="M10" s="16"/>
      <c r="N10" s="16"/>
      <c r="O10" s="16"/>
      <c r="P10" s="16"/>
      <c r="Q10" s="16"/>
      <c r="R10" s="727" t="s">
        <v>223</v>
      </c>
      <c r="S10" s="733">
        <f>E26*J19*J8*0.00000628*0.85</f>
        <v>291.4548</v>
      </c>
      <c r="T10" s="735" t="s">
        <v>106</v>
      </c>
      <c r="U10" s="420"/>
    </row>
    <row r="11" spans="1:21">
      <c r="A11" s="15"/>
      <c r="B11" s="16"/>
      <c r="C11" s="16"/>
      <c r="D11" s="69"/>
      <c r="E11" s="105" t="s">
        <v>224</v>
      </c>
      <c r="F11" s="69"/>
      <c r="G11" s="111">
        <v>32</v>
      </c>
      <c r="H11" s="69"/>
      <c r="I11" s="69"/>
      <c r="J11" s="113" t="s">
        <v>225</v>
      </c>
      <c r="K11" s="119">
        <f>SUM(J5+J8+J13+J14-5)</f>
        <v>405</v>
      </c>
      <c r="L11" s="16"/>
      <c r="M11" s="16"/>
      <c r="N11" s="16"/>
      <c r="O11" s="16"/>
      <c r="P11" s="16"/>
      <c r="Q11" s="16"/>
      <c r="R11" s="728"/>
      <c r="S11" s="734"/>
      <c r="T11" s="736"/>
      <c r="U11" s="420"/>
    </row>
    <row r="12" spans="1:21">
      <c r="A12" s="15"/>
      <c r="B12" s="16"/>
      <c r="C12" s="16"/>
      <c r="D12" s="69"/>
      <c r="E12" s="105" t="s">
        <v>226</v>
      </c>
      <c r="F12" s="69"/>
      <c r="G12" s="111">
        <v>20</v>
      </c>
      <c r="H12" s="69"/>
      <c r="I12" s="69"/>
      <c r="J12" s="113"/>
      <c r="K12" s="113"/>
      <c r="L12" s="16"/>
      <c r="M12" s="16"/>
      <c r="N12" s="16"/>
      <c r="O12" s="16"/>
      <c r="P12" s="16"/>
      <c r="Q12" s="16"/>
      <c r="R12" s="16"/>
      <c r="S12" s="83"/>
      <c r="T12" s="424"/>
      <c r="U12" s="420"/>
    </row>
    <row r="13" spans="1:21" ht="30.000000" customHeight="1">
      <c r="A13" s="15"/>
      <c r="B13" s="16"/>
      <c r="C13" s="16"/>
      <c r="D13" s="69"/>
      <c r="E13" s="105" t="s">
        <v>227</v>
      </c>
      <c r="F13" s="69"/>
      <c r="G13" s="69"/>
      <c r="H13" s="69"/>
      <c r="I13" s="69"/>
      <c r="J13" s="133">
        <v>50</v>
      </c>
      <c r="K13" s="69"/>
      <c r="L13" s="16"/>
      <c r="M13" s="16"/>
      <c r="N13" s="16"/>
      <c r="O13" s="16"/>
      <c r="P13" s="726" t="s">
        <v>228</v>
      </c>
      <c r="Q13" s="726"/>
      <c r="R13" s="16"/>
      <c r="S13" s="421">
        <f>(F27*K21*(J13+J5)*0.00000628)-((((J26/10)^2)*((J5+J13)/10))*4*0.00644)</f>
        <v>286.242176</v>
      </c>
      <c r="T13" s="422" t="s">
        <v>106</v>
      </c>
      <c r="U13" s="423"/>
    </row>
    <row r="14" spans="1:21" ht="34.500000" customHeight="1">
      <c r="A14" s="15"/>
      <c r="B14" s="16"/>
      <c r="C14" s="16"/>
      <c r="D14" s="69"/>
      <c r="E14" s="105" t="s">
        <v>229</v>
      </c>
      <c r="F14" s="69"/>
      <c r="G14" s="69"/>
      <c r="H14" s="69"/>
      <c r="I14" s="69"/>
      <c r="J14" s="133">
        <v>100</v>
      </c>
      <c r="K14" s="113"/>
      <c r="L14" s="16"/>
      <c r="M14" s="16"/>
      <c r="N14" s="16"/>
      <c r="O14" s="16"/>
      <c r="P14" s="726" t="s">
        <v>230</v>
      </c>
      <c r="Q14" s="726"/>
      <c r="R14" s="16"/>
      <c r="S14" s="421">
        <f>M16*J14*F27*0.00000786+Q16*J14*F27*0.00000786</f>
        <v>271.17</v>
      </c>
      <c r="T14" s="422" t="s">
        <v>106</v>
      </c>
      <c r="U14" s="423"/>
    </row>
    <row r="15" spans="1:21">
      <c r="A15" s="15"/>
      <c r="B15" s="16"/>
      <c r="C15" s="16"/>
      <c r="D15" s="113"/>
      <c r="E15" s="113"/>
      <c r="F15" s="115"/>
      <c r="G15" s="69"/>
      <c r="H15" s="69"/>
      <c r="I15" s="69"/>
      <c r="J15" s="69"/>
      <c r="K15" s="69"/>
      <c r="L15" s="16"/>
      <c r="M15" s="16"/>
      <c r="N15" s="16"/>
      <c r="O15" s="16"/>
      <c r="P15" s="16"/>
      <c r="Q15" s="16"/>
      <c r="R15" s="16"/>
      <c r="S15" s="16"/>
      <c r="T15" s="424"/>
      <c r="U15" s="420"/>
    </row>
    <row r="16" spans="1:21">
      <c r="A16" s="15"/>
      <c r="B16" s="16"/>
      <c r="C16" s="16"/>
      <c r="D16" s="69"/>
      <c r="E16" s="69"/>
      <c r="F16" s="69"/>
      <c r="G16" s="69"/>
      <c r="H16" s="69"/>
      <c r="I16" s="69"/>
      <c r="J16" s="113"/>
      <c r="K16" s="113"/>
      <c r="L16" s="16"/>
      <c r="M16" s="133">
        <v>150</v>
      </c>
      <c r="N16" s="16"/>
      <c r="O16" s="16"/>
      <c r="P16" s="16"/>
      <c r="Q16" s="133">
        <v>150</v>
      </c>
      <c r="R16" s="16"/>
      <c r="S16" s="16"/>
      <c r="T16" s="16"/>
      <c r="U16" s="63"/>
    </row>
    <row r="17" spans="1:21">
      <c r="A17" s="15"/>
      <c r="B17" s="16"/>
      <c r="C17" s="16"/>
      <c r="D17" s="69"/>
      <c r="E17" s="69"/>
      <c r="F17" s="69"/>
      <c r="G17" s="69"/>
      <c r="H17" s="69"/>
      <c r="I17" s="69"/>
      <c r="J17" s="113"/>
      <c r="K17" s="113"/>
      <c r="L17" s="16"/>
      <c r="M17" s="16"/>
      <c r="N17" s="16"/>
      <c r="O17" s="16"/>
      <c r="P17" s="16"/>
      <c r="Q17" s="16"/>
      <c r="R17" s="16"/>
      <c r="S17" s="16"/>
      <c r="T17" s="16"/>
      <c r="U17" s="63"/>
    </row>
    <row r="18" spans="1:21" ht="16.500000">
      <c r="A18" s="15"/>
      <c r="B18" s="16"/>
      <c r="C18" s="16"/>
      <c r="D18" s="69"/>
      <c r="E18" s="69"/>
      <c r="F18" s="69"/>
      <c r="G18" s="69"/>
      <c r="H18" s="69"/>
      <c r="I18" s="138"/>
      <c r="J18" s="69"/>
      <c r="K18" s="69"/>
      <c r="L18" s="139"/>
      <c r="M18" s="11" t="s">
        <v>69</v>
      </c>
      <c r="N18" s="415"/>
      <c r="O18" s="416"/>
      <c r="P18" s="417"/>
      <c r="Q18" s="142"/>
      <c r="R18" s="142"/>
      <c r="S18" s="425"/>
      <c r="T18" s="425"/>
      <c r="U18" s="426"/>
    </row>
    <row r="19" spans="1:21">
      <c r="A19" s="15"/>
      <c r="B19" s="16"/>
      <c r="C19" s="16"/>
      <c r="D19" s="69"/>
      <c r="E19" s="69"/>
      <c r="F19" s="69"/>
      <c r="G19" s="69"/>
      <c r="H19" s="69"/>
      <c r="I19" s="138"/>
      <c r="J19" s="133">
        <v>260</v>
      </c>
      <c r="K19" s="69"/>
      <c r="L19" s="139"/>
      <c r="M19" s="145"/>
      <c r="N19" s="418"/>
      <c r="P19" s="419"/>
      <c r="Q19" s="144"/>
      <c r="R19" s="144"/>
      <c r="S19" s="427"/>
      <c r="T19" s="427"/>
      <c r="U19" s="428"/>
    </row>
    <row r="20" spans="1:21">
      <c r="A20" s="15"/>
      <c r="B20" s="16"/>
      <c r="C20" s="16"/>
      <c r="D20" s="69"/>
      <c r="E20" s="69"/>
      <c r="F20" s="69"/>
      <c r="G20" s="69"/>
      <c r="H20" s="69"/>
      <c r="I20" s="138"/>
      <c r="J20" s="69"/>
      <c r="K20" s="69"/>
      <c r="L20" s="16"/>
      <c r="M20" s="145"/>
      <c r="N20" s="144"/>
      <c r="O20" s="144"/>
      <c r="P20" s="144"/>
      <c r="Q20" s="144"/>
      <c r="R20" s="144"/>
      <c r="S20" s="144"/>
      <c r="T20" s="144"/>
      <c r="U20" s="173"/>
    </row>
    <row r="21" spans="1:21">
      <c r="A21" s="15"/>
      <c r="B21" s="16"/>
      <c r="C21" s="16"/>
      <c r="D21" s="69"/>
      <c r="E21" s="69"/>
      <c r="F21" s="69"/>
      <c r="G21" s="69"/>
      <c r="H21" s="69"/>
      <c r="I21" s="138"/>
      <c r="J21" s="69"/>
      <c r="K21" s="133">
        <v>400</v>
      </c>
      <c r="L21" s="16"/>
      <c r="M21" s="145"/>
      <c r="N21" s="144"/>
      <c r="O21" s="144"/>
      <c r="P21" s="144"/>
      <c r="Q21" s="144"/>
      <c r="R21" s="144"/>
      <c r="S21" s="144"/>
      <c r="T21" s="144"/>
      <c r="U21" s="173"/>
    </row>
    <row r="22" spans="1:21">
      <c r="A22" s="15"/>
      <c r="B22" s="16"/>
      <c r="C22" s="16"/>
      <c r="D22" s="69"/>
      <c r="E22" s="69"/>
      <c r="F22" s="69"/>
      <c r="G22" s="69"/>
      <c r="H22" s="69"/>
      <c r="I22" s="138"/>
      <c r="J22" s="69"/>
      <c r="K22" s="69"/>
      <c r="L22" s="16"/>
      <c r="M22" s="145"/>
      <c r="N22" s="144"/>
      <c r="O22" s="144"/>
      <c r="P22" s="144"/>
      <c r="Q22" s="144"/>
      <c r="R22" s="144"/>
      <c r="S22" s="144"/>
      <c r="T22" s="144"/>
      <c r="U22" s="173"/>
    </row>
    <row r="23" spans="1:21">
      <c r="A23" s="15"/>
      <c r="B23" s="16"/>
      <c r="C23" s="16"/>
      <c r="D23" s="69"/>
      <c r="E23" s="69"/>
      <c r="F23" s="69"/>
      <c r="G23" s="69"/>
      <c r="H23" s="69"/>
      <c r="I23" s="138"/>
      <c r="J23" s="69"/>
      <c r="K23" s="69"/>
      <c r="L23" s="16"/>
      <c r="M23" s="145"/>
      <c r="N23" s="144"/>
      <c r="O23" s="144"/>
      <c r="P23" s="144"/>
      <c r="Q23" s="144"/>
      <c r="R23" s="144"/>
      <c r="S23" s="144"/>
      <c r="T23" s="144"/>
      <c r="U23" s="173"/>
    </row>
    <row r="24" spans="1:21">
      <c r="A24" s="15"/>
      <c r="B24" s="16"/>
      <c r="C24" s="16"/>
      <c r="D24" s="113"/>
      <c r="E24" s="113"/>
      <c r="F24" s="115"/>
      <c r="G24" s="69"/>
      <c r="H24" s="69"/>
      <c r="I24" s="138"/>
      <c r="J24" s="69"/>
      <c r="K24" s="69"/>
      <c r="L24" s="16"/>
      <c r="M24" s="145"/>
      <c r="N24" s="144"/>
      <c r="O24" s="144"/>
      <c r="P24" s="144"/>
      <c r="Q24" s="144"/>
      <c r="R24" s="144"/>
      <c r="S24" s="144"/>
      <c r="T24" s="144"/>
      <c r="U24" s="173"/>
    </row>
    <row r="25" spans="1:21" ht="10.500000" customHeight="1">
      <c r="A25" s="15"/>
      <c r="B25" s="16"/>
      <c r="C25" s="16"/>
      <c r="D25" s="69"/>
      <c r="E25" s="69"/>
      <c r="F25" s="69"/>
      <c r="G25" s="69"/>
      <c r="H25" s="69"/>
      <c r="I25" s="69"/>
      <c r="J25" s="69"/>
      <c r="K25" s="69"/>
      <c r="L25" s="16"/>
      <c r="M25" s="145"/>
      <c r="N25" s="144"/>
      <c r="O25" s="144"/>
      <c r="P25" s="144"/>
      <c r="Q25" s="144"/>
      <c r="R25" s="144"/>
      <c r="S25" s="144"/>
      <c r="T25" s="144"/>
      <c r="U25" s="173"/>
    </row>
    <row r="26" spans="1:21">
      <c r="A26" s="15"/>
      <c r="B26" s="16"/>
      <c r="C26" s="16"/>
      <c r="E26" s="133">
        <v>1000</v>
      </c>
      <c r="F26" s="69"/>
      <c r="G26" s="69"/>
      <c r="H26" s="69"/>
      <c r="I26" s="113" t="s">
        <v>40</v>
      </c>
      <c r="J26" s="133">
        <v>32</v>
      </c>
      <c r="K26" s="69"/>
      <c r="L26" s="16"/>
      <c r="M26" s="145"/>
      <c r="N26" s="144"/>
      <c r="O26" s="144"/>
      <c r="P26" s="144"/>
      <c r="Q26" s="144"/>
      <c r="R26" s="144"/>
      <c r="S26" s="144"/>
      <c r="T26" s="144"/>
      <c r="U26" s="173"/>
    </row>
    <row r="27" spans="1:21">
      <c r="A27" s="15"/>
      <c r="B27" s="16"/>
      <c r="C27" s="16"/>
      <c r="D27" s="69"/>
      <c r="E27" s="69"/>
      <c r="F27" s="133">
        <v>1150</v>
      </c>
      <c r="G27" s="69"/>
      <c r="H27" s="69"/>
      <c r="I27" s="69"/>
      <c r="J27" s="69"/>
      <c r="K27" s="69"/>
      <c r="L27" s="16"/>
      <c r="M27" s="145"/>
      <c r="N27" s="144"/>
      <c r="O27" s="144"/>
      <c r="P27" s="144"/>
      <c r="Q27" s="144"/>
      <c r="R27" s="144"/>
      <c r="S27" s="144"/>
      <c r="T27" s="144"/>
      <c r="U27" s="173"/>
    </row>
    <row r="28" spans="1:21" ht="23.250000" customHeigh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47"/>
      <c r="N28" s="148"/>
      <c r="O28" s="148"/>
      <c r="P28" s="148"/>
      <c r="Q28" s="148"/>
      <c r="R28" s="148"/>
      <c r="S28" s="148"/>
      <c r="T28" s="148"/>
      <c r="U28" s="174"/>
    </row>
    <row r="29" spans="1:21">
      <c r="R29" s="16"/>
      <c r="S29" s="16"/>
      <c r="T29" s="16"/>
      <c r="U29" s="16"/>
    </row>
    <row r="30" spans="1:21">
      <c r="R30" s="16"/>
      <c r="S30" s="16"/>
      <c r="T30" s="16"/>
      <c r="U30" s="16"/>
    </row>
    <row r="31" spans="1:21">
      <c r="R31" s="16"/>
      <c r="S31" s="16"/>
      <c r="T31" s="16"/>
      <c r="U31" s="16"/>
    </row>
    <row r="32" spans="1:21">
      <c r="R32" s="16"/>
      <c r="S32" s="16"/>
      <c r="T32" s="16"/>
      <c r="U32" s="16"/>
    </row>
    <row r="33" spans="18:21">
      <c r="R33" s="16"/>
      <c r="S33" s="16"/>
      <c r="T33" s="16"/>
      <c r="U33" s="16"/>
    </row>
    <row r="34" spans="18:21">
      <c r="R34" s="16"/>
      <c r="S34" s="16"/>
      <c r="T34" s="16"/>
      <c r="U34" s="16"/>
    </row>
    <row r="35" spans="18:21">
      <c r="R35" s="16"/>
      <c r="S35" s="16"/>
      <c r="T35" s="16"/>
      <c r="U35" s="16"/>
    </row>
    <row r="36" spans="18:21">
      <c r="R36" s="16"/>
      <c r="S36" s="16"/>
      <c r="T36" s="16"/>
      <c r="U36" s="16"/>
    </row>
    <row r="37" spans="18:21">
      <c r="R37" s="16"/>
      <c r="S37" s="16"/>
      <c r="T37" s="16"/>
      <c r="U37" s="16"/>
    </row>
    <row r="38" spans="18:21">
      <c r="R38" s="16"/>
      <c r="S38" s="16"/>
      <c r="T38" s="16"/>
      <c r="U38" s="16"/>
    </row>
    <row r="39" spans="18:21">
      <c r="R39" s="16"/>
      <c r="S39" s="16"/>
      <c r="T39" s="16"/>
      <c r="U39" s="16"/>
    </row>
    <row r="40" spans="18:21">
      <c r="R40" s="16"/>
      <c r="S40" s="16"/>
      <c r="T40" s="16"/>
      <c r="U40" s="16"/>
    </row>
    <row r="41" spans="18:21">
      <c r="R41" s="16"/>
      <c r="S41" s="16"/>
      <c r="T41" s="16"/>
      <c r="U41" s="16"/>
    </row>
    <row r="42" spans="18:21">
      <c r="R42" s="16"/>
      <c r="S42" s="16"/>
      <c r="T42" s="16"/>
      <c r="U42" s="16"/>
    </row>
    <row r="43" spans="18:21">
      <c r="R43" s="16"/>
      <c r="S43" s="16"/>
      <c r="T43" s="16"/>
      <c r="U43" s="16"/>
    </row>
    <row r="44" spans="18:21">
      <c r="R44" s="16"/>
      <c r="S44" s="16"/>
      <c r="T44" s="16"/>
      <c r="U44" s="16"/>
    </row>
    <row r="45" spans="18:21">
      <c r="R45" s="16"/>
      <c r="S45" s="16"/>
      <c r="T45" s="16"/>
      <c r="U45" s="16"/>
    </row>
    <row r="46" spans="18:21">
      <c r="R46" s="16"/>
      <c r="S46" s="16"/>
      <c r="T46" s="16"/>
      <c r="U46" s="16"/>
    </row>
    <row r="47" spans="18:21">
      <c r="R47" s="16"/>
      <c r="S47" s="16"/>
      <c r="T47" s="16"/>
      <c r="U47" s="16"/>
    </row>
    <row r="48" spans="18:21">
      <c r="R48" s="16"/>
      <c r="S48" s="16"/>
      <c r="T48" s="16"/>
      <c r="U48" s="16"/>
    </row>
    <row r="49" spans="18:21">
      <c r="R49" s="16"/>
      <c r="S49" s="16"/>
      <c r="T49" s="16"/>
      <c r="U49" s="16"/>
    </row>
    <row r="50" spans="18:21">
      <c r="R50" s="16"/>
      <c r="S50" s="16"/>
      <c r="T50" s="16"/>
      <c r="U50" s="16"/>
    </row>
    <row r="51" spans="18:21">
      <c r="R51" s="16"/>
      <c r="S51" s="16"/>
      <c r="T51" s="16"/>
      <c r="U51" s="16"/>
    </row>
    <row r="52" spans="18:21">
      <c r="R52" s="16"/>
      <c r="S52" s="16"/>
      <c r="T52" s="16"/>
      <c r="U52" s="16"/>
    </row>
    <row r="53" spans="18:21">
      <c r="R53" s="16"/>
      <c r="S53" s="16"/>
      <c r="T53" s="16"/>
      <c r="U53" s="16"/>
    </row>
    <row r="54" spans="18:21">
      <c r="R54" s="16"/>
      <c r="S54" s="16"/>
      <c r="T54" s="16"/>
      <c r="U54" s="16"/>
    </row>
    <row r="55" spans="18:21">
      <c r="R55" s="16"/>
      <c r="S55" s="16"/>
      <c r="T55" s="16"/>
      <c r="U55" s="16"/>
    </row>
    <row r="56" spans="18:21">
      <c r="R56" s="16"/>
      <c r="S56" s="16"/>
      <c r="T56" s="16"/>
      <c r="U56" s="16"/>
    </row>
    <row r="57" spans="18:21">
      <c r="R57" s="16"/>
      <c r="S57" s="16"/>
      <c r="T57" s="16"/>
      <c r="U57" s="16"/>
    </row>
    <row r="58" spans="18:21">
      <c r="R58" s="16"/>
      <c r="S58" s="16"/>
      <c r="T58" s="16"/>
      <c r="U58" s="16"/>
    </row>
    <row r="59" spans="18:21">
      <c r="R59" s="16"/>
      <c r="S59" s="16"/>
      <c r="T59" s="16"/>
      <c r="U59" s="16"/>
    </row>
    <row r="60" spans="18:21">
      <c r="R60" s="16"/>
      <c r="S60" s="16"/>
      <c r="T60" s="16"/>
      <c r="U60" s="16"/>
    </row>
    <row r="61" spans="18:21">
      <c r="R61" s="16"/>
      <c r="S61" s="16"/>
      <c r="T61" s="16"/>
      <c r="U61" s="16"/>
    </row>
    <row r="62" spans="18:21">
      <c r="R62" s="16"/>
      <c r="S62" s="16"/>
      <c r="T62" s="16"/>
      <c r="U62" s="16"/>
    </row>
  </sheetData>
  <sheetProtection sheet="1" password="ce28" objects="1" scenarios="1"/>
  <mergeCells count="10">
    <mergeCell ref="A1:S1"/>
    <mergeCell ref="A3:D3"/>
    <mergeCell ref="E3:F3"/>
    <mergeCell ref="S3:U3"/>
    <mergeCell ref="N4:O4"/>
    <mergeCell ref="R10:R11"/>
    <mergeCell ref="S10:S11"/>
    <mergeCell ref="T10:T11"/>
    <mergeCell ref="P13:Q13"/>
    <mergeCell ref="P14:Q14"/>
  </mergeCells>
  <phoneticPr fontId="1" type="noConversion"/>
  <pageMargins left="0.55" right="0.55" top="0.79" bottom="0.59" header="0.71" footer="0.51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0"/>
  <sheetViews>
    <sheetView showGridLines="0" showRowColHeaders="0" zoomScale="70" zoomScaleNormal="70" workbookViewId="0">
      <pane xSplit="22" ySplit="30" topLeftCell="W31" activePane="bottomRight" state="frozen"/>
      <selection pane="topRight" activeCell="W1" sqref="W1"/>
      <selection pane="bottomLeft" activeCell="A31" sqref="A31"/>
      <selection pane="bottomRight" activeCell="A1" sqref="A1:U1"/>
    </sheetView>
  </sheetViews>
  <sheetFormatPr defaultColWidth="9.00000000" defaultRowHeight="16.200000"/>
  <cols>
    <col min="1" max="1" style="3" width="10.71928583" customWidth="1" outlineLevel="0"/>
    <col min="2" max="10" style="3" width="6.29071413" customWidth="1" outlineLevel="0"/>
    <col min="11" max="11" style="3" width="2.00499998" customWidth="1" outlineLevel="0"/>
    <col min="12" max="19" style="3" width="6.29071413" customWidth="1" outlineLevel="0"/>
    <col min="20" max="20" style="3" width="1.71928571" customWidth="1" outlineLevel="0"/>
    <col min="21" max="21" style="3" width="6.29071413" customWidth="1" outlineLevel="0"/>
    <col min="22" max="23" style="3" width="5.71928583" customWidth="1" outlineLevel="0"/>
    <col min="24" max="26" style="3" width="6.29071413" hidden="1" customWidth="1" outlineLevel="0"/>
    <col min="27" max="27" style="3" width="6.29071413" customWidth="1" outlineLevel="0"/>
    <col min="28" max="16384" style="3" width="9.00499998" customWidth="1" outlineLevel="0"/>
  </cols>
  <sheetData>
    <row r="1" spans="1:26" s="1" customFormat="1" ht="49.500000" customHeight="1">
      <c r="A1" s="646" t="s">
        <v>231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</row>
    <row r="2" spans="1:26" s="1" customFormat="1" ht="27.750000" customHeight="1">
      <c r="S2" s="252" t="s">
        <v>88</v>
      </c>
      <c r="T2" s="654">
        <f>TODAY()</f>
        <v>43411</v>
      </c>
      <c r="U2" s="653"/>
      <c r="V2" s="653"/>
    </row>
    <row r="3" spans="1:26" ht="19.500000">
      <c r="A3" s="405" t="s">
        <v>232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410" t="s">
        <v>233</v>
      </c>
      <c r="N3" s="12"/>
      <c r="O3" s="12"/>
      <c r="P3" s="12"/>
      <c r="Q3" s="12"/>
      <c r="R3" s="12"/>
      <c r="S3" s="12"/>
      <c r="T3" s="12"/>
      <c r="U3" s="12"/>
      <c r="V3" s="62"/>
    </row>
    <row r="4" spans="1:26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63"/>
    </row>
    <row r="5" spans="1:26">
      <c r="A5" s="15"/>
      <c r="B5" s="16"/>
      <c r="C5" s="16"/>
      <c r="D5" s="16"/>
      <c r="E5" s="406" t="str">
        <f>IF(D28&lt;2,"  ",G5/2)</f>
        <v>  </v>
      </c>
      <c r="F5" s="16"/>
      <c r="G5" s="406" t="str">
        <f>IF(D28&lt;2,"  ",C10+G16)</f>
        <v>  </v>
      </c>
      <c r="I5" s="16"/>
      <c r="J5" s="16"/>
      <c r="K5" s="16"/>
      <c r="L5" s="16"/>
      <c r="M5" s="16"/>
      <c r="N5" s="16"/>
      <c r="O5" s="16"/>
      <c r="P5" s="16"/>
      <c r="Q5" s="406">
        <f>O10+R10</f>
        <v>168.4</v>
      </c>
      <c r="R5" s="16"/>
      <c r="S5" s="16"/>
      <c r="T5" s="16"/>
      <c r="U5" s="16"/>
      <c r="V5" s="63"/>
    </row>
    <row r="6" spans="1:26" ht="8.250000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63"/>
    </row>
    <row r="7" spans="1:26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63"/>
      <c r="X7" s="3">
        <f>IF(O10&gt;400,1.7,IF(O10&gt;250,1.5,IF(O10&gt;150,1.3,IF(O10&gt;75,1.2,IF(O10&gt;25,1,0.8)))))</f>
        <v>1.3</v>
      </c>
      <c r="Y7" s="3">
        <f>Q15*X7</f>
        <v>2.6</v>
      </c>
      <c r="Z7" s="3">
        <f>IF(O10&gt;250,3,IF(O10&gt;150,2.4,IF(O10&gt;75,1.8,IF(O10&gt;25,1.2,0.8))))</f>
        <v>2.4</v>
      </c>
    </row>
    <row r="8" spans="1:26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63"/>
      <c r="X8" s="3">
        <f>IF(O10&gt;400,1.7,IF(O10&gt;250,1.5,IF(O10&gt;150,1.3,IF(O10&gt;75,1.2,IF(O10&gt;25,1,0.7)))))</f>
        <v>1.3</v>
      </c>
      <c r="Y8" s="3">
        <f>Q15*X8</f>
        <v>2.6</v>
      </c>
      <c r="Z8" s="3">
        <f>IF(O10&gt;250,2.4,IF(O10&gt;150,1.8,IF(O10&gt;75,1.2,IF(O10&gt;25,0.8,0.6))))</f>
        <v>1.8</v>
      </c>
    </row>
    <row r="9" spans="1:2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63"/>
    </row>
    <row r="10" spans="1:26">
      <c r="A10" s="15"/>
      <c r="B10" s="16"/>
      <c r="C10" s="1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33">
        <v>165.8</v>
      </c>
      <c r="P10" s="16"/>
      <c r="Q10" s="16"/>
      <c r="R10" s="406">
        <f>IF(Y8&gt;Z8,Y8,Z8)</f>
        <v>2.6</v>
      </c>
      <c r="S10" s="16"/>
      <c r="T10" s="16"/>
      <c r="U10" s="411">
        <f>O10+R12*2</f>
        <v>171</v>
      </c>
      <c r="V10" s="63"/>
    </row>
    <row r="11" spans="1:26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63"/>
      <c r="X11" s="3">
        <f>IF(C10&gt;400,1.7,IF(C10&gt;250,1.5,IF(C10&gt;150,1.3,IF(C10&gt;75,1.2,IF(C10&gt;25,1,0.8)))))</f>
        <v>0.8</v>
      </c>
      <c r="Y11" s="3">
        <f>D27*X11</f>
        <v>0</v>
      </c>
      <c r="Z11" s="3">
        <f>IF(C10&gt;250,3,IF(C10&gt;150,2.4,IF(C10&gt;75,1.8,IF(C10&gt;25,1.2,0.8))))</f>
        <v>0.8</v>
      </c>
    </row>
    <row r="12" spans="1:26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406">
        <f>IF(Y7&gt;Z7,Y7,Z7)</f>
        <v>2.6</v>
      </c>
      <c r="S12" s="16"/>
      <c r="T12" s="16"/>
      <c r="U12" s="16"/>
      <c r="V12" s="63"/>
      <c r="X12" s="3">
        <f>IF(C10&gt;400,1.7,IF(C10&gt;250,1.5,IF(C10&gt;150,1.3,IF(C10&gt;75,1.2,IF(C10&gt;25,1,0.7)))))</f>
        <v>0.7</v>
      </c>
      <c r="Y12" s="3">
        <f>D27*X12</f>
        <v>0</v>
      </c>
      <c r="Z12" s="3">
        <f>IF(C10&gt;250,2.4,IF(C10&gt;150,1.8,IF(C10&gt;75,1.2,IF(C10&gt;25,0.8,0.6))))</f>
        <v>0.6</v>
      </c>
    </row>
    <row r="13" spans="1:26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63"/>
    </row>
    <row r="14" spans="1:26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63"/>
    </row>
    <row r="15" spans="1:26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50" t="s">
        <v>234</v>
      </c>
      <c r="Q15" s="133">
        <v>2</v>
      </c>
      <c r="R15" s="16"/>
      <c r="S15" s="16"/>
      <c r="T15" s="16"/>
      <c r="U15" s="16"/>
      <c r="V15" s="63"/>
    </row>
    <row r="16" spans="1:26">
      <c r="A16" s="15"/>
      <c r="B16" s="16"/>
      <c r="C16" s="16"/>
      <c r="D16" s="16"/>
      <c r="E16" s="16"/>
      <c r="F16" s="16"/>
      <c r="G16" s="406" t="str">
        <f>IF(D28&lt;2,"  ",IF(Y12&gt;Z12,Y12,Z12))</f>
        <v>  </v>
      </c>
      <c r="H16" s="16"/>
      <c r="I16" s="16"/>
      <c r="J16" s="16"/>
      <c r="K16" s="16"/>
      <c r="L16" s="117" t="str">
        <f>IF(D28&lt;2,"  ",(D28-1)*(G5/2)*(3^0.33333333)+C10+(2*F22))</f>
        <v>  </v>
      </c>
      <c r="M16" s="16"/>
      <c r="N16" s="16"/>
      <c r="O16" s="375" t="s">
        <v>235</v>
      </c>
      <c r="P16" s="737"/>
      <c r="Q16" s="409">
        <f>(3.14159*O10^2)/4/(Q5*U10)</f>
        <v>0.749756724170382</v>
      </c>
      <c r="R16" s="16"/>
      <c r="S16" s="16"/>
      <c r="T16" s="16"/>
      <c r="U16" s="16"/>
      <c r="V16" s="63"/>
    </row>
    <row r="17" spans="1:22">
      <c r="A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63"/>
    </row>
    <row r="18" spans="1:22">
      <c r="A18" s="15"/>
      <c r="B18" s="407" t="str">
        <f>IF(D28&lt;2,"  ",(G5/2)*(3^0.33333333))</f>
        <v>  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1" t="s">
        <v>69</v>
      </c>
      <c r="O18" s="142"/>
      <c r="P18" s="142"/>
      <c r="Q18" s="142"/>
      <c r="R18" s="142"/>
      <c r="S18" s="142"/>
      <c r="T18" s="142"/>
      <c r="U18" s="142"/>
      <c r="V18" s="172"/>
    </row>
    <row r="19" spans="1:22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43"/>
      <c r="O19" s="144"/>
      <c r="P19" s="144"/>
      <c r="Q19" s="144"/>
      <c r="R19" s="144"/>
      <c r="S19" s="144"/>
      <c r="T19" s="144"/>
      <c r="U19" s="144"/>
      <c r="V19" s="173"/>
    </row>
    <row r="20" spans="1:22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N20" s="143"/>
      <c r="O20" s="144"/>
      <c r="P20" s="144"/>
      <c r="Q20" s="144"/>
      <c r="R20" s="144"/>
      <c r="S20" s="144"/>
      <c r="T20" s="144"/>
      <c r="U20" s="144"/>
      <c r="V20" s="173"/>
    </row>
    <row r="21" spans="1:22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45"/>
      <c r="O21" s="144"/>
      <c r="P21" s="144"/>
      <c r="Q21" s="144"/>
      <c r="R21" s="144"/>
      <c r="S21" s="144"/>
      <c r="T21" s="144"/>
      <c r="U21" s="144"/>
      <c r="V21" s="173"/>
    </row>
    <row r="22" spans="1:22">
      <c r="A22" s="15"/>
      <c r="B22" s="16"/>
      <c r="C22" s="16"/>
      <c r="D22" s="16"/>
      <c r="E22" s="16"/>
      <c r="F22" s="406" t="str">
        <f>IF(D28&lt;2,"  ",IF(Y11&gt;Z11,Y11,Z11))</f>
        <v>  </v>
      </c>
      <c r="G22" s="16"/>
      <c r="H22" s="16"/>
      <c r="I22" s="16"/>
      <c r="J22" s="16"/>
      <c r="K22" s="16"/>
      <c r="L22" s="16"/>
      <c r="M22" s="16"/>
      <c r="N22" s="145"/>
      <c r="O22" s="144"/>
      <c r="P22" s="144"/>
      <c r="Q22" s="144"/>
      <c r="R22" s="144"/>
      <c r="S22" s="144"/>
      <c r="T22" s="144"/>
      <c r="U22" s="144"/>
      <c r="V22" s="173"/>
    </row>
    <row r="23" spans="1:22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45"/>
      <c r="O23" s="144"/>
      <c r="P23" s="144"/>
      <c r="Q23" s="144"/>
      <c r="R23" s="144"/>
      <c r="S23" s="144"/>
      <c r="T23" s="144"/>
      <c r="U23" s="144"/>
      <c r="V23" s="173"/>
    </row>
    <row r="24" spans="1:22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45"/>
      <c r="O24" s="144"/>
      <c r="P24" s="144"/>
      <c r="Q24" s="144"/>
      <c r="R24" s="144"/>
      <c r="S24" s="144"/>
      <c r="T24" s="144"/>
      <c r="U24" s="144"/>
      <c r="V24" s="173"/>
    </row>
    <row r="25" spans="1:2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45"/>
      <c r="O25" s="144"/>
      <c r="P25" s="144"/>
      <c r="Q25" s="144"/>
      <c r="R25" s="144"/>
      <c r="S25" s="144"/>
      <c r="T25" s="144"/>
      <c r="U25" s="144"/>
      <c r="V25" s="173"/>
    </row>
    <row r="26" spans="1:22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45"/>
      <c r="O26" s="144"/>
      <c r="P26" s="144"/>
      <c r="Q26" s="144"/>
      <c r="R26" s="144"/>
      <c r="S26" s="144"/>
      <c r="T26" s="144"/>
      <c r="U26" s="144"/>
      <c r="V26" s="173"/>
    </row>
    <row r="27" spans="1:22">
      <c r="A27" s="15"/>
      <c r="B27" s="16"/>
      <c r="C27" s="150" t="s">
        <v>234</v>
      </c>
      <c r="D27" s="133"/>
      <c r="E27" s="16"/>
      <c r="F27" s="16"/>
      <c r="G27" s="16"/>
      <c r="H27" s="16"/>
      <c r="I27" s="16"/>
      <c r="J27" s="16"/>
      <c r="K27" s="16"/>
      <c r="L27" s="16"/>
      <c r="M27" s="16"/>
      <c r="N27" s="145"/>
      <c r="O27" s="144"/>
      <c r="P27" s="144"/>
      <c r="Q27" s="144"/>
      <c r="R27" s="144"/>
      <c r="S27" s="144"/>
      <c r="T27" s="144"/>
      <c r="U27" s="144"/>
      <c r="V27" s="173"/>
    </row>
    <row r="28" spans="1:22">
      <c r="A28" s="15"/>
      <c r="B28" s="16"/>
      <c r="C28" s="150" t="s">
        <v>236</v>
      </c>
      <c r="D28" s="408"/>
      <c r="E28" s="16"/>
      <c r="F28" s="16"/>
      <c r="G28" s="16"/>
      <c r="H28" s="16"/>
      <c r="I28" s="16"/>
      <c r="J28" s="16"/>
      <c r="K28" s="16"/>
      <c r="L28" s="16"/>
      <c r="M28" s="16"/>
      <c r="N28" s="145"/>
      <c r="O28" s="144"/>
      <c r="P28" s="144"/>
      <c r="Q28" s="144"/>
      <c r="R28" s="144"/>
      <c r="S28" s="144"/>
      <c r="T28" s="144"/>
      <c r="U28" s="144"/>
      <c r="V28" s="173"/>
    </row>
    <row r="29" spans="1:22">
      <c r="A29" s="15"/>
      <c r="B29" s="375" t="s">
        <v>235</v>
      </c>
      <c r="C29" s="375"/>
      <c r="D29" s="409" t="str">
        <f>IF(D28&lt;2,"  ",((3.14159*(C10^2))/4*D28)/(L16*G5))</f>
        <v>  </v>
      </c>
      <c r="E29" s="16"/>
      <c r="F29" s="16"/>
      <c r="G29" s="16"/>
      <c r="H29" s="16"/>
      <c r="I29" s="16"/>
      <c r="J29" s="16"/>
      <c r="K29" s="16"/>
      <c r="L29" s="16"/>
      <c r="M29" s="16"/>
      <c r="N29" s="145"/>
      <c r="O29" s="144"/>
      <c r="P29" s="144"/>
      <c r="Q29" s="144"/>
      <c r="R29" s="144"/>
      <c r="S29" s="144"/>
      <c r="T29" s="144"/>
      <c r="U29" s="144"/>
      <c r="V29" s="173"/>
    </row>
    <row r="30" spans="1:22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147"/>
      <c r="O30" s="148"/>
      <c r="P30" s="148"/>
      <c r="Q30" s="148"/>
      <c r="R30" s="148"/>
      <c r="S30" s="148"/>
      <c r="T30" s="148"/>
      <c r="U30" s="148"/>
      <c r="V30" s="174"/>
    </row>
  </sheetData>
  <sheetProtection sheet="1" password="ce28" objects="1" scenarios="1"/>
  <mergeCells count="4">
    <mergeCell ref="A1:U1"/>
    <mergeCell ref="T2:V2"/>
    <mergeCell ref="O16:P16"/>
    <mergeCell ref="B29:C29"/>
  </mergeCells>
  <phoneticPr fontId="1" type="noConversion"/>
  <pageMargins left="0.55" right="0.55" top="0.79" bottom="0.59" header="0.71" footer="0.51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Company>金豐機器工業股份有限公司</Company>
  <DocSecurity>0</DocSecurity>
  <HyperlinksChanged>false</HyperlinksChanged>
  <Lines>0</Lines>
  <LinksUpToDate>false</LinksUpToDate>
  <Pages>29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蔡東晉</dc:creator>
  <cp:lastModifiedBy>Administrator</cp:lastModifiedBy>
  <dc:title>工程計算1.7版</dc:title>
  <dc:subject>沖剪切之理論(參考)值計算</dc:subject>
  <dcterms:modified xsi:type="dcterms:W3CDTF">2018-03-27T10:25:12Z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