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MT7\TA\Main Program - Manual\"/>
    </mc:Choice>
  </mc:AlternateContent>
  <xr:revisionPtr revIDLastSave="0" documentId="13_ncr:1_{C142A315-57C5-4E21-96D7-44FF6EED75E7}" xr6:coauthVersionLast="47" xr6:coauthVersionMax="47" xr10:uidLastSave="{00000000-0000-0000-0000-000000000000}"/>
  <bookViews>
    <workbookView xWindow="-120" yWindow="-120" windowWidth="20730" windowHeight="11160" xr2:uid="{B5193FB1-00B5-4C96-9EFF-7563EE25B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7" i="1" l="1"/>
  <c r="X33" i="1"/>
  <c r="X34" i="1"/>
  <c r="X35" i="1"/>
  <c r="X36" i="1"/>
  <c r="X32" i="1"/>
  <c r="W33" i="1"/>
  <c r="W34" i="1"/>
  <c r="W35" i="1"/>
  <c r="W36" i="1"/>
  <c r="W37" i="1"/>
  <c r="W32" i="1"/>
  <c r="U41" i="1"/>
  <c r="U39" i="1"/>
  <c r="U40" i="1"/>
  <c r="U38" i="1"/>
  <c r="U33" i="1"/>
  <c r="V33" i="1"/>
  <c r="U34" i="1"/>
  <c r="V34" i="1"/>
  <c r="U35" i="1"/>
  <c r="V35" i="1"/>
  <c r="U36" i="1"/>
  <c r="V36" i="1"/>
  <c r="U37" i="1"/>
  <c r="V37" i="1"/>
  <c r="U32" i="1"/>
  <c r="V32" i="1"/>
  <c r="T33" i="1"/>
  <c r="T34" i="1"/>
  <c r="T35" i="1"/>
  <c r="T36" i="1"/>
  <c r="T37" i="1"/>
  <c r="T32" i="1"/>
  <c r="S33" i="1"/>
  <c r="S34" i="1"/>
  <c r="S35" i="1"/>
  <c r="S36" i="1"/>
  <c r="S37" i="1"/>
  <c r="S32" i="1"/>
  <c r="R37" i="1"/>
  <c r="R33" i="1"/>
  <c r="R34" i="1"/>
  <c r="R35" i="1"/>
  <c r="R36" i="1"/>
  <c r="R32" i="1"/>
  <c r="P33" i="1"/>
  <c r="P34" i="1"/>
  <c r="P35" i="1"/>
  <c r="P36" i="1"/>
  <c r="P32" i="1"/>
  <c r="O33" i="1"/>
  <c r="O34" i="1"/>
  <c r="O35" i="1"/>
  <c r="O36" i="1"/>
  <c r="O32" i="1"/>
  <c r="K28" i="1"/>
  <c r="L28" i="1"/>
  <c r="M28" i="1"/>
  <c r="N28" i="1"/>
  <c r="J28" i="1"/>
  <c r="K27" i="1"/>
  <c r="L27" i="1"/>
  <c r="M27" i="1"/>
  <c r="N27" i="1"/>
  <c r="J27" i="1"/>
  <c r="K26" i="1"/>
  <c r="L26" i="1"/>
  <c r="M26" i="1"/>
  <c r="N26" i="1"/>
  <c r="J26" i="1"/>
  <c r="K25" i="1"/>
  <c r="L25" i="1"/>
  <c r="M25" i="1"/>
  <c r="N25" i="1"/>
  <c r="J25" i="1"/>
  <c r="K24" i="1"/>
  <c r="L24" i="1"/>
  <c r="M24" i="1"/>
  <c r="N24" i="1"/>
  <c r="J24" i="1"/>
  <c r="K23" i="1"/>
  <c r="L23" i="1"/>
  <c r="M23" i="1"/>
  <c r="N23" i="1"/>
  <c r="O23" i="1"/>
  <c r="J23" i="1"/>
  <c r="K22" i="1"/>
  <c r="L22" i="1"/>
  <c r="M22" i="1"/>
  <c r="N22" i="1"/>
  <c r="O22" i="1"/>
  <c r="J22" i="1"/>
  <c r="K21" i="1"/>
  <c r="L21" i="1"/>
  <c r="M21" i="1"/>
  <c r="N21" i="1"/>
  <c r="O21" i="1"/>
  <c r="P21" i="1"/>
  <c r="J21" i="1"/>
  <c r="K20" i="1"/>
  <c r="L20" i="1"/>
  <c r="M20" i="1"/>
  <c r="N20" i="1"/>
  <c r="O20" i="1"/>
  <c r="P20" i="1"/>
  <c r="R20" i="1"/>
  <c r="S20" i="1"/>
  <c r="T20" i="1"/>
  <c r="U20" i="1"/>
  <c r="V20" i="1"/>
  <c r="W20" i="1"/>
  <c r="J20" i="1"/>
  <c r="R9" i="1"/>
  <c r="S9" i="1"/>
  <c r="T9" i="1"/>
  <c r="U9" i="1"/>
  <c r="V9" i="1"/>
  <c r="W9" i="1"/>
  <c r="R10" i="1"/>
  <c r="S10" i="1"/>
  <c r="T10" i="1"/>
  <c r="U10" i="1"/>
  <c r="V10" i="1"/>
  <c r="W10" i="1"/>
  <c r="R11" i="1"/>
  <c r="S11" i="1"/>
  <c r="T11" i="1"/>
  <c r="U11" i="1"/>
  <c r="V11" i="1"/>
  <c r="W11" i="1"/>
  <c r="R12" i="1"/>
  <c r="S12" i="1"/>
  <c r="T12" i="1"/>
  <c r="U12" i="1"/>
  <c r="V12" i="1"/>
  <c r="W12" i="1"/>
  <c r="R13" i="1"/>
  <c r="S13" i="1"/>
  <c r="T13" i="1"/>
  <c r="U13" i="1"/>
  <c r="V13" i="1"/>
  <c r="W13" i="1"/>
  <c r="R14" i="1"/>
  <c r="S14" i="1"/>
  <c r="T14" i="1"/>
  <c r="U14" i="1"/>
  <c r="V14" i="1"/>
  <c r="W14" i="1"/>
  <c r="R15" i="1"/>
  <c r="S15" i="1"/>
  <c r="T15" i="1"/>
  <c r="U15" i="1"/>
  <c r="V15" i="1"/>
  <c r="W15" i="1"/>
  <c r="R16" i="1"/>
  <c r="S16" i="1"/>
  <c r="T16" i="1"/>
  <c r="U16" i="1"/>
  <c r="V16" i="1"/>
  <c r="W16" i="1"/>
  <c r="R17" i="1"/>
  <c r="S17" i="1"/>
  <c r="T17" i="1"/>
  <c r="U17" i="1"/>
  <c r="V17" i="1"/>
  <c r="W17" i="1"/>
  <c r="R18" i="1"/>
  <c r="S18" i="1"/>
  <c r="T18" i="1"/>
  <c r="U18" i="1"/>
  <c r="V18" i="1"/>
  <c r="W18" i="1"/>
  <c r="R19" i="1"/>
  <c r="S19" i="1"/>
  <c r="T19" i="1"/>
  <c r="U19" i="1"/>
  <c r="V19" i="1"/>
  <c r="W19" i="1"/>
  <c r="S8" i="1"/>
  <c r="T8" i="1"/>
  <c r="U8" i="1"/>
  <c r="V8" i="1"/>
  <c r="W8" i="1"/>
  <c r="R8" i="1"/>
  <c r="P9" i="1"/>
  <c r="P10" i="1"/>
  <c r="P11" i="1"/>
  <c r="P12" i="1"/>
  <c r="P13" i="1"/>
  <c r="P14" i="1"/>
  <c r="P15" i="1"/>
  <c r="P16" i="1"/>
  <c r="P17" i="1"/>
  <c r="P18" i="1"/>
  <c r="P19" i="1"/>
  <c r="P8" i="1"/>
  <c r="J9" i="1"/>
  <c r="K9" i="1"/>
  <c r="L9" i="1"/>
  <c r="M9" i="1"/>
  <c r="N9" i="1"/>
  <c r="O9" i="1"/>
  <c r="J10" i="1"/>
  <c r="K10" i="1"/>
  <c r="L10" i="1"/>
  <c r="M10" i="1"/>
  <c r="N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N13" i="1"/>
  <c r="O13" i="1"/>
  <c r="J14" i="1"/>
  <c r="K14" i="1"/>
  <c r="L14" i="1"/>
  <c r="M14" i="1"/>
  <c r="N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N17" i="1"/>
  <c r="O17" i="1"/>
  <c r="J18" i="1"/>
  <c r="K18" i="1"/>
  <c r="L18" i="1"/>
  <c r="M18" i="1"/>
  <c r="N18" i="1"/>
  <c r="O18" i="1"/>
  <c r="J19" i="1"/>
  <c r="K19" i="1"/>
  <c r="L19" i="1"/>
  <c r="M19" i="1"/>
  <c r="N19" i="1"/>
  <c r="O19" i="1"/>
  <c r="K8" i="1"/>
  <c r="L8" i="1"/>
  <c r="M8" i="1"/>
  <c r="N8" i="1"/>
  <c r="O8" i="1"/>
  <c r="J8" i="1"/>
</calcChain>
</file>

<file path=xl/sharedStrings.xml><?xml version="1.0" encoding="utf-8"?>
<sst xmlns="http://schemas.openxmlformats.org/spreadsheetml/2006/main" count="57" uniqueCount="38">
  <si>
    <t>bulan</t>
  </si>
  <si>
    <t>close price</t>
  </si>
  <si>
    <t>SHIP.JK</t>
  </si>
  <si>
    <t>TCPI.JK</t>
  </si>
  <si>
    <t>HITS.JK</t>
  </si>
  <si>
    <t>SOCI.JK</t>
  </si>
  <si>
    <t>WINS.JK</t>
  </si>
  <si>
    <t>IHSG</t>
  </si>
  <si>
    <t>rfr</t>
  </si>
  <si>
    <t>actual return</t>
  </si>
  <si>
    <t>Excess  return</t>
  </si>
  <si>
    <t>Expected Return (er)</t>
  </si>
  <si>
    <t>Varian (O^2)</t>
  </si>
  <si>
    <t>alpha (a)</t>
  </si>
  <si>
    <t>beta (b)</t>
  </si>
  <si>
    <t>unvarians</t>
  </si>
  <si>
    <t>unvarians risk</t>
  </si>
  <si>
    <t>alpha i (ai)</t>
  </si>
  <si>
    <t>beta i (bi)</t>
  </si>
  <si>
    <t>cut off i (ci)</t>
  </si>
  <si>
    <t xml:space="preserve"> </t>
  </si>
  <si>
    <t>ERB</t>
  </si>
  <si>
    <t>saham</t>
  </si>
  <si>
    <t>alpha</t>
  </si>
  <si>
    <t>beta</t>
  </si>
  <si>
    <t>ci</t>
  </si>
  <si>
    <t>c*</t>
  </si>
  <si>
    <t>keterangan</t>
  </si>
  <si>
    <t>zi</t>
  </si>
  <si>
    <t>wi</t>
  </si>
  <si>
    <t>ap</t>
  </si>
  <si>
    <t>bp</t>
  </si>
  <si>
    <t>varians p</t>
  </si>
  <si>
    <t>Erm</t>
  </si>
  <si>
    <t>erp</t>
  </si>
  <si>
    <t>varm</t>
  </si>
  <si>
    <t>varp</t>
  </si>
  <si>
    <t>alokasi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</si>
</sst>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0"/>
    <numFmt numFmtId="169" formatCode="0.000"/>
    <numFmt numFmtId="188" formatCode="_([$IDR]\ * #,##0.00_);_([$IDR]\ * \(#,##0.00\);_([$IDR]\ * &quot;-&quot;??_);_(@_)"/>
  </numFmts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68" fontId="0" fillId="0" borderId="0" xfId="0" applyNumberFormat="1"/>
    <xf numFmtId="169" fontId="0" fillId="0" borderId="0" xfId="0" applyNumberFormat="1"/>
    <xf numFmtId="0" fontId="0" fillId="2" borderId="1" xfId="0" applyFill="1" applyBorder="1"/>
    <xf numFmtId="169" fontId="0" fillId="2" borderId="1" xfId="0" applyNumberFormat="1" applyFill="1" applyBorder="1"/>
    <xf numFmtId="168" fontId="0" fillId="2" borderId="1" xfId="0" applyNumberFormat="1" applyFill="1" applyBorder="1"/>
    <xf numFmtId="0" fontId="0" fillId="2" borderId="0" xfId="0" applyFill="1" applyBorder="1"/>
    <xf numFmtId="18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FBFE-BA2C-48FF-835F-3E5D43665C02}">
  <dimension ref="A4:X41"/>
  <sheetViews>
    <sheetView tabSelected="1" topLeftCell="H24" zoomScaleNormal="100" workbookViewId="0">
      <selection activeCell="V39" sqref="V39"/>
    </sheetView>
  </sheetViews>
  <sheetFormatPr defaultRowHeight="15" x14ac:dyDescent="0.25"/>
  <cols>
    <col min="1" max="1" width="14.140625" customWidth="1"/>
    <col min="9" max="9" width="25.85546875" customWidth="1"/>
    <col min="10" max="10" width="13.85546875" bestFit="1" customWidth="1"/>
    <col min="15" max="15" width="8" customWidth="1"/>
    <col min="16" max="16" width="11.7109375" customWidth="1"/>
    <col min="24" max="24" width="18.85546875" bestFit="1" customWidth="1"/>
  </cols>
  <sheetData>
    <row r="4" spans="1:23" x14ac:dyDescent="0.25">
      <c r="A4" s="1" t="s">
        <v>0</v>
      </c>
    </row>
    <row r="5" spans="1:23" x14ac:dyDescent="0.25">
      <c r="A5" s="1"/>
      <c r="B5" s="1" t="s">
        <v>1</v>
      </c>
      <c r="C5" s="1"/>
      <c r="D5" s="1"/>
      <c r="E5" s="1"/>
      <c r="F5" s="1"/>
      <c r="J5" s="1" t="s">
        <v>9</v>
      </c>
      <c r="K5" s="1"/>
      <c r="L5" s="1"/>
      <c r="M5" s="1"/>
      <c r="N5" s="1"/>
      <c r="R5" s="1" t="s">
        <v>10</v>
      </c>
      <c r="S5" s="1"/>
      <c r="T5" s="1"/>
      <c r="U5" s="1"/>
      <c r="V5" s="1"/>
    </row>
    <row r="6" spans="1:23" x14ac:dyDescent="0.25">
      <c r="A6" s="1"/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J6" t="s">
        <v>2</v>
      </c>
      <c r="K6" t="s">
        <v>3</v>
      </c>
      <c r="L6" t="s">
        <v>4</v>
      </c>
      <c r="M6" t="s">
        <v>5</v>
      </c>
      <c r="N6" t="s">
        <v>6</v>
      </c>
      <c r="O6" t="s">
        <v>7</v>
      </c>
      <c r="P6" t="s">
        <v>8</v>
      </c>
      <c r="R6" t="s">
        <v>2</v>
      </c>
      <c r="S6" t="s">
        <v>3</v>
      </c>
      <c r="T6" t="s">
        <v>4</v>
      </c>
      <c r="U6" t="s">
        <v>5</v>
      </c>
      <c r="V6" t="s">
        <v>6</v>
      </c>
      <c r="W6" t="s">
        <v>7</v>
      </c>
    </row>
    <row r="7" spans="1:23" x14ac:dyDescent="0.25">
      <c r="A7" s="2">
        <v>45077</v>
      </c>
      <c r="B7" s="3">
        <v>1065.234375</v>
      </c>
      <c r="C7" s="3">
        <v>6893.0502930000002</v>
      </c>
      <c r="D7" s="3">
        <v>535</v>
      </c>
      <c r="E7" s="3">
        <v>179</v>
      </c>
      <c r="F7" s="3">
        <v>296</v>
      </c>
      <c r="G7">
        <v>6633.26123046875</v>
      </c>
      <c r="H7" s="5">
        <v>0.06</v>
      </c>
    </row>
    <row r="8" spans="1:23" x14ac:dyDescent="0.25">
      <c r="A8" s="2">
        <v>45107</v>
      </c>
      <c r="B8" s="3">
        <v>1193.4570309999999</v>
      </c>
      <c r="C8" s="3">
        <v>7000</v>
      </c>
      <c r="D8" s="3">
        <v>490</v>
      </c>
      <c r="E8" s="3">
        <v>178</v>
      </c>
      <c r="F8" s="3">
        <v>282</v>
      </c>
      <c r="G8">
        <v>6661.87890625</v>
      </c>
      <c r="H8" s="5">
        <v>0.06</v>
      </c>
      <c r="J8" s="7">
        <f>(B8-B7)/B7</f>
        <v>0.12037037013568015</v>
      </c>
      <c r="K8" s="7">
        <f t="shared" ref="K8:O8" si="0">(C8-C7)/C7</f>
        <v>1.5515584894050295E-2</v>
      </c>
      <c r="L8" s="7">
        <f t="shared" si="0"/>
        <v>-8.4112149532710276E-2</v>
      </c>
      <c r="M8" s="7">
        <f t="shared" si="0"/>
        <v>-5.5865921787709499E-3</v>
      </c>
      <c r="N8" s="7">
        <f t="shared" si="0"/>
        <v>-4.72972972972973E-2</v>
      </c>
      <c r="O8" s="7">
        <f t="shared" si="0"/>
        <v>4.3142693747382664E-3</v>
      </c>
      <c r="P8" s="7">
        <f>H7/12</f>
        <v>5.0000000000000001E-3</v>
      </c>
      <c r="R8" s="7">
        <f>J8-$P8</f>
        <v>0.11537037013568015</v>
      </c>
      <c r="S8" s="7">
        <f t="shared" ref="S8:W8" si="1">K8-$P8</f>
        <v>1.0515584894050294E-2</v>
      </c>
      <c r="T8" s="7">
        <f t="shared" si="1"/>
        <v>-8.911214953271028E-2</v>
      </c>
      <c r="U8" s="7">
        <f t="shared" si="1"/>
        <v>-1.058659217877095E-2</v>
      </c>
      <c r="V8" s="7">
        <f t="shared" si="1"/>
        <v>-5.2297297297297297E-2</v>
      </c>
      <c r="W8" s="7">
        <f t="shared" si="1"/>
        <v>-6.8573062526173373E-4</v>
      </c>
    </row>
    <row r="9" spans="1:23" x14ac:dyDescent="0.25">
      <c r="A9" s="2">
        <v>45138</v>
      </c>
      <c r="B9" s="3">
        <v>1400</v>
      </c>
      <c r="C9" s="3">
        <v>6650</v>
      </c>
      <c r="D9" s="3">
        <v>525</v>
      </c>
      <c r="E9" s="3">
        <v>190</v>
      </c>
      <c r="F9" s="3">
        <v>428</v>
      </c>
      <c r="G9">
        <v>6931.35888671875</v>
      </c>
      <c r="H9" s="5">
        <v>0.06</v>
      </c>
      <c r="J9" s="7">
        <f t="shared" ref="J9:J19" si="2">(B9-B8)/B8</f>
        <v>0.17306276106726468</v>
      </c>
      <c r="K9" s="7">
        <f t="shared" ref="K9:K19" si="3">(C9-C8)/C8</f>
        <v>-0.05</v>
      </c>
      <c r="L9" s="7">
        <f t="shared" ref="L9:L19" si="4">(D9-D8)/D8</f>
        <v>7.1428571428571425E-2</v>
      </c>
      <c r="M9" s="7">
        <f t="shared" ref="M9:M19" si="5">(E9-E8)/E8</f>
        <v>6.741573033707865E-2</v>
      </c>
      <c r="N9" s="7">
        <f t="shared" ref="N9:N19" si="6">(F9-F8)/F8</f>
        <v>0.51773049645390068</v>
      </c>
      <c r="O9" s="7">
        <f t="shared" ref="O9:O19" si="7">(G9-G8)/G8</f>
        <v>4.0451047558959827E-2</v>
      </c>
      <c r="P9" s="7">
        <f t="shared" ref="P9:P19" si="8">H8/12</f>
        <v>5.0000000000000001E-3</v>
      </c>
      <c r="R9" s="7">
        <f t="shared" ref="R9:R19" si="9">J9-$P9</f>
        <v>0.16806276106726467</v>
      </c>
      <c r="S9" s="7">
        <f t="shared" ref="S9:S19" si="10">K9-$P9</f>
        <v>-5.5E-2</v>
      </c>
      <c r="T9" s="7">
        <f t="shared" ref="T9:T19" si="11">L9-$P9</f>
        <v>6.642857142857142E-2</v>
      </c>
      <c r="U9" s="7">
        <f t="shared" ref="U9:U19" si="12">M9-$P9</f>
        <v>6.2415730337078652E-2</v>
      </c>
      <c r="V9" s="7">
        <f t="shared" ref="V9:V19" si="13">N9-$P9</f>
        <v>0.51273049645390067</v>
      </c>
      <c r="W9" s="7">
        <f t="shared" ref="W9:W19" si="14">O9-$P9</f>
        <v>3.5451047558959829E-2</v>
      </c>
    </row>
    <row r="10" spans="1:23" x14ac:dyDescent="0.25">
      <c r="A10" s="2">
        <v>45169</v>
      </c>
      <c r="B10" s="3">
        <v>1315</v>
      </c>
      <c r="C10" s="3">
        <v>9050</v>
      </c>
      <c r="D10" s="3">
        <v>350</v>
      </c>
      <c r="E10" s="3">
        <v>185</v>
      </c>
      <c r="F10" s="3">
        <v>540</v>
      </c>
      <c r="G10">
        <v>6953.259765625</v>
      </c>
      <c r="H10" s="5">
        <v>0.06</v>
      </c>
      <c r="J10" s="7">
        <f t="shared" si="2"/>
        <v>-6.0714285714285714E-2</v>
      </c>
      <c r="K10" s="7">
        <f t="shared" si="3"/>
        <v>0.36090225563909772</v>
      </c>
      <c r="L10" s="7">
        <f t="shared" si="4"/>
        <v>-0.33333333333333331</v>
      </c>
      <c r="M10" s="7">
        <f t="shared" si="5"/>
        <v>-2.6315789473684209E-2</v>
      </c>
      <c r="N10" s="7">
        <f t="shared" si="6"/>
        <v>0.26168224299065418</v>
      </c>
      <c r="O10" s="7">
        <f t="shared" si="7"/>
        <v>3.1596804124822487E-3</v>
      </c>
      <c r="P10" s="7">
        <f t="shared" si="8"/>
        <v>5.0000000000000001E-3</v>
      </c>
      <c r="R10" s="7">
        <f t="shared" si="9"/>
        <v>-6.5714285714285711E-2</v>
      </c>
      <c r="S10" s="7">
        <f t="shared" si="10"/>
        <v>0.35590225563909772</v>
      </c>
      <c r="T10" s="7">
        <f t="shared" si="11"/>
        <v>-0.33833333333333332</v>
      </c>
      <c r="U10" s="7">
        <f t="shared" si="12"/>
        <v>-3.1315789473684207E-2</v>
      </c>
      <c r="V10" s="7">
        <f t="shared" si="13"/>
        <v>0.25668224299065417</v>
      </c>
      <c r="W10" s="7">
        <f t="shared" si="14"/>
        <v>-1.8403195875177514E-3</v>
      </c>
    </row>
    <row r="11" spans="1:23" x14ac:dyDescent="0.25">
      <c r="A11" s="2">
        <v>45199</v>
      </c>
      <c r="B11" s="3">
        <v>1200</v>
      </c>
      <c r="C11" s="3">
        <v>8225</v>
      </c>
      <c r="D11" s="3">
        <v>340</v>
      </c>
      <c r="E11" s="3">
        <v>220</v>
      </c>
      <c r="F11" s="3">
        <v>635</v>
      </c>
      <c r="G11">
        <v>6939.89208984375</v>
      </c>
      <c r="H11" s="5">
        <v>0.06</v>
      </c>
      <c r="J11" s="7">
        <f t="shared" si="2"/>
        <v>-8.7452471482889732E-2</v>
      </c>
      <c r="K11" s="7">
        <f t="shared" si="3"/>
        <v>-9.1160220994475141E-2</v>
      </c>
      <c r="L11" s="7">
        <f t="shared" si="4"/>
        <v>-2.8571428571428571E-2</v>
      </c>
      <c r="M11" s="7">
        <f t="shared" si="5"/>
        <v>0.1891891891891892</v>
      </c>
      <c r="N11" s="7">
        <f t="shared" si="6"/>
        <v>0.17592592592592593</v>
      </c>
      <c r="O11" s="7">
        <f t="shared" si="7"/>
        <v>-1.9225048727988137E-3</v>
      </c>
      <c r="P11" s="7">
        <f t="shared" si="8"/>
        <v>5.0000000000000001E-3</v>
      </c>
      <c r="R11" s="7">
        <f t="shared" si="9"/>
        <v>-9.2452471482889736E-2</v>
      </c>
      <c r="S11" s="7">
        <f t="shared" si="10"/>
        <v>-9.6160220994475146E-2</v>
      </c>
      <c r="T11" s="7">
        <f t="shared" si="11"/>
        <v>-3.3571428571428572E-2</v>
      </c>
      <c r="U11" s="7">
        <f t="shared" si="12"/>
        <v>0.1841891891891892</v>
      </c>
      <c r="V11" s="7">
        <f t="shared" si="13"/>
        <v>0.17092592592592593</v>
      </c>
      <c r="W11" s="7">
        <f t="shared" si="14"/>
        <v>-6.9225048727988136E-3</v>
      </c>
    </row>
    <row r="12" spans="1:23" x14ac:dyDescent="0.25">
      <c r="A12" s="2">
        <v>45230</v>
      </c>
      <c r="B12" s="3">
        <v>1175</v>
      </c>
      <c r="C12" s="3">
        <v>8725</v>
      </c>
      <c r="D12" s="3">
        <v>298</v>
      </c>
      <c r="E12" s="3">
        <v>194</v>
      </c>
      <c r="F12" s="3">
        <v>430</v>
      </c>
      <c r="G12">
        <v>6752.2109375</v>
      </c>
      <c r="H12" s="5">
        <v>0.06</v>
      </c>
      <c r="J12" s="7">
        <f t="shared" si="2"/>
        <v>-2.0833333333333332E-2</v>
      </c>
      <c r="K12" s="7">
        <f t="shared" si="3"/>
        <v>6.0790273556231005E-2</v>
      </c>
      <c r="L12" s="7">
        <f t="shared" si="4"/>
        <v>-0.12352941176470589</v>
      </c>
      <c r="M12" s="7">
        <f t="shared" si="5"/>
        <v>-0.11818181818181818</v>
      </c>
      <c r="N12" s="7">
        <f t="shared" si="6"/>
        <v>-0.32283464566929132</v>
      </c>
      <c r="O12" s="7">
        <f t="shared" si="7"/>
        <v>-2.7043814214116346E-2</v>
      </c>
      <c r="P12" s="7">
        <f t="shared" si="8"/>
        <v>5.0000000000000001E-3</v>
      </c>
      <c r="R12" s="7">
        <f t="shared" si="9"/>
        <v>-2.5833333333333333E-2</v>
      </c>
      <c r="S12" s="7">
        <f t="shared" si="10"/>
        <v>5.5790273556231007E-2</v>
      </c>
      <c r="T12" s="7">
        <f t="shared" si="11"/>
        <v>-0.12852941176470589</v>
      </c>
      <c r="U12" s="7">
        <f t="shared" si="12"/>
        <v>-0.12318181818181818</v>
      </c>
      <c r="V12" s="7">
        <f t="shared" si="13"/>
        <v>-0.32783464566929132</v>
      </c>
      <c r="W12" s="7">
        <f t="shared" si="14"/>
        <v>-3.2043814214116347E-2</v>
      </c>
    </row>
    <row r="13" spans="1:23" x14ac:dyDescent="0.25">
      <c r="A13" s="2">
        <v>45260</v>
      </c>
      <c r="B13" s="3">
        <v>1060</v>
      </c>
      <c r="C13" s="3">
        <v>7975</v>
      </c>
      <c r="D13" s="3">
        <v>350</v>
      </c>
      <c r="E13" s="3">
        <v>186</v>
      </c>
      <c r="F13" s="3">
        <v>410</v>
      </c>
      <c r="G13">
        <v>7080.7412109375</v>
      </c>
      <c r="H13" s="5">
        <v>0.06</v>
      </c>
      <c r="J13" s="7">
        <f t="shared" si="2"/>
        <v>-9.7872340425531917E-2</v>
      </c>
      <c r="K13" s="7">
        <f t="shared" si="3"/>
        <v>-8.5959885386819479E-2</v>
      </c>
      <c r="L13" s="7">
        <f t="shared" si="4"/>
        <v>0.17449664429530201</v>
      </c>
      <c r="M13" s="7">
        <f t="shared" si="5"/>
        <v>-4.1237113402061855E-2</v>
      </c>
      <c r="N13" s="7">
        <f t="shared" si="6"/>
        <v>-4.6511627906976744E-2</v>
      </c>
      <c r="O13" s="7">
        <f t="shared" si="7"/>
        <v>4.8655214784972055E-2</v>
      </c>
      <c r="P13" s="7">
        <f t="shared" si="8"/>
        <v>5.0000000000000001E-3</v>
      </c>
      <c r="R13" s="7">
        <f t="shared" si="9"/>
        <v>-0.10287234042553192</v>
      </c>
      <c r="S13" s="7">
        <f t="shared" si="10"/>
        <v>-9.0959885386819483E-2</v>
      </c>
      <c r="T13" s="7">
        <f t="shared" si="11"/>
        <v>0.16949664429530201</v>
      </c>
      <c r="U13" s="7">
        <f t="shared" si="12"/>
        <v>-4.6237113402061852E-2</v>
      </c>
      <c r="V13" s="7">
        <f t="shared" si="13"/>
        <v>-5.1511627906976741E-2</v>
      </c>
      <c r="W13" s="7">
        <f t="shared" si="14"/>
        <v>4.3655214784972057E-2</v>
      </c>
    </row>
    <row r="14" spans="1:23" x14ac:dyDescent="0.25">
      <c r="A14" s="2">
        <v>45291</v>
      </c>
      <c r="B14" s="3">
        <v>1045</v>
      </c>
      <c r="C14" s="3">
        <v>7375</v>
      </c>
      <c r="D14" s="3">
        <v>376</v>
      </c>
      <c r="E14" s="3">
        <v>183</v>
      </c>
      <c r="F14" s="3">
        <v>400</v>
      </c>
      <c r="G14">
        <v>7272.796875</v>
      </c>
      <c r="H14" s="5">
        <v>0.06</v>
      </c>
      <c r="J14" s="7">
        <f t="shared" si="2"/>
        <v>-1.4150943396226415E-2</v>
      </c>
      <c r="K14" s="7">
        <f t="shared" si="3"/>
        <v>-7.5235109717868343E-2</v>
      </c>
      <c r="L14" s="7">
        <f t="shared" si="4"/>
        <v>7.4285714285714288E-2</v>
      </c>
      <c r="M14" s="7">
        <f t="shared" si="5"/>
        <v>-1.6129032258064516E-2</v>
      </c>
      <c r="N14" s="7">
        <f t="shared" si="6"/>
        <v>-2.4390243902439025E-2</v>
      </c>
      <c r="O14" s="7">
        <f t="shared" si="7"/>
        <v>2.7123666624877477E-2</v>
      </c>
      <c r="P14" s="7">
        <f t="shared" si="8"/>
        <v>5.0000000000000001E-3</v>
      </c>
      <c r="R14" s="7">
        <f t="shared" si="9"/>
        <v>-1.9150943396226416E-2</v>
      </c>
      <c r="S14" s="7">
        <f t="shared" si="10"/>
        <v>-8.0235109717868347E-2</v>
      </c>
      <c r="T14" s="7">
        <f t="shared" si="11"/>
        <v>6.9285714285714284E-2</v>
      </c>
      <c r="U14" s="7">
        <f t="shared" si="12"/>
        <v>-2.1129032258064517E-2</v>
      </c>
      <c r="V14" s="7">
        <f t="shared" si="13"/>
        <v>-2.9390243902439026E-2</v>
      </c>
      <c r="W14" s="7">
        <f t="shared" si="14"/>
        <v>2.2123666624877476E-2</v>
      </c>
    </row>
    <row r="15" spans="1:23" x14ac:dyDescent="0.25">
      <c r="A15" s="2">
        <v>45322</v>
      </c>
      <c r="B15" s="3">
        <v>1130</v>
      </c>
      <c r="C15" s="3">
        <v>7350</v>
      </c>
      <c r="D15" s="3">
        <v>422</v>
      </c>
      <c r="E15" s="3">
        <v>179</v>
      </c>
      <c r="F15" s="3">
        <v>378</v>
      </c>
      <c r="G15">
        <v>7207.94091796875</v>
      </c>
      <c r="H15" s="5">
        <v>0.06</v>
      </c>
      <c r="J15" s="7">
        <f t="shared" si="2"/>
        <v>8.1339712918660281E-2</v>
      </c>
      <c r="K15" s="7">
        <f t="shared" si="3"/>
        <v>-3.3898305084745762E-3</v>
      </c>
      <c r="L15" s="7">
        <f t="shared" si="4"/>
        <v>0.12234042553191489</v>
      </c>
      <c r="M15" s="7">
        <f t="shared" si="5"/>
        <v>-2.185792349726776E-2</v>
      </c>
      <c r="N15" s="7">
        <f t="shared" si="6"/>
        <v>-5.5E-2</v>
      </c>
      <c r="O15" s="7">
        <f t="shared" si="7"/>
        <v>-8.9176087474944089E-3</v>
      </c>
      <c r="P15" s="7">
        <f t="shared" si="8"/>
        <v>5.0000000000000001E-3</v>
      </c>
      <c r="R15" s="7">
        <f t="shared" si="9"/>
        <v>7.6339712918660277E-2</v>
      </c>
      <c r="S15" s="7">
        <f t="shared" si="10"/>
        <v>-8.3898305084745758E-3</v>
      </c>
      <c r="T15" s="7">
        <f t="shared" si="11"/>
        <v>0.11734042553191489</v>
      </c>
      <c r="U15" s="7">
        <f t="shared" si="12"/>
        <v>-2.6857923497267761E-2</v>
      </c>
      <c r="V15" s="7">
        <f t="shared" si="13"/>
        <v>-0.06</v>
      </c>
      <c r="W15" s="7">
        <f t="shared" si="14"/>
        <v>-1.3917608747494408E-2</v>
      </c>
    </row>
    <row r="16" spans="1:23" x14ac:dyDescent="0.25">
      <c r="A16" s="2">
        <v>45351</v>
      </c>
      <c r="B16" s="3">
        <v>1060</v>
      </c>
      <c r="C16" s="3">
        <v>7875</v>
      </c>
      <c r="D16" s="3">
        <v>358</v>
      </c>
      <c r="E16" s="3">
        <v>164</v>
      </c>
      <c r="F16" s="3">
        <v>374</v>
      </c>
      <c r="G16">
        <v>7316.11083984375</v>
      </c>
      <c r="H16" s="5">
        <v>0.06</v>
      </c>
      <c r="J16" s="7">
        <f t="shared" si="2"/>
        <v>-6.1946902654867256E-2</v>
      </c>
      <c r="K16" s="7">
        <f t="shared" si="3"/>
        <v>7.1428571428571425E-2</v>
      </c>
      <c r="L16" s="7">
        <f t="shared" si="4"/>
        <v>-0.15165876777251186</v>
      </c>
      <c r="M16" s="7">
        <f t="shared" si="5"/>
        <v>-8.3798882681564241E-2</v>
      </c>
      <c r="N16" s="7">
        <f t="shared" si="6"/>
        <v>-1.0582010582010581E-2</v>
      </c>
      <c r="O16" s="7">
        <f t="shared" si="7"/>
        <v>1.500704890703836E-2</v>
      </c>
      <c r="P16" s="7">
        <f t="shared" si="8"/>
        <v>5.0000000000000001E-3</v>
      </c>
      <c r="R16" s="7">
        <f t="shared" si="9"/>
        <v>-6.694690265486726E-2</v>
      </c>
      <c r="S16" s="7">
        <f t="shared" si="10"/>
        <v>6.642857142857142E-2</v>
      </c>
      <c r="T16" s="7">
        <f t="shared" si="11"/>
        <v>-0.15665876777251186</v>
      </c>
      <c r="U16" s="7">
        <f t="shared" si="12"/>
        <v>-8.8798882681564245E-2</v>
      </c>
      <c r="V16" s="7">
        <f t="shared" si="13"/>
        <v>-1.5582010582010582E-2</v>
      </c>
      <c r="W16" s="7">
        <f t="shared" si="14"/>
        <v>1.0007048907038359E-2</v>
      </c>
    </row>
    <row r="17" spans="1:24" x14ac:dyDescent="0.25">
      <c r="A17" s="2">
        <v>45382</v>
      </c>
      <c r="B17" s="3">
        <v>995</v>
      </c>
      <c r="C17" s="3">
        <v>7275</v>
      </c>
      <c r="D17" s="3">
        <v>378</v>
      </c>
      <c r="E17" s="3">
        <v>171</v>
      </c>
      <c r="F17" s="3">
        <v>505</v>
      </c>
      <c r="G17">
        <v>7288.81298828125</v>
      </c>
      <c r="H17" s="5">
        <v>0.06</v>
      </c>
      <c r="J17" s="7">
        <f t="shared" si="2"/>
        <v>-6.1320754716981132E-2</v>
      </c>
      <c r="K17" s="7">
        <f t="shared" si="3"/>
        <v>-7.6190476190476197E-2</v>
      </c>
      <c r="L17" s="7">
        <f t="shared" si="4"/>
        <v>5.5865921787709494E-2</v>
      </c>
      <c r="M17" s="7">
        <f t="shared" si="5"/>
        <v>4.2682926829268296E-2</v>
      </c>
      <c r="N17" s="7">
        <f t="shared" si="6"/>
        <v>0.3502673796791444</v>
      </c>
      <c r="O17" s="7">
        <f t="shared" si="7"/>
        <v>-3.7311971018584239E-3</v>
      </c>
      <c r="P17" s="7">
        <f t="shared" si="8"/>
        <v>5.0000000000000001E-3</v>
      </c>
      <c r="R17" s="7">
        <f t="shared" si="9"/>
        <v>-6.6320754716981137E-2</v>
      </c>
      <c r="S17" s="7">
        <f t="shared" si="10"/>
        <v>-8.1190476190476202E-2</v>
      </c>
      <c r="T17" s="7">
        <f t="shared" si="11"/>
        <v>5.0865921787709496E-2</v>
      </c>
      <c r="U17" s="7">
        <f t="shared" si="12"/>
        <v>3.7682926829268298E-2</v>
      </c>
      <c r="V17" s="7">
        <f t="shared" si="13"/>
        <v>0.34526737967914439</v>
      </c>
      <c r="W17" s="7">
        <f t="shared" si="14"/>
        <v>-8.731197101858424E-3</v>
      </c>
    </row>
    <row r="18" spans="1:24" x14ac:dyDescent="0.25">
      <c r="A18" s="2">
        <v>45412</v>
      </c>
      <c r="B18" s="3">
        <v>1010</v>
      </c>
      <c r="C18" s="3">
        <v>8500</v>
      </c>
      <c r="D18" s="3">
        <v>370</v>
      </c>
      <c r="E18" s="3">
        <v>174</v>
      </c>
      <c r="F18" s="3">
        <v>530</v>
      </c>
      <c r="G18">
        <v>7234.19677734375</v>
      </c>
      <c r="H18" s="5">
        <v>0.06</v>
      </c>
      <c r="J18" s="7">
        <f t="shared" si="2"/>
        <v>1.507537688442211E-2</v>
      </c>
      <c r="K18" s="7">
        <f t="shared" si="3"/>
        <v>0.16838487972508592</v>
      </c>
      <c r="L18" s="7">
        <f t="shared" si="4"/>
        <v>-2.1164021164021163E-2</v>
      </c>
      <c r="M18" s="7">
        <f t="shared" si="5"/>
        <v>1.7543859649122806E-2</v>
      </c>
      <c r="N18" s="7">
        <f t="shared" si="6"/>
        <v>4.9504950495049507E-2</v>
      </c>
      <c r="O18" s="7">
        <f t="shared" si="7"/>
        <v>-7.4931557477617297E-3</v>
      </c>
      <c r="P18" s="7">
        <f t="shared" si="8"/>
        <v>5.0000000000000001E-3</v>
      </c>
      <c r="R18" s="7">
        <f t="shared" si="9"/>
        <v>1.0075376884422109E-2</v>
      </c>
      <c r="S18" s="7">
        <f t="shared" si="10"/>
        <v>0.16338487972508592</v>
      </c>
      <c r="T18" s="7">
        <f t="shared" si="11"/>
        <v>-2.6164021164021164E-2</v>
      </c>
      <c r="U18" s="7">
        <f t="shared" si="12"/>
        <v>1.2543859649122805E-2</v>
      </c>
      <c r="V18" s="7">
        <f t="shared" si="13"/>
        <v>4.450495049504951E-2</v>
      </c>
      <c r="W18" s="7">
        <f t="shared" si="14"/>
        <v>-1.249315574776173E-2</v>
      </c>
    </row>
    <row r="19" spans="1:24" x14ac:dyDescent="0.25">
      <c r="A19" s="2">
        <v>45443</v>
      </c>
      <c r="B19" s="3">
        <v>1025</v>
      </c>
      <c r="C19" s="3">
        <v>8100</v>
      </c>
      <c r="D19" s="3">
        <v>374</v>
      </c>
      <c r="E19" s="3">
        <v>173</v>
      </c>
      <c r="F19" s="3">
        <v>488</v>
      </c>
      <c r="G19">
        <v>7246.69580078125</v>
      </c>
      <c r="H19" s="5">
        <v>0.06</v>
      </c>
      <c r="J19" s="7">
        <f t="shared" si="2"/>
        <v>1.4851485148514851E-2</v>
      </c>
      <c r="K19" s="7">
        <f t="shared" si="3"/>
        <v>-4.7058823529411764E-2</v>
      </c>
      <c r="L19" s="7">
        <f t="shared" si="4"/>
        <v>1.0810810810810811E-2</v>
      </c>
      <c r="M19" s="7">
        <f t="shared" si="5"/>
        <v>-5.7471264367816091E-3</v>
      </c>
      <c r="N19" s="7">
        <f t="shared" si="6"/>
        <v>-7.9245283018867921E-2</v>
      </c>
      <c r="O19" s="7">
        <f t="shared" si="7"/>
        <v>1.7277693463695616E-3</v>
      </c>
      <c r="P19" s="7">
        <f t="shared" si="8"/>
        <v>5.0000000000000001E-3</v>
      </c>
      <c r="R19" s="7">
        <f t="shared" si="9"/>
        <v>9.8514851485148498E-3</v>
      </c>
      <c r="S19" s="7">
        <f t="shared" si="10"/>
        <v>-5.2058823529411762E-2</v>
      </c>
      <c r="T19" s="7">
        <f t="shared" si="11"/>
        <v>5.8108108108108113E-3</v>
      </c>
      <c r="U19" s="7">
        <f t="shared" si="12"/>
        <v>-1.074712643678161E-2</v>
      </c>
      <c r="V19" s="7">
        <f t="shared" si="13"/>
        <v>-8.4245283018867925E-2</v>
      </c>
      <c r="W19" s="7">
        <f t="shared" si="14"/>
        <v>-3.2722306536304385E-3</v>
      </c>
    </row>
    <row r="20" spans="1:24" x14ac:dyDescent="0.25">
      <c r="H20">
        <v>15</v>
      </c>
      <c r="I20" s="8" t="s">
        <v>11</v>
      </c>
      <c r="J20" s="10">
        <f>AVERAGE(J8:J19)</f>
        <v>3.405620253554871E-5</v>
      </c>
      <c r="K20" s="10">
        <f t="shared" ref="K20:W20" si="15">AVERAGE(K8:K19)</f>
        <v>2.0668934909625906E-2</v>
      </c>
      <c r="L20" s="10">
        <f t="shared" si="15"/>
        <v>-1.942841866655735E-2</v>
      </c>
      <c r="M20" s="10">
        <f t="shared" si="15"/>
        <v>-1.6854767544619703E-4</v>
      </c>
      <c r="N20" s="10">
        <f t="shared" si="15"/>
        <v>6.410415726398265E-2</v>
      </c>
      <c r="O20" s="10">
        <f t="shared" si="15"/>
        <v>7.6108680271173386E-3</v>
      </c>
      <c r="P20" s="10">
        <f t="shared" si="15"/>
        <v>4.9999999999999992E-3</v>
      </c>
      <c r="Q20" s="9"/>
      <c r="R20" s="9">
        <f t="shared" si="15"/>
        <v>-4.9659437974644552E-3</v>
      </c>
      <c r="S20" s="9">
        <f t="shared" si="15"/>
        <v>1.5668934909625905E-2</v>
      </c>
      <c r="T20" s="9">
        <f t="shared" si="15"/>
        <v>-2.4428418666557355E-2</v>
      </c>
      <c r="U20" s="9">
        <f t="shared" si="15"/>
        <v>-5.1685476754461971E-3</v>
      </c>
      <c r="V20" s="9">
        <f t="shared" si="15"/>
        <v>5.9104157263982653E-2</v>
      </c>
      <c r="W20" s="9">
        <f t="shared" si="15"/>
        <v>2.6108680271173389E-3</v>
      </c>
    </row>
    <row r="21" spans="1:24" x14ac:dyDescent="0.25">
      <c r="H21">
        <v>16</v>
      </c>
      <c r="I21" s="8" t="s">
        <v>12</v>
      </c>
      <c r="J21" s="10">
        <f>_xlfn.VAR.P(J8:J19)</f>
        <v>6.7207332347455099E-3</v>
      </c>
      <c r="K21" s="10">
        <f t="shared" ref="K21:P21" si="16">_xlfn.VAR.P(K8:K19)</f>
        <v>1.6200525079877407E-2</v>
      </c>
      <c r="L21" s="10">
        <f t="shared" si="16"/>
        <v>1.7704590393639679E-2</v>
      </c>
      <c r="M21" s="10">
        <f t="shared" si="16"/>
        <v>5.5542564598051293E-3</v>
      </c>
      <c r="N21" s="10">
        <f t="shared" si="16"/>
        <v>4.6827709037445361E-2</v>
      </c>
      <c r="O21" s="10">
        <f t="shared" si="16"/>
        <v>4.3213806644096204E-4</v>
      </c>
      <c r="P21" s="10">
        <f t="shared" si="16"/>
        <v>7.5231638452626401E-37</v>
      </c>
      <c r="Q21" s="8"/>
      <c r="R21" s="8"/>
      <c r="S21" s="8"/>
      <c r="T21" s="8"/>
      <c r="U21" s="8"/>
      <c r="V21" s="8"/>
      <c r="W21" s="8"/>
    </row>
    <row r="22" spans="1:24" x14ac:dyDescent="0.25">
      <c r="H22">
        <v>17</v>
      </c>
      <c r="I22" s="8" t="s">
        <v>13</v>
      </c>
      <c r="J22" s="10">
        <f>INTERCEPT(J8:J19,$O8:$O19)</f>
        <v>-2.0165071355997145E-3</v>
      </c>
      <c r="K22" s="10">
        <f t="shared" ref="K22:O22" si="17">INTERCEPT(K8:K19,$O8:$O19)</f>
        <v>3.5861403463666917E-2</v>
      </c>
      <c r="L22" s="10">
        <f t="shared" si="17"/>
        <v>-3.9609337078068241E-2</v>
      </c>
      <c r="M22" s="10">
        <f t="shared" si="17"/>
        <v>-2.605433089073181E-3</v>
      </c>
      <c r="N22" s="10">
        <f t="shared" si="17"/>
        <v>3.5197357098723098E-2</v>
      </c>
      <c r="O22" s="10">
        <f t="shared" si="17"/>
        <v>0</v>
      </c>
      <c r="P22" s="10"/>
      <c r="Q22" s="8"/>
      <c r="R22" s="8"/>
      <c r="S22" s="8"/>
      <c r="T22" s="8"/>
      <c r="U22" s="8"/>
      <c r="V22" s="8"/>
      <c r="W22" s="8"/>
    </row>
    <row r="23" spans="1:24" x14ac:dyDescent="0.25">
      <c r="H23">
        <v>18</v>
      </c>
      <c r="I23" s="8" t="s">
        <v>14</v>
      </c>
      <c r="J23" s="10">
        <f>SLOPE(J8:J19,$O8:$O19)</f>
        <v>0.26942568585201526</v>
      </c>
      <c r="K23" s="10">
        <f t="shared" ref="K23:O23" si="18">SLOPE(K8:K19,$O8:$O19)</f>
        <v>-1.9961545121936961</v>
      </c>
      <c r="L23" s="10">
        <f t="shared" si="18"/>
        <v>2.6515922151858069</v>
      </c>
      <c r="M23" s="10">
        <f t="shared" si="18"/>
        <v>0.32018495195875429</v>
      </c>
      <c r="N23" s="10">
        <f t="shared" si="18"/>
        <v>3.7980950480635483</v>
      </c>
      <c r="O23" s="10">
        <f t="shared" si="18"/>
        <v>1</v>
      </c>
      <c r="P23" s="10"/>
      <c r="Q23" s="8"/>
      <c r="R23" s="8"/>
      <c r="S23" s="8"/>
      <c r="T23" s="8"/>
      <c r="U23" s="8"/>
      <c r="V23" s="8"/>
      <c r="W23" s="8"/>
    </row>
    <row r="24" spans="1:24" x14ac:dyDescent="0.25">
      <c r="H24">
        <v>19</v>
      </c>
      <c r="I24" s="8" t="s">
        <v>16</v>
      </c>
      <c r="J24" s="10">
        <f>J23^2*$O21+J21</f>
        <v>6.7521022235011302E-3</v>
      </c>
      <c r="K24" s="10">
        <f t="shared" ref="K24:N24" si="19">K23^2*$O21+K21</f>
        <v>1.792243660934183E-2</v>
      </c>
      <c r="L24" s="10">
        <f t="shared" si="19"/>
        <v>2.0742927761752097E-2</v>
      </c>
      <c r="M24" s="10">
        <f t="shared" si="19"/>
        <v>5.5985585644513069E-3</v>
      </c>
      <c r="N24" s="10">
        <f t="shared" si="19"/>
        <v>5.3061527947940307E-2</v>
      </c>
      <c r="O24" s="10"/>
      <c r="P24" s="10"/>
      <c r="Q24" s="8"/>
      <c r="R24" s="8"/>
      <c r="S24" s="8"/>
      <c r="T24" s="8"/>
      <c r="U24" s="8"/>
      <c r="V24" s="8"/>
      <c r="W24" s="8"/>
    </row>
    <row r="25" spans="1:24" x14ac:dyDescent="0.25">
      <c r="H25">
        <v>20</v>
      </c>
      <c r="I25" s="8" t="s">
        <v>17</v>
      </c>
      <c r="J25" s="10">
        <f>R20*J23/J24</f>
        <v>-0.19815351860011693</v>
      </c>
      <c r="K25" s="10">
        <f t="shared" ref="K25:N25" si="20">S20*K23/K24</f>
        <v>-1.7451653367721238</v>
      </c>
      <c r="L25" s="10">
        <f t="shared" si="20"/>
        <v>-3.1227127389885792</v>
      </c>
      <c r="M25" s="10">
        <f t="shared" si="20"/>
        <v>-0.29559236901926761</v>
      </c>
      <c r="N25" s="10">
        <f t="shared" si="20"/>
        <v>4.2306208604574396</v>
      </c>
      <c r="O25" s="10"/>
      <c r="P25" s="10"/>
      <c r="Q25" s="8"/>
      <c r="R25" s="8"/>
      <c r="S25" s="8"/>
      <c r="T25" s="8"/>
      <c r="U25" s="8"/>
      <c r="V25" s="8"/>
      <c r="W25" s="8"/>
    </row>
    <row r="26" spans="1:24" x14ac:dyDescent="0.25">
      <c r="H26">
        <v>21</v>
      </c>
      <c r="I26" s="8" t="s">
        <v>18</v>
      </c>
      <c r="J26" s="10">
        <f>J23^2/J24</f>
        <v>10.750755511990608</v>
      </c>
      <c r="K26" s="10">
        <f t="shared" ref="K26:N26" si="21">K23^2/K24</f>
        <v>222.32651304088395</v>
      </c>
      <c r="L26" s="10">
        <f t="shared" si="21"/>
        <v>338.95607005865071</v>
      </c>
      <c r="M26" s="10">
        <f t="shared" si="21"/>
        <v>18.311571144719682</v>
      </c>
      <c r="N26" s="10">
        <f t="shared" si="21"/>
        <v>271.86412740089224</v>
      </c>
      <c r="O26" s="10"/>
      <c r="P26" s="10"/>
      <c r="Q26" s="8"/>
      <c r="R26" s="8"/>
      <c r="S26" s="8"/>
      <c r="T26" s="8"/>
      <c r="U26" s="8"/>
      <c r="V26" s="8"/>
      <c r="W26" s="8"/>
    </row>
    <row r="27" spans="1:24" x14ac:dyDescent="0.25">
      <c r="H27">
        <v>22</v>
      </c>
      <c r="I27" s="8" t="s">
        <v>19</v>
      </c>
      <c r="J27" s="10">
        <f>O21*J25/(1+O21*J26)</f>
        <v>-8.5233698756666354E-5</v>
      </c>
      <c r="K27" s="10">
        <f t="shared" ref="K27:N27" si="22">P21*K25/(1+P21*K26)</f>
        <v>-1.3129164765609641E-36</v>
      </c>
      <c r="L27" s="10">
        <f t="shared" si="22"/>
        <v>0</v>
      </c>
      <c r="M27" s="10">
        <f t="shared" si="22"/>
        <v>0</v>
      </c>
      <c r="N27" s="10">
        <f t="shared" si="22"/>
        <v>0</v>
      </c>
      <c r="O27" s="10"/>
      <c r="P27" s="10"/>
      <c r="Q27" s="8"/>
      <c r="R27" s="8"/>
      <c r="S27" s="8"/>
      <c r="T27" s="8"/>
      <c r="U27" s="8"/>
      <c r="V27" s="8"/>
      <c r="W27" s="8"/>
    </row>
    <row r="28" spans="1:24" x14ac:dyDescent="0.25">
      <c r="H28">
        <v>23</v>
      </c>
      <c r="I28" s="8" t="s">
        <v>21</v>
      </c>
      <c r="J28" s="10">
        <f>R20/J26</f>
        <v>-4.619157967015252E-4</v>
      </c>
      <c r="K28" s="10">
        <f t="shared" ref="K28:N28" si="23">S20/K26</f>
        <v>7.0477131563451996E-5</v>
      </c>
      <c r="L28" s="10">
        <f t="shared" si="23"/>
        <v>-7.2069571323299871E-5</v>
      </c>
      <c r="M28" s="10">
        <f t="shared" si="23"/>
        <v>-2.8225582800067912E-4</v>
      </c>
      <c r="N28" s="10">
        <f t="shared" si="23"/>
        <v>2.1740329564270668E-4</v>
      </c>
      <c r="O28" s="10"/>
      <c r="P28" s="10"/>
      <c r="Q28" s="8"/>
      <c r="R28" s="8"/>
      <c r="S28" s="8"/>
      <c r="T28" s="8"/>
      <c r="U28" s="8"/>
      <c r="V28" s="8"/>
      <c r="W28" s="8"/>
    </row>
    <row r="29" spans="1:24" x14ac:dyDescent="0.25"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4" x14ac:dyDescent="0.25">
      <c r="X30" s="12">
        <v>100000000</v>
      </c>
    </row>
    <row r="31" spans="1:24" x14ac:dyDescent="0.25">
      <c r="I31" s="11" t="s">
        <v>22</v>
      </c>
      <c r="J31" t="s">
        <v>23</v>
      </c>
      <c r="K31" t="s">
        <v>24</v>
      </c>
      <c r="L31" t="s">
        <v>15</v>
      </c>
      <c r="M31" t="s">
        <v>21</v>
      </c>
      <c r="N31" t="s">
        <v>25</v>
      </c>
      <c r="O31" t="s">
        <v>26</v>
      </c>
      <c r="P31" t="s">
        <v>27</v>
      </c>
      <c r="R31" t="s">
        <v>28</v>
      </c>
      <c r="S31" t="s">
        <v>29</v>
      </c>
      <c r="T31" t="s">
        <v>30</v>
      </c>
      <c r="U31" t="s">
        <v>31</v>
      </c>
      <c r="V31" t="s">
        <v>32</v>
      </c>
      <c r="W31" t="s">
        <v>37</v>
      </c>
    </row>
    <row r="32" spans="1:24" x14ac:dyDescent="0.25">
      <c r="I32" t="s">
        <v>2</v>
      </c>
      <c r="J32" s="6">
        <v>-2.0165071355997145E-3</v>
      </c>
      <c r="K32" s="6">
        <v>0.26942568585201526</v>
      </c>
      <c r="L32" s="6">
        <v>6.7521022235011302E-3</v>
      </c>
      <c r="M32" s="6">
        <v>-4.619157967015252E-4</v>
      </c>
      <c r="N32" s="6">
        <v>-8.5233698756666354E-5</v>
      </c>
      <c r="O32" s="6">
        <f>MAX(N$32:N$36)</f>
        <v>0</v>
      </c>
      <c r="P32" t="str">
        <f>IF(M32&gt;O32,"optimal","-")</f>
        <v>-</v>
      </c>
      <c r="R32">
        <f>K32/L32*(M32-O32)</f>
        <v>-1.8431590075610123E-2</v>
      </c>
      <c r="S32">
        <f>R32/R$37</f>
        <v>0.51092785554516851</v>
      </c>
      <c r="T32">
        <f>$S32*J32</f>
        <v>-1.0302896664834925E-3</v>
      </c>
      <c r="U32">
        <f t="shared" ref="U32:V32" si="24">$S32*K32</f>
        <v>0.13765708790115641</v>
      </c>
      <c r="V32">
        <f t="shared" si="24"/>
        <v>3.4498371094751966E-3</v>
      </c>
      <c r="W32" s="4">
        <f>S32</f>
        <v>0.51092785554516851</v>
      </c>
      <c r="X32" s="12">
        <f>W32*X$30</f>
        <v>51092785.554516852</v>
      </c>
    </row>
    <row r="33" spans="9:24" x14ac:dyDescent="0.25">
      <c r="I33" t="s">
        <v>3</v>
      </c>
      <c r="J33" s="6">
        <v>3.5861403463666917E-2</v>
      </c>
      <c r="K33" s="6">
        <v>-1.9961545121936961</v>
      </c>
      <c r="L33" s="6">
        <v>1.792243660934183E-2</v>
      </c>
      <c r="M33" s="6">
        <v>7.0477131563451996E-5</v>
      </c>
      <c r="N33" s="6">
        <v>-1.3129164765609641E-36</v>
      </c>
      <c r="O33" s="6">
        <f t="shared" ref="O33:O36" si="25">MAX(N$32:N$36)</f>
        <v>0</v>
      </c>
      <c r="P33" t="str">
        <f t="shared" ref="P33:P36" si="26">IF(M33&gt;O33,"optimal","-")</f>
        <v>optimal</v>
      </c>
      <c r="R33">
        <f t="shared" ref="R33:R36" si="27">K33/L33*(M33-O33)</f>
        <v>-7.8495601487313504E-3</v>
      </c>
      <c r="S33">
        <f t="shared" ref="S33:S37" si="28">R33/R$37</f>
        <v>0.2175915869066096</v>
      </c>
      <c r="T33">
        <f t="shared" ref="T33:T37" si="29">$S33*J33</f>
        <v>7.8031396883574706E-3</v>
      </c>
      <c r="U33">
        <f t="shared" ref="U33:U37" si="30">$S33*K33</f>
        <v>-0.43434642801901552</v>
      </c>
      <c r="V33">
        <f t="shared" ref="V33:V37" si="31">$S33*L33</f>
        <v>3.8997714230598044E-3</v>
      </c>
      <c r="W33" s="4">
        <f t="shared" ref="W33:W37" si="32">S33</f>
        <v>0.2175915869066096</v>
      </c>
      <c r="X33" s="12">
        <f t="shared" ref="X33:X37" si="33">W33*X$30</f>
        <v>21759158.690660961</v>
      </c>
    </row>
    <row r="34" spans="9:24" x14ac:dyDescent="0.25">
      <c r="I34" t="s">
        <v>4</v>
      </c>
      <c r="J34" s="6">
        <v>-3.9609337078068241E-2</v>
      </c>
      <c r="K34" s="6">
        <v>2.6515922151858069</v>
      </c>
      <c r="L34" s="6">
        <v>2.0742927761752097E-2</v>
      </c>
      <c r="M34" s="6">
        <v>-7.2069571323299871E-5</v>
      </c>
      <c r="N34" s="6">
        <v>0</v>
      </c>
      <c r="O34" s="6">
        <f t="shared" si="25"/>
        <v>0</v>
      </c>
      <c r="P34" t="str">
        <f t="shared" si="26"/>
        <v>-</v>
      </c>
      <c r="R34">
        <f t="shared" si="27"/>
        <v>-9.2127358523133862E-3</v>
      </c>
      <c r="S34">
        <f t="shared" si="28"/>
        <v>0.25537912645720318</v>
      </c>
      <c r="T34">
        <f t="shared" si="29"/>
        <v>-1.0115397902545975E-2</v>
      </c>
      <c r="U34">
        <f t="shared" si="30"/>
        <v>0.6771613036348717</v>
      </c>
      <c r="V34">
        <f t="shared" si="31"/>
        <v>5.2973107719611195E-3</v>
      </c>
      <c r="W34" s="4">
        <f t="shared" si="32"/>
        <v>0.25537912645720318</v>
      </c>
      <c r="X34" s="12">
        <f t="shared" si="33"/>
        <v>25537912.645720318</v>
      </c>
    </row>
    <row r="35" spans="9:24" x14ac:dyDescent="0.25">
      <c r="I35" t="s">
        <v>5</v>
      </c>
      <c r="J35" s="6">
        <v>-2.605433089073181E-3</v>
      </c>
      <c r="K35" s="6">
        <v>0.32018495195875429</v>
      </c>
      <c r="L35" s="6">
        <v>5.5985585644513069E-3</v>
      </c>
      <c r="M35" s="6">
        <v>-2.8225582800067912E-4</v>
      </c>
      <c r="N35" s="6">
        <v>0</v>
      </c>
      <c r="O35" s="6">
        <f t="shared" si="25"/>
        <v>0</v>
      </c>
      <c r="P35" t="str">
        <f t="shared" si="26"/>
        <v>-</v>
      </c>
      <c r="R35">
        <f t="shared" si="27"/>
        <v>-1.614238159484772E-2</v>
      </c>
      <c r="S35">
        <f t="shared" si="28"/>
        <v>0.4474704774690651</v>
      </c>
      <c r="T35">
        <f t="shared" si="29"/>
        <v>-1.1658543883812775E-3</v>
      </c>
      <c r="U35">
        <f t="shared" si="30"/>
        <v>0.14327331333139345</v>
      </c>
      <c r="V35">
        <f t="shared" si="31"/>
        <v>2.5051896739735498E-3</v>
      </c>
      <c r="W35" s="4">
        <f t="shared" si="32"/>
        <v>0.4474704774690651</v>
      </c>
      <c r="X35" s="12">
        <f t="shared" si="33"/>
        <v>44747047.746906511</v>
      </c>
    </row>
    <row r="36" spans="9:24" x14ac:dyDescent="0.25">
      <c r="I36" t="s">
        <v>6</v>
      </c>
      <c r="J36" s="6">
        <v>3.5197357098723098E-2</v>
      </c>
      <c r="K36" s="6">
        <v>3.7980950480635483</v>
      </c>
      <c r="L36" s="6">
        <v>5.3061527947940307E-2</v>
      </c>
      <c r="M36" s="6">
        <v>2.1740329564270668E-4</v>
      </c>
      <c r="N36" s="6">
        <v>0</v>
      </c>
      <c r="O36" s="6">
        <f t="shared" si="25"/>
        <v>0</v>
      </c>
      <c r="P36" t="str">
        <f t="shared" si="26"/>
        <v>optimal</v>
      </c>
      <c r="R36">
        <f t="shared" si="27"/>
        <v>1.5561526637969945E-2</v>
      </c>
      <c r="S36">
        <f t="shared" si="28"/>
        <v>-0.43136904637804624</v>
      </c>
      <c r="T36">
        <f t="shared" si="29"/>
        <v>-1.5183050366703739E-2</v>
      </c>
      <c r="U36">
        <f t="shared" si="30"/>
        <v>-1.6383806389363524</v>
      </c>
      <c r="V36">
        <f t="shared" si="31"/>
        <v>-2.2889100710265058E-2</v>
      </c>
      <c r="W36" s="4">
        <f t="shared" si="32"/>
        <v>-0.43136904637804624</v>
      </c>
      <c r="X36" s="12">
        <f t="shared" si="33"/>
        <v>-43136904.637804627</v>
      </c>
    </row>
    <row r="37" spans="9:24" x14ac:dyDescent="0.25">
      <c r="R37">
        <f>SUM(R32:R36)</f>
        <v>-3.6074741033532629E-2</v>
      </c>
      <c r="S37">
        <f t="shared" si="28"/>
        <v>1</v>
      </c>
      <c r="T37">
        <f t="shared" si="29"/>
        <v>0</v>
      </c>
      <c r="U37">
        <f t="shared" si="30"/>
        <v>0</v>
      </c>
      <c r="V37">
        <f t="shared" si="31"/>
        <v>0</v>
      </c>
      <c r="W37" s="4">
        <f t="shared" si="32"/>
        <v>1</v>
      </c>
      <c r="X37" s="12">
        <f t="shared" si="33"/>
        <v>100000000</v>
      </c>
    </row>
    <row r="38" spans="9:24" x14ac:dyDescent="0.25">
      <c r="T38" t="s">
        <v>33</v>
      </c>
      <c r="U38">
        <f>(O20)</f>
        <v>7.6108680271173386E-3</v>
      </c>
    </row>
    <row r="39" spans="9:24" x14ac:dyDescent="0.25">
      <c r="T39" t="s">
        <v>34</v>
      </c>
      <c r="U39">
        <f>T37+U37*U38</f>
        <v>0</v>
      </c>
    </row>
    <row r="40" spans="9:24" x14ac:dyDescent="0.25">
      <c r="T40" t="s">
        <v>35</v>
      </c>
      <c r="U40" s="6">
        <f>O21</f>
        <v>4.3213806644096204E-4</v>
      </c>
      <c r="W40" t="s">
        <v>20</v>
      </c>
    </row>
    <row r="41" spans="9:24" x14ac:dyDescent="0.25">
      <c r="T41" t="s">
        <v>36</v>
      </c>
      <c r="U41">
        <f>U37^2*U40+V37</f>
        <v>0</v>
      </c>
    </row>
  </sheetData>
  <mergeCells count="4">
    <mergeCell ref="A4:A6"/>
    <mergeCell ref="B5:F5"/>
    <mergeCell ref="J5:N5"/>
    <mergeCell ref="R5:V5"/>
  </mergeCells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Wusadhane</dc:creator>
  <cp:lastModifiedBy>Wusadhane</cp:lastModifiedBy>
  <dcterms:created xsi:type="dcterms:W3CDTF">2024-06-03T14:55:26Z</dcterms:created>
  <dcterms:modified xsi:type="dcterms:W3CDTF">2024-06-03T15:54:31Z</dcterms:modified>
</cp:coreProperties>
</file>