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90" windowWidth="20880" windowHeight="10260" tabRatio="826" activeTab="7"/>
  </bookViews>
  <sheets>
    <sheet name="封面" sheetId="13" r:id="rId1"/>
    <sheet name="估算说明" sheetId="3" r:id="rId2"/>
    <sheet name="技术复杂度评估表" sheetId="15" r:id="rId3"/>
    <sheet name="量级估算-OK" sheetId="8" r:id="rId4"/>
    <sheet name="预算估算表1" sheetId="16" r:id="rId5"/>
    <sheet name="预算估算总体估算与计划1" sheetId="17" r:id="rId6"/>
    <sheet name="预算估算表" sheetId="1" r:id="rId7"/>
    <sheet name="预算估算总体估算与计划" sheetId="7" r:id="rId8"/>
    <sheet name="人员评估系数表" sheetId="9" r:id="rId9"/>
    <sheet name="附录-节假日" sheetId="12" r:id="rId10"/>
  </sheets>
  <externalReferences>
    <externalReference r:id="rId11"/>
  </externalReferences>
  <definedNames>
    <definedName name="复杂度" localSheetId="4">#REF!</definedName>
    <definedName name="复杂度" localSheetId="5">#REF!</definedName>
    <definedName name="复杂度">#REF!</definedName>
    <definedName name="请填写技术因素填写数据参考取值范围" localSheetId="4">#REF!</definedName>
    <definedName name="请填写技术因素填写数据参考取值范围" localSheetId="5">#REF!</definedName>
    <definedName name="请填写技术因素填写数据参考取值范围">#REF!</definedName>
    <definedName name="请填写技术因素影响参数" localSheetId="4">#REF!</definedName>
    <definedName name="请填写技术因素影响参数" localSheetId="5">#REF!</definedName>
    <definedName name="请填写技术因素影响参数">#REF!</definedName>
    <definedName name="问题跟踪" localSheetId="4">[1]选项列表!#REF!</definedName>
    <definedName name="问题跟踪" localSheetId="5">[1]选项列表!#REF!</definedName>
    <definedName name="问题跟踪">[1]选项列表!#REF!</definedName>
    <definedName name="问题状态" localSheetId="4">[1]选项列表!#REF!</definedName>
    <definedName name="问题状态" localSheetId="5">[1]选项列表!#REF!</definedName>
    <definedName name="问题状态">[1]选项列表!#REF!</definedName>
  </definedNames>
  <calcPr calcId="144525" concurrentCalc="0" concurrentManualCount="2"/>
</workbook>
</file>

<file path=xl/calcChain.xml><?xml version="1.0" encoding="utf-8"?>
<calcChain xmlns="http://schemas.openxmlformats.org/spreadsheetml/2006/main">
  <c r="E4" i="17" l="1"/>
  <c r="C5" i="16"/>
  <c r="C6" i="17"/>
  <c r="I4" i="17"/>
  <c r="G4" i="17"/>
  <c r="E5" i="17"/>
  <c r="H64" i="17"/>
  <c r="G64" i="17"/>
  <c r="F64" i="17"/>
  <c r="E64" i="17"/>
  <c r="D64" i="17"/>
  <c r="I59" i="17"/>
  <c r="I58" i="17"/>
  <c r="I57" i="17"/>
  <c r="I56" i="17"/>
  <c r="I55" i="17"/>
  <c r="I54" i="17"/>
  <c r="I53" i="17"/>
  <c r="I52" i="17"/>
  <c r="I51" i="17"/>
  <c r="I50" i="17"/>
  <c r="I49" i="17"/>
  <c r="I48" i="17"/>
  <c r="I47" i="17"/>
  <c r="I46" i="17"/>
  <c r="D43" i="17"/>
  <c r="H17" i="17"/>
  <c r="C43" i="17"/>
  <c r="G10" i="17"/>
  <c r="E43" i="17"/>
  <c r="H43" i="17"/>
  <c r="F43" i="17"/>
  <c r="D42" i="17"/>
  <c r="G23" i="17"/>
  <c r="C42" i="17"/>
  <c r="E42" i="17"/>
  <c r="H42" i="17"/>
  <c r="F42" i="17"/>
  <c r="D41" i="17"/>
  <c r="C41" i="17"/>
  <c r="E41" i="17"/>
  <c r="H41" i="17"/>
  <c r="F41" i="17"/>
  <c r="D40" i="17"/>
  <c r="C40" i="17"/>
  <c r="E40" i="17"/>
  <c r="H40" i="17"/>
  <c r="F40" i="17"/>
  <c r="D39" i="17"/>
  <c r="C39" i="17"/>
  <c r="E39" i="17"/>
  <c r="H39" i="17"/>
  <c r="F39" i="17"/>
  <c r="H38" i="17"/>
  <c r="G38" i="17"/>
  <c r="D37" i="17"/>
  <c r="G20" i="17"/>
  <c r="C37" i="17"/>
  <c r="E37" i="17"/>
  <c r="H37" i="17"/>
  <c r="F37" i="17"/>
  <c r="D36" i="17"/>
  <c r="C36" i="17"/>
  <c r="E36" i="17"/>
  <c r="H36" i="17"/>
  <c r="F36" i="17"/>
  <c r="D35" i="17"/>
  <c r="C35" i="17"/>
  <c r="E35" i="17"/>
  <c r="H35" i="17"/>
  <c r="F35" i="17"/>
  <c r="D34" i="17"/>
  <c r="C34" i="17"/>
  <c r="E34" i="17"/>
  <c r="H34" i="17"/>
  <c r="F34" i="17"/>
  <c r="H33" i="17"/>
  <c r="G33" i="17"/>
  <c r="D32" i="17"/>
  <c r="G17" i="17"/>
  <c r="C32" i="17"/>
  <c r="E32" i="17"/>
  <c r="H32" i="17"/>
  <c r="F32" i="17"/>
  <c r="D31" i="17"/>
  <c r="C31" i="17"/>
  <c r="E31" i="17"/>
  <c r="H31" i="17"/>
  <c r="F31" i="17"/>
  <c r="D30" i="17"/>
  <c r="C30" i="17"/>
  <c r="E30" i="17"/>
  <c r="H30" i="17"/>
  <c r="F30" i="17"/>
  <c r="D29" i="17"/>
  <c r="C29" i="17"/>
  <c r="E29" i="17"/>
  <c r="H29" i="17"/>
  <c r="F29" i="17"/>
  <c r="H28" i="17"/>
  <c r="G28" i="17"/>
  <c r="D27" i="17"/>
  <c r="C27" i="17"/>
  <c r="E27" i="17"/>
  <c r="H27" i="17"/>
  <c r="F27" i="17"/>
  <c r="F25" i="17"/>
  <c r="E25" i="17"/>
  <c r="D25" i="17"/>
  <c r="C25" i="17"/>
  <c r="C11" i="17"/>
  <c r="C22" i="17"/>
  <c r="G22" i="17"/>
  <c r="F22" i="17"/>
  <c r="E22" i="17"/>
  <c r="D22" i="17"/>
  <c r="C19" i="17"/>
  <c r="G19" i="17"/>
  <c r="F19" i="17"/>
  <c r="E19" i="17"/>
  <c r="D19" i="17"/>
  <c r="H16" i="17"/>
  <c r="C16" i="17"/>
  <c r="G16" i="17"/>
  <c r="F16" i="17"/>
  <c r="E16" i="17"/>
  <c r="D16" i="17"/>
  <c r="B16" i="17"/>
  <c r="E11" i="17"/>
  <c r="C10" i="17"/>
  <c r="E10" i="17"/>
  <c r="C9" i="17"/>
  <c r="E9" i="17"/>
  <c r="C8" i="17"/>
  <c r="E8" i="17"/>
  <c r="C7" i="17"/>
  <c r="E7" i="17"/>
  <c r="E6" i="17"/>
  <c r="Q74" i="16"/>
  <c r="U74" i="16"/>
  <c r="S74" i="16"/>
  <c r="R74" i="16"/>
  <c r="P74" i="16"/>
  <c r="B74" i="16"/>
  <c r="Q73" i="16"/>
  <c r="U73" i="16"/>
  <c r="S73" i="16"/>
  <c r="R73" i="16"/>
  <c r="P73" i="16"/>
  <c r="B73" i="16"/>
  <c r="Q72" i="16"/>
  <c r="U72" i="16"/>
  <c r="S72" i="16"/>
  <c r="R72" i="16"/>
  <c r="P72" i="16"/>
  <c r="B72" i="16"/>
  <c r="Q71" i="16"/>
  <c r="U71" i="16"/>
  <c r="S71" i="16"/>
  <c r="R71" i="16"/>
  <c r="P71" i="16"/>
  <c r="B71" i="16"/>
  <c r="Q70" i="16"/>
  <c r="U70" i="16"/>
  <c r="S70" i="16"/>
  <c r="R70" i="16"/>
  <c r="P70" i="16"/>
  <c r="B70" i="16"/>
  <c r="Q69" i="16"/>
  <c r="U69" i="16"/>
  <c r="S69" i="16"/>
  <c r="R69" i="16"/>
  <c r="P69" i="16"/>
  <c r="B69" i="16"/>
  <c r="Q68" i="16"/>
  <c r="U68" i="16"/>
  <c r="S68" i="16"/>
  <c r="R68" i="16"/>
  <c r="P68" i="16"/>
  <c r="B68" i="16"/>
  <c r="Q67" i="16"/>
  <c r="U67" i="16"/>
  <c r="S67" i="16"/>
  <c r="R67" i="16"/>
  <c r="P67" i="16"/>
  <c r="B67" i="16"/>
  <c r="Q66" i="16"/>
  <c r="U66" i="16"/>
  <c r="S66" i="16"/>
  <c r="R66" i="16"/>
  <c r="P66" i="16"/>
  <c r="B66" i="16"/>
  <c r="Q65" i="16"/>
  <c r="U65" i="16"/>
  <c r="S65" i="16"/>
  <c r="R65" i="16"/>
  <c r="P65" i="16"/>
  <c r="B65" i="16"/>
  <c r="Q64" i="16"/>
  <c r="U64" i="16"/>
  <c r="S64" i="16"/>
  <c r="R64" i="16"/>
  <c r="P64" i="16"/>
  <c r="B64" i="16"/>
  <c r="Q63" i="16"/>
  <c r="U63" i="16"/>
  <c r="S63" i="16"/>
  <c r="R63" i="16"/>
  <c r="P63" i="16"/>
  <c r="B63" i="16"/>
  <c r="Q62" i="16"/>
  <c r="U62" i="16"/>
  <c r="S62" i="16"/>
  <c r="R62" i="16"/>
  <c r="P62" i="16"/>
  <c r="B62" i="16"/>
  <c r="Q61" i="16"/>
  <c r="U61" i="16"/>
  <c r="S61" i="16"/>
  <c r="R61" i="16"/>
  <c r="P61" i="16"/>
  <c r="B61" i="16"/>
  <c r="Q60" i="16"/>
  <c r="U60" i="16"/>
  <c r="S60" i="16"/>
  <c r="R60" i="16"/>
  <c r="P60" i="16"/>
  <c r="B60" i="16"/>
  <c r="Q59" i="16"/>
  <c r="U59" i="16"/>
  <c r="S59" i="16"/>
  <c r="R59" i="16"/>
  <c r="P59" i="16"/>
  <c r="B59" i="16"/>
  <c r="Q58" i="16"/>
  <c r="U58" i="16"/>
  <c r="S58" i="16"/>
  <c r="R58" i="16"/>
  <c r="P58" i="16"/>
  <c r="B58" i="16"/>
  <c r="Q57" i="16"/>
  <c r="U57" i="16"/>
  <c r="S57" i="16"/>
  <c r="R57" i="16"/>
  <c r="P57" i="16"/>
  <c r="B57" i="16"/>
  <c r="Q56" i="16"/>
  <c r="U56" i="16"/>
  <c r="S56" i="16"/>
  <c r="R56" i="16"/>
  <c r="P56" i="16"/>
  <c r="B56" i="16"/>
  <c r="Q55" i="16"/>
  <c r="U55" i="16"/>
  <c r="S55" i="16"/>
  <c r="R55" i="16"/>
  <c r="P55" i="16"/>
  <c r="B55" i="16"/>
  <c r="Q54" i="16"/>
  <c r="U54" i="16"/>
  <c r="S54" i="16"/>
  <c r="R54" i="16"/>
  <c r="P54" i="16"/>
  <c r="B54" i="16"/>
  <c r="Q53" i="16"/>
  <c r="U53" i="16"/>
  <c r="S53" i="16"/>
  <c r="R53" i="16"/>
  <c r="P53" i="16"/>
  <c r="B53" i="16"/>
  <c r="Q52" i="16"/>
  <c r="U52" i="16"/>
  <c r="S52" i="16"/>
  <c r="R52" i="16"/>
  <c r="P52" i="16"/>
  <c r="B52" i="16"/>
  <c r="Q51" i="16"/>
  <c r="U51" i="16"/>
  <c r="S51" i="16"/>
  <c r="R51" i="16"/>
  <c r="P51" i="16"/>
  <c r="B51" i="16"/>
  <c r="Q50" i="16"/>
  <c r="U50" i="16"/>
  <c r="S50" i="16"/>
  <c r="R50" i="16"/>
  <c r="P50" i="16"/>
  <c r="B50" i="16"/>
  <c r="Q49" i="16"/>
  <c r="U49" i="16"/>
  <c r="S49" i="16"/>
  <c r="R49" i="16"/>
  <c r="P49" i="16"/>
  <c r="B49"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Q37" i="16"/>
  <c r="U37" i="16"/>
  <c r="P37" i="16"/>
  <c r="R37" i="16"/>
  <c r="S37" i="16"/>
  <c r="Q36" i="16"/>
  <c r="U36" i="16"/>
  <c r="P36" i="16"/>
  <c r="R36" i="16"/>
  <c r="S36" i="16"/>
  <c r="Q35" i="16"/>
  <c r="U35" i="16"/>
  <c r="P35" i="16"/>
  <c r="R35" i="16"/>
  <c r="S35" i="16"/>
  <c r="Q34" i="16"/>
  <c r="U34" i="16"/>
  <c r="P34" i="16"/>
  <c r="R34" i="16"/>
  <c r="S34" i="16"/>
  <c r="Q33" i="16"/>
  <c r="U33" i="16"/>
  <c r="P33" i="16"/>
  <c r="R33" i="16"/>
  <c r="S33" i="16"/>
  <c r="Q32" i="16"/>
  <c r="U32" i="16"/>
  <c r="P32" i="16"/>
  <c r="R32" i="16"/>
  <c r="S32" i="16"/>
  <c r="Q31" i="16"/>
  <c r="U31" i="16"/>
  <c r="P31" i="16"/>
  <c r="R31" i="16"/>
  <c r="S31" i="16"/>
  <c r="Q30" i="16"/>
  <c r="U30" i="16"/>
  <c r="P30" i="16"/>
  <c r="R30" i="16"/>
  <c r="S30" i="16"/>
  <c r="Q29" i="16"/>
  <c r="U29" i="16"/>
  <c r="P29" i="16"/>
  <c r="R29" i="16"/>
  <c r="S29" i="16"/>
  <c r="Q28" i="16"/>
  <c r="U28" i="16"/>
  <c r="P28" i="16"/>
  <c r="R28" i="16"/>
  <c r="S28" i="16"/>
  <c r="Q27" i="16"/>
  <c r="U27" i="16"/>
  <c r="P27" i="16"/>
  <c r="R27" i="16"/>
  <c r="S27" i="16"/>
  <c r="Q26" i="16"/>
  <c r="U26" i="16"/>
  <c r="S26" i="16"/>
  <c r="R26" i="16"/>
  <c r="P26" i="16"/>
  <c r="Q25" i="16"/>
  <c r="U25" i="16"/>
  <c r="P25" i="16"/>
  <c r="R25" i="16"/>
  <c r="S25" i="16"/>
  <c r="Q24" i="16"/>
  <c r="U24" i="16"/>
  <c r="P24" i="16"/>
  <c r="R24" i="16"/>
  <c r="S24" i="16"/>
  <c r="Q23" i="16"/>
  <c r="U23" i="16"/>
  <c r="P23" i="16"/>
  <c r="R23" i="16"/>
  <c r="S23" i="16"/>
  <c r="Q22" i="16"/>
  <c r="U22" i="16"/>
  <c r="P22" i="16"/>
  <c r="R22" i="16"/>
  <c r="S22" i="16"/>
  <c r="Q21" i="16"/>
  <c r="U21" i="16"/>
  <c r="P21" i="16"/>
  <c r="R21" i="16"/>
  <c r="S21" i="16"/>
  <c r="Q20" i="16"/>
  <c r="U20" i="16"/>
  <c r="P20" i="16"/>
  <c r="R20" i="16"/>
  <c r="S20" i="16"/>
  <c r="Q19" i="16"/>
  <c r="U19" i="16"/>
  <c r="P19" i="16"/>
  <c r="R19" i="16"/>
  <c r="S19" i="16"/>
  <c r="Q18" i="16"/>
  <c r="U18" i="16"/>
  <c r="P18" i="16"/>
  <c r="R18" i="16"/>
  <c r="S18" i="16"/>
  <c r="Q17" i="16"/>
  <c r="U17" i="16"/>
  <c r="P17" i="16"/>
  <c r="R17" i="16"/>
  <c r="S17" i="16"/>
  <c r="Q16" i="16"/>
  <c r="U16" i="16"/>
  <c r="V16" i="16"/>
  <c r="P16" i="16"/>
  <c r="R16" i="16"/>
  <c r="S16" i="16"/>
  <c r="Q15" i="16"/>
  <c r="U15" i="16"/>
  <c r="V15" i="16"/>
  <c r="P15" i="16"/>
  <c r="R15" i="16"/>
  <c r="S15" i="16"/>
  <c r="Q14" i="16"/>
  <c r="U14" i="16"/>
  <c r="V14" i="16"/>
  <c r="P14" i="16"/>
  <c r="R14" i="16"/>
  <c r="S14" i="16"/>
  <c r="Q13" i="16"/>
  <c r="U13" i="16"/>
  <c r="V13" i="16"/>
  <c r="P13" i="16"/>
  <c r="R13" i="16"/>
  <c r="S13" i="16"/>
  <c r="Q12" i="16"/>
  <c r="U12" i="16"/>
  <c r="V12" i="16"/>
  <c r="P12" i="16"/>
  <c r="R12" i="16"/>
  <c r="S12" i="16"/>
  <c r="Q11" i="16"/>
  <c r="U11" i="16"/>
  <c r="V11" i="16"/>
  <c r="P11" i="16"/>
  <c r="R11" i="16"/>
  <c r="S11" i="16"/>
  <c r="Q10" i="16"/>
  <c r="U10" i="16"/>
  <c r="V10" i="16"/>
  <c r="P10" i="16"/>
  <c r="R10" i="16"/>
  <c r="S10" i="16"/>
  <c r="Q9" i="16"/>
  <c r="U9" i="16"/>
  <c r="V9" i="16"/>
  <c r="P9" i="16"/>
  <c r="R9" i="16"/>
  <c r="S9" i="16"/>
  <c r="Q8" i="16"/>
  <c r="U8" i="16"/>
  <c r="V8" i="16"/>
  <c r="P8" i="16"/>
  <c r="R8" i="16"/>
  <c r="S8" i="16"/>
  <c r="V7" i="16"/>
  <c r="Q7" i="16"/>
  <c r="U7" i="16"/>
  <c r="S7" i="16"/>
  <c r="R7" i="16"/>
  <c r="P7" i="16"/>
  <c r="G5" i="16"/>
  <c r="P4" i="16"/>
  <c r="L4" i="16"/>
  <c r="I52" i="7"/>
  <c r="D35" i="7"/>
  <c r="I4" i="7"/>
  <c r="P48" i="1"/>
  <c r="Q48" i="1"/>
  <c r="R48" i="1"/>
  <c r="S48" i="1"/>
  <c r="U48" i="1"/>
  <c r="H64" i="7"/>
  <c r="G64" i="7"/>
  <c r="F64" i="7"/>
  <c r="E64" i="7"/>
  <c r="D64" i="7"/>
  <c r="I59" i="7"/>
  <c r="I58" i="7"/>
  <c r="I57" i="7"/>
  <c r="I56" i="7"/>
  <c r="I55" i="7"/>
  <c r="I54" i="7"/>
  <c r="I53" i="7"/>
  <c r="I51" i="7"/>
  <c r="I50" i="7"/>
  <c r="I49" i="7"/>
  <c r="I48" i="7"/>
  <c r="I47" i="7"/>
  <c r="I46" i="7"/>
  <c r="Q7" i="1"/>
  <c r="U7" i="1"/>
  <c r="Q8" i="1"/>
  <c r="U8" i="1"/>
  <c r="Q9" i="1"/>
  <c r="U9" i="1"/>
  <c r="Q10" i="1"/>
  <c r="U10" i="1"/>
  <c r="Q11" i="1"/>
  <c r="U11" i="1"/>
  <c r="Q12" i="1"/>
  <c r="U12" i="1"/>
  <c r="Q13" i="1"/>
  <c r="U13" i="1"/>
  <c r="Q14" i="1"/>
  <c r="U14" i="1"/>
  <c r="Q15" i="1"/>
  <c r="U15" i="1"/>
  <c r="Q16" i="1"/>
  <c r="U16" i="1"/>
  <c r="Q17" i="1"/>
  <c r="U17" i="1"/>
  <c r="Q18" i="1"/>
  <c r="U18" i="1"/>
  <c r="Q19" i="1"/>
  <c r="U19" i="1"/>
  <c r="Q20" i="1"/>
  <c r="U20" i="1"/>
  <c r="Q21" i="1"/>
  <c r="U21" i="1"/>
  <c r="Q22" i="1"/>
  <c r="U22" i="1"/>
  <c r="Q23" i="1"/>
  <c r="U23" i="1"/>
  <c r="Q24" i="1"/>
  <c r="U24" i="1"/>
  <c r="Q25" i="1"/>
  <c r="U25" i="1"/>
  <c r="Q26" i="1"/>
  <c r="U26" i="1"/>
  <c r="Q27" i="1"/>
  <c r="U27" i="1"/>
  <c r="Q28" i="1"/>
  <c r="U28" i="1"/>
  <c r="Q29" i="1"/>
  <c r="U29" i="1"/>
  <c r="Q30" i="1"/>
  <c r="U30" i="1"/>
  <c r="Q31" i="1"/>
  <c r="U31" i="1"/>
  <c r="Q32" i="1"/>
  <c r="U32" i="1"/>
  <c r="Q33" i="1"/>
  <c r="U33" i="1"/>
  <c r="Q34" i="1"/>
  <c r="U34" i="1"/>
  <c r="Q35" i="1"/>
  <c r="U35" i="1"/>
  <c r="Q36" i="1"/>
  <c r="U36" i="1"/>
  <c r="Q37" i="1"/>
  <c r="U37" i="1"/>
  <c r="Q38" i="1"/>
  <c r="U38" i="1"/>
  <c r="Q39" i="1"/>
  <c r="U39" i="1"/>
  <c r="Q40" i="1"/>
  <c r="U40" i="1"/>
  <c r="Q41" i="1"/>
  <c r="U41" i="1"/>
  <c r="Q42" i="1"/>
  <c r="U42" i="1"/>
  <c r="Q43" i="1"/>
  <c r="U43" i="1"/>
  <c r="Q44" i="1"/>
  <c r="U44" i="1"/>
  <c r="Q45" i="1"/>
  <c r="U45" i="1"/>
  <c r="Q46" i="1"/>
  <c r="U46" i="1"/>
  <c r="Q47" i="1"/>
  <c r="U47" i="1"/>
  <c r="Q49" i="1"/>
  <c r="U49" i="1"/>
  <c r="Q50" i="1"/>
  <c r="U50" i="1"/>
  <c r="Q51" i="1"/>
  <c r="U51" i="1"/>
  <c r="Q52" i="1"/>
  <c r="U52" i="1"/>
  <c r="Q53" i="1"/>
  <c r="U53" i="1"/>
  <c r="Q54" i="1"/>
  <c r="U54" i="1"/>
  <c r="Q55" i="1"/>
  <c r="U55" i="1"/>
  <c r="Q56" i="1"/>
  <c r="U56" i="1"/>
  <c r="Q57" i="1"/>
  <c r="U57" i="1"/>
  <c r="Q58" i="1"/>
  <c r="U58" i="1"/>
  <c r="Q59" i="1"/>
  <c r="U59" i="1"/>
  <c r="Q60" i="1"/>
  <c r="U60" i="1"/>
  <c r="Q61" i="1"/>
  <c r="U61" i="1"/>
  <c r="Q62" i="1"/>
  <c r="U62" i="1"/>
  <c r="Q63" i="1"/>
  <c r="U63" i="1"/>
  <c r="Q64" i="1"/>
  <c r="U64" i="1"/>
  <c r="Q65" i="1"/>
  <c r="U65" i="1"/>
  <c r="Q66" i="1"/>
  <c r="U66" i="1"/>
  <c r="Q67" i="1"/>
  <c r="U67" i="1"/>
  <c r="Q68" i="1"/>
  <c r="U68" i="1"/>
  <c r="Q69" i="1"/>
  <c r="U69" i="1"/>
  <c r="Q70" i="1"/>
  <c r="U70" i="1"/>
  <c r="Q71" i="1"/>
  <c r="U71" i="1"/>
  <c r="Q72" i="1"/>
  <c r="U72" i="1"/>
  <c r="Q73" i="1"/>
  <c r="U73" i="1"/>
  <c r="Q74" i="1"/>
  <c r="U74" i="1"/>
  <c r="C5" i="1"/>
  <c r="C6" i="7"/>
  <c r="H17" i="7"/>
  <c r="C43" i="7"/>
  <c r="G10" i="7"/>
  <c r="D43" i="7"/>
  <c r="E43" i="7"/>
  <c r="H43" i="7"/>
  <c r="F43" i="7"/>
  <c r="G23" i="7"/>
  <c r="C42" i="7"/>
  <c r="D42" i="7"/>
  <c r="E42" i="7"/>
  <c r="H42" i="7"/>
  <c r="F42" i="7"/>
  <c r="C41" i="7"/>
  <c r="D41" i="7"/>
  <c r="E41" i="7"/>
  <c r="H41" i="7"/>
  <c r="F41" i="7"/>
  <c r="C40" i="7"/>
  <c r="D40" i="7"/>
  <c r="E40" i="7"/>
  <c r="H40" i="7"/>
  <c r="F40" i="7"/>
  <c r="C39" i="7"/>
  <c r="D39" i="7"/>
  <c r="E39" i="7"/>
  <c r="H39" i="7"/>
  <c r="F39" i="7"/>
  <c r="H38" i="7"/>
  <c r="G38" i="7"/>
  <c r="G20" i="7"/>
  <c r="C37" i="7"/>
  <c r="D37" i="7"/>
  <c r="E37" i="7"/>
  <c r="H37" i="7"/>
  <c r="F37" i="7"/>
  <c r="C36" i="7"/>
  <c r="D36" i="7"/>
  <c r="E36" i="7"/>
  <c r="H36" i="7"/>
  <c r="F36" i="7"/>
  <c r="C35" i="7"/>
  <c r="E35" i="7"/>
  <c r="H35" i="7"/>
  <c r="F35" i="7"/>
  <c r="C34" i="7"/>
  <c r="D34" i="7"/>
  <c r="E34" i="7"/>
  <c r="H34" i="7"/>
  <c r="F34" i="7"/>
  <c r="H33" i="7"/>
  <c r="G33" i="7"/>
  <c r="G17" i="7"/>
  <c r="C32" i="7"/>
  <c r="D32" i="7"/>
  <c r="E32" i="7"/>
  <c r="H32" i="7"/>
  <c r="F32" i="7"/>
  <c r="C31" i="7"/>
  <c r="D31" i="7"/>
  <c r="E31" i="7"/>
  <c r="H31" i="7"/>
  <c r="F31" i="7"/>
  <c r="C30" i="7"/>
  <c r="D30" i="7"/>
  <c r="E30" i="7"/>
  <c r="H30" i="7"/>
  <c r="F30" i="7"/>
  <c r="C29" i="7"/>
  <c r="D29" i="7"/>
  <c r="E29" i="7"/>
  <c r="H29" i="7"/>
  <c r="F29" i="7"/>
  <c r="H28" i="7"/>
  <c r="G28" i="7"/>
  <c r="C27" i="7"/>
  <c r="D27" i="7"/>
  <c r="E27" i="7"/>
  <c r="H27" i="7"/>
  <c r="F27" i="7"/>
  <c r="F25" i="7"/>
  <c r="E25" i="7"/>
  <c r="D25" i="7"/>
  <c r="C25" i="7"/>
  <c r="C11" i="7"/>
  <c r="C22" i="7"/>
  <c r="G22" i="7"/>
  <c r="F22" i="7"/>
  <c r="E22" i="7"/>
  <c r="D22" i="7"/>
  <c r="C19" i="7"/>
  <c r="G19" i="7"/>
  <c r="F19" i="7"/>
  <c r="E19" i="7"/>
  <c r="D19" i="7"/>
  <c r="H16" i="7"/>
  <c r="C16" i="7"/>
  <c r="G16" i="7"/>
  <c r="F16" i="7"/>
  <c r="E16" i="7"/>
  <c r="D16" i="7"/>
  <c r="B16" i="7"/>
  <c r="E11" i="7"/>
  <c r="C10" i="7"/>
  <c r="E10" i="7"/>
  <c r="C9" i="7"/>
  <c r="E9" i="7"/>
  <c r="C8" i="7"/>
  <c r="E8" i="7"/>
  <c r="C7" i="7"/>
  <c r="E7" i="7"/>
  <c r="E6" i="7"/>
  <c r="E5" i="7"/>
  <c r="G4" i="7"/>
  <c r="E4" i="7"/>
  <c r="S74" i="1"/>
  <c r="R74" i="1"/>
  <c r="P74"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S73" i="1"/>
  <c r="R73" i="1"/>
  <c r="P73" i="1"/>
  <c r="S72" i="1"/>
  <c r="R72" i="1"/>
  <c r="P72" i="1"/>
  <c r="S71" i="1"/>
  <c r="R71" i="1"/>
  <c r="P71" i="1"/>
  <c r="S70" i="1"/>
  <c r="R70" i="1"/>
  <c r="P70" i="1"/>
  <c r="S69" i="1"/>
  <c r="R69" i="1"/>
  <c r="P69" i="1"/>
  <c r="S68" i="1"/>
  <c r="R68" i="1"/>
  <c r="P68" i="1"/>
  <c r="S67" i="1"/>
  <c r="R67" i="1"/>
  <c r="P67" i="1"/>
  <c r="S66" i="1"/>
  <c r="R66" i="1"/>
  <c r="P66" i="1"/>
  <c r="S65" i="1"/>
  <c r="R65" i="1"/>
  <c r="P65" i="1"/>
  <c r="S64" i="1"/>
  <c r="R64" i="1"/>
  <c r="P64" i="1"/>
  <c r="S63" i="1"/>
  <c r="R63" i="1"/>
  <c r="P63" i="1"/>
  <c r="S62" i="1"/>
  <c r="R62" i="1"/>
  <c r="P62" i="1"/>
  <c r="S61" i="1"/>
  <c r="R61" i="1"/>
  <c r="P61" i="1"/>
  <c r="S60" i="1"/>
  <c r="R60" i="1"/>
  <c r="P60" i="1"/>
  <c r="S59" i="1"/>
  <c r="R59" i="1"/>
  <c r="P59" i="1"/>
  <c r="S58" i="1"/>
  <c r="R58" i="1"/>
  <c r="P58" i="1"/>
  <c r="S57" i="1"/>
  <c r="R57" i="1"/>
  <c r="P57" i="1"/>
  <c r="S56" i="1"/>
  <c r="R56" i="1"/>
  <c r="P56" i="1"/>
  <c r="S55" i="1"/>
  <c r="R55" i="1"/>
  <c r="P55" i="1"/>
  <c r="S54" i="1"/>
  <c r="R54" i="1"/>
  <c r="P54" i="1"/>
  <c r="S53" i="1"/>
  <c r="R53" i="1"/>
  <c r="P53" i="1"/>
  <c r="S52" i="1"/>
  <c r="R52" i="1"/>
  <c r="P52" i="1"/>
  <c r="S51" i="1"/>
  <c r="R51" i="1"/>
  <c r="P51" i="1"/>
  <c r="S50" i="1"/>
  <c r="R50" i="1"/>
  <c r="P50" i="1"/>
  <c r="S49" i="1"/>
  <c r="R49" i="1"/>
  <c r="P49" i="1"/>
  <c r="P47" i="1"/>
  <c r="R47" i="1"/>
  <c r="S47" i="1"/>
  <c r="P46" i="1"/>
  <c r="R46" i="1"/>
  <c r="S46" i="1"/>
  <c r="P45" i="1"/>
  <c r="R45" i="1"/>
  <c r="S45" i="1"/>
  <c r="P44" i="1"/>
  <c r="R44" i="1"/>
  <c r="S44" i="1"/>
  <c r="P43" i="1"/>
  <c r="R43" i="1"/>
  <c r="S43" i="1"/>
  <c r="P42" i="1"/>
  <c r="R42" i="1"/>
  <c r="S42" i="1"/>
  <c r="P41" i="1"/>
  <c r="R41" i="1"/>
  <c r="S41" i="1"/>
  <c r="P40" i="1"/>
  <c r="R40" i="1"/>
  <c r="S40" i="1"/>
  <c r="P39" i="1"/>
  <c r="R39" i="1"/>
  <c r="S39" i="1"/>
  <c r="P38" i="1"/>
  <c r="R38" i="1"/>
  <c r="S38" i="1"/>
  <c r="P37" i="1"/>
  <c r="R37" i="1"/>
  <c r="S37" i="1"/>
  <c r="P36" i="1"/>
  <c r="R36" i="1"/>
  <c r="S36" i="1"/>
  <c r="P35" i="1"/>
  <c r="R35" i="1"/>
  <c r="S35" i="1"/>
  <c r="P34" i="1"/>
  <c r="R34" i="1"/>
  <c r="S34" i="1"/>
  <c r="P33" i="1"/>
  <c r="R33" i="1"/>
  <c r="S33" i="1"/>
  <c r="P32" i="1"/>
  <c r="R32" i="1"/>
  <c r="S32" i="1"/>
  <c r="P31" i="1"/>
  <c r="R31" i="1"/>
  <c r="S31" i="1"/>
  <c r="P30" i="1"/>
  <c r="R30" i="1"/>
  <c r="S30" i="1"/>
  <c r="P29" i="1"/>
  <c r="R29" i="1"/>
  <c r="S29" i="1"/>
  <c r="P28" i="1"/>
  <c r="R28" i="1"/>
  <c r="S28" i="1"/>
  <c r="P27" i="1"/>
  <c r="R27" i="1"/>
  <c r="S27" i="1"/>
  <c r="S26" i="1"/>
  <c r="R26" i="1"/>
  <c r="P26" i="1"/>
  <c r="P25" i="1"/>
  <c r="R25" i="1"/>
  <c r="S25" i="1"/>
  <c r="P24" i="1"/>
  <c r="R24" i="1"/>
  <c r="S24" i="1"/>
  <c r="P23" i="1"/>
  <c r="R23" i="1"/>
  <c r="S23" i="1"/>
  <c r="P22" i="1"/>
  <c r="R22" i="1"/>
  <c r="S22" i="1"/>
  <c r="P21" i="1"/>
  <c r="R21" i="1"/>
  <c r="S21" i="1"/>
  <c r="P20" i="1"/>
  <c r="R20" i="1"/>
  <c r="S20" i="1"/>
  <c r="P19" i="1"/>
  <c r="R19" i="1"/>
  <c r="S19" i="1"/>
  <c r="P18" i="1"/>
  <c r="R18" i="1"/>
  <c r="S18" i="1"/>
  <c r="P17" i="1"/>
  <c r="R17" i="1"/>
  <c r="S17" i="1"/>
  <c r="V16" i="1"/>
  <c r="P16" i="1"/>
  <c r="R16" i="1"/>
  <c r="S16" i="1"/>
  <c r="V15" i="1"/>
  <c r="P15" i="1"/>
  <c r="R15" i="1"/>
  <c r="S15" i="1"/>
  <c r="V14" i="1"/>
  <c r="P14" i="1"/>
  <c r="R14" i="1"/>
  <c r="S14" i="1"/>
  <c r="V13" i="1"/>
  <c r="P13" i="1"/>
  <c r="R13" i="1"/>
  <c r="S13" i="1"/>
  <c r="V12" i="1"/>
  <c r="P12" i="1"/>
  <c r="R12" i="1"/>
  <c r="S12" i="1"/>
  <c r="V11" i="1"/>
  <c r="P11" i="1"/>
  <c r="R11" i="1"/>
  <c r="S11" i="1"/>
  <c r="V10" i="1"/>
  <c r="P10" i="1"/>
  <c r="R10" i="1"/>
  <c r="S10" i="1"/>
  <c r="V9" i="1"/>
  <c r="P9" i="1"/>
  <c r="R9" i="1"/>
  <c r="S9" i="1"/>
  <c r="V8" i="1"/>
  <c r="P8" i="1"/>
  <c r="R8" i="1"/>
  <c r="S8" i="1"/>
  <c r="V7" i="1"/>
  <c r="P7" i="1"/>
  <c r="R7" i="1"/>
  <c r="S7" i="1"/>
  <c r="G5" i="1"/>
  <c r="E1" i="15"/>
  <c r="P4" i="1"/>
  <c r="L4" i="1"/>
  <c r="F12" i="8"/>
  <c r="E12" i="8"/>
  <c r="F11" i="8"/>
  <c r="E11" i="8"/>
  <c r="F10" i="8"/>
  <c r="E10" i="8"/>
  <c r="F9" i="8"/>
  <c r="E9" i="8"/>
  <c r="F8" i="8"/>
  <c r="E8" i="8"/>
  <c r="F7" i="8"/>
  <c r="E7" i="8"/>
  <c r="F6" i="8"/>
  <c r="E6" i="8"/>
  <c r="F4" i="8"/>
</calcChain>
</file>

<file path=xl/comments1.xml><?xml version="1.0" encoding="utf-8"?>
<comments xmlns="http://schemas.openxmlformats.org/spreadsheetml/2006/main">
  <authors>
    <author>hw</author>
  </authors>
  <commentList>
    <comment ref="J6" authorId="0">
      <text>
        <r>
          <rPr>
            <sz val="9"/>
            <rFont val="宋体"/>
            <family val="3"/>
            <charset val="134"/>
          </rPr>
          <t>高，中，低</t>
        </r>
      </text>
    </comment>
  </commentList>
</comments>
</file>

<file path=xl/comments2.xml><?xml version="1.0" encoding="utf-8"?>
<comments xmlns="http://schemas.openxmlformats.org/spreadsheetml/2006/main">
  <authors>
    <author>hw</author>
  </authors>
  <commentList>
    <comment ref="J6" authorId="0">
      <text>
        <r>
          <rPr>
            <sz val="9"/>
            <rFont val="宋体"/>
            <family val="3"/>
            <charset val="134"/>
          </rPr>
          <t>高，中，低</t>
        </r>
      </text>
    </comment>
  </commentList>
</comments>
</file>

<file path=xl/sharedStrings.xml><?xml version="1.0" encoding="utf-8"?>
<sst xmlns="http://schemas.openxmlformats.org/spreadsheetml/2006/main" count="1042" uniqueCount="353">
  <si>
    <t xml:space="preserve"> 估算表</t>
  </si>
  <si>
    <t>修订历史记录（A-添加，M-修改，D-删除）</t>
  </si>
  <si>
    <t>版本　</t>
  </si>
  <si>
    <t>日期　</t>
  </si>
  <si>
    <r>
      <rPr>
        <sz val="10.5"/>
        <color indexed="8"/>
        <rFont val="Times New Roman"/>
        <family val="1"/>
      </rPr>
      <t>A/M/D</t>
    </r>
    <r>
      <rPr>
        <sz val="10.5"/>
        <color indexed="8"/>
        <rFont val="宋体"/>
        <family val="3"/>
        <charset val="134"/>
      </rPr>
      <t>　</t>
    </r>
  </si>
  <si>
    <t>修订者　　</t>
  </si>
  <si>
    <t>说明　　　</t>
  </si>
  <si>
    <r>
      <rPr>
        <sz val="10"/>
        <rFont val="宋体"/>
        <family val="3"/>
        <charset val="134"/>
      </rPr>
      <t>V</t>
    </r>
    <r>
      <rPr>
        <sz val="10"/>
        <rFont val="宋体"/>
        <family val="3"/>
        <charset val="134"/>
      </rPr>
      <t>0.1</t>
    </r>
  </si>
  <si>
    <t>A</t>
  </si>
  <si>
    <t>付艳华</t>
  </si>
  <si>
    <t>创新初始版本</t>
  </si>
  <si>
    <t>V1.0</t>
  </si>
  <si>
    <t>M</t>
  </si>
  <si>
    <t>对模版及部分公式及度量指标忧化</t>
  </si>
  <si>
    <r>
      <rPr>
        <sz val="10"/>
        <rFont val="宋体"/>
        <family val="3"/>
        <charset val="134"/>
      </rPr>
      <t>V</t>
    </r>
    <r>
      <rPr>
        <sz val="10"/>
        <rFont val="宋体"/>
        <family val="3"/>
        <charset val="134"/>
      </rPr>
      <t>1.1</t>
    </r>
  </si>
  <si>
    <t>V1.5</t>
  </si>
  <si>
    <t xml:space="preserve"> M </t>
  </si>
  <si>
    <t>按咨询老师建议进行修订,增加业务知识数据采集</t>
  </si>
  <si>
    <t>V2.0</t>
  </si>
  <si>
    <t>/</t>
  </si>
  <si>
    <t>正式发布CMMI四流程文档</t>
  </si>
  <si>
    <t>重要声明</t>
  </si>
  <si>
    <t>版权声明</t>
  </si>
  <si>
    <r>
      <rPr>
        <sz val="10"/>
        <rFont val="宋体"/>
        <family val="3"/>
        <charset val="134"/>
      </rPr>
      <t>版权所有 © 2014</t>
    </r>
    <r>
      <rPr>
        <sz val="11"/>
        <color theme="1"/>
        <rFont val="宋体"/>
        <family val="3"/>
        <charset val="134"/>
      </rPr>
      <t xml:space="preserve">, 深圳国泰安教育技术有限公司，保留所有权利。
</t>
    </r>
  </si>
  <si>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</si>
  <si>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</si>
  <si>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family val="3"/>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</si>
  <si>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</si>
  <si>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</si>
  <si>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</si>
  <si>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</si>
  <si>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目的</t>
  </si>
  <si>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</si>
  <si>
    <t>范围</t>
  </si>
  <si>
    <t>本指导书适用于公司内所有软件开发项目的工作量、成本估算和计划活动,用于量级估算，预算估算和确定性估算。</t>
  </si>
  <si>
    <t>术语定义</t>
  </si>
  <si>
    <t>WBS ：（Work Breakdown Structure）工作分解结构；</t>
  </si>
  <si>
    <t>FP：（Function Point）功能点；</t>
  </si>
  <si>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</si>
  <si>
    <t>估算内容</t>
  </si>
  <si>
    <t>本指导书定义的估算内容包括项目总工作量、项目成本、阶段工作量</t>
  </si>
  <si>
    <t>估算程序</t>
  </si>
  <si>
    <t>量级估算（可选）</t>
  </si>
  <si>
    <t>量级估算是指在项目可行性分析初期进行的估算。量级估算的目的主要用于评估项目的可行性，以及项目的合同评估。量级估算一般采取的方法是专家估算。量级估算并不是必须的</t>
  </si>
  <si>
    <r>
      <rPr>
        <sz val="10"/>
        <rFont val="宋体"/>
        <family val="3"/>
        <charset val="134"/>
      </rPr>
      <t xml:space="preserve"> </t>
    </r>
    <r>
      <rPr>
        <sz val="10"/>
        <rFont val="宋体"/>
        <family val="3"/>
        <charset val="134"/>
      </rPr>
      <t xml:space="preserve">  </t>
    </r>
    <r>
      <rPr>
        <sz val="10"/>
        <rFont val="宋体"/>
        <family val="3"/>
        <charset val="134"/>
      </rPr>
      <t>5.1.1</t>
    </r>
  </si>
  <si>
    <t>阶段分解</t>
  </si>
  <si>
    <t>依据项目实际情况进行阶段分解，一般分为需求阶段、设计阶段、开发阶段、测试阶段、验收阶段进行分解,必要时按项目类型进行调整</t>
  </si>
  <si>
    <r>
      <rPr>
        <sz val="10"/>
        <rFont val="宋体"/>
        <family val="3"/>
        <charset val="134"/>
      </rPr>
      <t>5</t>
    </r>
    <r>
      <rPr>
        <sz val="10"/>
        <rFont val="宋体"/>
        <family val="3"/>
        <charset val="134"/>
      </rPr>
      <t>.1.2</t>
    </r>
  </si>
  <si>
    <t>阶段估算</t>
  </si>
  <si>
    <t>依据项目实际情况及项目初步确认总体工作量，进行各个阶段估算，以人月为基本单位，进行总体量级估算</t>
  </si>
  <si>
    <t>预算估算（必选）</t>
  </si>
  <si>
    <t>预算估算是指在项目立项阶段所进行的估算。预算估算的目的是评估项目所需要投入的资源，并用于向部门经理申请项目所需的资源。预算估算是必须的。</t>
  </si>
  <si>
    <r>
      <rPr>
        <sz val="10"/>
        <rFont val="宋体"/>
        <family val="3"/>
        <charset val="134"/>
      </rPr>
      <t>5.</t>
    </r>
    <r>
      <rPr>
        <sz val="10"/>
        <rFont val="宋体"/>
        <family val="3"/>
        <charset val="134"/>
      </rPr>
      <t>2.1</t>
    </r>
  </si>
  <si>
    <t>建立工作分解结构（WBS）</t>
  </si>
  <si>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</si>
  <si>
    <r>
      <rPr>
        <sz val="10"/>
        <rFont val="宋体"/>
        <family val="3"/>
        <charset val="134"/>
      </rPr>
      <t>5</t>
    </r>
    <r>
      <rPr>
        <sz val="10"/>
        <rFont val="宋体"/>
        <family val="3"/>
        <charset val="134"/>
      </rPr>
      <t>.2</t>
    </r>
    <r>
      <rPr>
        <sz val="10"/>
        <rFont val="宋体"/>
        <family val="3"/>
        <charset val="134"/>
      </rPr>
      <t>.2</t>
    </r>
  </si>
  <si>
    <t>估算项目规模</t>
  </si>
  <si>
    <t>根据工作分解结构分解出的功能模块，计算出二级用例数量，以作为项目规模的估算值，采用标准功能点作为基准参考。</t>
  </si>
  <si>
    <r>
      <rPr>
        <sz val="10"/>
        <rFont val="宋体"/>
        <family val="3"/>
        <charset val="134"/>
      </rPr>
      <t>5</t>
    </r>
    <r>
      <rPr>
        <sz val="10"/>
        <rFont val="宋体"/>
        <family val="3"/>
        <charset val="134"/>
      </rPr>
      <t>.2</t>
    </r>
    <r>
      <rPr>
        <sz val="10"/>
        <rFont val="宋体"/>
        <family val="3"/>
        <charset val="134"/>
      </rPr>
      <t>.3</t>
    </r>
  </si>
  <si>
    <t>工作量估算</t>
  </si>
  <si>
    <r>
      <rPr>
        <sz val="10"/>
        <rFont val="宋体"/>
        <family val="3"/>
        <charset val="134"/>
      </rP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</si>
  <si>
    <t>5.2.4</t>
  </si>
  <si>
    <t>成本估算</t>
  </si>
  <si>
    <t>本部分估算主要以人力成本为主要考虑因素。根据公司人力资源部制定的平均人均成本，最终算出项目成本。</t>
  </si>
  <si>
    <t>确定性估算（必选）</t>
  </si>
  <si>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</si>
  <si>
    <t>5.3.1</t>
  </si>
  <si>
    <r>
      <rPr>
        <sz val="10"/>
        <rFont val="宋体"/>
        <family val="3"/>
        <charset val="134"/>
      </rPr>
      <t>5.3</t>
    </r>
    <r>
      <rPr>
        <sz val="10"/>
        <rFont val="宋体"/>
        <family val="3"/>
        <charset val="134"/>
      </rPr>
      <t>.2</t>
    </r>
  </si>
  <si>
    <r>
      <rPr>
        <sz val="10"/>
        <rFont val="宋体"/>
        <family val="3"/>
        <charset val="134"/>
      </rPr>
      <t>5.3</t>
    </r>
    <r>
      <rPr>
        <sz val="10"/>
        <rFont val="宋体"/>
        <family val="3"/>
        <charset val="134"/>
      </rPr>
      <t>.3</t>
    </r>
  </si>
  <si>
    <t>5.3.4</t>
  </si>
  <si>
    <r>
      <rPr>
        <b/>
        <sz val="10"/>
        <rFont val="宋体"/>
        <family val="3"/>
        <charset val="134"/>
      </rPr>
      <t>参考标准：</t>
    </r>
    <r>
      <rPr>
        <sz val="10"/>
        <rFont val="宋体"/>
        <family val="3"/>
        <charset val="134"/>
      </rPr>
      <t>一共考虑</t>
    </r>
    <r>
      <rPr>
        <sz val="10"/>
        <rFont val="Arial"/>
        <family val="2"/>
      </rPr>
      <t>13</t>
    </r>
    <r>
      <rPr>
        <sz val="10"/>
        <rFont val="宋体"/>
        <family val="3"/>
        <charset val="134"/>
      </rPr>
      <t>个技术因素，分别是：</t>
    </r>
  </si>
  <si>
    <t>技术复杂度</t>
  </si>
  <si>
    <t>序号</t>
  </si>
  <si>
    <t>技术因素</t>
  </si>
  <si>
    <t>取值范围</t>
  </si>
  <si>
    <t>参数说明</t>
  </si>
  <si>
    <t>请填写技术因素填写数据参考取值范围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</si>
  <si>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</si>
  <si>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</si>
  <si>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</si>
  <si>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</si>
  <si>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</si>
  <si>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</si>
  <si>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</si>
  <si>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</si>
  <si>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</si>
  <si>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</si>
  <si>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</si>
  <si>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</si>
  <si>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</si>
  <si>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</si>
  <si>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</si>
  <si>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</si>
  <si>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</si>
  <si>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</si>
  <si>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</si>
  <si>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</si>
  <si>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</si>
  <si>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</si>
  <si>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</si>
  <si>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</si>
  <si>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</si>
  <si>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</si>
  <si>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</si>
  <si>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</si>
  <si>
    <t>总体估算</t>
  </si>
  <si>
    <r>
      <rPr>
        <sz val="10"/>
        <color theme="3" tint="0.39994506668294322"/>
        <rFont val="宋体"/>
        <family val="3"/>
        <charset val="134"/>
        <scheme val="minor"/>
      </rPr>
      <t>说明：此表内容将作为《项目计划书.mmp</t>
    </r>
    <r>
      <rPr>
        <sz val="10"/>
        <color indexed="62"/>
        <rFont val="宋体"/>
        <family val="3"/>
        <charset val="134"/>
      </rPr>
      <t>》的参考输入。
1.估算项目各个阶段所需时间，以天为单位（工作日），进行估算</t>
    </r>
  </si>
  <si>
    <t>项目开始日期：</t>
  </si>
  <si>
    <t>估计初始项目工作量(人月):</t>
  </si>
  <si>
    <t>项目阶段</t>
  </si>
  <si>
    <t>工期(天)</t>
  </si>
  <si>
    <t>投入人员(人数)</t>
  </si>
  <si>
    <t>预计开始时间</t>
  </si>
  <si>
    <t>预计完成日期</t>
  </si>
  <si>
    <t>备注</t>
  </si>
  <si>
    <t>产品立项</t>
  </si>
  <si>
    <t>迭代一</t>
  </si>
  <si>
    <t>迭代二</t>
  </si>
  <si>
    <t>迭代三</t>
  </si>
  <si>
    <t>迭代四</t>
  </si>
  <si>
    <t>迭代五</t>
  </si>
  <si>
    <t>系统集成与验收结项</t>
  </si>
  <si>
    <t>备注:标准阶段按上述进行分解，对于定制性项目需根据客户的具体要求进行相应调整。</t>
  </si>
  <si>
    <t>开发工作量估算</t>
  </si>
  <si>
    <r>
      <rPr>
        <sz val="10"/>
        <color theme="3" tint="0.39994506668294322"/>
        <rFont val="宋体"/>
        <family val="3"/>
        <charset val="134"/>
        <scheme val="minor"/>
      </rPr>
      <t xml:space="preserve">填表说明：
</t>
    </r>
    <r>
      <rPr>
        <sz val="10"/>
        <color rgb="FFFF0000"/>
        <rFont val="宋体"/>
        <family val="3"/>
        <charset val="134"/>
        <scheme val="minor"/>
      </rPr>
      <t>1.此表中的工作量仅需考虑开发工作量（包括设计、编码、单元测试的工作量）。</t>
    </r>
    <r>
      <rPr>
        <sz val="10"/>
        <color theme="3" tint="0.39994506668294322"/>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</si>
  <si>
    <t>估算对象</t>
  </si>
  <si>
    <t>需求项（个）</t>
  </si>
  <si>
    <t>开发工作量单位</t>
  </si>
  <si>
    <t>标准功能点（一个标准的开发人员一个工作日所完成开发工作量）</t>
  </si>
  <si>
    <t>估算假设
参考数据</t>
  </si>
  <si>
    <t>采用标准人员，标准功能点法，进行标准评估，标准功能点定义为标准开发人员一个工作日完成的工作量</t>
  </si>
  <si>
    <t>复用率(%)</t>
  </si>
  <si>
    <t>技术复杂
程度</t>
  </si>
  <si>
    <t>SFP/开发工作量
总计(人天)</t>
  </si>
  <si>
    <t>复用功能点</t>
  </si>
  <si>
    <t>标准估算值（以标准工程师为基准进行估算）（SFP）</t>
  </si>
  <si>
    <t>所属分类/栏目
(分解至业务单元)</t>
  </si>
  <si>
    <t>需求项
（包括功能需求和非功能需求）</t>
  </si>
  <si>
    <t>所属迭代</t>
  </si>
  <si>
    <t>类型</t>
  </si>
  <si>
    <t>难易度/技术及风险分析</t>
  </si>
  <si>
    <t>是否有
复用来源</t>
  </si>
  <si>
    <t>复用比例
（％）</t>
  </si>
  <si>
    <t>优先级</t>
  </si>
  <si>
    <t>估算人员5</t>
  </si>
  <si>
    <t>最小值</t>
  </si>
  <si>
    <t>平均值</t>
  </si>
  <si>
    <t>最大值</t>
  </si>
  <si>
    <t>偏差</t>
  </si>
  <si>
    <r>
      <rPr>
        <sz val="10"/>
        <color theme="1"/>
        <rFont val="宋体"/>
        <family val="3"/>
        <charset val="134"/>
        <scheme val="minor"/>
      </rPr>
      <t>是否接受</t>
    </r>
    <r>
      <rPr>
        <b/>
        <sz val="12"/>
        <rFont val="Arial"/>
        <family val="2"/>
      </rPr>
      <t>(Y/N)</t>
    </r>
  </si>
  <si>
    <t>更改的最终结果</t>
  </si>
  <si>
    <t>复用的功能点数</t>
  </si>
  <si>
    <t>修改原因</t>
  </si>
  <si>
    <t>新功能</t>
  </si>
  <si>
    <t>Y</t>
  </si>
  <si>
    <t>无</t>
  </si>
  <si>
    <t>总工作量估算</t>
  </si>
  <si>
    <t>估算时段</t>
  </si>
  <si>
    <t>估算时间</t>
  </si>
  <si>
    <t>期望开始日期</t>
  </si>
  <si>
    <t>迭代一SFP</t>
  </si>
  <si>
    <t>迭代二SFP</t>
  </si>
  <si>
    <t>迭代三SFP</t>
  </si>
  <si>
    <t>期望结束日期</t>
  </si>
  <si>
    <r>
      <rPr>
        <sz val="10"/>
        <color theme="1"/>
        <rFont val="宋体"/>
        <family val="3"/>
        <charset val="134"/>
        <scheme val="minor"/>
      </rPr>
      <t>估算规模
（S</t>
    </r>
    <r>
      <rPr>
        <sz val="10"/>
        <color indexed="8"/>
        <rFont val="宋体"/>
        <family val="3"/>
        <charset val="134"/>
      </rPr>
      <t>FP</t>
    </r>
    <r>
      <rPr>
        <sz val="10"/>
        <color indexed="8"/>
        <rFont val="宋体"/>
        <family val="3"/>
        <charset val="134"/>
      </rPr>
      <t>）</t>
    </r>
  </si>
  <si>
    <t>活动配比</t>
  </si>
  <si>
    <t>工作量比例
经验值</t>
  </si>
  <si>
    <t>软件工程活动总工作量
（人天）</t>
  </si>
  <si>
    <t>总工作量
（人月）</t>
  </si>
  <si>
    <t>软件工程活动占比</t>
  </si>
  <si>
    <t>项目管理活动（人天）</t>
  </si>
  <si>
    <t>项目管理活动占比</t>
  </si>
  <si>
    <t>配置管理活动（人天）</t>
  </si>
  <si>
    <t>配置管理活动占比</t>
  </si>
  <si>
    <t>质量保证活动（人天）</t>
  </si>
  <si>
    <t>质量保证活动占比</t>
  </si>
  <si>
    <t>风险预留</t>
  </si>
  <si>
    <t>其他
占比</t>
  </si>
  <si>
    <t>项目总工作量（人天）</t>
  </si>
  <si>
    <t>阶段工作量估算</t>
  </si>
  <si>
    <t>说明：估算各个阶段及工作量，它是《项目立项报告》的重要输入。
按开发工作量进行估算需求阶段、测试阶段、验收阶段的工作量</t>
  </si>
  <si>
    <t>各迭代比例明细</t>
  </si>
  <si>
    <t>产品立项阶段</t>
  </si>
  <si>
    <t>迭代一合计</t>
  </si>
  <si>
    <t>迭代一需求</t>
  </si>
  <si>
    <t>迭代一设计</t>
  </si>
  <si>
    <t>迭代一开发</t>
  </si>
  <si>
    <t>迭代一测试</t>
  </si>
  <si>
    <t>系统集成与验收结项阶段</t>
  </si>
  <si>
    <t>迭代二合计</t>
  </si>
  <si>
    <t>迭代二需求</t>
  </si>
  <si>
    <t>迭代二设计</t>
  </si>
  <si>
    <t>迭代二开发</t>
  </si>
  <si>
    <t>迭代二测试</t>
  </si>
  <si>
    <t>迭代三合计</t>
  </si>
  <si>
    <t>迭代三需求</t>
  </si>
  <si>
    <t>迭代三设计</t>
  </si>
  <si>
    <t>迭代三开发</t>
  </si>
  <si>
    <t>迭代三测试</t>
  </si>
  <si>
    <t>阶段工期估算</t>
  </si>
  <si>
    <t>合计</t>
  </si>
  <si>
    <t>阶段</t>
  </si>
  <si>
    <t>软件工程活动估算工作量（人天）</t>
  </si>
  <si>
    <t>预计工程资源
（估算人数）</t>
  </si>
  <si>
    <t>预计天数
（工作日）</t>
  </si>
  <si>
    <t>预计天数
(自然日)</t>
  </si>
  <si>
    <t>预计
开始日期</t>
  </si>
  <si>
    <t>预计
结束日期</t>
  </si>
  <si>
    <t>工程资源估算</t>
  </si>
  <si>
    <t>专家
(5-10)</t>
  </si>
  <si>
    <t>高级工程师
(3-5年)</t>
  </si>
  <si>
    <t>标准工程师
(2年)</t>
  </si>
  <si>
    <t>一般工程师
(1-2年)业务熟悉</t>
  </si>
  <si>
    <t>初级工程师
(1-2年)
了解业务</t>
  </si>
  <si>
    <t>实习生 
(1年以下)</t>
  </si>
  <si>
    <t>汇总</t>
  </si>
  <si>
    <t>备注说明
（填写影响此阶段工期的主导角色）</t>
  </si>
  <si>
    <t>填写产品人员和项目经理情况</t>
  </si>
  <si>
    <t>填写开发人员和项目经理情况</t>
  </si>
  <si>
    <t>填写设计人员情况</t>
  </si>
  <si>
    <t>填写开发人员情况</t>
  </si>
  <si>
    <t>填写测试人员情况</t>
  </si>
  <si>
    <t>总体阶段人员估算</t>
  </si>
  <si>
    <t>说明：估算各个职位人员工作量及人员配比数目
按开发工作量进行估算开发工程师、策划工程师、测试工程师、UI工程师及美工、数据库开发工程师的工作量及人数</t>
  </si>
  <si>
    <t>职业分类</t>
  </si>
  <si>
    <t>开发工程师</t>
  </si>
  <si>
    <t>策划工程师</t>
  </si>
  <si>
    <t>测试工程师</t>
  </si>
  <si>
    <t>配置管理员</t>
  </si>
  <si>
    <t>项目成员人数</t>
  </si>
  <si>
    <t>UI及美工工程师</t>
  </si>
  <si>
    <t>开发工程师数量（人）</t>
  </si>
  <si>
    <t>各专业人员配比（依据经验值）</t>
  </si>
  <si>
    <r>
      <rPr>
        <sz val="10"/>
        <color theme="1"/>
        <rFont val="宋体"/>
        <family val="3"/>
        <charset val="134"/>
        <scheme val="minor"/>
      </rP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</si>
  <si>
    <t>人员评估系数表</t>
  </si>
  <si>
    <t xml:space="preserve">说明：此表内容用于人员能力情况系数，用于工作量的评估之用，人员能力分析包括工作年限，来公司年限，工作能力等：
</t>
  </si>
  <si>
    <t>人员等级</t>
  </si>
  <si>
    <t>人员技能系数等级</t>
  </si>
  <si>
    <t>专家</t>
  </si>
  <si>
    <t>一个具有5到10年全职开发工作经验的工程师，非常熟悉公司相关业务，多次参与公司项目开发</t>
  </si>
  <si>
    <t>高级工程师</t>
  </si>
  <si>
    <t>一个具有3到5年全职开发工作经验的工程师，非常熟悉公司相关业务</t>
  </si>
  <si>
    <t>标准人员</t>
  </si>
  <si>
    <t>一个具有2年全职开发工作经验的工程师，熟悉公司相关业务</t>
  </si>
  <si>
    <t>一般工程师</t>
  </si>
  <si>
    <t>一个具有1到2年全职开发工作经验的工程师，较熟悉公司相关业务</t>
  </si>
  <si>
    <t>初级工程师</t>
  </si>
  <si>
    <t>一个具有1到2年全职开发工作经验的工程师，能力一般，不太熟悉公司相关业务</t>
  </si>
  <si>
    <t>实习生</t>
  </si>
  <si>
    <t>实习生，工作经验不足1年，不熟悉公司业务</t>
  </si>
  <si>
    <t>日期</t>
  </si>
  <si>
    <t>节假日名</t>
  </si>
  <si>
    <t>元旦</t>
  </si>
  <si>
    <t>春节</t>
  </si>
  <si>
    <t>清明</t>
  </si>
  <si>
    <t>劳动</t>
  </si>
  <si>
    <t>端午</t>
  </si>
  <si>
    <t>中秋</t>
  </si>
  <si>
    <t>国庆</t>
  </si>
  <si>
    <t>2019年元旦</t>
  </si>
  <si>
    <t>迭代一--PC前台</t>
    <phoneticPr fontId="30" type="noConversion"/>
  </si>
  <si>
    <t>梦想基地网站_首页</t>
    <phoneticPr fontId="30" type="noConversion"/>
  </si>
  <si>
    <t>一张设计底图+4个按钮链接，分别链接到基地Info、基地Explorer、基地Live、基地Me</t>
    <phoneticPr fontId="30" type="noConversion"/>
  </si>
  <si>
    <t>梦想基地网站_基地Info</t>
    <phoneticPr fontId="30" type="noConversion"/>
  </si>
  <si>
    <t>1、链接到原基地门户网站的首页，为了和梦想基地的导航条匹配，改进原门户网站的到和banner图，改成宽度自适应。
2、页面右侧悬浮导航栏
3、搜索功能，选择类别，输入关键字点击搜索按钮进入搜索结果页面：
根据时间、关键字、类型筛选结果</t>
    <phoneticPr fontId="30" type="noConversion"/>
  </si>
  <si>
    <t>梦想基地网站_注册、登录</t>
    <phoneticPr fontId="30" type="noConversion"/>
  </si>
  <si>
    <t>1、提供在线注册（手机注册-验证码、邮箱注册-验证码）、登录（账号登录、微信登录）
2、访问网站是，未登录用户绑定ip</t>
    <phoneticPr fontId="30" type="noConversion"/>
  </si>
  <si>
    <t>梦想基地网站_找回密码</t>
    <phoneticPr fontId="30" type="noConversion"/>
  </si>
  <si>
    <t>支持找回密码（手机-验证码、邮箱-验证码））</t>
    <phoneticPr fontId="30" type="noConversion"/>
  </si>
  <si>
    <t>梦想基地网站_基地Explorer（虚拟体验馆）-列表</t>
    <phoneticPr fontId="30" type="noConversion"/>
  </si>
  <si>
    <t>1.banner可后台维护;
2.按基地场馆分类展示基地的场馆缩略图列表；tab页展示7类</t>
    <phoneticPr fontId="30" type="noConversion"/>
  </si>
  <si>
    <t>梦想基地网站_基地Explorer（虚拟体验馆）-详情页</t>
    <phoneticPr fontId="30" type="noConversion"/>
  </si>
  <si>
    <t>进入场馆后，支持全景看场馆，同时支持查看场馆介绍、场馆课程特色，支持学生登录后收藏场馆。</t>
    <phoneticPr fontId="30" type="noConversion"/>
  </si>
  <si>
    <t>梦想基地网站_基地Live（在线课堂）-列表</t>
    <phoneticPr fontId="30" type="noConversion"/>
  </si>
  <si>
    <t>1、banner后台维护、左侧导航
2、按课程分类（综合、最新、人气、好评、精品）展示基地已有的课程列表。
3、右上角显示分类中的总课程数</t>
    <phoneticPr fontId="30" type="noConversion"/>
  </si>
  <si>
    <t>梦想基地网站_基地Live（在线课堂）-内容介绍页</t>
    <phoneticPr fontId="30" type="noConversion"/>
  </si>
  <si>
    <t>1、面包屑导航，可点击
2、课程缩略图及课程信息（名称、评价、分类、人数）
3、需登录收藏、分享
4、tab介绍页包括课程介绍（显示文字）、课程目录（点击视频课进入学习页面）、课程评价（显示评价分页）、笔记分页（登录发布、编辑、删除）登录后，只显示自己的笔记，
5、教师介绍、学员展示（学习时间最新的12个）</t>
    <phoneticPr fontId="30" type="noConversion"/>
  </si>
  <si>
    <t>梦想基地网站_基地Live（在线课堂）-学习页</t>
    <phoneticPr fontId="30" type="noConversion"/>
  </si>
  <si>
    <t>1、导航、视频播放
2、右侧课程目录和笔记列表（点击播放对应的视频、发布笔记）
3、课程评价（登录进行评价）、收藏（登录进行收藏）、分享、学完了（a.弹窗提示 b.显示推荐相关课程）
4、看视频、看知识点（弹窗显示知识点）、看课件（弹窗显示课件内容）</t>
    <phoneticPr fontId="30" type="noConversion"/>
  </si>
  <si>
    <t>梦想基地网站_基地Me（线上学生、教师）-个人中心</t>
    <phoneticPr fontId="30" type="noConversion"/>
  </si>
  <si>
    <t>1、学生/教师头像、姓名（姓名为空显示学生昵称）、学习总时长（教师还有教授课程）
2、课程图谱2个（教师为3个）
3、（学生）最近学习的课程、推荐课程</t>
    <phoneticPr fontId="30" type="noConversion"/>
  </si>
  <si>
    <t>梦想基地网站_基地Me（线上学生、教师）-我的课程、我的收藏、我的笔记</t>
    <phoneticPr fontId="30" type="noConversion"/>
  </si>
  <si>
    <t>1、我的课程：学习中列表-显示6个最新的课程，可翻页，缩略图+课程名称+进度+继续学习按钮（点击跳转学习页面）；已学完-显示6个课程，可翻页，缩略图+课程名称+进度+回顾课程按钮；
2、我的收藏（可翻页）：课程：6个最新课程缩略图（图+课程名称+讲师、评价、学习人数、删除按钮、免费标签）、场馆：缩略图+删除按钮、资讯：标题+时间+删除按钮
3、我的笔记：显示课程名称+笔记内容+所在章节的视频+时间；点击进入学习页面</t>
    <phoneticPr fontId="30" type="noConversion"/>
  </si>
  <si>
    <t>梦想基地网站_基地Me（线上学生、教师）-个人设置</t>
    <phoneticPr fontId="30" type="noConversion"/>
  </si>
  <si>
    <t>1.基础信息：
教师-账号（自动获取，不可修改）、邮箱、姓名（必填）、电话、职称、专业、个人介绍
学生-账号（自动获取，不可修改）、邮箱、昵称（必填）、姓名、电话
2.修改头像：上传头像按钮、显示缩略图（上传和直接选择都显示在这）、直接选择头像、保存按钮
3.修改密码：原密码、新密码、确认密码、保存按钮</t>
    <phoneticPr fontId="30" type="noConversion"/>
  </si>
  <si>
    <t>梦想基地网站_基地Me（线上+线下学生、教师）</t>
    <phoneticPr fontId="30" type="noConversion"/>
  </si>
  <si>
    <t>数据联通：到基地参加过实训的学生，可以直接输入学籍号、姓名登录梦想基地线上平台。基地教师可以直接使用智慧基地易管理平台的账号登录梦想基地平台。</t>
    <phoneticPr fontId="30" type="noConversion"/>
  </si>
  <si>
    <t>梦想基地网站_基地Me（基地教师）-我教授的课程-未发布列表</t>
    <phoneticPr fontId="30" type="noConversion"/>
  </si>
  <si>
    <t>1、显示未发布列表
点击tab右侧显示创建课程按钮进入创建课程页面</t>
    <phoneticPr fontId="30" type="noConversion"/>
  </si>
  <si>
    <t>梦想基地网站_基地Me（基地教师）-我教授的课程-创建课程</t>
    <phoneticPr fontId="30" type="noConversion"/>
  </si>
  <si>
    <t>第一步，填写课程基本信息：
课程名称、分类、课程图片、上课老师、精品课程、课程核心素养、课程介绍、教师手册、学员手册、保存按钮、下一步按钮（可点击）
第二步，创建课程目录：
1、批量导入按钮，弹窗内容：浏览、导入按钮、下载模板、显示导入结果、导出失败数据
2、编辑目录列表，每个章节和视频后都有添加、删除、上移、下移按钮（考虑视频转换）保存按钮，上一步、下一步按钮（可点击）
第三步，上传课程附件：
左侧显示课程目录树，右侧显示上传附件内容：当前章节、课程视频、课程附件（显示转换结果、【重新转换】）、知识点、保存按钮、上一步</t>
    <phoneticPr fontId="30" type="noConversion"/>
  </si>
  <si>
    <t>梦想基地网站_基地Me（基地教师）-我教授的课程-修改课程课程</t>
    <phoneticPr fontId="30" type="noConversion"/>
  </si>
  <si>
    <t>修改课程</t>
    <phoneticPr fontId="30" type="noConversion"/>
  </si>
  <si>
    <t>梦想基地网站_基地Me（基地教师）-我教授的课程-发布</t>
    <phoneticPr fontId="30" type="noConversion"/>
  </si>
  <si>
    <t>课程发布</t>
    <phoneticPr fontId="30" type="noConversion"/>
  </si>
  <si>
    <t>数据库设计</t>
    <phoneticPr fontId="30" type="noConversion"/>
  </si>
  <si>
    <t>梦想基地后台_基地Info维护</t>
    <phoneticPr fontId="30" type="noConversion"/>
  </si>
  <si>
    <t>1、原有的基地门户网站的功能；
2、添加用户角色；</t>
    <phoneticPr fontId="30" type="noConversion"/>
  </si>
  <si>
    <t>梦想基地后台_场馆分类管理</t>
    <phoneticPr fontId="30" type="noConversion"/>
  </si>
  <si>
    <t>对基地的场馆分类进行管理：
1.搜索；
2.导入页面、导出；
3.新增、修改、删除、禁用/启用。</t>
    <phoneticPr fontId="30" type="noConversion"/>
  </si>
  <si>
    <t>梦想基地后台_场馆管理</t>
    <phoneticPr fontId="30" type="noConversion"/>
  </si>
  <si>
    <t>1.搜索；
2.导入界面，导出；
3.(批量)删除，发布/取消发布（基地场馆发布成功后，才会显示在基地前台相关页面）场馆加精，场馆取消加精。</t>
    <phoneticPr fontId="30" type="noConversion"/>
  </si>
  <si>
    <t>梦想基地后台_场馆管理-新增场馆</t>
    <phoneticPr fontId="30" type="noConversion"/>
  </si>
  <si>
    <t>新增/修改场馆：
1.场馆信息页面；
2.场馆特色页面</t>
    <phoneticPr fontId="30" type="noConversion"/>
  </si>
  <si>
    <t>梦想基地后台_课程分类管理</t>
    <phoneticPr fontId="30" type="noConversion"/>
  </si>
  <si>
    <t>对基地的课程分类进行管理，支持新增、修改、删除、禁用/启用、批量导入/导出。</t>
    <phoneticPr fontId="30" type="noConversion"/>
  </si>
  <si>
    <t>梦想基地后台_课程管理</t>
    <phoneticPr fontId="30" type="noConversion"/>
  </si>
  <si>
    <t>1.搜索；
2.导入页面、导出；
3.删除、禁用/启用、发布/取消发布，课程下架/取消课程下架。
4.基地课程发布后，需课程管理审批员审核过后，才会显示在基地前台相关页面。</t>
    <phoneticPr fontId="30" type="noConversion"/>
  </si>
  <si>
    <t>梦想基地后台_课程管理-新增课程</t>
    <phoneticPr fontId="30" type="noConversion"/>
  </si>
  <si>
    <t>第一步，填写课程基本信息：
课程名称、分类、课程图片、上课老师（最多选择3人）、精品课程、课程核心素养、课程介绍、教师手册、学员手册、保存按钮、下一步按钮（可点击）
第二步，创建课程目录：
1、批量导入按钮，弹窗内容：浏览、导入按钮、下载模板、显示导入结果、导出失败数据
2、编辑目录列表，每个章节和视频后都有添加、删除、上移、下移按钮（考虑视频转换）保存按钮，上一步、下一步按钮（可点击）
第三步，上传课程附件：
左侧显示课程目录树，右侧显示上传附件内容：当前章节、课程视频、课程附件（显示转换结果、【重新转换】）、知识点、保存按钮、上一步</t>
    <phoneticPr fontId="30" type="noConversion"/>
  </si>
  <si>
    <t>梦想基地后台_课程审批</t>
    <phoneticPr fontId="30" type="noConversion"/>
  </si>
  <si>
    <t>1.对提交发布申请的课程进行审核，审核通过后，课程信息才会显示在基地前台相关页面。审核不通过的课程，则被驳回到基地老师处，老师可以修改内容后重新提交审核。
2.搜索</t>
    <phoneticPr fontId="30" type="noConversion"/>
  </si>
  <si>
    <t>梦想基地后台_权限管理</t>
    <phoneticPr fontId="30" type="noConversion"/>
  </si>
  <si>
    <t>1、在现有门户网站后台的权限管理左侧，加上场馆管理（场馆分类、场馆管理）、课程管理（课程分类、课程管理）菜单的设置项，可以将其授权给用户。
2、有场馆管理、课程管理授权的老师，登陆梦想基地后台，可以看到对应的菜单，进行相关操作。</t>
    <phoneticPr fontId="30" type="noConversion"/>
  </si>
  <si>
    <t>梦想基地后台_评价管理</t>
    <phoneticPr fontId="30" type="noConversion"/>
  </si>
  <si>
    <t>1、对用户发布的评价进行管理，可以删除和查看。
2、搜索</t>
    <phoneticPr fontId="30" type="noConversion"/>
  </si>
  <si>
    <t>梦想基地后台_统计分析</t>
    <phoneticPr fontId="30" type="noConversion"/>
  </si>
  <si>
    <t>1、5个统计分析图；
2、按场馆统计场馆的点击量、累计浏览时间。
3、按课程统计课程的点击量、累计学习时间、好评人数、好评率。</t>
    <phoneticPr fontId="30" type="noConversion"/>
  </si>
  <si>
    <t>迭代一</t>
    <phoneticPr fontId="30" type="noConversion"/>
  </si>
  <si>
    <t>低风险</t>
    <phoneticPr fontId="30" type="noConversion"/>
  </si>
  <si>
    <t>高</t>
    <phoneticPr fontId="30" type="noConversion"/>
  </si>
  <si>
    <t>齐仁丽</t>
    <phoneticPr fontId="30" type="noConversion"/>
  </si>
  <si>
    <t>付细辉</t>
    <phoneticPr fontId="30" type="noConversion"/>
  </si>
  <si>
    <t>孙永莉</t>
    <phoneticPr fontId="30" type="noConversion"/>
  </si>
  <si>
    <t>朱俊雄</t>
  </si>
  <si>
    <t>梦想基地小程序_首页</t>
  </si>
  <si>
    <t>1、banner图轮播显示（后台维护）
2、功能区按钮显示可配置
3、最新动态：显示基地最新发布的新闻、公告咨询。点击更多进入基地新闻页面。
4、精品场馆中展示基地精品场馆。点击单个场馆进入单个场馆的浏览页面；点击“更多”进入虚拟体验馆的首页
5、精品课程中展示基地精品课程，点击单个课程进入课程学习页；点击“更多”进入基地课程首页</t>
  </si>
  <si>
    <t>梦想基地小程序_新闻中心、基地概况详情页</t>
  </si>
  <si>
    <t>1、基地概况、基地新闻、通知公告详情页（图文）
2、分享、收藏功能
3、新闻中心列表页面：banner新闻（后台可设置）、tab页切换列表</t>
  </si>
  <si>
    <t>梦想基地小程序_基地Explorer（虚拟体验馆）</t>
  </si>
  <si>
    <t>1、按基地场馆分类展示基地的场馆；
2、进入场馆后，支持全景看场馆，同时支持查看场馆特色、课程特色、场馆照片等信息，支持收藏和分享场馆。收藏时，如果没有登录，则弹出登录的提示，登录成功可以收藏。
3.最下方导航</t>
  </si>
  <si>
    <t>梦想基地小程序_基地Live（在线课堂）</t>
  </si>
  <si>
    <t>1、按课程分类展示基地已有的课程信息。
2、点击课程进入时，如果没有没有登录，则显示登录页面，如果学生已经登录，则可以查看在线教学的视频。可以查看教师信息、学员信息。可以做学习笔记，也可以进行评价和查看他人评价。
3、课程支持收藏和分享，收藏的课程可以基地Me&gt;个人中看到。</t>
  </si>
  <si>
    <t>梦想基地小程序_注册、登录</t>
  </si>
  <si>
    <t>1、提供登录、在线注册功能，并提供找回密码功能；</t>
  </si>
  <si>
    <t>梦想基地小程序_我的（线上学生）</t>
  </si>
  <si>
    <t>1、个人空间首页：显示学生学习的课程图谱、学生最新参加的课程、推荐课程；
2、我的收藏：显示学生收藏的场馆和课程，点击场馆可以直接观馆，点击课程可以进入课程学习。
3、我的课程：显示学生已经学习过的课程，学习中的可以继续学习，已学完的可以回顾课程。
4、设置：显示学生的基础信息等，支持学生修改基础信息、头像、密码。</t>
  </si>
  <si>
    <t>梦想基地小程序_我的（线上+线下学生）</t>
  </si>
  <si>
    <t>到基地参加过实训的学生，可以直接输入学籍号、姓名登录梦想基地线上平台。</t>
  </si>
  <si>
    <t>梦想基地小程序_我的（基地教师）</t>
  </si>
  <si>
    <t>1、基地教师可以直接使用智慧基地易管理平台的账号登录梦想基地平台：
（1）教师空间首页：显示教师所教授的课程和统计信息；
（2）我教授的课程：显示老师所教授的课程，老师可以查看自己所教的课程的状态，
2、教师本身也可以学习其他老师教授的课程，所以教师端也有以下功能，功能的内容同学生端：
（1）我的收藏：显示教师收藏的场馆和课程，点击场馆可以直接观馆，点击课程可以进入课程学习。
（2）我学习的课程：显示教师已经学习过的课程，学习中的可以继续学习，已学完的可以回顾课程。
（3）个人设置：显示教师的基础信息等，支持学生修改基础信息、头像、密码。</t>
  </si>
  <si>
    <t>小程序支持微信公众号上运行。</t>
  </si>
  <si>
    <t>梦想基地小程序-前端</t>
  </si>
  <si>
    <t>迭代二--微信小程序</t>
    <phoneticPr fontId="30" type="noConversion"/>
  </si>
  <si>
    <t>迭代一--pc端后台</t>
    <phoneticPr fontId="30" type="noConversion"/>
  </si>
  <si>
    <t>迭代二</t>
    <phoneticPr fontId="30" type="noConversion"/>
  </si>
  <si>
    <t>填写测试人员情况</t>
    <phoneticPr fontId="30" type="noConversion"/>
  </si>
  <si>
    <t>填写产品人员和项目经理情况</t>
    <phoneticPr fontId="30" type="noConversion"/>
  </si>
  <si>
    <r>
      <t>说明：此表内容将作为《项目立项报告</t>
    </r>
    <r>
      <rPr>
        <sz val="10"/>
        <color theme="3"/>
        <rFont val="宋体"/>
        <family val="3"/>
        <charset val="134"/>
      </rPr>
      <t>》的主要输入。</t>
    </r>
    <r>
      <rPr>
        <sz val="10"/>
        <color rgb="FF333399"/>
        <rFont val="宋体"/>
        <family val="3"/>
        <charset val="134"/>
      </rPr>
      <t xml:space="preserve">
1.估算规模是“预算估算表”sheet中列出的功能需求项总数。
2.按每月21.75个标准工作日计算。
3.各专业人员配比是经验值，可在公司度量工作实施一段时间后修改。</t>
    </r>
    <r>
      <rPr>
        <sz val="10"/>
        <color rgb="FF333399"/>
        <rFont val="宋体"/>
        <family val="3"/>
        <charset val="134"/>
        <scheme val="minor"/>
      </rPr>
      <t xml:space="preserve">
4.估算表累积修改，每次估算保留前一次估算结果
5.估算开始前填写估算时段和估算时间</t>
    </r>
    <phoneticPr fontId="30" type="noConversion"/>
  </si>
  <si>
    <t>立项阶段</t>
    <phoneticPr fontId="30" type="noConversion"/>
  </si>
  <si>
    <t>说明：估算各个阶段及工作量，它是《项目立项报告》的重要输入。
按开发工作量进行估算需求阶段、测试阶段、验收阶段的工作量</t>
    <phoneticPr fontId="30" type="noConversion"/>
  </si>
  <si>
    <t>填写设计人员情况(由2个没有前端经验的开发人员代替)</t>
    <phoneticPr fontId="30" type="noConversion"/>
  </si>
  <si>
    <t>填写产品人员和项目经理情况（各投入一半工作量）</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</si>
</sst>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yyyy&quot;年&quot;m&quot;月&quot;d&quot;日&quot;;@"/>
    <numFmt numFmtId="177" formatCode="0.0_);[Red]\(0.0\)"/>
    <numFmt numFmtId="178" formatCode="0.0_ "/>
    <numFmt numFmtId="179" formatCode="yyyy/m/d;@"/>
    <numFmt numFmtId="180" formatCode="0.00_);[Red]\(0.00\)"/>
    <numFmt numFmtId="181" formatCode="0.00_ "/>
    <numFmt numFmtId="182" formatCode="0.0%"/>
    <numFmt numFmtId="183" formatCode="yyyy/mm/dd"/>
    <numFmt numFmtId="184" formatCode="yyyy\/mm\/dd"/>
  </numFmts>
  <fonts count="34" x14ac:knownFonts="1">
    <font>
      <sz val="10"/>
      <name val="宋体"/>
      <charset val="134"/>
    </font>
    <font>
      <sz val="10"/>
      <color theme="1"/>
      <name val="宋体"/>
      <family val="3"/>
      <charset val="134"/>
      <scheme val="minor"/>
    </font>
    <font>
      <b/>
      <sz val="10"/>
      <color theme="1"/>
      <name val="宋体"/>
      <family val="3"/>
      <charset val="134"/>
      <scheme val="minor"/>
    </font>
    <font>
      <sz val="10"/>
      <color theme="3" tint="0.39994506668294322"/>
      <name val="宋体"/>
      <family val="3"/>
      <charset val="134"/>
      <scheme val="minor"/>
    </font>
    <font>
      <sz val="10"/>
      <color theme="3"/>
      <name val="宋体"/>
      <family val="3"/>
      <charset val="134"/>
      <scheme val="minor"/>
    </font>
    <font>
      <sz val="10"/>
      <name val="宋体"/>
      <family val="3"/>
      <charset val="134"/>
      <scheme val="minor"/>
    </font>
    <font>
      <sz val="10"/>
      <color rgb="FFFF0000"/>
      <name val="宋体"/>
      <family val="3"/>
      <charset val="134"/>
      <scheme val="minor"/>
    </font>
    <font>
      <sz val="10"/>
      <color rgb="FF333333"/>
      <name val="Arial"/>
      <family val="2"/>
    </font>
    <font>
      <b/>
      <sz val="10"/>
      <name val="宋体"/>
      <family val="3"/>
      <charset val="134"/>
    </font>
    <font>
      <sz val="10.5"/>
      <name val="Calibri"/>
      <family val="2"/>
    </font>
    <font>
      <sz val="10.5"/>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sz val="12"/>
      <name val="宋体"/>
      <family val="3"/>
      <charset val="134"/>
    </font>
    <font>
      <sz val="11"/>
      <color theme="1"/>
      <name val="宋体"/>
      <family val="3"/>
      <charset val="134"/>
      <scheme val="minor"/>
    </font>
    <font>
      <sz val="11"/>
      <color theme="1"/>
      <name val="宋体"/>
      <family val="3"/>
      <charset val="134"/>
      <scheme val="minor"/>
    </font>
    <font>
      <sz val="10"/>
      <color theme="3"/>
      <name val="宋体"/>
      <family val="3"/>
      <charset val="134"/>
    </font>
    <font>
      <sz val="10"/>
      <color rgb="FF333399"/>
      <name val="宋体"/>
      <family val="3"/>
      <charset val="134"/>
    </font>
    <font>
      <sz val="10"/>
      <color rgb="FF333399"/>
      <name val="宋体"/>
      <family val="3"/>
      <charset val="134"/>
      <scheme val="minor"/>
    </font>
    <font>
      <sz val="10"/>
      <color indexed="8"/>
      <name val="宋体"/>
      <family val="3"/>
      <charset val="134"/>
    </font>
    <font>
      <b/>
      <sz val="10"/>
      <color indexed="8"/>
      <name val="宋体"/>
      <family val="3"/>
      <charset val="134"/>
    </font>
    <font>
      <b/>
      <sz val="12"/>
      <name val="Arial"/>
      <family val="2"/>
    </font>
    <font>
      <sz val="10"/>
      <color indexed="62"/>
      <name val="宋体"/>
      <family val="3"/>
      <charset val="134"/>
    </font>
    <font>
      <sz val="10"/>
      <name val="Arial"/>
      <family val="2"/>
    </font>
    <font>
      <sz val="11"/>
      <color theme="1"/>
      <name val="宋体"/>
      <family val="3"/>
      <charset val="134"/>
    </font>
    <font>
      <b/>
      <u/>
      <sz val="12"/>
      <color indexed="8"/>
      <name val="Arial"/>
      <family val="2"/>
    </font>
    <font>
      <sz val="10"/>
      <name val="宋体"/>
      <family val="3"/>
      <charset val="134"/>
    </font>
    <font>
      <sz val="9"/>
      <name val="宋体"/>
      <family val="3"/>
      <charset val="134"/>
    </font>
    <font>
      <sz val="10"/>
      <color rgb="FF000000"/>
      <name val="宋体"/>
      <family val="3"/>
      <charset val="134"/>
      <scheme val="minor"/>
    </font>
    <font>
      <sz val="10"/>
      <color rgb="FF000000"/>
      <name val="Symbol"/>
      <family val="1"/>
      <charset val="2"/>
    </font>
    <font>
      <sz val="9"/>
      <name val="宋体"/>
      <family val="3"/>
      <charset val="134"/>
    </font>
  </fonts>
  <fills count="12">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CCFFFF"/>
        <bgColor indexed="64"/>
      </patternFill>
    </fill>
    <fill>
      <patternFill patternType="solid">
        <fgColor rgb="FFFFF5EB"/>
        <bgColor indexed="64"/>
      </patternFill>
    </fill>
    <fill>
      <patternFill patternType="solid">
        <fgColor indexed="9"/>
        <bgColor indexed="64"/>
      </patternFill>
    </fill>
    <fill>
      <patternFill patternType="solid">
        <fgColor rgb="FFD3F9FB"/>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0" tint="-4.9989318521683403E-2"/>
        <bgColor indexed="64"/>
      </patternFill>
    </fill>
    <fill>
      <patternFill patternType="solid">
        <fgColor theme="6" tint="0.79998168889431442"/>
        <bgColor indexed="64"/>
      </patternFill>
    </fill>
  </fills>
  <borders count="4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style="thin">
        <color auto="1"/>
      </left>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bottom/>
      <diagonal/>
    </border>
    <border>
      <left/>
      <right style="thin">
        <color auto="1"/>
      </right>
      <top/>
      <bottom/>
      <diagonal/>
    </border>
    <border>
      <left style="hair">
        <color auto="1"/>
      </left>
      <right/>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style="hair">
        <color auto="1"/>
      </left>
      <right style="hair">
        <color auto="1"/>
      </right>
      <top style="hair">
        <color auto="1"/>
      </top>
      <bottom/>
      <diagonal/>
    </border>
    <border>
      <left style="hair">
        <color auto="1"/>
      </left>
      <right style="hair">
        <color auto="1"/>
      </right>
      <top style="thin">
        <color auto="1"/>
      </top>
      <bottom style="thin">
        <color auto="1"/>
      </bottom>
      <diagonal/>
    </border>
    <border>
      <left style="hair">
        <color auto="1"/>
      </left>
      <right style="hair">
        <color auto="1"/>
      </right>
      <top style="thin">
        <color auto="1"/>
      </top>
      <bottom/>
      <diagonal/>
    </border>
    <border>
      <left style="hair">
        <color auto="1"/>
      </left>
      <right/>
      <top/>
      <bottom/>
      <diagonal/>
    </border>
    <border>
      <left style="hair">
        <color auto="1"/>
      </left>
      <right style="thin">
        <color auto="1"/>
      </right>
      <top style="hair">
        <color auto="1"/>
      </top>
      <bottom/>
      <diagonal/>
    </border>
    <border>
      <left style="hair">
        <color auto="1"/>
      </left>
      <right/>
      <top style="hair">
        <color auto="1"/>
      </top>
      <bottom style="hair">
        <color auto="1"/>
      </bottom>
      <diagonal/>
    </border>
    <border>
      <left style="hair">
        <color auto="1"/>
      </left>
      <right/>
      <top/>
      <bottom style="thin">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hair">
        <color indexed="64"/>
      </right>
      <top/>
      <bottom style="hair">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8">
    <xf numFmtId="0" fontId="0" fillId="0" borderId="0">
      <alignment vertical="center"/>
    </xf>
    <xf numFmtId="0" fontId="18" fillId="0" borderId="0">
      <alignment vertical="center"/>
    </xf>
    <xf numFmtId="9" fontId="18" fillId="0" borderId="0" applyFont="0" applyFill="0" applyBorder="0" applyAlignment="0" applyProtection="0">
      <alignment vertical="center"/>
    </xf>
    <xf numFmtId="0" fontId="29" fillId="0" borderId="0"/>
    <xf numFmtId="0" fontId="18" fillId="0" borderId="0">
      <alignment vertical="center"/>
    </xf>
    <xf numFmtId="0" fontId="29" fillId="0" borderId="0">
      <alignment vertical="center"/>
    </xf>
    <xf numFmtId="0" fontId="17" fillId="0" borderId="0">
      <alignment vertical="center"/>
    </xf>
    <xf numFmtId="0" fontId="17" fillId="0" borderId="0">
      <alignment vertical="center"/>
    </xf>
  </cellStyleXfs>
  <cellXfs count="277">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31" fontId="1" fillId="0" borderId="3" xfId="0" applyNumberFormat="1" applyFont="1" applyBorder="1" applyAlignment="1">
      <alignment horizontal="left" vertical="center"/>
    </xf>
    <xf numFmtId="0" fontId="1" fillId="0" borderId="3" xfId="0" applyFont="1" applyBorder="1">
      <alignment vertical="center"/>
    </xf>
    <xf numFmtId="0" fontId="1" fillId="0" borderId="3" xfId="0" applyFont="1" applyBorder="1" applyAlignment="1">
      <alignment vertical="center" wrapText="1"/>
    </xf>
    <xf numFmtId="0" fontId="1" fillId="0" borderId="3" xfId="0" applyFont="1" applyBorder="1" applyAlignment="1">
      <alignment vertical="center"/>
    </xf>
    <xf numFmtId="176" fontId="1" fillId="2" borderId="3" xfId="0" applyNumberFormat="1" applyFont="1" applyFill="1" applyBorder="1" applyAlignment="1">
      <alignment horizontal="left" vertical="center"/>
    </xf>
    <xf numFmtId="0" fontId="1" fillId="2" borderId="3" xfId="0" applyFont="1" applyFill="1" applyBorder="1">
      <alignment vertical="center"/>
    </xf>
    <xf numFmtId="0" fontId="1" fillId="2" borderId="0" xfId="4" applyFont="1" applyFill="1" applyAlignment="1">
      <alignment vertical="center" wrapText="1"/>
    </xf>
    <xf numFmtId="178" fontId="1" fillId="2" borderId="0" xfId="4" applyNumberFormat="1" applyFont="1" applyFill="1" applyAlignment="1">
      <alignment vertical="center" wrapText="1"/>
    </xf>
    <xf numFmtId="0" fontId="3" fillId="2" borderId="0" xfId="4" applyFont="1" applyFill="1" applyAlignment="1">
      <alignment horizontal="left" vertical="center" wrapText="1"/>
    </xf>
    <xf numFmtId="0" fontId="3" fillId="2" borderId="0" xfId="4" applyFont="1" applyFill="1" applyAlignment="1">
      <alignment vertical="center" wrapText="1"/>
    </xf>
    <xf numFmtId="0" fontId="2" fillId="3" borderId="3" xfId="0" applyFont="1" applyFill="1" applyBorder="1" applyAlignment="1">
      <alignment horizontal="center" vertical="center"/>
    </xf>
    <xf numFmtId="0" fontId="0" fillId="0" borderId="3" xfId="0" applyFont="1" applyBorder="1">
      <alignment vertical="center"/>
    </xf>
    <xf numFmtId="0" fontId="1" fillId="2" borderId="3" xfId="4" applyFont="1" applyFill="1" applyBorder="1" applyAlignment="1">
      <alignment horizontal="center" vertical="center" wrapText="1"/>
    </xf>
    <xf numFmtId="0" fontId="1" fillId="2" borderId="0" xfId="0" applyFont="1" applyFill="1" applyAlignment="1">
      <alignment vertical="center" wrapText="1"/>
    </xf>
    <xf numFmtId="0" fontId="1" fillId="3" borderId="3" xfId="4" applyFont="1" applyFill="1" applyBorder="1" applyAlignment="1">
      <alignment horizontal="center" vertical="center" wrapText="1"/>
    </xf>
    <xf numFmtId="0" fontId="3" fillId="2" borderId="3" xfId="4" applyFont="1" applyFill="1" applyBorder="1" applyAlignment="1">
      <alignment vertical="center" wrapText="1"/>
    </xf>
    <xf numFmtId="0" fontId="3" fillId="2" borderId="0" xfId="4" applyFont="1" applyFill="1" applyBorder="1" applyAlignment="1">
      <alignment vertical="center" wrapText="1"/>
    </xf>
    <xf numFmtId="179" fontId="1" fillId="2" borderId="3" xfId="4" applyNumberFormat="1" applyFont="1" applyFill="1" applyBorder="1" applyAlignment="1">
      <alignment horizontal="center" vertical="center" wrapText="1"/>
    </xf>
    <xf numFmtId="180" fontId="1" fillId="4" borderId="3" xfId="2" applyNumberFormat="1" applyFont="1" applyFill="1" applyBorder="1" applyAlignment="1" applyProtection="1">
      <alignment horizontal="center" vertical="center" wrapText="1"/>
    </xf>
    <xf numFmtId="0" fontId="1" fillId="3" borderId="2" xfId="4" applyFont="1" applyFill="1" applyBorder="1" applyAlignment="1">
      <alignment horizontal="center" vertical="center" wrapText="1"/>
    </xf>
    <xf numFmtId="180" fontId="1" fillId="4" borderId="2" xfId="2" applyNumberFormat="1" applyFont="1" applyFill="1" applyBorder="1" applyAlignment="1" applyProtection="1">
      <alignment horizontal="center" vertical="center" wrapText="1"/>
    </xf>
    <xf numFmtId="178" fontId="1" fillId="4" borderId="2" xfId="4" applyNumberFormat="1" applyFont="1" applyFill="1" applyBorder="1" applyAlignment="1">
      <alignment horizontal="center" vertical="center" wrapText="1"/>
    </xf>
    <xf numFmtId="181" fontId="1" fillId="4" borderId="3" xfId="4" applyNumberFormat="1" applyFont="1" applyFill="1" applyBorder="1" applyAlignment="1">
      <alignment horizontal="center" vertical="center" wrapText="1"/>
    </xf>
    <xf numFmtId="10" fontId="5" fillId="0" borderId="3" xfId="4" applyNumberFormat="1" applyFont="1" applyFill="1" applyBorder="1" applyAlignment="1">
      <alignment horizontal="center" vertical="center" wrapText="1"/>
    </xf>
    <xf numFmtId="9" fontId="1" fillId="4" borderId="2" xfId="2" applyFont="1" applyFill="1" applyBorder="1" applyAlignment="1" applyProtection="1">
      <alignment horizontal="center" vertical="center" wrapText="1"/>
    </xf>
    <xf numFmtId="0" fontId="5" fillId="2" borderId="0" xfId="4" applyNumberFormat="1" applyFont="1" applyFill="1" applyBorder="1" applyAlignment="1">
      <alignment horizontal="center" vertical="center" wrapText="1"/>
    </xf>
    <xf numFmtId="178" fontId="1" fillId="2" borderId="0" xfId="0" applyNumberFormat="1" applyFont="1" applyFill="1" applyAlignment="1">
      <alignment vertical="center" wrapText="1"/>
    </xf>
    <xf numFmtId="0" fontId="1" fillId="3" borderId="2" xfId="4" applyFont="1" applyFill="1" applyBorder="1" applyAlignment="1">
      <alignment vertical="center" wrapText="1"/>
    </xf>
    <xf numFmtId="0" fontId="1" fillId="3" borderId="3" xfId="4" applyFont="1" applyFill="1" applyBorder="1" applyAlignment="1">
      <alignment vertical="center" wrapText="1"/>
    </xf>
    <xf numFmtId="181" fontId="1" fillId="3" borderId="3" xfId="4" applyNumberFormat="1" applyFont="1" applyFill="1" applyBorder="1" applyAlignment="1">
      <alignment horizontal="center" vertical="center" wrapText="1"/>
    </xf>
    <xf numFmtId="181" fontId="1" fillId="3" borderId="2" xfId="4" applyNumberFormat="1" applyFont="1" applyFill="1" applyBorder="1" applyAlignment="1">
      <alignment horizontal="center" vertical="center" wrapText="1"/>
    </xf>
    <xf numFmtId="181" fontId="1" fillId="3" borderId="7" xfId="4" applyNumberFormat="1" applyFont="1" applyFill="1" applyBorder="1" applyAlignment="1">
      <alignment horizontal="center" vertical="center" wrapText="1"/>
    </xf>
    <xf numFmtId="9" fontId="1" fillId="0" borderId="3" xfId="2"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182" fontId="1" fillId="2" borderId="0" xfId="4" applyNumberFormat="1" applyFont="1" applyFill="1" applyBorder="1" applyAlignment="1">
      <alignment horizontal="center" vertical="center" wrapText="1"/>
    </xf>
    <xf numFmtId="178" fontId="1" fillId="4" borderId="3" xfId="4" applyNumberFormat="1" applyFont="1" applyFill="1" applyBorder="1" applyAlignment="1">
      <alignment horizontal="center" vertical="center" wrapText="1"/>
    </xf>
    <xf numFmtId="0" fontId="0" fillId="0" borderId="3" xfId="0" applyBorder="1" applyAlignment="1">
      <alignment vertical="center" wrapText="1"/>
    </xf>
    <xf numFmtId="0" fontId="1" fillId="3" borderId="8" xfId="4" applyFont="1" applyFill="1" applyBorder="1" applyAlignment="1">
      <alignment horizontal="center" vertical="center" wrapText="1"/>
    </xf>
    <xf numFmtId="183" fontId="1" fillId="2" borderId="3" xfId="4" applyNumberFormat="1" applyFont="1" applyFill="1" applyBorder="1" applyAlignment="1">
      <alignment horizontal="center" vertical="center" wrapText="1"/>
    </xf>
    <xf numFmtId="183" fontId="1" fillId="4" borderId="3" xfId="4" applyNumberFormat="1" applyFont="1" applyFill="1" applyBorder="1" applyAlignment="1">
      <alignment horizontal="center" vertical="center" wrapText="1"/>
    </xf>
    <xf numFmtId="183" fontId="0" fillId="0" borderId="3" xfId="0" applyNumberFormat="1" applyBorder="1" applyAlignment="1">
      <alignment horizontal="center" vertical="center"/>
    </xf>
    <xf numFmtId="0" fontId="0" fillId="0" borderId="3" xfId="0" applyBorder="1" applyAlignment="1">
      <alignment horizontal="center" vertical="center"/>
    </xf>
    <xf numFmtId="183" fontId="0" fillId="0" borderId="3" xfId="0" applyNumberFormat="1" applyBorder="1">
      <alignment vertical="center"/>
    </xf>
    <xf numFmtId="0" fontId="0" fillId="0" borderId="3" xfId="0" applyFont="1" applyBorder="1" applyAlignment="1">
      <alignment vertical="center"/>
    </xf>
    <xf numFmtId="0" fontId="1" fillId="2" borderId="3" xfId="4" applyFont="1" applyFill="1" applyBorder="1" applyAlignment="1">
      <alignmen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177" fontId="1" fillId="2" borderId="0" xfId="0" applyNumberFormat="1" applyFont="1" applyFill="1">
      <alignment vertical="center"/>
    </xf>
    <xf numFmtId="178" fontId="1" fillId="2" borderId="0" xfId="0" applyNumberFormat="1" applyFont="1" applyFill="1">
      <alignment vertical="center"/>
    </xf>
    <xf numFmtId="0" fontId="2" fillId="2" borderId="0" xfId="0" applyFont="1" applyFill="1" applyAlignment="1">
      <alignment horizontal="left" vertical="center"/>
    </xf>
    <xf numFmtId="0" fontId="3" fillId="2" borderId="13"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178" fontId="1" fillId="4" borderId="5" xfId="4" applyNumberFormat="1" applyFont="1" applyFill="1" applyBorder="1" applyAlignment="1">
      <alignment horizontal="center" vertical="center" wrapText="1"/>
    </xf>
    <xf numFmtId="177" fontId="1" fillId="3" borderId="8" xfId="0" applyNumberFormat="1" applyFont="1" applyFill="1" applyBorder="1" applyAlignment="1">
      <alignment horizontal="center" vertical="center" wrapText="1"/>
    </xf>
    <xf numFmtId="178" fontId="1" fillId="3" borderId="8" xfId="0" applyNumberFormat="1" applyFont="1" applyFill="1" applyBorder="1" applyAlignment="1">
      <alignment horizontal="center" vertical="center" wrapText="1"/>
    </xf>
    <xf numFmtId="178" fontId="1" fillId="3" borderId="3" xfId="0" applyNumberFormat="1"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0" fillId="0" borderId="19" xfId="0" applyFont="1" applyFill="1" applyBorder="1" applyAlignment="1">
      <alignment horizontal="center" vertical="center"/>
    </xf>
    <xf numFmtId="0" fontId="1" fillId="2" borderId="19" xfId="0" applyFont="1" applyFill="1" applyBorder="1" applyAlignment="1">
      <alignment horizontal="center" vertical="center" wrapText="1"/>
    </xf>
    <xf numFmtId="0" fontId="0" fillId="6" borderId="20" xfId="0" applyFont="1" applyFill="1" applyBorder="1" applyAlignment="1">
      <alignment horizontal="center" vertical="center"/>
    </xf>
    <xf numFmtId="0" fontId="0" fillId="6" borderId="19" xfId="0" applyFont="1" applyFill="1" applyBorder="1" applyAlignment="1">
      <alignment horizontal="center" vertical="center"/>
    </xf>
    <xf numFmtId="0" fontId="3" fillId="2" borderId="0" xfId="0" applyFont="1" applyFill="1" applyBorder="1" applyAlignment="1">
      <alignment horizontal="lef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178" fontId="5" fillId="3" borderId="3" xfId="0" applyNumberFormat="1" applyFont="1" applyFill="1" applyBorder="1" applyAlignment="1">
      <alignment horizontal="center" vertical="center" wrapText="1"/>
    </xf>
    <xf numFmtId="178" fontId="1" fillId="3" borderId="9" xfId="0" applyNumberFormat="1" applyFont="1" applyFill="1" applyBorder="1" applyAlignment="1">
      <alignment horizontal="center" vertical="center" wrapText="1"/>
    </xf>
    <xf numFmtId="177" fontId="1" fillId="2" borderId="16" xfId="0" applyNumberFormat="1" applyFont="1" applyFill="1" applyBorder="1" applyAlignment="1">
      <alignment horizontal="center" vertical="center" wrapText="1"/>
    </xf>
    <xf numFmtId="178" fontId="1" fillId="4" borderId="16" xfId="4" applyNumberFormat="1" applyFont="1" applyFill="1" applyBorder="1" applyAlignment="1">
      <alignment horizontal="center" vertical="center" wrapText="1"/>
    </xf>
    <xf numFmtId="177" fontId="1" fillId="2" borderId="19" xfId="0" applyNumberFormat="1" applyFont="1" applyFill="1" applyBorder="1" applyAlignment="1">
      <alignment horizontal="center" vertical="center" wrapText="1"/>
    </xf>
    <xf numFmtId="178" fontId="1" fillId="3" borderId="9" xfId="0" applyNumberFormat="1" applyFont="1" applyFill="1" applyBorder="1" applyAlignment="1">
      <alignment vertical="center" wrapText="1"/>
    </xf>
    <xf numFmtId="178" fontId="1" fillId="3" borderId="10" xfId="0" applyNumberFormat="1" applyFont="1" applyFill="1" applyBorder="1" applyAlignment="1">
      <alignment vertical="center" wrapText="1"/>
    </xf>
    <xf numFmtId="178" fontId="1" fillId="3" borderId="11" xfId="0" applyNumberFormat="1" applyFont="1" applyFill="1" applyBorder="1" applyAlignment="1">
      <alignment vertical="center" wrapText="1"/>
    </xf>
    <xf numFmtId="178" fontId="1" fillId="3" borderId="21" xfId="0" applyNumberFormat="1" applyFont="1" applyFill="1" applyBorder="1" applyAlignment="1">
      <alignment vertical="center" wrapText="1"/>
    </xf>
    <xf numFmtId="178" fontId="1" fillId="3" borderId="0" xfId="0" applyNumberFormat="1" applyFont="1" applyFill="1" applyBorder="1" applyAlignment="1">
      <alignment vertical="center" wrapText="1"/>
    </xf>
    <xf numFmtId="178" fontId="1" fillId="3" borderId="22" xfId="0" applyNumberFormat="1" applyFont="1" applyFill="1" applyBorder="1" applyAlignment="1">
      <alignment vertical="center" wrapText="1"/>
    </xf>
    <xf numFmtId="178" fontId="1" fillId="3" borderId="12" xfId="0" applyNumberFormat="1" applyFont="1" applyFill="1" applyBorder="1" applyAlignment="1">
      <alignment vertical="center" wrapText="1"/>
    </xf>
    <xf numFmtId="178" fontId="1" fillId="3" borderId="13" xfId="0" applyNumberFormat="1" applyFont="1" applyFill="1" applyBorder="1" applyAlignment="1">
      <alignment vertical="center" wrapText="1"/>
    </xf>
    <xf numFmtId="178" fontId="1" fillId="3" borderId="1" xfId="0" applyNumberFormat="1" applyFont="1" applyFill="1" applyBorder="1" applyAlignment="1">
      <alignment vertical="center" wrapText="1"/>
    </xf>
    <xf numFmtId="178" fontId="6" fillId="3" borderId="4" xfId="0" applyNumberFormat="1" applyFont="1" applyFill="1" applyBorder="1" applyAlignment="1">
      <alignment horizontal="center" vertical="center" wrapText="1"/>
    </xf>
    <xf numFmtId="182" fontId="1" fillId="4" borderId="16" xfId="4" applyNumberFormat="1" applyFont="1" applyFill="1" applyBorder="1" applyAlignment="1">
      <alignment horizontal="center" vertical="center" wrapText="1"/>
    </xf>
    <xf numFmtId="178" fontId="1" fillId="0" borderId="16" xfId="4" applyNumberFormat="1" applyFont="1" applyFill="1" applyBorder="1" applyAlignment="1">
      <alignment horizontal="center" vertical="center" wrapText="1"/>
    </xf>
    <xf numFmtId="178" fontId="1" fillId="4" borderId="23" xfId="4" applyNumberFormat="1" applyFont="1" applyFill="1" applyBorder="1" applyAlignment="1">
      <alignment horizontal="center" vertical="center" wrapText="1"/>
    </xf>
    <xf numFmtId="0" fontId="1" fillId="2" borderId="24" xfId="0" applyFont="1" applyFill="1" applyBorder="1" applyAlignment="1">
      <alignment horizontal="center" vertical="center" wrapText="1"/>
    </xf>
    <xf numFmtId="178" fontId="1" fillId="0" borderId="19" xfId="4" applyNumberFormat="1"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6" borderId="27" xfId="0" applyFont="1" applyFill="1" applyBorder="1" applyAlignment="1">
      <alignment horizontal="center" vertical="center"/>
    </xf>
    <xf numFmtId="0" fontId="1" fillId="2" borderId="28" xfId="0" applyFont="1" applyFill="1" applyBorder="1" applyAlignment="1">
      <alignment horizontal="center" vertical="center" wrapText="1"/>
    </xf>
    <xf numFmtId="0" fontId="0" fillId="0" borderId="28" xfId="0" applyFont="1" applyFill="1" applyBorder="1" applyAlignment="1">
      <alignment horizontal="center" vertical="center"/>
    </xf>
    <xf numFmtId="0" fontId="1" fillId="2" borderId="29" xfId="0" applyFont="1" applyFill="1" applyBorder="1" applyAlignment="1">
      <alignment horizontal="center" vertical="center" wrapText="1"/>
    </xf>
    <xf numFmtId="0" fontId="7" fillId="0" borderId="0" xfId="0" applyFont="1">
      <alignment vertical="center"/>
    </xf>
    <xf numFmtId="177" fontId="1" fillId="2" borderId="30" xfId="0" applyNumberFormat="1" applyFont="1" applyFill="1" applyBorder="1" applyAlignment="1">
      <alignment horizontal="center" vertical="center" wrapText="1"/>
    </xf>
    <xf numFmtId="178" fontId="1" fillId="2" borderId="19" xfId="0" applyNumberFormat="1" applyFont="1" applyFill="1" applyBorder="1">
      <alignment vertical="center"/>
    </xf>
    <xf numFmtId="177" fontId="1" fillId="2" borderId="28" xfId="0" applyNumberFormat="1" applyFont="1" applyFill="1" applyBorder="1" applyAlignment="1">
      <alignment horizontal="center" vertical="center" wrapText="1"/>
    </xf>
    <xf numFmtId="178" fontId="1" fillId="2" borderId="28" xfId="0" applyNumberFormat="1" applyFont="1" applyFill="1" applyBorder="1">
      <alignment vertical="center"/>
    </xf>
    <xf numFmtId="178" fontId="1" fillId="4" borderId="31" xfId="4" applyNumberFormat="1" applyFont="1" applyFill="1" applyBorder="1" applyAlignment="1">
      <alignment horizontal="center" vertical="center" wrapText="1"/>
    </xf>
    <xf numFmtId="178" fontId="1" fillId="0" borderId="30" xfId="4" applyNumberFormat="1" applyFont="1" applyFill="1" applyBorder="1" applyAlignment="1">
      <alignment horizontal="center" vertical="center" wrapText="1"/>
    </xf>
    <xf numFmtId="178" fontId="1" fillId="4" borderId="32" xfId="4" applyNumberFormat="1" applyFont="1" applyFill="1" applyBorder="1" applyAlignment="1">
      <alignment horizontal="center" vertical="center" wrapText="1"/>
    </xf>
    <xf numFmtId="178" fontId="1" fillId="4" borderId="33" xfId="4" applyNumberFormat="1" applyFont="1" applyFill="1" applyBorder="1" applyAlignment="1">
      <alignment horizontal="center" vertical="center" wrapText="1"/>
    </xf>
    <xf numFmtId="0" fontId="1" fillId="2" borderId="34" xfId="0" applyFont="1" applyFill="1" applyBorder="1" applyAlignment="1">
      <alignment horizontal="center" vertical="center" wrapText="1"/>
    </xf>
    <xf numFmtId="178" fontId="1" fillId="0" borderId="28" xfId="4" applyNumberFormat="1" applyFont="1" applyFill="1" applyBorder="1" applyAlignment="1">
      <alignment horizontal="center" vertical="center" wrapText="1"/>
    </xf>
    <xf numFmtId="178" fontId="1" fillId="4" borderId="19" xfId="4" applyNumberFormat="1" applyFont="1" applyFill="1" applyBorder="1" applyAlignment="1">
      <alignment horizontal="center" vertical="center" wrapText="1"/>
    </xf>
    <xf numFmtId="178" fontId="1" fillId="4" borderId="35" xfId="4" applyNumberFormat="1" applyFont="1" applyFill="1" applyBorder="1" applyAlignment="1">
      <alignment horizontal="center" vertical="center" wrapText="1"/>
    </xf>
    <xf numFmtId="0" fontId="1" fillId="2" borderId="26" xfId="0" applyFont="1" applyFill="1" applyBorder="1">
      <alignment vertical="center"/>
    </xf>
    <xf numFmtId="182" fontId="1" fillId="4" borderId="31" xfId="4" applyNumberFormat="1" applyFont="1" applyFill="1" applyBorder="1" applyAlignment="1">
      <alignment horizontal="center" vertical="center" wrapText="1"/>
    </xf>
    <xf numFmtId="178" fontId="1" fillId="4" borderId="36" xfId="4" applyNumberFormat="1" applyFont="1" applyFill="1" applyBorder="1" applyAlignment="1">
      <alignment horizontal="center" vertical="center" wrapText="1"/>
    </xf>
    <xf numFmtId="0" fontId="1" fillId="2" borderId="37" xfId="0" applyFont="1" applyFill="1" applyBorder="1">
      <alignment vertical="center"/>
    </xf>
    <xf numFmtId="0" fontId="1" fillId="2" borderId="0" xfId="4" applyFont="1" applyFill="1" applyBorder="1" applyAlignment="1">
      <alignment vertical="center" wrapText="1"/>
    </xf>
    <xf numFmtId="0" fontId="1" fillId="2" borderId="9" xfId="4" applyFont="1" applyFill="1" applyBorder="1" applyAlignment="1">
      <alignment vertical="center" wrapText="1"/>
    </xf>
    <xf numFmtId="0" fontId="1" fillId="2" borderId="10" xfId="4" applyFont="1" applyFill="1" applyBorder="1" applyAlignment="1">
      <alignment vertical="center" wrapText="1"/>
    </xf>
    <xf numFmtId="0" fontId="1" fillId="2" borderId="21" xfId="4" applyFont="1" applyFill="1" applyBorder="1" applyAlignment="1">
      <alignment vertical="center" wrapText="1"/>
    </xf>
    <xf numFmtId="0" fontId="3" fillId="2" borderId="0" xfId="4" applyFont="1" applyFill="1" applyBorder="1" applyAlignment="1">
      <alignment horizontal="left" vertical="center" wrapText="1"/>
    </xf>
    <xf numFmtId="0" fontId="0" fillId="0" borderId="0" xfId="0" applyBorder="1">
      <alignment vertical="center"/>
    </xf>
    <xf numFmtId="177" fontId="1" fillId="3" borderId="3" xfId="0" applyNumberFormat="1" applyFont="1" applyFill="1" applyBorder="1" applyAlignment="1">
      <alignment horizontal="center" vertical="center" wrapText="1"/>
    </xf>
    <xf numFmtId="14" fontId="3" fillId="2" borderId="3" xfId="4" applyNumberFormat="1" applyFont="1" applyFill="1" applyBorder="1" applyAlignment="1">
      <alignment horizontal="center" vertical="center" wrapText="1"/>
    </xf>
    <xf numFmtId="181" fontId="5" fillId="7" borderId="6" xfId="4" applyNumberFormat="1" applyFont="1" applyFill="1" applyBorder="1" applyAlignment="1">
      <alignment horizontal="center" vertical="center" wrapText="1"/>
    </xf>
    <xf numFmtId="0" fontId="0" fillId="8"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Font="1" applyBorder="1" applyAlignment="1">
      <alignment horizontal="left" vertical="center"/>
    </xf>
    <xf numFmtId="0" fontId="0" fillId="0" borderId="3" xfId="0" applyFont="1" applyBorder="1" applyAlignment="1">
      <alignment horizontal="center" vertical="center"/>
    </xf>
    <xf numFmtId="183" fontId="1" fillId="4" borderId="3"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178" fontId="1" fillId="2" borderId="10" xfId="4" applyNumberFormat="1" applyFont="1" applyFill="1" applyBorder="1" applyAlignment="1">
      <alignment vertical="center" wrapText="1"/>
    </xf>
    <xf numFmtId="0" fontId="3" fillId="2" borderId="0" xfId="4" applyFont="1" applyFill="1" applyBorder="1" applyAlignment="1">
      <alignment vertical="center" wrapText="1"/>
    </xf>
    <xf numFmtId="0" fontId="0" fillId="0" borderId="0" xfId="0" applyFont="1">
      <alignment vertical="center"/>
    </xf>
    <xf numFmtId="0" fontId="8" fillId="0" borderId="38" xfId="0" applyFont="1" applyBorder="1" applyAlignment="1">
      <alignment vertical="center"/>
    </xf>
    <xf numFmtId="0" fontId="0" fillId="9" borderId="39" xfId="0" applyFont="1" applyFill="1" applyBorder="1" applyAlignment="1">
      <alignment horizontal="center" vertical="center"/>
    </xf>
    <xf numFmtId="0" fontId="9" fillId="10" borderId="39" xfId="0" applyFont="1" applyFill="1" applyBorder="1" applyAlignment="1">
      <alignment horizontal="center" vertical="center" wrapText="1"/>
    </xf>
    <xf numFmtId="0" fontId="10" fillId="10" borderId="39" xfId="0" applyFont="1" applyFill="1" applyBorder="1" applyAlignment="1">
      <alignment horizontal="justify" vertical="center" wrapText="1"/>
    </xf>
    <xf numFmtId="0" fontId="0" fillId="0" borderId="39" xfId="0" applyBorder="1">
      <alignment vertical="center"/>
    </xf>
    <xf numFmtId="0" fontId="0" fillId="0" borderId="0" xfId="0" applyFill="1">
      <alignment vertical="center"/>
    </xf>
    <xf numFmtId="0" fontId="1" fillId="0" borderId="0" xfId="4" applyFont="1" applyFill="1" applyBorder="1" applyAlignment="1">
      <alignment horizontal="center" vertical="center" wrapText="1"/>
    </xf>
    <xf numFmtId="0" fontId="0" fillId="6" borderId="0" xfId="0" applyFont="1" applyFill="1" applyAlignment="1">
      <alignment horizontal="right" vertical="center"/>
    </xf>
    <xf numFmtId="0" fontId="0" fillId="6" borderId="0" xfId="0" applyFill="1">
      <alignment vertical="center"/>
    </xf>
    <xf numFmtId="0" fontId="8"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horizontal="left" vertical="center" wrapText="1"/>
    </xf>
    <xf numFmtId="0" fontId="8" fillId="6" borderId="0" xfId="0" applyFont="1" applyFill="1">
      <alignment vertical="center"/>
    </xf>
    <xf numFmtId="0" fontId="0" fillId="0" borderId="0" xfId="0" applyAlignment="1"/>
    <xf numFmtId="0" fontId="0" fillId="0" borderId="0" xfId="0" applyAlignment="1">
      <alignment vertical="center"/>
    </xf>
    <xf numFmtId="0" fontId="12" fillId="0" borderId="3" xfId="0" applyFont="1" applyBorder="1" applyAlignment="1">
      <alignment horizontal="left" vertical="center"/>
    </xf>
    <xf numFmtId="0" fontId="13" fillId="0" borderId="3" xfId="0" applyFont="1" applyBorder="1" applyAlignment="1">
      <alignment horizontal="left" vertical="center"/>
    </xf>
    <xf numFmtId="49" fontId="0" fillId="0" borderId="3" xfId="0" applyNumberFormat="1" applyBorder="1" applyAlignment="1">
      <alignment horizontal="center" vertical="center"/>
    </xf>
    <xf numFmtId="184" fontId="0" fillId="0" borderId="3" xfId="0" applyNumberFormat="1" applyBorder="1" applyAlignment="1">
      <alignment horizontal="center" vertical="center"/>
    </xf>
    <xf numFmtId="184" fontId="0" fillId="0" borderId="3" xfId="0" applyNumberFormat="1" applyFont="1" applyBorder="1" applyAlignment="1">
      <alignment horizontal="center" vertical="center"/>
    </xf>
    <xf numFmtId="0" fontId="15" fillId="0" borderId="3" xfId="0" applyFont="1" applyBorder="1" applyAlignment="1">
      <alignment horizontal="left" vertical="center" wrapText="1"/>
    </xf>
    <xf numFmtId="0" fontId="16" fillId="6" borderId="0" xfId="0" applyFont="1" applyFill="1" applyBorder="1" applyAlignment="1">
      <alignment vertical="center"/>
    </xf>
    <xf numFmtId="0" fontId="16" fillId="6" borderId="0" xfId="0" applyNumberFormat="1" applyFont="1" applyFill="1" applyBorder="1" applyAlignment="1">
      <alignment horizontal="center" vertical="center"/>
    </xf>
    <xf numFmtId="0" fontId="16" fillId="6" borderId="0" xfId="0" applyNumberFormat="1" applyFont="1" applyFill="1" applyBorder="1" applyAlignment="1">
      <alignment vertical="center"/>
    </xf>
    <xf numFmtId="0" fontId="0" fillId="6" borderId="0" xfId="0" applyNumberFormat="1" applyFill="1" applyBorder="1" applyAlignment="1"/>
    <xf numFmtId="0" fontId="16" fillId="6" borderId="0" xfId="0" applyNumberFormat="1" applyFont="1" applyFill="1" applyBorder="1" applyAlignment="1"/>
    <xf numFmtId="0" fontId="16" fillId="6" borderId="0" xfId="0" applyFont="1" applyFill="1" applyBorder="1" applyAlignment="1"/>
    <xf numFmtId="0" fontId="0" fillId="0" borderId="3" xfId="0" applyBorder="1" applyAlignment="1">
      <alignment horizontal="center" vertical="center"/>
    </xf>
    <xf numFmtId="0" fontId="0" fillId="0" borderId="0" xfId="0">
      <alignment vertical="center"/>
    </xf>
    <xf numFmtId="0" fontId="3" fillId="2" borderId="13" xfId="0" applyFont="1" applyFill="1" applyBorder="1" applyAlignment="1">
      <alignment horizontal="left" vertical="center" wrapText="1"/>
    </xf>
    <xf numFmtId="178" fontId="1" fillId="4" borderId="5" xfId="4" applyNumberFormat="1" applyFont="1" applyFill="1" applyBorder="1" applyAlignment="1">
      <alignment horizontal="center" vertical="center" wrapText="1"/>
    </xf>
    <xf numFmtId="0" fontId="3" fillId="2" borderId="0" xfId="4" applyFont="1" applyFill="1" applyAlignment="1">
      <alignment horizontal="left" vertical="center" wrapText="1"/>
    </xf>
    <xf numFmtId="0" fontId="1" fillId="3" borderId="3" xfId="4" applyFont="1" applyFill="1" applyBorder="1" applyAlignment="1">
      <alignment horizontal="center" vertical="center" wrapText="1"/>
    </xf>
    <xf numFmtId="9" fontId="1" fillId="0" borderId="3" xfId="2" applyFont="1" applyFill="1" applyBorder="1" applyAlignment="1" applyProtection="1">
      <alignment horizontal="center"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0" fontId="29" fillId="11" borderId="20" xfId="0" applyFont="1" applyFill="1" applyBorder="1" applyAlignment="1">
      <alignment horizontal="left" vertical="center" wrapText="1"/>
    </xf>
    <xf numFmtId="0" fontId="29" fillId="0" borderId="15" xfId="0" applyFont="1" applyFill="1" applyBorder="1" applyAlignment="1">
      <alignment horizontal="left" vertical="center" wrapText="1"/>
    </xf>
    <xf numFmtId="0" fontId="29" fillId="6" borderId="20" xfId="0" applyFont="1" applyFill="1" applyBorder="1" applyAlignment="1">
      <alignment horizontal="center" vertical="center" wrapText="1"/>
    </xf>
    <xf numFmtId="0" fontId="29" fillId="11" borderId="20" xfId="0" applyFont="1" applyFill="1" applyBorder="1" applyAlignment="1">
      <alignment vertical="center" wrapText="1"/>
    </xf>
    <xf numFmtId="0" fontId="29" fillId="6" borderId="19" xfId="0" applyFont="1" applyFill="1" applyBorder="1" applyAlignment="1">
      <alignment horizontal="center" vertical="center"/>
    </xf>
    <xf numFmtId="0" fontId="29" fillId="0" borderId="16" xfId="0" applyFont="1" applyFill="1" applyBorder="1" applyAlignment="1">
      <alignment horizontal="center" vertical="center"/>
    </xf>
    <xf numFmtId="0" fontId="29" fillId="0" borderId="19" xfId="0" applyFont="1" applyFill="1" applyBorder="1" applyAlignment="1">
      <alignment horizontal="center" vertical="center"/>
    </xf>
    <xf numFmtId="0" fontId="5" fillId="2" borderId="19" xfId="0" applyFont="1" applyFill="1" applyBorder="1" applyAlignment="1">
      <alignment horizontal="center" vertical="center" wrapText="1"/>
    </xf>
    <xf numFmtId="0" fontId="5" fillId="2" borderId="17" xfId="0" applyFont="1" applyFill="1" applyBorder="1" applyAlignment="1">
      <alignment horizontal="center" vertical="center" wrapText="1"/>
    </xf>
    <xf numFmtId="10" fontId="31" fillId="0" borderId="41" xfId="7" applyNumberFormat="1" applyFont="1" applyBorder="1" applyAlignment="1">
      <alignment horizontal="center" vertical="center" wrapText="1"/>
    </xf>
    <xf numFmtId="0" fontId="29" fillId="6" borderId="19" xfId="5" applyFont="1" applyFill="1" applyBorder="1" applyAlignment="1">
      <alignment horizontal="center" vertical="center"/>
    </xf>
    <xf numFmtId="0" fontId="29" fillId="6" borderId="20" xfId="5" applyFont="1" applyFill="1" applyBorder="1" applyAlignment="1">
      <alignment horizontal="center" vertical="center" wrapText="1"/>
    </xf>
    <xf numFmtId="0" fontId="29" fillId="0" borderId="15" xfId="5" applyFont="1" applyFill="1" applyBorder="1" applyAlignment="1">
      <alignment horizontal="left" vertical="center" wrapText="1"/>
    </xf>
    <xf numFmtId="0" fontId="29" fillId="0" borderId="15" xfId="5" applyFont="1" applyFill="1" applyBorder="1" applyAlignment="1">
      <alignment horizontal="center" vertical="center" wrapText="1"/>
    </xf>
    <xf numFmtId="0" fontId="29" fillId="0" borderId="40" xfId="5" applyFont="1" applyFill="1" applyBorder="1" applyAlignment="1">
      <alignment horizontal="left" vertical="center" wrapText="1"/>
    </xf>
    <xf numFmtId="0" fontId="29" fillId="11" borderId="20" xfId="5" applyFont="1" applyFill="1" applyBorder="1" applyAlignment="1">
      <alignment horizontal="left" vertical="center" wrapText="1"/>
    </xf>
    <xf numFmtId="10" fontId="31" fillId="0" borderId="42" xfId="7" applyNumberFormat="1" applyFont="1" applyBorder="1" applyAlignment="1">
      <alignment horizontal="center" vertical="center" wrapText="1"/>
    </xf>
    <xf numFmtId="177" fontId="1" fillId="2" borderId="19" xfId="5" applyNumberFormat="1" applyFont="1" applyFill="1" applyBorder="1" applyAlignment="1">
      <alignment horizontal="center" vertical="center" wrapText="1"/>
    </xf>
    <xf numFmtId="0" fontId="1" fillId="5" borderId="3" xfId="6" applyFont="1" applyFill="1" applyBorder="1" applyAlignment="1">
      <alignment horizontal="center" vertical="center" wrapText="1"/>
    </xf>
    <xf numFmtId="10" fontId="32" fillId="0" borderId="2" xfId="7" applyNumberFormat="1" applyFont="1" applyBorder="1" applyAlignment="1">
      <alignment horizontal="center" vertical="center" wrapText="1"/>
    </xf>
    <xf numFmtId="10" fontId="32" fillId="0" borderId="3" xfId="7" applyNumberFormat="1" applyFont="1" applyBorder="1" applyAlignment="1">
      <alignment horizontal="center" vertical="center" wrapText="1"/>
    </xf>
    <xf numFmtId="10" fontId="31" fillId="0" borderId="43" xfId="7" applyNumberFormat="1" applyFont="1" applyBorder="1" applyAlignment="1">
      <alignment horizontal="center" vertical="center" wrapText="1"/>
    </xf>
    <xf numFmtId="10" fontId="31" fillId="0" borderId="39" xfId="7" applyNumberFormat="1" applyFont="1" applyBorder="1" applyAlignment="1">
      <alignment horizontal="center" vertical="center" wrapText="1"/>
    </xf>
    <xf numFmtId="14" fontId="3" fillId="2" borderId="3" xfId="4" applyNumberFormat="1" applyFont="1" applyFill="1" applyBorder="1" applyAlignment="1">
      <alignment vertical="center" wrapText="1"/>
    </xf>
    <xf numFmtId="0" fontId="29" fillId="0" borderId="3" xfId="0" applyFont="1" applyBorder="1" applyAlignment="1">
      <alignment horizontal="center" vertical="center"/>
    </xf>
    <xf numFmtId="0" fontId="14" fillId="0" borderId="8" xfId="0" applyFont="1" applyBorder="1" applyAlignment="1">
      <alignment horizontal="left" vertical="center" wrapText="1"/>
    </xf>
    <xf numFmtId="0" fontId="14" fillId="0" borderId="7" xfId="0" applyFont="1" applyBorder="1" applyAlignment="1">
      <alignment horizontal="left" vertical="center" wrapText="1"/>
    </xf>
    <xf numFmtId="0" fontId="14" fillId="0" borderId="2" xfId="0" applyFont="1" applyBorder="1" applyAlignment="1">
      <alignment horizontal="left" vertical="center" wrapText="1"/>
    </xf>
    <xf numFmtId="0" fontId="11" fillId="0" borderId="0" xfId="0" applyFont="1" applyAlignment="1">
      <alignment horizontal="center" vertical="center"/>
    </xf>
    <xf numFmtId="0" fontId="0" fillId="0" borderId="3" xfId="0" applyBorder="1" applyAlignment="1">
      <alignment horizontal="center" vertical="center"/>
    </xf>
    <xf numFmtId="0" fontId="0" fillId="0" borderId="3" xfId="3" applyFont="1" applyBorder="1" applyAlignment="1">
      <alignment horizontal="left" vertical="center" wrapText="1"/>
    </xf>
    <xf numFmtId="0" fontId="29" fillId="0" borderId="3" xfId="3" applyBorder="1" applyAlignment="1">
      <alignment horizontal="left" vertical="center" wrapText="1"/>
    </xf>
    <xf numFmtId="0" fontId="0" fillId="0" borderId="3" xfId="0" applyBorder="1" applyAlignment="1">
      <alignment horizontal="left" vertical="center" wrapText="1"/>
    </xf>
    <xf numFmtId="0" fontId="8"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0" borderId="0" xfId="0" applyFont="1" applyAlignment="1">
      <alignment horizontal="left" vertical="center" wrapText="1"/>
    </xf>
    <xf numFmtId="0" fontId="0" fillId="6" borderId="0" xfId="0" applyFont="1" applyFill="1" applyAlignment="1">
      <alignment horizontal="left" vertical="center" wrapText="1"/>
    </xf>
    <xf numFmtId="0" fontId="0" fillId="0" borderId="9"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21" xfId="0" applyBorder="1" applyAlignment="1">
      <alignment horizontal="left" vertical="center"/>
    </xf>
    <xf numFmtId="0" fontId="0" fillId="0" borderId="0" xfId="0" applyBorder="1" applyAlignment="1">
      <alignment horizontal="left" vertical="center"/>
    </xf>
    <xf numFmtId="0" fontId="0" fillId="0" borderId="22"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center"/>
    </xf>
    <xf numFmtId="0" fontId="2" fillId="2" borderId="10" xfId="4" applyFont="1" applyFill="1" applyBorder="1" applyAlignment="1">
      <alignment horizontal="left" vertical="center" wrapText="1"/>
    </xf>
    <xf numFmtId="0" fontId="3" fillId="2" borderId="0" xfId="4" applyFont="1" applyFill="1" applyBorder="1" applyAlignment="1">
      <alignment horizontal="left" vertical="center" wrapText="1"/>
    </xf>
    <xf numFmtId="0" fontId="0" fillId="0" borderId="0" xfId="0">
      <alignment vertical="center"/>
    </xf>
    <xf numFmtId="177" fontId="1" fillId="3" borderId="4" xfId="0" applyNumberFormat="1" applyFont="1" applyFill="1" applyBorder="1" applyAlignment="1">
      <alignment horizontal="center" vertical="center" wrapText="1"/>
    </xf>
    <xf numFmtId="177" fontId="1" fillId="3" borderId="6" xfId="0" applyNumberFormat="1"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22"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178" fontId="1" fillId="4" borderId="4" xfId="4" applyNumberFormat="1" applyFont="1" applyFill="1" applyBorder="1" applyAlignment="1">
      <alignment horizontal="center" vertical="center" wrapText="1"/>
    </xf>
    <xf numFmtId="178" fontId="1" fillId="4" borderId="5" xfId="4" applyNumberFormat="1" applyFont="1" applyFill="1" applyBorder="1" applyAlignment="1">
      <alignment horizontal="center" vertical="center" wrapText="1"/>
    </xf>
    <xf numFmtId="178" fontId="1" fillId="4" borderId="6" xfId="4" applyNumberFormat="1" applyFont="1" applyFill="1" applyBorder="1" applyAlignment="1">
      <alignment horizontal="center" vertical="center" wrapText="1"/>
    </xf>
    <xf numFmtId="178" fontId="1" fillId="3" borderId="4" xfId="0" applyNumberFormat="1" applyFont="1" applyFill="1" applyBorder="1" applyAlignment="1">
      <alignment horizontal="center" vertical="center" wrapText="1"/>
    </xf>
    <xf numFmtId="178" fontId="1" fillId="3" borderId="5" xfId="0" applyNumberFormat="1" applyFont="1" applyFill="1" applyBorder="1" applyAlignment="1">
      <alignment horizontal="center" vertical="center" wrapText="1"/>
    </xf>
    <xf numFmtId="0" fontId="3" fillId="2" borderId="13" xfId="0" applyFont="1" applyFill="1" applyBorder="1" applyAlignment="1">
      <alignment horizontal="left" vertical="center" wrapText="1"/>
    </xf>
    <xf numFmtId="177" fontId="1" fillId="3" borderId="5" xfId="0" applyNumberFormat="1" applyFont="1" applyFill="1" applyBorder="1" applyAlignment="1">
      <alignment horizontal="center" vertical="center" wrapText="1"/>
    </xf>
    <xf numFmtId="178" fontId="1" fillId="2" borderId="4" xfId="0" applyNumberFormat="1" applyFont="1" applyFill="1" applyBorder="1" applyAlignment="1">
      <alignment horizontal="center" vertical="center" wrapText="1"/>
    </xf>
    <xf numFmtId="178" fontId="1" fillId="2" borderId="5" xfId="0" applyNumberFormat="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10" fontId="5" fillId="4" borderId="4" xfId="4" applyNumberFormat="1" applyFont="1" applyFill="1" applyBorder="1" applyAlignment="1">
      <alignment horizontal="center" vertical="center" wrapText="1"/>
    </xf>
    <xf numFmtId="10" fontId="0" fillId="0" borderId="6" xfId="0" applyNumberFormat="1" applyFont="1" applyBorder="1" applyAlignment="1">
      <alignment horizontal="center" vertical="center" wrapText="1"/>
    </xf>
    <xf numFmtId="178" fontId="5" fillId="3" borderId="4" xfId="0" applyNumberFormat="1" applyFont="1" applyFill="1" applyBorder="1" applyAlignment="1">
      <alignment horizontal="center" vertical="center" wrapText="1"/>
    </xf>
    <xf numFmtId="178" fontId="5" fillId="3" borderId="6" xfId="0" applyNumberFormat="1" applyFont="1" applyFill="1" applyBorder="1" applyAlignment="1">
      <alignment horizontal="center" vertical="center" wrapText="1"/>
    </xf>
    <xf numFmtId="0" fontId="1" fillId="3" borderId="4" xfId="4" applyFont="1" applyFill="1" applyBorder="1" applyAlignment="1">
      <alignment horizontal="center" vertical="center" wrapText="1"/>
    </xf>
    <xf numFmtId="0" fontId="1" fillId="3" borderId="5" xfId="4" applyFont="1" applyFill="1" applyBorder="1" applyAlignment="1">
      <alignment horizontal="center" vertical="center" wrapText="1"/>
    </xf>
    <xf numFmtId="0" fontId="1" fillId="3" borderId="6" xfId="4" applyFont="1" applyFill="1" applyBorder="1" applyAlignment="1">
      <alignment horizontal="center" vertical="center" wrapText="1"/>
    </xf>
    <xf numFmtId="0" fontId="1" fillId="2" borderId="9" xfId="4" applyFont="1" applyFill="1" applyBorder="1" applyAlignment="1">
      <alignment horizontal="left" vertical="center" wrapText="1"/>
    </xf>
    <xf numFmtId="0" fontId="1" fillId="2" borderId="10" xfId="4" applyFont="1" applyFill="1" applyBorder="1" applyAlignment="1">
      <alignment horizontal="left" vertical="center" wrapText="1"/>
    </xf>
    <xf numFmtId="0" fontId="1" fillId="2" borderId="11" xfId="4" applyFont="1" applyFill="1" applyBorder="1" applyAlignment="1">
      <alignment horizontal="left" vertical="center" wrapText="1"/>
    </xf>
    <xf numFmtId="0" fontId="1" fillId="2" borderId="12" xfId="4" applyFont="1" applyFill="1" applyBorder="1" applyAlignment="1">
      <alignment horizontal="left" vertical="center" wrapText="1"/>
    </xf>
    <xf numFmtId="0" fontId="1" fillId="2" borderId="13" xfId="4" applyFont="1" applyFill="1" applyBorder="1" applyAlignment="1">
      <alignment horizontal="left" vertical="center" wrapText="1"/>
    </xf>
    <xf numFmtId="0" fontId="1" fillId="2" borderId="1" xfId="4" applyFont="1" applyFill="1" applyBorder="1" applyAlignment="1">
      <alignment horizontal="left"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0" fontId="0" fillId="0" borderId="4" xfId="0" applyFont="1" applyBorder="1" applyAlignment="1">
      <alignment horizontal="left" vertical="center"/>
    </xf>
    <xf numFmtId="0" fontId="0" fillId="0" borderId="6" xfId="0" applyFont="1" applyBorder="1" applyAlignment="1">
      <alignment horizontal="left" vertical="center"/>
    </xf>
    <xf numFmtId="0" fontId="2" fillId="2" borderId="0" xfId="0" applyFont="1" applyFill="1" applyAlignment="1">
      <alignment horizontal="left" vertical="center" wrapText="1"/>
    </xf>
    <xf numFmtId="0" fontId="3" fillId="2" borderId="0" xfId="4" applyFont="1" applyFill="1" applyAlignment="1">
      <alignment horizontal="left" vertical="center" wrapText="1"/>
    </xf>
    <xf numFmtId="0" fontId="29" fillId="0" borderId="4" xfId="0" applyFont="1" applyBorder="1" applyAlignment="1">
      <alignment horizontal="left" vertical="center"/>
    </xf>
    <xf numFmtId="182" fontId="1" fillId="4" borderId="3" xfId="4" applyNumberFormat="1" applyFont="1" applyFill="1" applyBorder="1" applyAlignment="1">
      <alignment horizontal="center" vertical="center" wrapText="1"/>
    </xf>
    <xf numFmtId="0" fontId="3" fillId="2" borderId="0" xfId="4" applyFont="1" applyFill="1" applyAlignment="1">
      <alignment horizontal="center" vertical="center" wrapText="1"/>
    </xf>
    <xf numFmtId="0" fontId="1" fillId="3" borderId="3" xfId="4"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9" fontId="1" fillId="0" borderId="3" xfId="2" applyFont="1" applyFill="1" applyBorder="1" applyAlignment="1" applyProtection="1">
      <alignment horizontal="center" vertical="center" wrapText="1"/>
    </xf>
    <xf numFmtId="10" fontId="1" fillId="4" borderId="8" xfId="4" applyNumberFormat="1" applyFont="1" applyFill="1" applyBorder="1" applyAlignment="1">
      <alignment horizontal="center" vertical="center" wrapText="1"/>
    </xf>
    <xf numFmtId="10" fontId="1" fillId="4" borderId="7" xfId="4" applyNumberFormat="1" applyFont="1" applyFill="1" applyBorder="1" applyAlignment="1">
      <alignment horizontal="center" vertical="center" wrapText="1"/>
    </xf>
    <xf numFmtId="10" fontId="1" fillId="4" borderId="2" xfId="4" applyNumberFormat="1" applyFont="1" applyFill="1" applyBorder="1" applyAlignment="1">
      <alignment horizontal="center" vertical="center" wrapText="1"/>
    </xf>
    <xf numFmtId="0" fontId="2" fillId="2" borderId="0" xfId="4" applyFont="1" applyFill="1" applyAlignment="1">
      <alignment horizontal="left" vertical="center" wrapText="1"/>
    </xf>
    <xf numFmtId="0" fontId="4" fillId="2" borderId="0" xfId="4" applyFont="1" applyFill="1" applyAlignment="1">
      <alignment horizontal="left" vertical="center" wrapText="1"/>
    </xf>
    <xf numFmtId="0" fontId="0" fillId="0" borderId="5" xfId="0" applyFont="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8">
    <cellStyle name="百分比" xfId="2" builtinId="5"/>
    <cellStyle name="常规" xfId="0" builtinId="0"/>
    <cellStyle name="常规 16" xfId="3"/>
    <cellStyle name="常规 2" xfId="4"/>
    <cellStyle name="常规 2 2" xfId="6"/>
    <cellStyle name="常规 2 6 2 2 3" xfId="7"/>
    <cellStyle name="常规 2 6 2 2 4" xfId="1"/>
    <cellStyle name="常规 3" xf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3F9FB"/>
      <color rgb="FF3A31F7"/>
      <color rgb="FFD6F6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285750</xdr:colOff>
      <xdr:row>3</xdr:row>
      <xdr:rowOff>57150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I13" sqref="I13"/>
    </sheetView>
  </sheetViews>
  <sheetFormatPr defaultColWidth="9.140625" defaultRowHeight="12" x14ac:dyDescent="0.15"/>
  <cols>
    <col min="1" max="1" width="17.85546875" style="148" customWidth="1"/>
    <col min="2" max="2" width="16.28515625" style="148" customWidth="1"/>
    <col min="3" max="3" width="13.28515625" style="148" customWidth="1"/>
    <col min="4" max="5" width="9.140625" style="148"/>
    <col min="6" max="6" width="41.28515625" style="148" customWidth="1"/>
    <col min="7" max="16384" width="9.140625" style="148"/>
  </cols>
  <sheetData>
    <row r="1" spans="1:6" x14ac:dyDescent="0.15">
      <c r="A1" s="199" t="s">
        <v>0</v>
      </c>
      <c r="B1" s="199"/>
      <c r="C1" s="199"/>
      <c r="D1" s="199"/>
      <c r="E1" s="199"/>
      <c r="F1" s="199"/>
    </row>
    <row r="2" spans="1:6" x14ac:dyDescent="0.15">
      <c r="A2" s="199"/>
      <c r="B2" s="199"/>
      <c r="C2" s="199"/>
      <c r="D2" s="199"/>
      <c r="E2" s="199"/>
      <c r="F2" s="199"/>
    </row>
    <row r="3" spans="1:6" ht="15" customHeight="1" x14ac:dyDescent="0.15">
      <c r="A3" s="130"/>
      <c r="B3" s="130"/>
      <c r="C3" s="130"/>
      <c r="D3" s="130"/>
      <c r="E3" s="130"/>
      <c r="F3" s="130"/>
    </row>
    <row r="4" spans="1:6" ht="18.75" customHeight="1" x14ac:dyDescent="0.15">
      <c r="A4" s="149"/>
      <c r="B4" s="200" t="s">
        <v>1</v>
      </c>
      <c r="C4" s="200"/>
      <c r="D4" s="200"/>
      <c r="E4" s="200"/>
      <c r="F4" s="200"/>
    </row>
    <row r="5" spans="1:6" ht="13.5" x14ac:dyDescent="0.15">
      <c r="A5" s="149"/>
      <c r="B5" s="150" t="s">
        <v>2</v>
      </c>
      <c r="C5" s="150" t="s">
        <v>3</v>
      </c>
      <c r="D5" s="151" t="s">
        <v>4</v>
      </c>
      <c r="E5" s="150" t="s">
        <v>5</v>
      </c>
      <c r="F5" s="150" t="s">
        <v>6</v>
      </c>
    </row>
    <row r="6" spans="1:6" ht="14.1" customHeight="1" x14ac:dyDescent="0.15">
      <c r="A6" s="149"/>
      <c r="B6" s="152" t="s">
        <v>7</v>
      </c>
      <c r="C6" s="153">
        <v>40784</v>
      </c>
      <c r="D6" s="127" t="s">
        <v>8</v>
      </c>
      <c r="E6" s="127" t="s">
        <v>9</v>
      </c>
      <c r="F6" s="126" t="s">
        <v>10</v>
      </c>
    </row>
    <row r="7" spans="1:6" ht="14.1" customHeight="1" x14ac:dyDescent="0.15">
      <c r="A7" s="149"/>
      <c r="B7" s="45" t="s">
        <v>11</v>
      </c>
      <c r="C7" s="154">
        <v>40890</v>
      </c>
      <c r="D7" s="127" t="s">
        <v>12</v>
      </c>
      <c r="E7" s="127" t="s">
        <v>9</v>
      </c>
      <c r="F7" s="126" t="s">
        <v>13</v>
      </c>
    </row>
    <row r="8" spans="1:6" ht="14.1" customHeight="1" x14ac:dyDescent="0.15">
      <c r="A8" s="149"/>
      <c r="B8" s="127" t="s">
        <v>14</v>
      </c>
      <c r="C8" s="153">
        <v>41578</v>
      </c>
      <c r="D8" s="127" t="s">
        <v>12</v>
      </c>
      <c r="E8" s="127" t="s">
        <v>9</v>
      </c>
      <c r="F8" s="126" t="s">
        <v>13</v>
      </c>
    </row>
    <row r="9" spans="1:6" ht="14.1" customHeight="1" x14ac:dyDescent="0.15">
      <c r="A9" s="149"/>
      <c r="B9" s="127" t="s">
        <v>15</v>
      </c>
      <c r="C9" s="153">
        <v>42122</v>
      </c>
      <c r="D9" s="127" t="s">
        <v>16</v>
      </c>
      <c r="E9" s="127" t="s">
        <v>9</v>
      </c>
      <c r="F9" s="126" t="s">
        <v>17</v>
      </c>
    </row>
    <row r="10" spans="1:6" ht="14.1" customHeight="1" x14ac:dyDescent="0.15">
      <c r="A10" s="149"/>
      <c r="B10" s="127" t="s">
        <v>18</v>
      </c>
      <c r="C10" s="153">
        <v>42307</v>
      </c>
      <c r="D10" s="127" t="s">
        <v>19</v>
      </c>
      <c r="E10" s="127" t="s">
        <v>19</v>
      </c>
      <c r="F10" s="126" t="s">
        <v>20</v>
      </c>
    </row>
    <row r="11" spans="1:6" x14ac:dyDescent="0.15">
      <c r="A11" s="149"/>
      <c r="B11" s="149"/>
      <c r="C11" s="149"/>
      <c r="D11" s="149"/>
      <c r="E11" s="149"/>
      <c r="F11" s="149"/>
    </row>
    <row r="12" spans="1:6" ht="68.25" customHeight="1" x14ac:dyDescent="0.15">
      <c r="A12" s="196" t="s">
        <v>21</v>
      </c>
      <c r="B12" s="155" t="s">
        <v>22</v>
      </c>
      <c r="C12" s="201" t="s">
        <v>23</v>
      </c>
      <c r="D12" s="202"/>
      <c r="E12" s="202"/>
      <c r="F12" s="202"/>
    </row>
    <row r="13" spans="1:6" ht="68.25" customHeight="1" x14ac:dyDescent="0.15">
      <c r="A13" s="197"/>
      <c r="B13" s="155" t="s">
        <v>24</v>
      </c>
      <c r="C13" s="202" t="s">
        <v>25</v>
      </c>
      <c r="D13" s="202"/>
      <c r="E13" s="202"/>
      <c r="F13" s="202"/>
    </row>
    <row r="14" spans="1:6" ht="68.25" customHeight="1" x14ac:dyDescent="0.15">
      <c r="A14" s="197"/>
      <c r="B14" s="155" t="s">
        <v>26</v>
      </c>
      <c r="C14" s="202" t="s">
        <v>27</v>
      </c>
      <c r="D14" s="202"/>
      <c r="E14" s="202"/>
      <c r="F14" s="202"/>
    </row>
    <row r="15" spans="1:6" ht="68.25" customHeight="1" x14ac:dyDescent="0.15">
      <c r="A15" s="198"/>
      <c r="B15" s="155" t="s">
        <v>28</v>
      </c>
      <c r="C15" s="203" t="s">
        <v>29</v>
      </c>
      <c r="D15" s="203"/>
      <c r="E15" s="203"/>
      <c r="F15" s="203"/>
    </row>
    <row r="16" spans="1:6" ht="14.25" x14ac:dyDescent="0.15">
      <c r="A16" s="156"/>
    </row>
    <row r="17" spans="1:1" ht="14.25" x14ac:dyDescent="0.15">
      <c r="A17" s="157"/>
    </row>
    <row r="18" spans="1:1" ht="14.25" x14ac:dyDescent="0.15">
      <c r="A18" s="158" t="s">
        <v>30</v>
      </c>
    </row>
    <row r="19" spans="1:1" x14ac:dyDescent="0.15">
      <c r="A19" s="159"/>
    </row>
    <row r="20" spans="1:1" ht="14.25" x14ac:dyDescent="0.15">
      <c r="A20" s="160"/>
    </row>
    <row r="21" spans="1:1" ht="14.25" x14ac:dyDescent="0.15">
      <c r="A21" s="161"/>
    </row>
  </sheetData>
  <mergeCells count="7">
    <mergeCell ref="A12:A15"/>
    <mergeCell ref="A1:F2"/>
    <mergeCell ref="B4:F4"/>
    <mergeCell ref="C12:F12"/>
    <mergeCell ref="C13:F13"/>
    <mergeCell ref="C14:F14"/>
    <mergeCell ref="C15:F15"/>
  </mergeCells>
  <phoneticPr fontId="30" type="noConversion"/>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0" zoomScale="90" zoomScaleNormal="90" workbookViewId="0">
      <selection activeCell="E35" sqref="E35"/>
    </sheetView>
  </sheetViews>
  <sheetFormatPr defaultColWidth="9.140625" defaultRowHeight="12" x14ac:dyDescent="0.15"/>
  <cols>
    <col min="1" max="1" width="16.7109375" style="1" customWidth="1"/>
    <col min="2" max="2" width="11.140625" style="1" customWidth="1"/>
    <col min="3" max="3" width="48.7109375" style="1" customWidth="1"/>
    <col min="4" max="16384" width="9.140625" style="1"/>
  </cols>
  <sheetData>
    <row r="1" spans="1:3" ht="21" customHeight="1" x14ac:dyDescent="0.15">
      <c r="A1" s="2" t="s">
        <v>250</v>
      </c>
      <c r="B1" s="3" t="s">
        <v>251</v>
      </c>
      <c r="C1" s="3" t="s">
        <v>114</v>
      </c>
    </row>
    <row r="2" spans="1:3" ht="15.95" customHeight="1" x14ac:dyDescent="0.15">
      <c r="A2" s="4">
        <v>43099</v>
      </c>
      <c r="B2" s="5" t="s">
        <v>252</v>
      </c>
      <c r="C2" s="5"/>
    </row>
    <row r="3" spans="1:3" ht="15.95" customHeight="1" x14ac:dyDescent="0.15">
      <c r="A3" s="4">
        <v>43100</v>
      </c>
      <c r="B3" s="5" t="s">
        <v>252</v>
      </c>
      <c r="C3" s="5"/>
    </row>
    <row r="4" spans="1:3" ht="15.95" customHeight="1" x14ac:dyDescent="0.15">
      <c r="A4" s="4">
        <v>43101</v>
      </c>
      <c r="B4" s="5" t="s">
        <v>252</v>
      </c>
      <c r="C4" s="5"/>
    </row>
    <row r="5" spans="1:3" ht="15.95" customHeight="1" x14ac:dyDescent="0.15">
      <c r="A5" s="4">
        <v>43144</v>
      </c>
      <c r="B5" s="5" t="s">
        <v>253</v>
      </c>
      <c r="C5" s="6"/>
    </row>
    <row r="6" spans="1:3" ht="15.95" customHeight="1" x14ac:dyDescent="0.15">
      <c r="A6" s="4">
        <v>43145</v>
      </c>
      <c r="B6" s="5" t="s">
        <v>253</v>
      </c>
      <c r="C6" s="6"/>
    </row>
    <row r="7" spans="1:3" ht="15.95" customHeight="1" x14ac:dyDescent="0.15">
      <c r="A7" s="4">
        <v>43146</v>
      </c>
      <c r="B7" s="5" t="s">
        <v>253</v>
      </c>
      <c r="C7" s="6"/>
    </row>
    <row r="8" spans="1:3" ht="15.95" customHeight="1" x14ac:dyDescent="0.15">
      <c r="A8" s="4">
        <v>43147</v>
      </c>
      <c r="B8" s="5" t="s">
        <v>253</v>
      </c>
      <c r="C8" s="6"/>
    </row>
    <row r="9" spans="1:3" ht="15.95" customHeight="1" x14ac:dyDescent="0.15">
      <c r="A9" s="4">
        <v>43148</v>
      </c>
      <c r="B9" s="5" t="s">
        <v>253</v>
      </c>
      <c r="C9" s="6"/>
    </row>
    <row r="10" spans="1:3" ht="15.95" customHeight="1" x14ac:dyDescent="0.15">
      <c r="A10" s="4">
        <v>43149</v>
      </c>
      <c r="B10" s="5" t="s">
        <v>253</v>
      </c>
      <c r="C10" s="6"/>
    </row>
    <row r="11" spans="1:3" ht="15.95" customHeight="1" x14ac:dyDescent="0.15">
      <c r="A11" s="4">
        <v>43150</v>
      </c>
      <c r="B11" s="5" t="s">
        <v>253</v>
      </c>
      <c r="C11" s="6"/>
    </row>
    <row r="12" spans="1:3" ht="15.95" customHeight="1" x14ac:dyDescent="0.15">
      <c r="A12" s="4">
        <v>43151</v>
      </c>
      <c r="B12" s="5" t="s">
        <v>253</v>
      </c>
      <c r="C12" s="6"/>
    </row>
    <row r="13" spans="1:3" ht="15.95" customHeight="1" x14ac:dyDescent="0.15">
      <c r="A13" s="4">
        <v>43152</v>
      </c>
      <c r="B13" s="5" t="s">
        <v>253</v>
      </c>
      <c r="C13" s="6"/>
    </row>
    <row r="14" spans="1:3" ht="15.95" customHeight="1" x14ac:dyDescent="0.15">
      <c r="A14" s="4">
        <v>43195</v>
      </c>
      <c r="B14" s="5" t="s">
        <v>254</v>
      </c>
      <c r="C14" s="7"/>
    </row>
    <row r="15" spans="1:3" ht="15.95" customHeight="1" x14ac:dyDescent="0.15">
      <c r="A15" s="4">
        <v>43196</v>
      </c>
      <c r="B15" s="5" t="s">
        <v>254</v>
      </c>
      <c r="C15" s="5"/>
    </row>
    <row r="16" spans="1:3" ht="15.95" customHeight="1" x14ac:dyDescent="0.15">
      <c r="A16" s="4">
        <v>43197</v>
      </c>
      <c r="B16" s="5" t="s">
        <v>254</v>
      </c>
      <c r="C16" s="5"/>
    </row>
    <row r="17" spans="1:3" ht="15.95" customHeight="1" x14ac:dyDescent="0.15">
      <c r="A17" s="4">
        <v>43219</v>
      </c>
      <c r="B17" s="5" t="s">
        <v>255</v>
      </c>
      <c r="C17" s="5"/>
    </row>
    <row r="18" spans="1:3" ht="15.95" customHeight="1" x14ac:dyDescent="0.15">
      <c r="A18" s="4">
        <v>43220</v>
      </c>
      <c r="B18" s="5" t="s">
        <v>255</v>
      </c>
      <c r="C18" s="5"/>
    </row>
    <row r="19" spans="1:3" ht="15.95" customHeight="1" x14ac:dyDescent="0.15">
      <c r="A19" s="4">
        <v>43221</v>
      </c>
      <c r="B19" s="5" t="s">
        <v>255</v>
      </c>
      <c r="C19" s="5"/>
    </row>
    <row r="20" spans="1:3" ht="15.95" customHeight="1" x14ac:dyDescent="0.15">
      <c r="A20" s="4">
        <v>43267</v>
      </c>
      <c r="B20" s="5" t="s">
        <v>256</v>
      </c>
      <c r="C20" s="5"/>
    </row>
    <row r="21" spans="1:3" ht="15.95" customHeight="1" x14ac:dyDescent="0.15">
      <c r="A21" s="4">
        <v>43268</v>
      </c>
      <c r="B21" s="5" t="s">
        <v>256</v>
      </c>
      <c r="C21" s="5"/>
    </row>
    <row r="22" spans="1:3" ht="15.95" customHeight="1" x14ac:dyDescent="0.15">
      <c r="A22" s="4">
        <v>43269</v>
      </c>
      <c r="B22" s="5" t="s">
        <v>256</v>
      </c>
      <c r="C22" s="5"/>
    </row>
    <row r="23" spans="1:3" ht="15.95" customHeight="1" x14ac:dyDescent="0.15">
      <c r="A23" s="4">
        <v>43365</v>
      </c>
      <c r="B23" s="5" t="s">
        <v>257</v>
      </c>
      <c r="C23" s="5"/>
    </row>
    <row r="24" spans="1:3" ht="15.95" customHeight="1" x14ac:dyDescent="0.15">
      <c r="A24" s="4">
        <v>43366</v>
      </c>
      <c r="B24" s="5" t="s">
        <v>257</v>
      </c>
      <c r="C24" s="6"/>
    </row>
    <row r="25" spans="1:3" ht="15.95" customHeight="1" x14ac:dyDescent="0.15">
      <c r="A25" s="4">
        <v>43367</v>
      </c>
      <c r="B25" s="5" t="s">
        <v>257</v>
      </c>
      <c r="C25" s="6"/>
    </row>
    <row r="26" spans="1:3" ht="15.95" customHeight="1" x14ac:dyDescent="0.15">
      <c r="A26" s="4">
        <v>43374</v>
      </c>
      <c r="B26" s="5" t="s">
        <v>258</v>
      </c>
      <c r="C26" s="5"/>
    </row>
    <row r="27" spans="1:3" ht="15.95" customHeight="1" x14ac:dyDescent="0.15">
      <c r="A27" s="4">
        <v>43375</v>
      </c>
      <c r="B27" s="5" t="s">
        <v>258</v>
      </c>
      <c r="C27" s="5"/>
    </row>
    <row r="28" spans="1:3" ht="15.95" customHeight="1" x14ac:dyDescent="0.15">
      <c r="A28" s="4">
        <v>43376</v>
      </c>
      <c r="B28" s="5" t="s">
        <v>258</v>
      </c>
      <c r="C28" s="5"/>
    </row>
    <row r="29" spans="1:3" ht="15.95" customHeight="1" x14ac:dyDescent="0.15">
      <c r="A29" s="4">
        <v>43377</v>
      </c>
      <c r="B29" s="5" t="s">
        <v>258</v>
      </c>
      <c r="C29" s="5"/>
    </row>
    <row r="30" spans="1:3" ht="15.95" customHeight="1" x14ac:dyDescent="0.15">
      <c r="A30" s="4">
        <v>43378</v>
      </c>
      <c r="B30" s="5" t="s">
        <v>258</v>
      </c>
      <c r="C30" s="5"/>
    </row>
    <row r="31" spans="1:3" ht="15.95" customHeight="1" x14ac:dyDescent="0.15">
      <c r="A31" s="4">
        <v>43379</v>
      </c>
      <c r="B31" s="5" t="s">
        <v>258</v>
      </c>
      <c r="C31" s="5"/>
    </row>
    <row r="32" spans="1:3" x14ac:dyDescent="0.15">
      <c r="A32" s="4">
        <v>43380</v>
      </c>
      <c r="B32" s="5" t="s">
        <v>258</v>
      </c>
      <c r="C32" s="5"/>
    </row>
    <row r="33" spans="1:3" x14ac:dyDescent="0.15">
      <c r="A33" s="8">
        <v>43464</v>
      </c>
      <c r="B33" s="9" t="s">
        <v>259</v>
      </c>
      <c r="C33" s="5"/>
    </row>
    <row r="34" spans="1:3" x14ac:dyDescent="0.15">
      <c r="A34" s="8">
        <v>43465</v>
      </c>
      <c r="B34" s="9" t="s">
        <v>259</v>
      </c>
      <c r="C34" s="5"/>
    </row>
    <row r="35" spans="1:3" x14ac:dyDescent="0.15">
      <c r="A35" s="8">
        <v>43466</v>
      </c>
      <c r="B35" s="9" t="s">
        <v>259</v>
      </c>
      <c r="C35" s="5"/>
    </row>
  </sheetData>
  <phoneticPr fontId="30"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workbookViewId="0">
      <selection activeCell="M12" sqref="M12"/>
    </sheetView>
  </sheetViews>
  <sheetFormatPr defaultColWidth="9.140625" defaultRowHeight="12" x14ac:dyDescent="0.15"/>
  <cols>
    <col min="1" max="1" width="8.5703125" style="141" customWidth="1"/>
    <col min="2" max="2" width="17.28515625" style="142" customWidth="1"/>
    <col min="3" max="16384" width="9.140625" style="142"/>
  </cols>
  <sheetData>
    <row r="2" spans="1:11" x14ac:dyDescent="0.15">
      <c r="A2" s="141">
        <v>1</v>
      </c>
      <c r="B2" s="204" t="s">
        <v>31</v>
      </c>
      <c r="C2" s="204"/>
      <c r="D2" s="204"/>
      <c r="E2" s="204"/>
      <c r="F2" s="204"/>
      <c r="G2" s="204"/>
      <c r="H2" s="204"/>
      <c r="I2" s="204"/>
      <c r="J2" s="204"/>
      <c r="K2" s="204"/>
    </row>
    <row r="3" spans="1:11" ht="39" customHeight="1" x14ac:dyDescent="0.15">
      <c r="B3" s="205" t="s">
        <v>32</v>
      </c>
      <c r="C3" s="206"/>
      <c r="D3" s="206"/>
      <c r="E3" s="206"/>
      <c r="F3" s="206"/>
      <c r="G3" s="206"/>
      <c r="H3" s="206"/>
      <c r="I3" s="206"/>
      <c r="J3" s="206"/>
      <c r="K3" s="206"/>
    </row>
    <row r="4" spans="1:11" x14ac:dyDescent="0.15">
      <c r="B4" s="206"/>
      <c r="C4" s="206"/>
      <c r="D4" s="206"/>
      <c r="E4" s="206"/>
      <c r="F4" s="206"/>
      <c r="G4" s="206"/>
      <c r="H4" s="206"/>
      <c r="I4" s="206"/>
      <c r="J4" s="206"/>
      <c r="K4" s="206"/>
    </row>
    <row r="5" spans="1:11" x14ac:dyDescent="0.15">
      <c r="A5" s="141">
        <v>2</v>
      </c>
      <c r="B5" s="204" t="s">
        <v>33</v>
      </c>
      <c r="C5" s="204"/>
      <c r="D5" s="204"/>
      <c r="E5" s="204"/>
      <c r="F5" s="204"/>
      <c r="G5" s="204"/>
      <c r="H5" s="204"/>
      <c r="I5" s="204"/>
      <c r="J5" s="204"/>
      <c r="K5" s="204"/>
    </row>
    <row r="6" spans="1:11" ht="12" customHeight="1" x14ac:dyDescent="0.15">
      <c r="B6" s="206" t="s">
        <v>34</v>
      </c>
      <c r="C6" s="206"/>
      <c r="D6" s="206"/>
      <c r="E6" s="206"/>
      <c r="F6" s="206"/>
      <c r="G6" s="206"/>
      <c r="H6" s="206"/>
      <c r="I6" s="206"/>
      <c r="J6" s="206"/>
      <c r="K6" s="206"/>
    </row>
    <row r="7" spans="1:11" x14ac:dyDescent="0.15">
      <c r="B7" s="206"/>
      <c r="C7" s="206"/>
      <c r="D7" s="206"/>
      <c r="E7" s="206"/>
      <c r="F7" s="206"/>
      <c r="G7" s="206"/>
      <c r="H7" s="206"/>
      <c r="I7" s="206"/>
      <c r="J7" s="206"/>
      <c r="K7" s="206"/>
    </row>
    <row r="8" spans="1:11" x14ac:dyDescent="0.15">
      <c r="A8" s="141">
        <v>3</v>
      </c>
      <c r="B8" s="204" t="s">
        <v>35</v>
      </c>
      <c r="C8" s="204"/>
      <c r="D8" s="204"/>
      <c r="E8" s="204"/>
      <c r="F8" s="204"/>
      <c r="G8" s="204"/>
      <c r="H8" s="204"/>
      <c r="I8" s="204"/>
      <c r="J8" s="204"/>
      <c r="K8" s="204"/>
    </row>
    <row r="9" spans="1:11" ht="12" customHeight="1" x14ac:dyDescent="0.15">
      <c r="B9" s="206" t="s">
        <v>36</v>
      </c>
      <c r="C9" s="206"/>
      <c r="D9" s="206"/>
      <c r="E9" s="206"/>
      <c r="F9" s="206"/>
      <c r="G9" s="206"/>
      <c r="H9" s="206"/>
      <c r="I9" s="206"/>
      <c r="J9" s="206"/>
      <c r="K9" s="206"/>
    </row>
    <row r="10" spans="1:11" ht="12" customHeight="1" x14ac:dyDescent="0.15">
      <c r="B10" s="206" t="s">
        <v>37</v>
      </c>
      <c r="C10" s="206"/>
      <c r="D10" s="206"/>
      <c r="E10" s="206"/>
      <c r="F10" s="206"/>
      <c r="G10" s="206"/>
      <c r="H10" s="206"/>
      <c r="I10" s="206"/>
      <c r="J10" s="206"/>
      <c r="K10" s="206"/>
    </row>
    <row r="11" spans="1:11" ht="36" customHeight="1" x14ac:dyDescent="0.15">
      <c r="B11" s="206" t="s">
        <v>38</v>
      </c>
      <c r="C11" s="206"/>
      <c r="D11" s="206"/>
      <c r="E11" s="206"/>
      <c r="F11" s="206"/>
      <c r="G11" s="206"/>
      <c r="H11" s="206"/>
      <c r="I11" s="206"/>
      <c r="J11" s="206"/>
      <c r="K11" s="206"/>
    </row>
    <row r="12" spans="1:11" x14ac:dyDescent="0.15">
      <c r="B12" s="206"/>
      <c r="C12" s="206"/>
      <c r="D12" s="206"/>
      <c r="E12" s="206"/>
      <c r="F12" s="206"/>
      <c r="G12" s="206"/>
      <c r="H12" s="206"/>
      <c r="I12" s="206"/>
      <c r="J12" s="206"/>
      <c r="K12" s="206"/>
    </row>
    <row r="13" spans="1:11" x14ac:dyDescent="0.15">
      <c r="A13" s="141">
        <v>4</v>
      </c>
      <c r="B13" s="204" t="s">
        <v>39</v>
      </c>
      <c r="C13" s="204"/>
      <c r="D13" s="204"/>
      <c r="E13" s="204"/>
      <c r="F13" s="204"/>
      <c r="G13" s="204"/>
      <c r="H13" s="204"/>
      <c r="I13" s="204"/>
      <c r="J13" s="204"/>
      <c r="K13" s="204"/>
    </row>
    <row r="14" spans="1:11" ht="12" customHeight="1" x14ac:dyDescent="0.15">
      <c r="B14" s="206" t="s">
        <v>40</v>
      </c>
      <c r="C14" s="206"/>
      <c r="D14" s="206"/>
      <c r="E14" s="206"/>
      <c r="F14" s="206"/>
      <c r="G14" s="206"/>
      <c r="H14" s="206"/>
      <c r="I14" s="206"/>
      <c r="J14" s="206"/>
      <c r="K14" s="206"/>
    </row>
    <row r="15" spans="1:11" x14ac:dyDescent="0.15">
      <c r="B15" s="206"/>
      <c r="C15" s="206"/>
      <c r="D15" s="206"/>
      <c r="E15" s="206"/>
      <c r="F15" s="206"/>
      <c r="G15" s="206"/>
      <c r="H15" s="206"/>
      <c r="I15" s="206"/>
      <c r="J15" s="206"/>
      <c r="K15" s="206"/>
    </row>
    <row r="16" spans="1:11" x14ac:dyDescent="0.15">
      <c r="A16" s="141">
        <v>5</v>
      </c>
      <c r="B16" s="204" t="s">
        <v>41</v>
      </c>
      <c r="C16" s="204"/>
      <c r="D16" s="204"/>
      <c r="E16" s="204"/>
      <c r="F16" s="204"/>
      <c r="G16" s="204"/>
      <c r="H16" s="204"/>
      <c r="I16" s="204"/>
      <c r="J16" s="204"/>
      <c r="K16" s="204"/>
    </row>
    <row r="17" spans="1:11" x14ac:dyDescent="0.15">
      <c r="B17" s="143"/>
      <c r="C17" s="143"/>
      <c r="D17" s="143"/>
      <c r="E17" s="143"/>
      <c r="F17" s="143"/>
      <c r="G17" s="143"/>
      <c r="H17" s="143"/>
      <c r="I17" s="143"/>
      <c r="J17" s="143"/>
      <c r="K17" s="143"/>
    </row>
    <row r="18" spans="1:11" x14ac:dyDescent="0.15">
      <c r="A18" s="141">
        <v>5.0999999999999996</v>
      </c>
      <c r="B18" s="143" t="s">
        <v>42</v>
      </c>
      <c r="C18" s="143"/>
      <c r="D18" s="143"/>
      <c r="E18" s="143"/>
      <c r="F18" s="143"/>
      <c r="G18" s="143"/>
      <c r="H18" s="143"/>
      <c r="I18" s="143"/>
      <c r="J18" s="143"/>
      <c r="K18" s="143"/>
    </row>
    <row r="19" spans="1:11" ht="36.75" customHeight="1" x14ac:dyDescent="0.15">
      <c r="B19" s="207" t="s">
        <v>43</v>
      </c>
      <c r="C19" s="207"/>
      <c r="D19" s="207"/>
      <c r="E19" s="207"/>
      <c r="F19" s="207"/>
      <c r="G19" s="207"/>
      <c r="H19" s="207"/>
      <c r="I19" s="207"/>
      <c r="J19" s="207"/>
      <c r="K19" s="207"/>
    </row>
    <row r="20" spans="1:11" x14ac:dyDescent="0.15">
      <c r="B20" s="143"/>
      <c r="C20" s="143"/>
      <c r="D20" s="143"/>
      <c r="E20" s="143"/>
      <c r="F20" s="143"/>
      <c r="G20" s="143"/>
      <c r="H20" s="143"/>
      <c r="I20" s="143"/>
      <c r="J20" s="143"/>
      <c r="K20" s="143"/>
    </row>
    <row r="21" spans="1:11" x14ac:dyDescent="0.15">
      <c r="A21" s="141" t="s">
        <v>44</v>
      </c>
      <c r="B21" s="143" t="s">
        <v>45</v>
      </c>
      <c r="C21" s="143"/>
      <c r="D21" s="143"/>
      <c r="E21" s="143"/>
      <c r="F21" s="143"/>
      <c r="G21" s="143"/>
      <c r="H21" s="143"/>
      <c r="I21" s="143"/>
      <c r="J21" s="143"/>
      <c r="K21" s="143"/>
    </row>
    <row r="22" spans="1:11" ht="36.75" customHeight="1" x14ac:dyDescent="0.15">
      <c r="B22" s="208" t="s">
        <v>46</v>
      </c>
      <c r="C22" s="208"/>
      <c r="D22" s="208"/>
      <c r="E22" s="208"/>
      <c r="F22" s="208"/>
      <c r="G22" s="208"/>
      <c r="H22" s="208"/>
      <c r="I22" s="208"/>
      <c r="J22" s="208"/>
      <c r="K22" s="208"/>
    </row>
    <row r="23" spans="1:11" x14ac:dyDescent="0.15">
      <c r="B23" s="143"/>
      <c r="C23" s="143"/>
      <c r="D23" s="143"/>
      <c r="E23" s="143"/>
      <c r="F23" s="143"/>
      <c r="G23" s="143"/>
      <c r="H23" s="143"/>
      <c r="I23" s="143"/>
      <c r="J23" s="143"/>
      <c r="K23" s="143"/>
    </row>
    <row r="24" spans="1:11" x14ac:dyDescent="0.15">
      <c r="A24" s="141" t="s">
        <v>47</v>
      </c>
      <c r="B24" s="143" t="s">
        <v>48</v>
      </c>
      <c r="C24" s="143"/>
      <c r="D24" s="143"/>
      <c r="E24" s="143"/>
      <c r="F24" s="143"/>
      <c r="G24" s="143"/>
      <c r="H24" s="143"/>
      <c r="I24" s="143"/>
      <c r="J24" s="143"/>
      <c r="K24" s="143"/>
    </row>
    <row r="25" spans="1:11" ht="28.5" customHeight="1" x14ac:dyDescent="0.15">
      <c r="B25" s="208" t="s">
        <v>49</v>
      </c>
      <c r="C25" s="208"/>
      <c r="D25" s="208"/>
      <c r="E25" s="208"/>
      <c r="F25" s="208"/>
      <c r="G25" s="208"/>
      <c r="H25" s="208"/>
      <c r="I25" s="208"/>
      <c r="J25" s="208"/>
      <c r="K25" s="208"/>
    </row>
    <row r="26" spans="1:11" ht="18" customHeight="1" x14ac:dyDescent="0.15">
      <c r="B26" s="146"/>
      <c r="C26" s="146"/>
      <c r="D26" s="146"/>
      <c r="E26" s="146"/>
      <c r="F26" s="146"/>
      <c r="G26" s="146"/>
      <c r="H26" s="146"/>
      <c r="I26" s="146"/>
      <c r="J26" s="146"/>
      <c r="K26" s="146"/>
    </row>
    <row r="27" spans="1:11" x14ac:dyDescent="0.15">
      <c r="A27" s="141">
        <v>5.2</v>
      </c>
      <c r="B27" s="143" t="s">
        <v>50</v>
      </c>
      <c r="C27" s="143"/>
      <c r="D27" s="143"/>
      <c r="E27" s="143"/>
      <c r="F27" s="143"/>
      <c r="G27" s="143"/>
      <c r="H27" s="143"/>
      <c r="I27" s="143"/>
      <c r="J27" s="143"/>
      <c r="K27" s="143"/>
    </row>
    <row r="28" spans="1:11" ht="27.75" customHeight="1" x14ac:dyDescent="0.15">
      <c r="B28" s="205" t="s">
        <v>51</v>
      </c>
      <c r="C28" s="206"/>
      <c r="D28" s="206"/>
      <c r="E28" s="206"/>
      <c r="F28" s="206"/>
      <c r="G28" s="206"/>
      <c r="H28" s="206"/>
      <c r="I28" s="206"/>
      <c r="J28" s="206"/>
      <c r="K28" s="206"/>
    </row>
    <row r="29" spans="1:11" x14ac:dyDescent="0.15">
      <c r="B29" s="144"/>
      <c r="C29" s="145"/>
      <c r="D29" s="145"/>
      <c r="E29" s="145"/>
      <c r="F29" s="145"/>
      <c r="G29" s="145"/>
      <c r="H29" s="145"/>
      <c r="I29" s="145"/>
      <c r="J29" s="145"/>
      <c r="K29" s="145"/>
    </row>
    <row r="30" spans="1:11" ht="12" customHeight="1" x14ac:dyDescent="0.15">
      <c r="A30" s="141" t="s">
        <v>52</v>
      </c>
      <c r="B30" s="206" t="s">
        <v>53</v>
      </c>
      <c r="C30" s="206"/>
      <c r="D30" s="206"/>
      <c r="E30" s="206"/>
      <c r="F30" s="206"/>
      <c r="G30" s="206"/>
      <c r="H30" s="206"/>
      <c r="I30" s="206"/>
      <c r="J30" s="206"/>
      <c r="K30" s="206"/>
    </row>
    <row r="31" spans="1:11" ht="102" customHeight="1" x14ac:dyDescent="0.15">
      <c r="B31" s="205" t="s">
        <v>54</v>
      </c>
      <c r="C31" s="206"/>
      <c r="D31" s="206"/>
      <c r="E31" s="206"/>
      <c r="F31" s="206"/>
      <c r="G31" s="206"/>
      <c r="H31" s="206"/>
      <c r="I31" s="206"/>
      <c r="J31" s="206"/>
      <c r="K31" s="206"/>
    </row>
    <row r="32" spans="1:11" x14ac:dyDescent="0.15">
      <c r="B32" s="206"/>
      <c r="C32" s="206"/>
      <c r="D32" s="206"/>
      <c r="E32" s="206"/>
      <c r="F32" s="206"/>
      <c r="G32" s="206"/>
      <c r="H32" s="206"/>
      <c r="I32" s="206"/>
      <c r="J32" s="206"/>
      <c r="K32" s="206"/>
    </row>
    <row r="33" spans="1:11" ht="12" customHeight="1" x14ac:dyDescent="0.15">
      <c r="A33" s="141" t="s">
        <v>55</v>
      </c>
      <c r="B33" s="206" t="s">
        <v>56</v>
      </c>
      <c r="C33" s="206"/>
      <c r="D33" s="206"/>
      <c r="E33" s="206"/>
      <c r="F33" s="206"/>
      <c r="G33" s="206"/>
      <c r="H33" s="206"/>
      <c r="I33" s="206"/>
      <c r="J33" s="206"/>
      <c r="K33" s="206"/>
    </row>
    <row r="34" spans="1:11" ht="12" customHeight="1" x14ac:dyDescent="0.15">
      <c r="B34" s="205" t="s">
        <v>57</v>
      </c>
      <c r="C34" s="206"/>
      <c r="D34" s="206"/>
      <c r="E34" s="206"/>
      <c r="F34" s="206"/>
      <c r="G34" s="206"/>
      <c r="H34" s="206"/>
      <c r="I34" s="206"/>
      <c r="J34" s="206"/>
      <c r="K34" s="206"/>
    </row>
    <row r="35" spans="1:11" x14ac:dyDescent="0.15">
      <c r="B35" s="206"/>
      <c r="C35" s="206"/>
      <c r="D35" s="206"/>
      <c r="E35" s="206"/>
      <c r="F35" s="206"/>
      <c r="G35" s="206"/>
      <c r="H35" s="206"/>
      <c r="I35" s="206"/>
      <c r="J35" s="206"/>
      <c r="K35" s="206"/>
    </row>
    <row r="36" spans="1:11" ht="12" customHeight="1" x14ac:dyDescent="0.15">
      <c r="A36" s="141" t="s">
        <v>58</v>
      </c>
      <c r="B36" s="206" t="s">
        <v>59</v>
      </c>
      <c r="C36" s="206"/>
      <c r="D36" s="206"/>
      <c r="E36" s="206"/>
      <c r="F36" s="206"/>
      <c r="G36" s="206"/>
      <c r="H36" s="206"/>
      <c r="I36" s="206"/>
      <c r="J36" s="206"/>
      <c r="K36" s="206"/>
    </row>
    <row r="37" spans="1:11" ht="69" customHeight="1" x14ac:dyDescent="0.15">
      <c r="B37" s="205" t="s">
        <v>60</v>
      </c>
      <c r="C37" s="206"/>
      <c r="D37" s="206"/>
      <c r="E37" s="206"/>
      <c r="F37" s="206"/>
      <c r="G37" s="206"/>
      <c r="H37" s="206"/>
      <c r="I37" s="206"/>
      <c r="J37" s="206"/>
      <c r="K37" s="206"/>
    </row>
    <row r="38" spans="1:11" x14ac:dyDescent="0.15">
      <c r="B38" s="206"/>
      <c r="C38" s="206"/>
      <c r="D38" s="206"/>
      <c r="E38" s="206"/>
      <c r="F38" s="206"/>
      <c r="G38" s="206"/>
      <c r="H38" s="206"/>
      <c r="I38" s="206"/>
      <c r="J38" s="206"/>
      <c r="K38" s="206"/>
    </row>
    <row r="39" spans="1:11" x14ac:dyDescent="0.15">
      <c r="A39" s="141" t="s">
        <v>61</v>
      </c>
      <c r="B39" s="206" t="s">
        <v>62</v>
      </c>
      <c r="C39" s="206"/>
      <c r="D39" s="206"/>
      <c r="E39" s="206"/>
      <c r="F39" s="206"/>
      <c r="G39" s="206"/>
      <c r="H39" s="206"/>
      <c r="I39" s="206"/>
      <c r="J39" s="206"/>
      <c r="K39" s="206"/>
    </row>
    <row r="40" spans="1:11" x14ac:dyDescent="0.15">
      <c r="B40" s="206" t="s">
        <v>63</v>
      </c>
      <c r="C40" s="206"/>
      <c r="D40" s="206"/>
      <c r="E40" s="206"/>
      <c r="F40" s="206"/>
      <c r="G40" s="206"/>
      <c r="H40" s="206"/>
      <c r="I40" s="206"/>
      <c r="J40" s="206"/>
      <c r="K40" s="206"/>
    </row>
    <row r="42" spans="1:11" x14ac:dyDescent="0.15">
      <c r="A42" s="141">
        <v>5.3</v>
      </c>
      <c r="B42" s="147" t="s">
        <v>64</v>
      </c>
    </row>
    <row r="43" spans="1:11" ht="61.5" customHeight="1" x14ac:dyDescent="0.15">
      <c r="B43" s="207" t="s">
        <v>65</v>
      </c>
      <c r="C43" s="207"/>
      <c r="D43" s="207"/>
      <c r="E43" s="207"/>
      <c r="F43" s="207"/>
      <c r="G43" s="207"/>
      <c r="H43" s="207"/>
      <c r="I43" s="207"/>
      <c r="J43" s="207"/>
      <c r="K43" s="207"/>
    </row>
    <row r="44" spans="1:11" ht="12" customHeight="1" x14ac:dyDescent="0.15">
      <c r="A44" s="141" t="s">
        <v>66</v>
      </c>
      <c r="B44" s="205" t="s">
        <v>53</v>
      </c>
      <c r="C44" s="206"/>
      <c r="D44" s="206"/>
      <c r="E44" s="206"/>
      <c r="F44" s="206"/>
      <c r="G44" s="206"/>
      <c r="H44" s="206"/>
      <c r="I44" s="206"/>
      <c r="J44" s="206"/>
      <c r="K44" s="206"/>
    </row>
    <row r="45" spans="1:11" ht="102" customHeight="1" x14ac:dyDescent="0.15">
      <c r="B45" s="206" t="s">
        <v>54</v>
      </c>
      <c r="C45" s="206"/>
      <c r="D45" s="206"/>
      <c r="E45" s="206"/>
      <c r="F45" s="206"/>
      <c r="G45" s="206"/>
      <c r="H45" s="206"/>
      <c r="I45" s="206"/>
      <c r="J45" s="206"/>
      <c r="K45" s="206"/>
    </row>
    <row r="46" spans="1:11" x14ac:dyDescent="0.15">
      <c r="B46" s="206"/>
      <c r="C46" s="206"/>
      <c r="D46" s="206"/>
      <c r="E46" s="206"/>
      <c r="F46" s="206"/>
      <c r="G46" s="206"/>
      <c r="H46" s="206"/>
      <c r="I46" s="206"/>
      <c r="J46" s="206"/>
      <c r="K46" s="206"/>
    </row>
    <row r="47" spans="1:11" ht="12" customHeight="1" x14ac:dyDescent="0.15">
      <c r="A47" s="141" t="s">
        <v>67</v>
      </c>
      <c r="B47" s="205" t="s">
        <v>56</v>
      </c>
      <c r="C47" s="206"/>
      <c r="D47" s="206"/>
      <c r="E47" s="206"/>
      <c r="F47" s="206"/>
      <c r="G47" s="206"/>
      <c r="H47" s="206"/>
      <c r="I47" s="206"/>
      <c r="J47" s="206"/>
      <c r="K47" s="206"/>
    </row>
    <row r="48" spans="1:11" ht="12" customHeight="1" x14ac:dyDescent="0.15">
      <c r="B48" s="205" t="s">
        <v>57</v>
      </c>
      <c r="C48" s="206"/>
      <c r="D48" s="206"/>
      <c r="E48" s="206"/>
      <c r="F48" s="206"/>
      <c r="G48" s="206"/>
      <c r="H48" s="206"/>
      <c r="I48" s="206"/>
      <c r="J48" s="206"/>
      <c r="K48" s="206"/>
    </row>
    <row r="49" spans="1:11" x14ac:dyDescent="0.15">
      <c r="B49" s="206"/>
      <c r="C49" s="206"/>
      <c r="D49" s="206"/>
      <c r="E49" s="206"/>
      <c r="F49" s="206"/>
      <c r="G49" s="206"/>
      <c r="H49" s="206"/>
      <c r="I49" s="206"/>
      <c r="J49" s="206"/>
      <c r="K49" s="206"/>
    </row>
    <row r="50" spans="1:11" ht="12" customHeight="1" x14ac:dyDescent="0.15">
      <c r="A50" s="141" t="s">
        <v>68</v>
      </c>
      <c r="B50" s="206" t="s">
        <v>59</v>
      </c>
      <c r="C50" s="206"/>
      <c r="D50" s="206"/>
      <c r="E50" s="206"/>
      <c r="F50" s="206"/>
      <c r="G50" s="206"/>
      <c r="H50" s="206"/>
      <c r="I50" s="206"/>
      <c r="J50" s="206"/>
      <c r="K50" s="206"/>
    </row>
    <row r="51" spans="1:11" ht="69" customHeight="1" x14ac:dyDescent="0.15">
      <c r="B51" s="205" t="s">
        <v>60</v>
      </c>
      <c r="C51" s="206"/>
      <c r="D51" s="206"/>
      <c r="E51" s="206"/>
      <c r="F51" s="206"/>
      <c r="G51" s="206"/>
      <c r="H51" s="206"/>
      <c r="I51" s="206"/>
      <c r="J51" s="206"/>
      <c r="K51" s="206"/>
    </row>
    <row r="53" spans="1:11" x14ac:dyDescent="0.15">
      <c r="A53" s="141" t="s">
        <v>69</v>
      </c>
      <c r="B53" s="206" t="s">
        <v>62</v>
      </c>
      <c r="C53" s="206"/>
      <c r="D53" s="206"/>
      <c r="E53" s="206"/>
      <c r="F53" s="206"/>
      <c r="G53" s="206"/>
      <c r="H53" s="206"/>
      <c r="I53" s="206"/>
      <c r="J53" s="206"/>
      <c r="K53" s="206"/>
    </row>
    <row r="54" spans="1:11" x14ac:dyDescent="0.15">
      <c r="B54" s="206" t="s">
        <v>63</v>
      </c>
      <c r="C54" s="206"/>
      <c r="D54" s="206"/>
      <c r="E54" s="206"/>
      <c r="F54" s="206"/>
      <c r="G54" s="206"/>
      <c r="H54" s="206"/>
      <c r="I54" s="206"/>
      <c r="J54" s="206"/>
      <c r="K54" s="206"/>
    </row>
  </sheetData>
  <mergeCells count="41">
    <mergeCell ref="B54:K54"/>
    <mergeCell ref="B48:K48"/>
    <mergeCell ref="B49:K49"/>
    <mergeCell ref="B50:K50"/>
    <mergeCell ref="B51:K51"/>
    <mergeCell ref="B53:K53"/>
    <mergeCell ref="B43:K43"/>
    <mergeCell ref="B44:K44"/>
    <mergeCell ref="B45:K45"/>
    <mergeCell ref="B46:K46"/>
    <mergeCell ref="B47:K47"/>
    <mergeCell ref="B36:K36"/>
    <mergeCell ref="B37:K37"/>
    <mergeCell ref="B38:K38"/>
    <mergeCell ref="B39:K39"/>
    <mergeCell ref="B40:K40"/>
    <mergeCell ref="B31:K31"/>
    <mergeCell ref="B32:K32"/>
    <mergeCell ref="B33:K33"/>
    <mergeCell ref="B34:K34"/>
    <mergeCell ref="B35:K35"/>
    <mergeCell ref="B19:K19"/>
    <mergeCell ref="B22:K22"/>
    <mergeCell ref="B25:K25"/>
    <mergeCell ref="B28:K28"/>
    <mergeCell ref="B30:K30"/>
    <mergeCell ref="B12:K12"/>
    <mergeCell ref="B13:K13"/>
    <mergeCell ref="B14:K14"/>
    <mergeCell ref="B15:K15"/>
    <mergeCell ref="B16:K16"/>
    <mergeCell ref="B7:K7"/>
    <mergeCell ref="B8:K8"/>
    <mergeCell ref="B9:K9"/>
    <mergeCell ref="B10:K10"/>
    <mergeCell ref="B11:K11"/>
    <mergeCell ref="B2:K2"/>
    <mergeCell ref="B3:K3"/>
    <mergeCell ref="B4:K4"/>
    <mergeCell ref="B5:K5"/>
    <mergeCell ref="B6:K6"/>
  </mergeCells>
  <phoneticPr fontId="30" type="noConversion"/>
  <pageMargins left="0.75" right="0.75" top="1" bottom="1" header="0.5" footer="0.5"/>
  <pageSetup paperSize="9" orientation="portrait"/>
  <headerFooter alignWithMargins="0">
    <oddHeader>&amp;L样式编号：WW-SW-PP-TM-01&amp;C&lt;请键入项目名称&gt;项目估算表&amp;R版本：&lt;请键入版本号&gt;</oddHeader>
    <oddFooter>&amp;L&amp;G&amp;R&amp;"黑体,常规"第&amp;P页 共&amp;N页</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H15" sqref="H15"/>
    </sheetView>
  </sheetViews>
  <sheetFormatPr defaultColWidth="9"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134" t="s">
        <v>70</v>
      </c>
      <c r="B1" s="134"/>
      <c r="C1" s="134"/>
      <c r="D1" s="18" t="s">
        <v>71</v>
      </c>
      <c r="E1" s="135">
        <f>0.6+0.01*SUM(E3:E15)</f>
        <v>0.8899999999999999</v>
      </c>
    </row>
    <row r="2" spans="1:9" ht="27" customHeight="1" x14ac:dyDescent="0.15">
      <c r="A2" s="18" t="s">
        <v>72</v>
      </c>
      <c r="B2" s="18" t="s">
        <v>73</v>
      </c>
      <c r="C2" s="18" t="s">
        <v>74</v>
      </c>
      <c r="D2" s="18" t="s">
        <v>75</v>
      </c>
      <c r="E2" s="18" t="s">
        <v>76</v>
      </c>
    </row>
    <row r="3" spans="1:9" ht="18" customHeight="1" x14ac:dyDescent="0.15">
      <c r="A3" s="136">
        <v>1</v>
      </c>
      <c r="B3" s="136" t="s">
        <v>77</v>
      </c>
      <c r="C3" s="136" t="s">
        <v>78</v>
      </c>
      <c r="D3" s="137" t="s">
        <v>79</v>
      </c>
      <c r="E3" s="138">
        <v>2</v>
      </c>
    </row>
    <row r="4" spans="1:9" ht="18" customHeight="1" x14ac:dyDescent="0.15">
      <c r="A4" s="136">
        <v>2</v>
      </c>
      <c r="B4" s="136" t="s">
        <v>80</v>
      </c>
      <c r="C4" s="136" t="s">
        <v>78</v>
      </c>
      <c r="D4" s="137" t="s">
        <v>81</v>
      </c>
      <c r="E4" s="138">
        <v>2</v>
      </c>
    </row>
    <row r="5" spans="1:9" ht="18" customHeight="1" x14ac:dyDescent="0.15">
      <c r="A5" s="136">
        <v>3</v>
      </c>
      <c r="B5" s="136" t="s">
        <v>82</v>
      </c>
      <c r="C5" s="136" t="s">
        <v>78</v>
      </c>
      <c r="D5" s="137" t="s">
        <v>83</v>
      </c>
      <c r="E5" s="138">
        <v>3</v>
      </c>
    </row>
    <row r="6" spans="1:9" ht="18" customHeight="1" x14ac:dyDescent="0.15">
      <c r="A6" s="136">
        <v>4</v>
      </c>
      <c r="B6" s="136" t="s">
        <v>84</v>
      </c>
      <c r="C6" s="136" t="s">
        <v>78</v>
      </c>
      <c r="D6" s="137" t="s">
        <v>85</v>
      </c>
      <c r="E6" s="138">
        <v>2</v>
      </c>
    </row>
    <row r="7" spans="1:9" ht="18" customHeight="1" x14ac:dyDescent="0.15">
      <c r="A7" s="136">
        <v>5</v>
      </c>
      <c r="B7" s="136" t="s">
        <v>86</v>
      </c>
      <c r="C7" s="136" t="s">
        <v>78</v>
      </c>
      <c r="D7" s="137" t="s">
        <v>87</v>
      </c>
      <c r="E7" s="138">
        <v>2</v>
      </c>
    </row>
    <row r="8" spans="1:9" ht="18" customHeight="1" x14ac:dyDescent="0.15">
      <c r="A8" s="136">
        <v>6</v>
      </c>
      <c r="B8" s="136" t="s">
        <v>88</v>
      </c>
      <c r="C8" s="136" t="s">
        <v>78</v>
      </c>
      <c r="D8" s="137" t="s">
        <v>89</v>
      </c>
      <c r="E8" s="138">
        <v>2</v>
      </c>
      <c r="H8" s="139"/>
      <c r="I8" s="139"/>
    </row>
    <row r="9" spans="1:9" ht="18" customHeight="1" x14ac:dyDescent="0.15">
      <c r="A9" s="136">
        <v>7</v>
      </c>
      <c r="B9" s="136" t="s">
        <v>90</v>
      </c>
      <c r="C9" s="136" t="s">
        <v>78</v>
      </c>
      <c r="D9" s="137" t="s">
        <v>91</v>
      </c>
      <c r="E9" s="138">
        <v>3</v>
      </c>
      <c r="H9" s="139"/>
      <c r="I9" s="139"/>
    </row>
    <row r="10" spans="1:9" ht="18" customHeight="1" x14ac:dyDescent="0.15">
      <c r="A10" s="136">
        <v>8</v>
      </c>
      <c r="B10" s="136" t="s">
        <v>92</v>
      </c>
      <c r="C10" s="136" t="s">
        <v>78</v>
      </c>
      <c r="D10" s="137" t="s">
        <v>93</v>
      </c>
      <c r="E10" s="138">
        <v>3</v>
      </c>
      <c r="H10" s="139"/>
      <c r="I10" s="139"/>
    </row>
    <row r="11" spans="1:9" ht="18" customHeight="1" x14ac:dyDescent="0.15">
      <c r="A11" s="136">
        <v>9</v>
      </c>
      <c r="B11" s="136" t="s">
        <v>94</v>
      </c>
      <c r="C11" s="136" t="s">
        <v>78</v>
      </c>
      <c r="D11" s="137" t="s">
        <v>95</v>
      </c>
      <c r="E11" s="138">
        <v>2</v>
      </c>
      <c r="H11" s="140"/>
      <c r="I11" s="139"/>
    </row>
    <row r="12" spans="1:9" ht="18" customHeight="1" x14ac:dyDescent="0.15">
      <c r="A12" s="136">
        <v>10</v>
      </c>
      <c r="B12" s="136" t="s">
        <v>96</v>
      </c>
      <c r="C12" s="136" t="s">
        <v>78</v>
      </c>
      <c r="D12" s="137" t="s">
        <v>97</v>
      </c>
      <c r="E12" s="138">
        <v>2</v>
      </c>
      <c r="H12" s="139"/>
      <c r="I12" s="139"/>
    </row>
    <row r="13" spans="1:9" ht="18" customHeight="1" x14ac:dyDescent="0.15">
      <c r="A13" s="136">
        <v>11</v>
      </c>
      <c r="B13" s="136" t="s">
        <v>98</v>
      </c>
      <c r="C13" s="136" t="s">
        <v>78</v>
      </c>
      <c r="D13" s="137" t="s">
        <v>99</v>
      </c>
      <c r="E13" s="138">
        <v>1</v>
      </c>
      <c r="H13" s="139"/>
      <c r="I13" s="139"/>
    </row>
    <row r="14" spans="1:9" ht="18" customHeight="1" x14ac:dyDescent="0.15">
      <c r="A14" s="136">
        <v>12</v>
      </c>
      <c r="B14" s="136" t="s">
        <v>100</v>
      </c>
      <c r="C14" s="136" t="s">
        <v>78</v>
      </c>
      <c r="D14" s="137" t="s">
        <v>101</v>
      </c>
      <c r="E14" s="138">
        <v>3</v>
      </c>
      <c r="H14" s="139"/>
      <c r="I14" s="139"/>
    </row>
    <row r="15" spans="1:9" ht="18" customHeight="1" x14ac:dyDescent="0.15">
      <c r="A15" s="136">
        <v>13</v>
      </c>
      <c r="B15" s="136" t="s">
        <v>102</v>
      </c>
      <c r="C15" s="136" t="s">
        <v>78</v>
      </c>
      <c r="D15" s="137" t="s">
        <v>103</v>
      </c>
      <c r="E15" s="138">
        <v>2</v>
      </c>
    </row>
    <row r="18" spans="1:5" x14ac:dyDescent="0.15">
      <c r="A18" s="209" t="s">
        <v>104</v>
      </c>
      <c r="B18" s="210"/>
      <c r="C18" s="210"/>
      <c r="D18" s="210"/>
      <c r="E18" s="211"/>
    </row>
    <row r="19" spans="1:5" x14ac:dyDescent="0.15">
      <c r="A19" s="212"/>
      <c r="B19" s="213"/>
      <c r="C19" s="213"/>
      <c r="D19" s="213"/>
      <c r="E19" s="214"/>
    </row>
    <row r="20" spans="1:5" x14ac:dyDescent="0.15">
      <c r="A20" s="212"/>
      <c r="B20" s="213"/>
      <c r="C20" s="213"/>
      <c r="D20" s="213"/>
      <c r="E20" s="214"/>
    </row>
    <row r="21" spans="1:5" ht="35.25" customHeight="1" x14ac:dyDescent="0.15">
      <c r="A21" s="215"/>
      <c r="B21" s="216"/>
      <c r="C21" s="216"/>
      <c r="D21" s="216"/>
      <c r="E21" s="217"/>
    </row>
  </sheetData>
  <mergeCells count="1">
    <mergeCell ref="A18:E21"/>
  </mergeCells>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election activeCell="F29" sqref="F29"/>
    </sheetView>
  </sheetViews>
  <sheetFormatPr defaultColWidth="9" defaultRowHeight="12" x14ac:dyDescent="0.15"/>
  <cols>
    <col min="2" max="2" width="19.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115" customFormat="1" ht="21" customHeight="1" x14ac:dyDescent="0.15">
      <c r="A1" s="116"/>
      <c r="B1" s="218" t="s">
        <v>105</v>
      </c>
      <c r="C1" s="218"/>
      <c r="D1" s="218"/>
      <c r="E1" s="218"/>
      <c r="F1" s="117"/>
      <c r="G1" s="117"/>
      <c r="H1" s="117"/>
      <c r="I1" s="117"/>
      <c r="J1" s="131"/>
      <c r="K1" s="117"/>
    </row>
    <row r="2" spans="1:11" s="115" customFormat="1" ht="33" customHeight="1" x14ac:dyDescent="0.15">
      <c r="A2" s="118"/>
      <c r="B2" s="219" t="s">
        <v>106</v>
      </c>
      <c r="C2" s="220"/>
      <c r="D2" s="220"/>
      <c r="E2" s="220"/>
      <c r="F2" s="220"/>
      <c r="G2" s="220"/>
      <c r="H2" s="220"/>
      <c r="I2" s="220"/>
      <c r="J2" s="132"/>
    </row>
    <row r="3" spans="1:11" s="115" customFormat="1" ht="12.75" customHeight="1" x14ac:dyDescent="0.15">
      <c r="B3" s="119"/>
      <c r="C3" s="119"/>
      <c r="D3" s="119"/>
      <c r="E3" s="119"/>
      <c r="F3" s="119"/>
      <c r="G3" s="119"/>
      <c r="H3" s="119"/>
      <c r="I3" s="119"/>
      <c r="J3" s="132"/>
    </row>
    <row r="4" spans="1:11" s="115" customFormat="1" ht="30" customHeight="1" x14ac:dyDescent="0.15">
      <c r="A4" s="120"/>
      <c r="B4" s="121" t="s">
        <v>107</v>
      </c>
      <c r="C4" s="122">
        <v>43101</v>
      </c>
      <c r="D4" s="221" t="s">
        <v>108</v>
      </c>
      <c r="E4" s="222"/>
      <c r="F4" s="123">
        <f>(C6*D6+C7*D7+C8*D8+C9*D9+C10*D10+C11*D11+C12*D12)/21.75</f>
        <v>16.091954022988499</v>
      </c>
      <c r="G4" s="119"/>
      <c r="H4" s="119"/>
      <c r="I4" s="119"/>
      <c r="J4" s="132"/>
    </row>
    <row r="5" spans="1:11" ht="20.100000000000001" customHeight="1" x14ac:dyDescent="0.15">
      <c r="B5" s="124" t="s">
        <v>109</v>
      </c>
      <c r="C5" s="124" t="s">
        <v>110</v>
      </c>
      <c r="D5" s="124" t="s">
        <v>111</v>
      </c>
      <c r="E5" s="125" t="s">
        <v>112</v>
      </c>
      <c r="F5" s="124" t="s">
        <v>113</v>
      </c>
      <c r="G5" s="124" t="s">
        <v>114</v>
      </c>
      <c r="I5" s="133" t="s">
        <v>30</v>
      </c>
    </row>
    <row r="6" spans="1:11" ht="20.100000000000001" customHeight="1" x14ac:dyDescent="0.15">
      <c r="B6" s="126" t="s">
        <v>115</v>
      </c>
      <c r="C6" s="127">
        <v>10</v>
      </c>
      <c r="D6" s="45">
        <v>5</v>
      </c>
      <c r="E6" s="128">
        <f>C4</f>
        <v>43101</v>
      </c>
      <c r="F6" s="128">
        <f>WORKDAY(E6,C6-1,'附录-节假日'!$A$2:$A$32)</f>
        <v>43112</v>
      </c>
      <c r="G6" s="44"/>
    </row>
    <row r="7" spans="1:11" ht="20.100000000000001" customHeight="1" x14ac:dyDescent="0.15">
      <c r="B7" s="126" t="s">
        <v>116</v>
      </c>
      <c r="C7" s="127">
        <v>10</v>
      </c>
      <c r="D7" s="45">
        <v>5</v>
      </c>
      <c r="E7" s="128">
        <f t="shared" ref="E7:E12" si="0">F6+1</f>
        <v>43113</v>
      </c>
      <c r="F7" s="128">
        <f>WORKDAY(E7,C7-1,'附录-节假日'!$A$2:$A$32)</f>
        <v>43125</v>
      </c>
      <c r="G7" s="44"/>
    </row>
    <row r="8" spans="1:11" ht="20.100000000000001" customHeight="1" x14ac:dyDescent="0.15">
      <c r="B8" s="126" t="s">
        <v>117</v>
      </c>
      <c r="C8" s="127">
        <v>10</v>
      </c>
      <c r="D8" s="45">
        <v>5</v>
      </c>
      <c r="E8" s="128">
        <f t="shared" si="0"/>
        <v>43126</v>
      </c>
      <c r="F8" s="128">
        <f>WORKDAY(E8,C8-1,'附录-节假日'!$A$2:$A$32)</f>
        <v>43139</v>
      </c>
      <c r="G8" s="44"/>
    </row>
    <row r="9" spans="1:11" ht="20.100000000000001" customHeight="1" x14ac:dyDescent="0.15">
      <c r="B9" s="126" t="s">
        <v>118</v>
      </c>
      <c r="C9" s="127">
        <v>10</v>
      </c>
      <c r="D9" s="45">
        <v>5</v>
      </c>
      <c r="E9" s="128">
        <f t="shared" si="0"/>
        <v>43140</v>
      </c>
      <c r="F9" s="128">
        <f>WORKDAY(E9,C9-1,'附录-节假日'!$A$2:$A$32)</f>
        <v>43164</v>
      </c>
      <c r="G9" s="44"/>
    </row>
    <row r="10" spans="1:11" ht="20.100000000000001" customHeight="1" x14ac:dyDescent="0.15">
      <c r="B10" s="126" t="s">
        <v>119</v>
      </c>
      <c r="C10" s="127">
        <v>10</v>
      </c>
      <c r="D10" s="45">
        <v>5</v>
      </c>
      <c r="E10" s="128">
        <f t="shared" si="0"/>
        <v>43165</v>
      </c>
      <c r="F10" s="128">
        <f>WORKDAY(E10,C10-1,'附录-节假日'!$A$2:$A$32)</f>
        <v>43178</v>
      </c>
      <c r="G10" s="44"/>
    </row>
    <row r="11" spans="1:11" ht="20.100000000000001" customHeight="1" x14ac:dyDescent="0.15">
      <c r="B11" s="126" t="s">
        <v>120</v>
      </c>
      <c r="C11" s="127">
        <v>10</v>
      </c>
      <c r="D11" s="45">
        <v>5</v>
      </c>
      <c r="E11" s="128">
        <f t="shared" si="0"/>
        <v>43179</v>
      </c>
      <c r="F11" s="128">
        <f>WORKDAY(E11,C11-1,'附录-节假日'!$A$2:$A$32)</f>
        <v>43192</v>
      </c>
      <c r="G11" s="44"/>
    </row>
    <row r="12" spans="1:11" ht="20.100000000000001" customHeight="1" x14ac:dyDescent="0.15">
      <c r="B12" s="126" t="s">
        <v>121</v>
      </c>
      <c r="C12" s="127">
        <v>10</v>
      </c>
      <c r="D12" s="45">
        <v>5</v>
      </c>
      <c r="E12" s="128">
        <f t="shared" si="0"/>
        <v>43193</v>
      </c>
      <c r="F12" s="128">
        <f>WORKDAY(E12,C12-1,'附录-节假日'!$A$2:$A$32)</f>
        <v>43208</v>
      </c>
      <c r="G12" s="44"/>
    </row>
    <row r="13" spans="1:11" x14ac:dyDescent="0.15">
      <c r="B13" s="129"/>
      <c r="D13" s="130"/>
    </row>
    <row r="15" spans="1:11" ht="12" customHeight="1" x14ac:dyDescent="0.15">
      <c r="B15" s="223" t="s">
        <v>122</v>
      </c>
      <c r="C15" s="224"/>
      <c r="D15" s="224"/>
      <c r="E15" s="224"/>
      <c r="F15" s="224"/>
      <c r="G15" s="225"/>
    </row>
    <row r="16" spans="1:11" x14ac:dyDescent="0.15">
      <c r="B16" s="226"/>
      <c r="C16" s="227"/>
      <c r="D16" s="227"/>
      <c r="E16" s="227"/>
      <c r="F16" s="227"/>
      <c r="G16" s="228"/>
    </row>
    <row r="17" spans="2:7" x14ac:dyDescent="0.15">
      <c r="B17" s="229"/>
      <c r="C17" s="230"/>
      <c r="D17" s="230"/>
      <c r="E17" s="230"/>
      <c r="F17" s="230"/>
      <c r="G17" s="231"/>
    </row>
  </sheetData>
  <mergeCells count="4">
    <mergeCell ref="B1:E1"/>
    <mergeCell ref="B2:I2"/>
    <mergeCell ref="D4:E4"/>
    <mergeCell ref="B15:G17"/>
  </mergeCells>
  <phoneticPr fontId="3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W87"/>
  <sheetViews>
    <sheetView workbookViewId="0">
      <selection activeCell="C5" sqref="C5:D5"/>
    </sheetView>
  </sheetViews>
  <sheetFormatPr defaultRowHeight="12" x14ac:dyDescent="0.15"/>
  <cols>
    <col min="1" max="1" width="3" style="1" customWidth="1"/>
    <col min="2" max="2" width="14.140625" style="1" customWidth="1"/>
    <col min="3" max="3" width="30.140625" style="51" customWidth="1"/>
    <col min="4" max="4" width="29"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2" customWidth="1"/>
    <col min="20" max="20" width="17.85546875" style="1" customWidth="1"/>
    <col min="21" max="22" width="9.140625" style="1"/>
    <col min="23" max="23" width="14.7109375" style="1" customWidth="1"/>
    <col min="24" max="16384" width="9.140625" style="1"/>
  </cols>
  <sheetData>
    <row r="1" spans="2:23" ht="21" customHeight="1" x14ac:dyDescent="0.15">
      <c r="B1" s="53" t="s">
        <v>123</v>
      </c>
    </row>
    <row r="2" spans="2:23" ht="90" customHeight="1" x14ac:dyDescent="0.15">
      <c r="B2" s="237" t="s">
        <v>124</v>
      </c>
      <c r="C2" s="237"/>
      <c r="D2" s="237"/>
      <c r="E2" s="164"/>
      <c r="F2" s="164"/>
      <c r="G2" s="164"/>
      <c r="H2" s="164"/>
      <c r="I2" s="69"/>
      <c r="K2" s="70"/>
      <c r="L2" s="70"/>
      <c r="M2" s="70"/>
      <c r="N2" s="71"/>
      <c r="O2" s="71"/>
      <c r="P2" s="71"/>
      <c r="Q2" s="71"/>
      <c r="R2" s="71"/>
      <c r="S2" s="71"/>
    </row>
    <row r="3" spans="2:23" s="17" customFormat="1" ht="30" customHeight="1" x14ac:dyDescent="0.15">
      <c r="B3" s="55" t="s">
        <v>125</v>
      </c>
      <c r="C3" s="221" t="s">
        <v>126</v>
      </c>
      <c r="D3" s="238"/>
      <c r="E3" s="238"/>
      <c r="F3" s="238"/>
      <c r="G3" s="238"/>
      <c r="H3" s="238"/>
      <c r="I3" s="238"/>
      <c r="J3" s="222"/>
      <c r="K3" s="60" t="s">
        <v>127</v>
      </c>
      <c r="L3" s="239" t="s">
        <v>128</v>
      </c>
      <c r="M3" s="240"/>
      <c r="N3" s="240"/>
      <c r="O3" s="240"/>
      <c r="P3" s="240"/>
      <c r="Q3" s="240"/>
      <c r="R3" s="240"/>
      <c r="S3" s="240"/>
      <c r="T3" s="77"/>
      <c r="U3" s="78"/>
      <c r="V3" s="78"/>
      <c r="W3" s="79"/>
    </row>
    <row r="4" spans="2:23" s="17" customFormat="1" ht="27" customHeight="1" x14ac:dyDescent="0.15">
      <c r="B4" s="55" t="s">
        <v>129</v>
      </c>
      <c r="C4" s="241" t="s">
        <v>130</v>
      </c>
      <c r="D4" s="242"/>
      <c r="E4" s="242"/>
      <c r="F4" s="242"/>
      <c r="G4" s="242"/>
      <c r="H4" s="242"/>
      <c r="I4" s="242"/>
      <c r="J4" s="242"/>
      <c r="K4" s="72" t="s">
        <v>131</v>
      </c>
      <c r="L4" s="243">
        <f>G5/C5*100%</f>
        <v>0</v>
      </c>
      <c r="M4" s="244"/>
      <c r="N4" s="245" t="s">
        <v>132</v>
      </c>
      <c r="O4" s="246"/>
      <c r="P4" s="232">
        <f>技术复杂度评估表!E1</f>
        <v>0.8899999999999999</v>
      </c>
      <c r="Q4" s="233"/>
      <c r="R4" s="233"/>
      <c r="S4" s="234"/>
      <c r="T4" s="80"/>
      <c r="U4" s="81"/>
      <c r="V4" s="81"/>
      <c r="W4" s="82"/>
    </row>
    <row r="5" spans="2:23" s="17" customFormat="1" ht="40.5" customHeight="1" x14ac:dyDescent="0.15">
      <c r="B5" s="56" t="s">
        <v>133</v>
      </c>
      <c r="C5" s="232">
        <f>SUM(U7:U74)</f>
        <v>97.766666666666666</v>
      </c>
      <c r="D5" s="233"/>
      <c r="E5" s="165"/>
      <c r="F5" s="39" t="s">
        <v>134</v>
      </c>
      <c r="G5" s="233">
        <f>SUM(V7:V74)</f>
        <v>0</v>
      </c>
      <c r="H5" s="233"/>
      <c r="I5" s="233"/>
      <c r="J5" s="234"/>
      <c r="K5" s="235" t="s">
        <v>135</v>
      </c>
      <c r="L5" s="236"/>
      <c r="M5" s="236"/>
      <c r="N5" s="236"/>
      <c r="O5" s="236"/>
      <c r="P5" s="236"/>
      <c r="Q5" s="236"/>
      <c r="R5" s="236"/>
      <c r="S5" s="236"/>
      <c r="T5" s="83"/>
      <c r="U5" s="84"/>
      <c r="V5" s="84"/>
      <c r="W5" s="85"/>
    </row>
    <row r="6" spans="2:23" s="17" customFormat="1" ht="27" customHeight="1" x14ac:dyDescent="0.15">
      <c r="B6" s="56" t="s">
        <v>72</v>
      </c>
      <c r="C6" s="58" t="s">
        <v>136</v>
      </c>
      <c r="D6" s="56" t="s">
        <v>137</v>
      </c>
      <c r="E6" s="56" t="s">
        <v>138</v>
      </c>
      <c r="F6" s="56" t="s">
        <v>139</v>
      </c>
      <c r="G6" s="59" t="s">
        <v>140</v>
      </c>
      <c r="H6" s="60" t="s">
        <v>141</v>
      </c>
      <c r="I6" s="60" t="s">
        <v>142</v>
      </c>
      <c r="J6" s="73" t="s">
        <v>143</v>
      </c>
      <c r="K6" s="73" t="s">
        <v>321</v>
      </c>
      <c r="L6" s="73" t="s">
        <v>322</v>
      </c>
      <c r="M6" s="73" t="s">
        <v>323</v>
      </c>
      <c r="N6" s="73" t="s">
        <v>324</v>
      </c>
      <c r="O6" s="73" t="s">
        <v>144</v>
      </c>
      <c r="P6" s="73" t="s">
        <v>145</v>
      </c>
      <c r="Q6" s="73" t="s">
        <v>146</v>
      </c>
      <c r="R6" s="73" t="s">
        <v>147</v>
      </c>
      <c r="S6" s="73" t="s">
        <v>148</v>
      </c>
      <c r="T6" s="73" t="s">
        <v>149</v>
      </c>
      <c r="U6" s="73" t="s">
        <v>150</v>
      </c>
      <c r="V6" s="86" t="s">
        <v>151</v>
      </c>
      <c r="W6" s="59" t="s">
        <v>152</v>
      </c>
    </row>
    <row r="7" spans="2:23" s="49" customFormat="1" ht="21" customHeight="1" x14ac:dyDescent="0.15">
      <c r="B7" s="61" t="str">
        <f t="shared" ref="B7:B70" ca="1" si="0">IF(ISBLANK(D7),"-",COUNT(OFFSET(B$6,0,0,ROW()-ROW(B$6)))+1)</f>
        <v>-</v>
      </c>
      <c r="C7" s="171" t="s">
        <v>260</v>
      </c>
      <c r="D7" s="172"/>
      <c r="E7" s="176" t="s">
        <v>318</v>
      </c>
      <c r="F7" s="176"/>
      <c r="G7" s="62"/>
      <c r="H7" s="63"/>
      <c r="I7" s="63"/>
      <c r="J7" s="62"/>
      <c r="K7" s="74"/>
      <c r="L7" s="74"/>
      <c r="M7" s="74"/>
      <c r="N7" s="74"/>
      <c r="O7" s="74"/>
      <c r="P7" s="75" t="str">
        <f>IF(OR(ISNUMBER(K7),ISNUMBER(L7),ISNUMBER(M7),ISNUMBER(N7),ISNUMBER(O7)),MIN(K7:O7),"")</f>
        <v/>
      </c>
      <c r="Q7" s="75" t="str">
        <f>IF(OR(ISNUMBER(K7),ISNUMBER(L7),ISNUMBER(M7),ISNUMBER(N7),ISNUMBER(O7)),AVERAGE(K7:O7),"")</f>
        <v/>
      </c>
      <c r="R7" s="75" t="str">
        <f>IF(OR(ISNUMBER(K7),ISNUMBER(L7),ISNUMBER(M7),ISNUMBER(N7),ISNUMBER(O7)),MAX(K7:O7),"")</f>
        <v/>
      </c>
      <c r="S7" s="87" t="str">
        <f>IF(AND(ISNUMBER(Q7),Q7&lt;&gt;0),MAX(Q7-P7,R7-Q7)/Q7,"")</f>
        <v/>
      </c>
      <c r="T7" s="88" t="s">
        <v>154</v>
      </c>
      <c r="U7" s="75" t="str">
        <f>IF(T7="N","",Q7)</f>
        <v/>
      </c>
      <c r="V7" s="89" t="str">
        <f>IF(I7="","",I7*U7/100)</f>
        <v/>
      </c>
      <c r="W7" s="90"/>
    </row>
    <row r="8" spans="2:23" s="49" customFormat="1" ht="21" customHeight="1" x14ac:dyDescent="0.15">
      <c r="B8" s="64">
        <f t="shared" ca="1" si="0"/>
        <v>1</v>
      </c>
      <c r="C8" s="173" t="s">
        <v>261</v>
      </c>
      <c r="D8" s="172" t="s">
        <v>262</v>
      </c>
      <c r="E8" s="176" t="s">
        <v>318</v>
      </c>
      <c r="F8" s="176" t="s">
        <v>153</v>
      </c>
      <c r="G8" s="62" t="s">
        <v>319</v>
      </c>
      <c r="H8" s="63" t="s">
        <v>155</v>
      </c>
      <c r="I8" s="63">
        <v>0</v>
      </c>
      <c r="J8" s="62" t="s">
        <v>320</v>
      </c>
      <c r="K8" s="74">
        <v>0.5</v>
      </c>
      <c r="L8" s="74">
        <v>0.3</v>
      </c>
      <c r="M8" s="74">
        <v>0.4</v>
      </c>
      <c r="N8" s="74">
        <v>0.5</v>
      </c>
      <c r="O8" s="76"/>
      <c r="P8" s="75">
        <f t="shared" ref="P8:P71" si="1">IF(OR(ISNUMBER(K8),ISNUMBER(L8),ISNUMBER(M8),ISNUMBER(N8),ISNUMBER(O8)),MIN(K8:O8),"")</f>
        <v>0.3</v>
      </c>
      <c r="Q8" s="75">
        <f t="shared" ref="Q8:Q71" si="2">IF(OR(ISNUMBER(K8),ISNUMBER(L8),ISNUMBER(M8),ISNUMBER(N8),ISNUMBER(O8)),AVERAGE(K8:O8),"")</f>
        <v>0.42500000000000004</v>
      </c>
      <c r="R8" s="75">
        <f t="shared" ref="R8:R71" si="3">IF(OR(ISNUMBER(K8),ISNUMBER(L8),ISNUMBER(M8),ISNUMBER(N8),ISNUMBER(O8)),MAX(K8:O8),"")</f>
        <v>0.5</v>
      </c>
      <c r="S8" s="87">
        <f t="shared" ref="S8:S71" si="4">IF(AND(ISNUMBER(Q8),Q8&lt;&gt;0),MAX(Q8-P8,R8-Q8)/Q8,"")</f>
        <v>0.29411764705882365</v>
      </c>
      <c r="T8" s="91" t="s">
        <v>154</v>
      </c>
      <c r="U8" s="75">
        <f t="shared" ref="U8:U71" si="5">IF(T8="N","",Q8)</f>
        <v>0.42500000000000004</v>
      </c>
      <c r="V8" s="89">
        <f t="shared" ref="V8:V16" si="6">IF(I8="","",I8*U8/100)</f>
        <v>0</v>
      </c>
      <c r="W8" s="92"/>
    </row>
    <row r="9" spans="2:23" s="49" customFormat="1" ht="21" customHeight="1" x14ac:dyDescent="0.15">
      <c r="B9" s="64">
        <f t="shared" ca="1" si="0"/>
        <v>2</v>
      </c>
      <c r="C9" s="173" t="s">
        <v>263</v>
      </c>
      <c r="D9" s="172" t="s">
        <v>264</v>
      </c>
      <c r="E9" s="176" t="s">
        <v>318</v>
      </c>
      <c r="F9" s="177" t="s">
        <v>153</v>
      </c>
      <c r="G9" s="66" t="s">
        <v>319</v>
      </c>
      <c r="H9" s="63" t="s">
        <v>155</v>
      </c>
      <c r="I9" s="63">
        <v>0</v>
      </c>
      <c r="J9" s="66" t="s">
        <v>320</v>
      </c>
      <c r="K9" s="76">
        <v>3</v>
      </c>
      <c r="L9" s="76">
        <v>4</v>
      </c>
      <c r="M9" s="76">
        <v>2.5</v>
      </c>
      <c r="N9" s="76">
        <v>4</v>
      </c>
      <c r="O9" s="76"/>
      <c r="P9" s="75">
        <f t="shared" si="1"/>
        <v>2.5</v>
      </c>
      <c r="Q9" s="75">
        <f t="shared" si="2"/>
        <v>3.375</v>
      </c>
      <c r="R9" s="75">
        <f t="shared" si="3"/>
        <v>4</v>
      </c>
      <c r="S9" s="87">
        <f t="shared" si="4"/>
        <v>0.25925925925925924</v>
      </c>
      <c r="T9" s="91" t="s">
        <v>154</v>
      </c>
      <c r="U9" s="75">
        <f t="shared" si="5"/>
        <v>3.375</v>
      </c>
      <c r="V9" s="89">
        <f t="shared" si="6"/>
        <v>0</v>
      </c>
      <c r="W9" s="93"/>
    </row>
    <row r="10" spans="2:23" s="49" customFormat="1" ht="21" customHeight="1" x14ac:dyDescent="0.15">
      <c r="B10" s="64">
        <f t="shared" ca="1" si="0"/>
        <v>3</v>
      </c>
      <c r="C10" s="173" t="s">
        <v>265</v>
      </c>
      <c r="D10" s="172" t="s">
        <v>266</v>
      </c>
      <c r="E10" s="176" t="s">
        <v>318</v>
      </c>
      <c r="F10" s="177" t="s">
        <v>153</v>
      </c>
      <c r="G10" s="66" t="s">
        <v>319</v>
      </c>
      <c r="H10" s="63" t="s">
        <v>155</v>
      </c>
      <c r="I10" s="63">
        <v>0</v>
      </c>
      <c r="J10" s="66" t="s">
        <v>320</v>
      </c>
      <c r="K10" s="76">
        <v>4</v>
      </c>
      <c r="L10" s="76">
        <v>4</v>
      </c>
      <c r="M10" s="76">
        <v>3</v>
      </c>
      <c r="N10" s="76">
        <v>4</v>
      </c>
      <c r="O10" s="76"/>
      <c r="P10" s="75">
        <f t="shared" si="1"/>
        <v>3</v>
      </c>
      <c r="Q10" s="75">
        <f t="shared" si="2"/>
        <v>3.75</v>
      </c>
      <c r="R10" s="75">
        <f t="shared" si="3"/>
        <v>4</v>
      </c>
      <c r="S10" s="87">
        <f t="shared" si="4"/>
        <v>0.2</v>
      </c>
      <c r="T10" s="91" t="s">
        <v>154</v>
      </c>
      <c r="U10" s="75">
        <f t="shared" si="5"/>
        <v>3.75</v>
      </c>
      <c r="V10" s="89">
        <f t="shared" si="6"/>
        <v>0</v>
      </c>
      <c r="W10" s="93"/>
    </row>
    <row r="11" spans="2:23" s="49" customFormat="1" ht="21" customHeight="1" x14ac:dyDescent="0.15">
      <c r="B11" s="64">
        <f t="shared" ca="1" si="0"/>
        <v>4</v>
      </c>
      <c r="C11" s="173" t="s">
        <v>267</v>
      </c>
      <c r="D11" s="172" t="s">
        <v>268</v>
      </c>
      <c r="E11" s="176" t="s">
        <v>318</v>
      </c>
      <c r="F11" s="177" t="s">
        <v>153</v>
      </c>
      <c r="G11" s="66" t="s">
        <v>319</v>
      </c>
      <c r="H11" s="63" t="s">
        <v>155</v>
      </c>
      <c r="I11" s="63">
        <v>0</v>
      </c>
      <c r="J11" s="66" t="s">
        <v>320</v>
      </c>
      <c r="K11" s="76">
        <v>1.5</v>
      </c>
      <c r="L11" s="76">
        <v>2</v>
      </c>
      <c r="M11" s="76">
        <v>1.2</v>
      </c>
      <c r="N11" s="76">
        <v>1.5</v>
      </c>
      <c r="O11" s="76"/>
      <c r="P11" s="75">
        <f t="shared" si="1"/>
        <v>1.2</v>
      </c>
      <c r="Q11" s="75">
        <f t="shared" si="2"/>
        <v>1.55</v>
      </c>
      <c r="R11" s="75">
        <f t="shared" si="3"/>
        <v>2</v>
      </c>
      <c r="S11" s="87">
        <f t="shared" si="4"/>
        <v>0.29032258064516125</v>
      </c>
      <c r="T11" s="91" t="s">
        <v>154</v>
      </c>
      <c r="U11" s="75">
        <f t="shared" si="5"/>
        <v>1.55</v>
      </c>
      <c r="V11" s="89">
        <f t="shared" si="6"/>
        <v>0</v>
      </c>
      <c r="W11" s="93"/>
    </row>
    <row r="12" spans="2:23" s="49" customFormat="1" ht="21" customHeight="1" x14ac:dyDescent="0.15">
      <c r="B12" s="64">
        <f t="shared" ca="1" si="0"/>
        <v>5</v>
      </c>
      <c r="C12" s="173" t="s">
        <v>269</v>
      </c>
      <c r="D12" s="172" t="s">
        <v>270</v>
      </c>
      <c r="E12" s="176" t="s">
        <v>318</v>
      </c>
      <c r="F12" s="177" t="s">
        <v>153</v>
      </c>
      <c r="G12" s="66" t="s">
        <v>319</v>
      </c>
      <c r="H12" s="63" t="s">
        <v>155</v>
      </c>
      <c r="I12" s="63">
        <v>0</v>
      </c>
      <c r="J12" s="66" t="s">
        <v>320</v>
      </c>
      <c r="K12" s="76">
        <v>1.5</v>
      </c>
      <c r="L12" s="76">
        <v>1.5</v>
      </c>
      <c r="M12" s="76">
        <v>2</v>
      </c>
      <c r="N12" s="76">
        <v>2</v>
      </c>
      <c r="O12" s="76"/>
      <c r="P12" s="75">
        <f t="shared" si="1"/>
        <v>1.5</v>
      </c>
      <c r="Q12" s="75">
        <f t="shared" si="2"/>
        <v>1.75</v>
      </c>
      <c r="R12" s="75">
        <f t="shared" si="3"/>
        <v>2</v>
      </c>
      <c r="S12" s="87">
        <f t="shared" si="4"/>
        <v>0.14285714285714285</v>
      </c>
      <c r="T12" s="91" t="s">
        <v>154</v>
      </c>
      <c r="U12" s="75">
        <f t="shared" si="5"/>
        <v>1.75</v>
      </c>
      <c r="V12" s="89">
        <f t="shared" si="6"/>
        <v>0</v>
      </c>
      <c r="W12" s="93"/>
    </row>
    <row r="13" spans="2:23" s="49" customFormat="1" ht="21" customHeight="1" x14ac:dyDescent="0.15">
      <c r="B13" s="64">
        <f t="shared" ca="1" si="0"/>
        <v>6</v>
      </c>
      <c r="C13" s="173" t="s">
        <v>271</v>
      </c>
      <c r="D13" s="172" t="s">
        <v>272</v>
      </c>
      <c r="E13" s="176" t="s">
        <v>318</v>
      </c>
      <c r="F13" s="177" t="s">
        <v>153</v>
      </c>
      <c r="G13" s="66" t="s">
        <v>319</v>
      </c>
      <c r="H13" s="63" t="s">
        <v>155</v>
      </c>
      <c r="I13" s="63">
        <v>0</v>
      </c>
      <c r="J13" s="66" t="s">
        <v>320</v>
      </c>
      <c r="K13" s="76">
        <v>5</v>
      </c>
      <c r="L13" s="76">
        <v>4</v>
      </c>
      <c r="M13" s="76">
        <v>5</v>
      </c>
      <c r="N13" s="76">
        <v>5</v>
      </c>
      <c r="O13" s="76"/>
      <c r="P13" s="75">
        <f t="shared" si="1"/>
        <v>4</v>
      </c>
      <c r="Q13" s="75">
        <f t="shared" si="2"/>
        <v>4.75</v>
      </c>
      <c r="R13" s="75">
        <f t="shared" si="3"/>
        <v>5</v>
      </c>
      <c r="S13" s="87">
        <f t="shared" si="4"/>
        <v>0.15789473684210525</v>
      </c>
      <c r="T13" s="91" t="s">
        <v>154</v>
      </c>
      <c r="U13" s="75">
        <f t="shared" si="5"/>
        <v>4.75</v>
      </c>
      <c r="V13" s="89">
        <f t="shared" si="6"/>
        <v>0</v>
      </c>
      <c r="W13" s="93"/>
    </row>
    <row r="14" spans="2:23" s="49" customFormat="1" ht="21" customHeight="1" x14ac:dyDescent="0.15">
      <c r="B14" s="64">
        <f t="shared" ca="1" si="0"/>
        <v>7</v>
      </c>
      <c r="C14" s="173" t="s">
        <v>273</v>
      </c>
      <c r="D14" s="172" t="s">
        <v>274</v>
      </c>
      <c r="E14" s="176" t="s">
        <v>318</v>
      </c>
      <c r="F14" s="177" t="s">
        <v>153</v>
      </c>
      <c r="G14" s="66" t="s">
        <v>319</v>
      </c>
      <c r="H14" s="63" t="s">
        <v>155</v>
      </c>
      <c r="I14" s="63">
        <v>0</v>
      </c>
      <c r="J14" s="66" t="s">
        <v>320</v>
      </c>
      <c r="K14" s="76">
        <v>2</v>
      </c>
      <c r="L14" s="76">
        <v>2</v>
      </c>
      <c r="M14" s="76">
        <v>2</v>
      </c>
      <c r="N14" s="76">
        <v>2</v>
      </c>
      <c r="O14" s="76"/>
      <c r="P14" s="75">
        <f t="shared" si="1"/>
        <v>2</v>
      </c>
      <c r="Q14" s="75">
        <f t="shared" si="2"/>
        <v>2</v>
      </c>
      <c r="R14" s="75">
        <f t="shared" si="3"/>
        <v>2</v>
      </c>
      <c r="S14" s="87">
        <f t="shared" si="4"/>
        <v>0</v>
      </c>
      <c r="T14" s="91" t="s">
        <v>154</v>
      </c>
      <c r="U14" s="75">
        <f t="shared" si="5"/>
        <v>2</v>
      </c>
      <c r="V14" s="89">
        <f t="shared" si="6"/>
        <v>0</v>
      </c>
      <c r="W14" s="93"/>
    </row>
    <row r="15" spans="2:23" s="49" customFormat="1" ht="21" customHeight="1" x14ac:dyDescent="0.15">
      <c r="B15" s="64">
        <f t="shared" ca="1" si="0"/>
        <v>8</v>
      </c>
      <c r="C15" s="173" t="s">
        <v>275</v>
      </c>
      <c r="D15" s="172" t="s">
        <v>276</v>
      </c>
      <c r="E15" s="176" t="s">
        <v>318</v>
      </c>
      <c r="F15" s="177" t="s">
        <v>153</v>
      </c>
      <c r="G15" s="66" t="s">
        <v>319</v>
      </c>
      <c r="H15" s="63" t="s">
        <v>155</v>
      </c>
      <c r="I15" s="63">
        <v>0</v>
      </c>
      <c r="J15" s="66" t="s">
        <v>320</v>
      </c>
      <c r="K15" s="76">
        <v>4</v>
      </c>
      <c r="L15" s="76">
        <v>3</v>
      </c>
      <c r="M15" s="76">
        <v>5</v>
      </c>
      <c r="N15" s="76">
        <v>5</v>
      </c>
      <c r="O15" s="76"/>
      <c r="P15" s="75">
        <f t="shared" si="1"/>
        <v>3</v>
      </c>
      <c r="Q15" s="75">
        <f t="shared" si="2"/>
        <v>4.25</v>
      </c>
      <c r="R15" s="75">
        <f t="shared" si="3"/>
        <v>5</v>
      </c>
      <c r="S15" s="87">
        <f t="shared" si="4"/>
        <v>0.29411764705882354</v>
      </c>
      <c r="T15" s="91" t="s">
        <v>154</v>
      </c>
      <c r="U15" s="75">
        <f t="shared" si="5"/>
        <v>4.25</v>
      </c>
      <c r="V15" s="89">
        <f t="shared" si="6"/>
        <v>0</v>
      </c>
      <c r="W15" s="93"/>
    </row>
    <row r="16" spans="2:23" s="49" customFormat="1" ht="21" customHeight="1" x14ac:dyDescent="0.15">
      <c r="B16" s="64">
        <f t="shared" ca="1" si="0"/>
        <v>9</v>
      </c>
      <c r="C16" s="173" t="s">
        <v>277</v>
      </c>
      <c r="D16" s="172" t="s">
        <v>278</v>
      </c>
      <c r="E16" s="176" t="s">
        <v>318</v>
      </c>
      <c r="F16" s="177" t="s">
        <v>153</v>
      </c>
      <c r="G16" s="66" t="s">
        <v>319</v>
      </c>
      <c r="H16" s="63" t="s">
        <v>155</v>
      </c>
      <c r="I16" s="63">
        <v>0</v>
      </c>
      <c r="J16" s="66" t="s">
        <v>320</v>
      </c>
      <c r="K16" s="76">
        <v>7</v>
      </c>
      <c r="L16" s="76">
        <v>7</v>
      </c>
      <c r="M16" s="76">
        <v>7</v>
      </c>
      <c r="N16" s="76">
        <v>8</v>
      </c>
      <c r="O16" s="76"/>
      <c r="P16" s="75">
        <f t="shared" si="1"/>
        <v>7</v>
      </c>
      <c r="Q16" s="75">
        <f t="shared" si="2"/>
        <v>7.25</v>
      </c>
      <c r="R16" s="75">
        <f t="shared" si="3"/>
        <v>8</v>
      </c>
      <c r="S16" s="87">
        <f t="shared" si="4"/>
        <v>0.10344827586206896</v>
      </c>
      <c r="T16" s="91" t="s">
        <v>154</v>
      </c>
      <c r="U16" s="75">
        <f t="shared" si="5"/>
        <v>7.25</v>
      </c>
      <c r="V16" s="89">
        <f t="shared" si="6"/>
        <v>0</v>
      </c>
      <c r="W16" s="93"/>
    </row>
    <row r="17" spans="2:23" s="49" customFormat="1" ht="21" customHeight="1" x14ac:dyDescent="0.15">
      <c r="B17" s="64">
        <f t="shared" ca="1" si="0"/>
        <v>10</v>
      </c>
      <c r="C17" s="173" t="s">
        <v>279</v>
      </c>
      <c r="D17" s="172" t="s">
        <v>280</v>
      </c>
      <c r="E17" s="176" t="s">
        <v>318</v>
      </c>
      <c r="F17" s="177" t="s">
        <v>153</v>
      </c>
      <c r="G17" s="66" t="s">
        <v>319</v>
      </c>
      <c r="H17" s="63" t="s">
        <v>155</v>
      </c>
      <c r="I17" s="63">
        <v>0</v>
      </c>
      <c r="J17" s="66" t="s">
        <v>320</v>
      </c>
      <c r="K17" s="76">
        <v>5</v>
      </c>
      <c r="L17" s="76">
        <v>4.5</v>
      </c>
      <c r="M17" s="76">
        <v>6</v>
      </c>
      <c r="N17" s="76">
        <v>5</v>
      </c>
      <c r="O17" s="76"/>
      <c r="P17" s="75">
        <f t="shared" si="1"/>
        <v>4.5</v>
      </c>
      <c r="Q17" s="75">
        <f t="shared" si="2"/>
        <v>5.125</v>
      </c>
      <c r="R17" s="75">
        <f t="shared" si="3"/>
        <v>6</v>
      </c>
      <c r="S17" s="87">
        <f t="shared" si="4"/>
        <v>0.17073170731707318</v>
      </c>
      <c r="T17" s="91" t="s">
        <v>154</v>
      </c>
      <c r="U17" s="75">
        <f t="shared" si="5"/>
        <v>5.125</v>
      </c>
      <c r="V17" s="89"/>
      <c r="W17" s="93"/>
    </row>
    <row r="18" spans="2:23" s="49" customFormat="1" ht="21" customHeight="1" x14ac:dyDescent="0.15">
      <c r="B18" s="64">
        <f t="shared" ca="1" si="0"/>
        <v>11</v>
      </c>
      <c r="C18" s="173" t="s">
        <v>281</v>
      </c>
      <c r="D18" s="172" t="s">
        <v>282</v>
      </c>
      <c r="E18" s="176" t="s">
        <v>318</v>
      </c>
      <c r="F18" s="177" t="s">
        <v>153</v>
      </c>
      <c r="G18" s="66" t="s">
        <v>319</v>
      </c>
      <c r="H18" s="63" t="s">
        <v>155</v>
      </c>
      <c r="I18" s="63">
        <v>0</v>
      </c>
      <c r="J18" s="66" t="s">
        <v>320</v>
      </c>
      <c r="K18" s="76">
        <v>4.5</v>
      </c>
      <c r="L18" s="76">
        <v>4</v>
      </c>
      <c r="M18" s="76">
        <v>2.8</v>
      </c>
      <c r="N18" s="76">
        <v>4</v>
      </c>
      <c r="O18" s="76"/>
      <c r="P18" s="75">
        <f t="shared" si="1"/>
        <v>2.8</v>
      </c>
      <c r="Q18" s="75">
        <f t="shared" si="2"/>
        <v>3.8250000000000002</v>
      </c>
      <c r="R18" s="75">
        <f t="shared" si="3"/>
        <v>4.5</v>
      </c>
      <c r="S18" s="87">
        <f t="shared" si="4"/>
        <v>0.26797385620915043</v>
      </c>
      <c r="T18" s="91" t="s">
        <v>154</v>
      </c>
      <c r="U18" s="75">
        <f t="shared" si="5"/>
        <v>3.8250000000000002</v>
      </c>
      <c r="V18" s="89"/>
      <c r="W18" s="93"/>
    </row>
    <row r="19" spans="2:23" s="49" customFormat="1" ht="21" customHeight="1" x14ac:dyDescent="0.15">
      <c r="B19" s="64">
        <f t="shared" ca="1" si="0"/>
        <v>12</v>
      </c>
      <c r="C19" s="173" t="s">
        <v>283</v>
      </c>
      <c r="D19" s="172" t="s">
        <v>284</v>
      </c>
      <c r="E19" s="176" t="s">
        <v>318</v>
      </c>
      <c r="F19" s="177" t="s">
        <v>153</v>
      </c>
      <c r="G19" s="66" t="s">
        <v>319</v>
      </c>
      <c r="H19" s="63" t="s">
        <v>155</v>
      </c>
      <c r="I19" s="63">
        <v>0</v>
      </c>
      <c r="J19" s="66" t="s">
        <v>320</v>
      </c>
      <c r="K19" s="76">
        <v>2.5</v>
      </c>
      <c r="L19" s="76">
        <v>2.5</v>
      </c>
      <c r="M19" s="76">
        <v>2.5</v>
      </c>
      <c r="N19" s="76">
        <v>2.5</v>
      </c>
      <c r="O19" s="76"/>
      <c r="P19" s="75">
        <f t="shared" si="1"/>
        <v>2.5</v>
      </c>
      <c r="Q19" s="75">
        <f t="shared" si="2"/>
        <v>2.5</v>
      </c>
      <c r="R19" s="75">
        <f t="shared" si="3"/>
        <v>2.5</v>
      </c>
      <c r="S19" s="87">
        <f t="shared" si="4"/>
        <v>0</v>
      </c>
      <c r="T19" s="91"/>
      <c r="U19" s="75">
        <f t="shared" si="5"/>
        <v>2.5</v>
      </c>
      <c r="V19" s="89"/>
      <c r="W19" s="93"/>
    </row>
    <row r="20" spans="2:23" s="49" customFormat="1" ht="21" customHeight="1" x14ac:dyDescent="0.15">
      <c r="B20" s="64">
        <f t="shared" ca="1" si="0"/>
        <v>13</v>
      </c>
      <c r="C20" s="173" t="s">
        <v>285</v>
      </c>
      <c r="D20" s="172" t="s">
        <v>286</v>
      </c>
      <c r="E20" s="176" t="s">
        <v>318</v>
      </c>
      <c r="F20" s="177" t="s">
        <v>153</v>
      </c>
      <c r="G20" s="66" t="s">
        <v>319</v>
      </c>
      <c r="H20" s="63" t="s">
        <v>155</v>
      </c>
      <c r="I20" s="63">
        <v>0</v>
      </c>
      <c r="J20" s="66" t="s">
        <v>320</v>
      </c>
      <c r="K20" s="76">
        <v>2</v>
      </c>
      <c r="L20" s="76">
        <v>2.5</v>
      </c>
      <c r="M20" s="76">
        <v>2</v>
      </c>
      <c r="N20" s="76">
        <v>2</v>
      </c>
      <c r="O20" s="76"/>
      <c r="P20" s="75">
        <f t="shared" si="1"/>
        <v>2</v>
      </c>
      <c r="Q20" s="75">
        <f t="shared" si="2"/>
        <v>2.125</v>
      </c>
      <c r="R20" s="75">
        <f t="shared" si="3"/>
        <v>2.5</v>
      </c>
      <c r="S20" s="87">
        <f t="shared" si="4"/>
        <v>0.17647058823529413</v>
      </c>
      <c r="T20" s="91"/>
      <c r="U20" s="75">
        <f t="shared" si="5"/>
        <v>2.125</v>
      </c>
      <c r="V20" s="89"/>
      <c r="W20" s="93"/>
    </row>
    <row r="21" spans="2:23" s="49" customFormat="1" ht="21" customHeight="1" x14ac:dyDescent="0.15">
      <c r="B21" s="64">
        <f t="shared" ca="1" si="0"/>
        <v>14</v>
      </c>
      <c r="C21" s="173" t="s">
        <v>287</v>
      </c>
      <c r="D21" s="172" t="s">
        <v>288</v>
      </c>
      <c r="E21" s="176" t="s">
        <v>318</v>
      </c>
      <c r="F21" s="177" t="s">
        <v>153</v>
      </c>
      <c r="G21" s="66" t="s">
        <v>319</v>
      </c>
      <c r="H21" s="63" t="s">
        <v>155</v>
      </c>
      <c r="I21" s="63">
        <v>0</v>
      </c>
      <c r="J21" s="66" t="s">
        <v>320</v>
      </c>
      <c r="K21" s="76">
        <v>1</v>
      </c>
      <c r="L21" s="76">
        <v>1</v>
      </c>
      <c r="M21" s="76">
        <v>1</v>
      </c>
      <c r="N21" s="76">
        <v>1</v>
      </c>
      <c r="O21" s="76"/>
      <c r="P21" s="75">
        <f t="shared" si="1"/>
        <v>1</v>
      </c>
      <c r="Q21" s="75">
        <f t="shared" si="2"/>
        <v>1</v>
      </c>
      <c r="R21" s="75">
        <f t="shared" si="3"/>
        <v>1</v>
      </c>
      <c r="S21" s="87">
        <f t="shared" si="4"/>
        <v>0</v>
      </c>
      <c r="T21" s="91"/>
      <c r="U21" s="75">
        <f t="shared" si="5"/>
        <v>1</v>
      </c>
      <c r="V21" s="89"/>
      <c r="W21" s="93"/>
    </row>
    <row r="22" spans="2:23" s="49" customFormat="1" ht="21" customHeight="1" x14ac:dyDescent="0.15">
      <c r="B22" s="64">
        <f t="shared" ca="1" si="0"/>
        <v>15</v>
      </c>
      <c r="C22" s="173" t="s">
        <v>289</v>
      </c>
      <c r="D22" s="172" t="s">
        <v>290</v>
      </c>
      <c r="E22" s="176" t="s">
        <v>318</v>
      </c>
      <c r="F22" s="177" t="s">
        <v>153</v>
      </c>
      <c r="G22" s="66" t="s">
        <v>319</v>
      </c>
      <c r="H22" s="63" t="s">
        <v>155</v>
      </c>
      <c r="I22" s="63">
        <v>0</v>
      </c>
      <c r="J22" s="66" t="s">
        <v>320</v>
      </c>
      <c r="K22" s="76">
        <v>8</v>
      </c>
      <c r="L22" s="76">
        <v>7</v>
      </c>
      <c r="M22" s="76">
        <v>7.5</v>
      </c>
      <c r="N22" s="76">
        <v>8</v>
      </c>
      <c r="O22" s="76"/>
      <c r="P22" s="75">
        <f t="shared" si="1"/>
        <v>7</v>
      </c>
      <c r="Q22" s="75">
        <f t="shared" si="2"/>
        <v>7.625</v>
      </c>
      <c r="R22" s="75">
        <f t="shared" si="3"/>
        <v>8</v>
      </c>
      <c r="S22" s="87">
        <f t="shared" si="4"/>
        <v>8.1967213114754092E-2</v>
      </c>
      <c r="T22" s="91"/>
      <c r="U22" s="75">
        <f t="shared" si="5"/>
        <v>7.625</v>
      </c>
      <c r="V22" s="89"/>
      <c r="W22" s="93"/>
    </row>
    <row r="23" spans="2:23" s="49" customFormat="1" ht="21" customHeight="1" x14ac:dyDescent="0.15">
      <c r="B23" s="64">
        <f t="shared" ca="1" si="0"/>
        <v>16</v>
      </c>
      <c r="C23" s="173" t="s">
        <v>291</v>
      </c>
      <c r="D23" s="172" t="s">
        <v>292</v>
      </c>
      <c r="E23" s="176" t="s">
        <v>318</v>
      </c>
      <c r="F23" s="177" t="s">
        <v>153</v>
      </c>
      <c r="G23" s="66" t="s">
        <v>319</v>
      </c>
      <c r="H23" s="63" t="s">
        <v>155</v>
      </c>
      <c r="I23" s="63">
        <v>0</v>
      </c>
      <c r="J23" s="66" t="s">
        <v>320</v>
      </c>
      <c r="K23" s="76">
        <v>2</v>
      </c>
      <c r="L23" s="76">
        <v>2.5</v>
      </c>
      <c r="M23" s="76">
        <v>2</v>
      </c>
      <c r="N23" s="76">
        <v>2</v>
      </c>
      <c r="O23" s="76"/>
      <c r="P23" s="75">
        <f t="shared" si="1"/>
        <v>2</v>
      </c>
      <c r="Q23" s="75">
        <f t="shared" si="2"/>
        <v>2.125</v>
      </c>
      <c r="R23" s="75">
        <f t="shared" si="3"/>
        <v>2.5</v>
      </c>
      <c r="S23" s="87">
        <f t="shared" si="4"/>
        <v>0.17647058823529413</v>
      </c>
      <c r="T23" s="91"/>
      <c r="U23" s="75">
        <f t="shared" si="5"/>
        <v>2.125</v>
      </c>
      <c r="V23" s="89"/>
      <c r="W23" s="93"/>
    </row>
    <row r="24" spans="2:23" s="49" customFormat="1" ht="21" customHeight="1" x14ac:dyDescent="0.15">
      <c r="B24" s="64">
        <f t="shared" ca="1" si="0"/>
        <v>17</v>
      </c>
      <c r="C24" s="173" t="s">
        <v>293</v>
      </c>
      <c r="D24" s="172" t="s">
        <v>294</v>
      </c>
      <c r="E24" s="176" t="s">
        <v>318</v>
      </c>
      <c r="F24" s="177" t="s">
        <v>153</v>
      </c>
      <c r="G24" s="66" t="s">
        <v>319</v>
      </c>
      <c r="H24" s="63" t="s">
        <v>155</v>
      </c>
      <c r="I24" s="63">
        <v>0</v>
      </c>
      <c r="J24" s="66" t="s">
        <v>320</v>
      </c>
      <c r="K24" s="76">
        <v>0.4</v>
      </c>
      <c r="L24" s="76">
        <v>0.5</v>
      </c>
      <c r="M24" s="76">
        <v>0.5</v>
      </c>
      <c r="N24" s="76">
        <v>0.5</v>
      </c>
      <c r="O24" s="76"/>
      <c r="P24" s="75">
        <f t="shared" si="1"/>
        <v>0.4</v>
      </c>
      <c r="Q24" s="75">
        <f t="shared" si="2"/>
        <v>0.47499999999999998</v>
      </c>
      <c r="R24" s="75">
        <f t="shared" si="3"/>
        <v>0.5</v>
      </c>
      <c r="S24" s="87">
        <f t="shared" si="4"/>
        <v>0.15789473684210517</v>
      </c>
      <c r="T24" s="91"/>
      <c r="U24" s="75">
        <f t="shared" si="5"/>
        <v>0.47499999999999998</v>
      </c>
      <c r="V24" s="89"/>
      <c r="W24" s="93"/>
    </row>
    <row r="25" spans="2:23" s="49" customFormat="1" ht="21" customHeight="1" x14ac:dyDescent="0.15">
      <c r="B25" s="64">
        <f t="shared" ca="1" si="0"/>
        <v>18</v>
      </c>
      <c r="C25" s="173" t="s">
        <v>295</v>
      </c>
      <c r="D25" s="172" t="s">
        <v>295</v>
      </c>
      <c r="E25" s="176" t="s">
        <v>318</v>
      </c>
      <c r="F25" s="177" t="s">
        <v>153</v>
      </c>
      <c r="G25" s="66" t="s">
        <v>319</v>
      </c>
      <c r="H25" s="63" t="s">
        <v>155</v>
      </c>
      <c r="I25" s="63">
        <v>0</v>
      </c>
      <c r="J25" s="66" t="s">
        <v>320</v>
      </c>
      <c r="K25" s="76">
        <v>5</v>
      </c>
      <c r="L25" s="76">
        <v>6</v>
      </c>
      <c r="M25" s="76">
        <v>5</v>
      </c>
      <c r="N25" s="76">
        <v>6</v>
      </c>
      <c r="O25" s="76"/>
      <c r="P25" s="75">
        <f t="shared" si="1"/>
        <v>5</v>
      </c>
      <c r="Q25" s="75">
        <f t="shared" si="2"/>
        <v>5.5</v>
      </c>
      <c r="R25" s="75">
        <f t="shared" si="3"/>
        <v>6</v>
      </c>
      <c r="S25" s="87">
        <f t="shared" si="4"/>
        <v>9.0909090909090912E-2</v>
      </c>
      <c r="T25" s="91"/>
      <c r="U25" s="75">
        <f t="shared" si="5"/>
        <v>5.5</v>
      </c>
      <c r="V25" s="89"/>
      <c r="W25" s="93"/>
    </row>
    <row r="26" spans="2:23" s="49" customFormat="1" ht="21" customHeight="1" x14ac:dyDescent="0.15">
      <c r="B26" s="64" t="str">
        <f t="shared" ca="1" si="0"/>
        <v>-</v>
      </c>
      <c r="C26" s="174" t="s">
        <v>344</v>
      </c>
      <c r="D26" s="172"/>
      <c r="E26" s="176" t="s">
        <v>318</v>
      </c>
      <c r="F26" s="177"/>
      <c r="G26" s="178"/>
      <c r="H26" s="179"/>
      <c r="I26" s="179"/>
      <c r="J26" s="178"/>
      <c r="K26" s="76"/>
      <c r="L26" s="76"/>
      <c r="M26" s="76"/>
      <c r="N26" s="76"/>
      <c r="O26" s="76"/>
      <c r="P26" s="75" t="str">
        <f t="shared" si="1"/>
        <v/>
      </c>
      <c r="Q26" s="75" t="str">
        <f t="shared" si="2"/>
        <v/>
      </c>
      <c r="R26" s="75" t="str">
        <f t="shared" si="3"/>
        <v/>
      </c>
      <c r="S26" s="87" t="str">
        <f t="shared" si="4"/>
        <v/>
      </c>
      <c r="T26" s="91"/>
      <c r="U26" s="75" t="str">
        <f t="shared" si="5"/>
        <v/>
      </c>
      <c r="V26" s="89"/>
      <c r="W26" s="93"/>
    </row>
    <row r="27" spans="2:23" s="49" customFormat="1" ht="21" customHeight="1" x14ac:dyDescent="0.15">
      <c r="B27" s="64">
        <f t="shared" ca="1" si="0"/>
        <v>19</v>
      </c>
      <c r="C27" s="173" t="s">
        <v>296</v>
      </c>
      <c r="D27" s="172" t="s">
        <v>297</v>
      </c>
      <c r="E27" s="176" t="s">
        <v>318</v>
      </c>
      <c r="F27" s="177" t="s">
        <v>153</v>
      </c>
      <c r="G27" s="66" t="s">
        <v>319</v>
      </c>
      <c r="H27" s="63" t="s">
        <v>155</v>
      </c>
      <c r="I27" s="63">
        <v>0</v>
      </c>
      <c r="J27" s="66" t="s">
        <v>320</v>
      </c>
      <c r="K27" s="76"/>
      <c r="L27" s="76">
        <v>3.5</v>
      </c>
      <c r="M27" s="76">
        <v>3</v>
      </c>
      <c r="N27" s="76">
        <v>4</v>
      </c>
      <c r="O27" s="76"/>
      <c r="P27" s="75">
        <f t="shared" si="1"/>
        <v>3</v>
      </c>
      <c r="Q27" s="75">
        <f t="shared" si="2"/>
        <v>3.5</v>
      </c>
      <c r="R27" s="75">
        <f t="shared" si="3"/>
        <v>4</v>
      </c>
      <c r="S27" s="87">
        <f t="shared" si="4"/>
        <v>0.14285714285714285</v>
      </c>
      <c r="T27" s="91"/>
      <c r="U27" s="75">
        <f t="shared" si="5"/>
        <v>3.5</v>
      </c>
      <c r="V27" s="89"/>
      <c r="W27" s="93"/>
    </row>
    <row r="28" spans="2:23" s="49" customFormat="1" ht="21" customHeight="1" x14ac:dyDescent="0.15">
      <c r="B28" s="64">
        <f t="shared" ca="1" si="0"/>
        <v>20</v>
      </c>
      <c r="C28" s="173" t="s">
        <v>298</v>
      </c>
      <c r="D28" s="172" t="s">
        <v>299</v>
      </c>
      <c r="E28" s="176" t="s">
        <v>318</v>
      </c>
      <c r="F28" s="177" t="s">
        <v>153</v>
      </c>
      <c r="G28" s="66" t="s">
        <v>319</v>
      </c>
      <c r="H28" s="63" t="s">
        <v>155</v>
      </c>
      <c r="I28" s="63">
        <v>0</v>
      </c>
      <c r="J28" s="66" t="s">
        <v>320</v>
      </c>
      <c r="K28" s="76"/>
      <c r="L28" s="76">
        <v>4</v>
      </c>
      <c r="M28" s="76">
        <v>4</v>
      </c>
      <c r="N28" s="76">
        <v>4.2</v>
      </c>
      <c r="O28" s="76"/>
      <c r="P28" s="75">
        <f t="shared" si="1"/>
        <v>4</v>
      </c>
      <c r="Q28" s="75">
        <f t="shared" si="2"/>
        <v>4.0666666666666664</v>
      </c>
      <c r="R28" s="75">
        <f t="shared" si="3"/>
        <v>4.2</v>
      </c>
      <c r="S28" s="87">
        <f t="shared" si="4"/>
        <v>3.2786885245901745E-2</v>
      </c>
      <c r="T28" s="91"/>
      <c r="U28" s="75">
        <f t="shared" si="5"/>
        <v>4.0666666666666664</v>
      </c>
      <c r="V28" s="89"/>
      <c r="W28" s="93"/>
    </row>
    <row r="29" spans="2:23" s="49" customFormat="1" ht="21" customHeight="1" x14ac:dyDescent="0.15">
      <c r="B29" s="64">
        <f t="shared" ca="1" si="0"/>
        <v>21</v>
      </c>
      <c r="C29" s="173" t="s">
        <v>300</v>
      </c>
      <c r="D29" s="172" t="s">
        <v>301</v>
      </c>
      <c r="E29" s="176" t="s">
        <v>318</v>
      </c>
      <c r="F29" s="177" t="s">
        <v>153</v>
      </c>
      <c r="G29" s="66" t="s">
        <v>319</v>
      </c>
      <c r="H29" s="63" t="s">
        <v>155</v>
      </c>
      <c r="I29" s="63">
        <v>0</v>
      </c>
      <c r="J29" s="66" t="s">
        <v>320</v>
      </c>
      <c r="K29" s="76"/>
      <c r="L29" s="76">
        <v>3.1</v>
      </c>
      <c r="M29" s="76">
        <v>3.5</v>
      </c>
      <c r="N29" s="76">
        <v>5</v>
      </c>
      <c r="O29" s="76"/>
      <c r="P29" s="75">
        <f t="shared" si="1"/>
        <v>3.1</v>
      </c>
      <c r="Q29" s="75">
        <f t="shared" si="2"/>
        <v>3.8666666666666667</v>
      </c>
      <c r="R29" s="75">
        <f t="shared" si="3"/>
        <v>5</v>
      </c>
      <c r="S29" s="87">
        <f t="shared" si="4"/>
        <v>0.29310344827586204</v>
      </c>
      <c r="T29" s="91"/>
      <c r="U29" s="75">
        <f t="shared" si="5"/>
        <v>3.8666666666666667</v>
      </c>
      <c r="V29" s="89"/>
      <c r="W29" s="93"/>
    </row>
    <row r="30" spans="2:23" s="49" customFormat="1" ht="21" customHeight="1" x14ac:dyDescent="0.15">
      <c r="B30" s="64">
        <f t="shared" ca="1" si="0"/>
        <v>22</v>
      </c>
      <c r="C30" s="173" t="s">
        <v>302</v>
      </c>
      <c r="D30" s="172" t="s">
        <v>303</v>
      </c>
      <c r="E30" s="176" t="s">
        <v>318</v>
      </c>
      <c r="F30" s="177" t="s">
        <v>153</v>
      </c>
      <c r="G30" s="66" t="s">
        <v>319</v>
      </c>
      <c r="H30" s="63" t="s">
        <v>155</v>
      </c>
      <c r="I30" s="63">
        <v>0</v>
      </c>
      <c r="J30" s="66" t="s">
        <v>320</v>
      </c>
      <c r="K30" s="76"/>
      <c r="L30" s="76">
        <v>2</v>
      </c>
      <c r="M30" s="76">
        <v>1.5</v>
      </c>
      <c r="N30" s="76">
        <v>2</v>
      </c>
      <c r="O30" s="76"/>
      <c r="P30" s="75">
        <f t="shared" si="1"/>
        <v>1.5</v>
      </c>
      <c r="Q30" s="75">
        <f t="shared" si="2"/>
        <v>1.8333333333333333</v>
      </c>
      <c r="R30" s="75">
        <f t="shared" si="3"/>
        <v>2</v>
      </c>
      <c r="S30" s="87">
        <f t="shared" si="4"/>
        <v>0.1818181818181818</v>
      </c>
      <c r="T30" s="91"/>
      <c r="U30" s="75">
        <f t="shared" si="5"/>
        <v>1.8333333333333333</v>
      </c>
      <c r="V30" s="89"/>
      <c r="W30" s="93"/>
    </row>
    <row r="31" spans="2:23" s="49" customFormat="1" ht="21" customHeight="1" x14ac:dyDescent="0.15">
      <c r="B31" s="64">
        <f t="shared" ca="1" si="0"/>
        <v>23</v>
      </c>
      <c r="C31" s="173" t="s">
        <v>304</v>
      </c>
      <c r="D31" s="172" t="s">
        <v>305</v>
      </c>
      <c r="E31" s="176" t="s">
        <v>318</v>
      </c>
      <c r="F31" s="177" t="s">
        <v>153</v>
      </c>
      <c r="G31" s="66" t="s">
        <v>319</v>
      </c>
      <c r="H31" s="63" t="s">
        <v>155</v>
      </c>
      <c r="I31" s="63">
        <v>0</v>
      </c>
      <c r="J31" s="66" t="s">
        <v>320</v>
      </c>
      <c r="K31" s="76"/>
      <c r="L31" s="76">
        <v>3</v>
      </c>
      <c r="M31" s="76">
        <v>2.5</v>
      </c>
      <c r="N31" s="76">
        <v>4</v>
      </c>
      <c r="O31" s="76"/>
      <c r="P31" s="75">
        <f t="shared" si="1"/>
        <v>2.5</v>
      </c>
      <c r="Q31" s="75">
        <f t="shared" si="2"/>
        <v>3.1666666666666665</v>
      </c>
      <c r="R31" s="75">
        <f t="shared" si="3"/>
        <v>4</v>
      </c>
      <c r="S31" s="87">
        <f t="shared" si="4"/>
        <v>0.26315789473684215</v>
      </c>
      <c r="T31" s="91"/>
      <c r="U31" s="75">
        <f t="shared" si="5"/>
        <v>3.1666666666666665</v>
      </c>
      <c r="V31" s="89"/>
      <c r="W31" s="93"/>
    </row>
    <row r="32" spans="2:23" s="49" customFormat="1" ht="21" customHeight="1" x14ac:dyDescent="0.15">
      <c r="B32" s="64">
        <f t="shared" ca="1" si="0"/>
        <v>24</v>
      </c>
      <c r="C32" s="173" t="s">
        <v>306</v>
      </c>
      <c r="D32" s="172" t="s">
        <v>307</v>
      </c>
      <c r="E32" s="176" t="s">
        <v>318</v>
      </c>
      <c r="F32" s="177" t="s">
        <v>153</v>
      </c>
      <c r="G32" s="66" t="s">
        <v>319</v>
      </c>
      <c r="H32" s="63" t="s">
        <v>155</v>
      </c>
      <c r="I32" s="63">
        <v>0</v>
      </c>
      <c r="J32" s="66" t="s">
        <v>320</v>
      </c>
      <c r="K32" s="76"/>
      <c r="L32" s="76">
        <v>3</v>
      </c>
      <c r="M32" s="76">
        <v>3.6</v>
      </c>
      <c r="N32" s="76">
        <v>5</v>
      </c>
      <c r="O32" s="76"/>
      <c r="P32" s="75">
        <f t="shared" si="1"/>
        <v>3</v>
      </c>
      <c r="Q32" s="75">
        <f t="shared" si="2"/>
        <v>3.8666666666666667</v>
      </c>
      <c r="R32" s="75">
        <f t="shared" si="3"/>
        <v>5</v>
      </c>
      <c r="S32" s="87">
        <f t="shared" si="4"/>
        <v>0.29310344827586204</v>
      </c>
      <c r="T32" s="91"/>
      <c r="U32" s="75">
        <f t="shared" si="5"/>
        <v>3.8666666666666667</v>
      </c>
      <c r="V32" s="89"/>
      <c r="W32" s="93"/>
    </row>
    <row r="33" spans="2:23" s="49" customFormat="1" ht="21" customHeight="1" x14ac:dyDescent="0.15">
      <c r="B33" s="64">
        <f t="shared" ca="1" si="0"/>
        <v>25</v>
      </c>
      <c r="C33" s="173" t="s">
        <v>308</v>
      </c>
      <c r="D33" s="172" t="s">
        <v>309</v>
      </c>
      <c r="E33" s="176" t="s">
        <v>318</v>
      </c>
      <c r="F33" s="177" t="s">
        <v>153</v>
      </c>
      <c r="G33" s="66" t="s">
        <v>319</v>
      </c>
      <c r="H33" s="63" t="s">
        <v>155</v>
      </c>
      <c r="I33" s="63">
        <v>0</v>
      </c>
      <c r="J33" s="66" t="s">
        <v>320</v>
      </c>
      <c r="K33" s="76"/>
      <c r="L33" s="76">
        <v>4</v>
      </c>
      <c r="M33" s="76">
        <v>6</v>
      </c>
      <c r="N33" s="76">
        <v>7</v>
      </c>
      <c r="O33" s="76"/>
      <c r="P33" s="75">
        <f t="shared" si="1"/>
        <v>4</v>
      </c>
      <c r="Q33" s="75">
        <f t="shared" si="2"/>
        <v>5.666666666666667</v>
      </c>
      <c r="R33" s="75">
        <f t="shared" si="3"/>
        <v>7</v>
      </c>
      <c r="S33" s="87">
        <f t="shared" si="4"/>
        <v>0.29411764705882354</v>
      </c>
      <c r="T33" s="91"/>
      <c r="U33" s="75">
        <f t="shared" si="5"/>
        <v>5.666666666666667</v>
      </c>
      <c r="V33" s="89"/>
      <c r="W33" s="93"/>
    </row>
    <row r="34" spans="2:23" s="49" customFormat="1" ht="21" customHeight="1" x14ac:dyDescent="0.15">
      <c r="B34" s="64">
        <f t="shared" ca="1" si="0"/>
        <v>26</v>
      </c>
      <c r="C34" s="173" t="s">
        <v>310</v>
      </c>
      <c r="D34" s="172" t="s">
        <v>311</v>
      </c>
      <c r="E34" s="176" t="s">
        <v>318</v>
      </c>
      <c r="F34" s="177" t="s">
        <v>153</v>
      </c>
      <c r="G34" s="66" t="s">
        <v>319</v>
      </c>
      <c r="H34" s="63" t="s">
        <v>155</v>
      </c>
      <c r="I34" s="63">
        <v>0</v>
      </c>
      <c r="J34" s="66" t="s">
        <v>320</v>
      </c>
      <c r="K34" s="76"/>
      <c r="L34" s="76">
        <v>2</v>
      </c>
      <c r="M34" s="76">
        <v>2</v>
      </c>
      <c r="N34" s="76">
        <v>2</v>
      </c>
      <c r="O34" s="76"/>
      <c r="P34" s="75">
        <f t="shared" si="1"/>
        <v>2</v>
      </c>
      <c r="Q34" s="75">
        <f t="shared" si="2"/>
        <v>2</v>
      </c>
      <c r="R34" s="75">
        <f t="shared" si="3"/>
        <v>2</v>
      </c>
      <c r="S34" s="87">
        <f t="shared" si="4"/>
        <v>0</v>
      </c>
      <c r="T34" s="91"/>
      <c r="U34" s="75">
        <f t="shared" si="5"/>
        <v>2</v>
      </c>
      <c r="V34" s="89"/>
      <c r="W34" s="93"/>
    </row>
    <row r="35" spans="2:23" s="49" customFormat="1" ht="21" customHeight="1" x14ac:dyDescent="0.15">
      <c r="B35" s="64">
        <f t="shared" ca="1" si="0"/>
        <v>27</v>
      </c>
      <c r="C35" s="173" t="s">
        <v>312</v>
      </c>
      <c r="D35" s="172" t="s">
        <v>313</v>
      </c>
      <c r="E35" s="176" t="s">
        <v>318</v>
      </c>
      <c r="F35" s="177" t="s">
        <v>153</v>
      </c>
      <c r="G35" s="66" t="s">
        <v>319</v>
      </c>
      <c r="H35" s="63" t="s">
        <v>155</v>
      </c>
      <c r="I35" s="63">
        <v>0</v>
      </c>
      <c r="J35" s="66" t="s">
        <v>320</v>
      </c>
      <c r="K35" s="76"/>
      <c r="L35" s="76">
        <v>2.5</v>
      </c>
      <c r="M35" s="76">
        <v>3</v>
      </c>
      <c r="N35" s="76">
        <v>4</v>
      </c>
      <c r="O35" s="76"/>
      <c r="P35" s="75">
        <f t="shared" si="1"/>
        <v>2.5</v>
      </c>
      <c r="Q35" s="75">
        <f t="shared" si="2"/>
        <v>3.1666666666666665</v>
      </c>
      <c r="R35" s="75">
        <f t="shared" si="3"/>
        <v>4</v>
      </c>
      <c r="S35" s="87">
        <f t="shared" si="4"/>
        <v>0.26315789473684215</v>
      </c>
      <c r="T35" s="91"/>
      <c r="U35" s="75">
        <f t="shared" si="5"/>
        <v>3.1666666666666665</v>
      </c>
      <c r="V35" s="89"/>
      <c r="W35" s="93"/>
    </row>
    <row r="36" spans="2:23" s="49" customFormat="1" ht="21" customHeight="1" x14ac:dyDescent="0.15">
      <c r="B36" s="64">
        <f t="shared" ca="1" si="0"/>
        <v>28</v>
      </c>
      <c r="C36" s="173" t="s">
        <v>314</v>
      </c>
      <c r="D36" s="172" t="s">
        <v>315</v>
      </c>
      <c r="E36" s="176" t="s">
        <v>318</v>
      </c>
      <c r="F36" s="177" t="s">
        <v>153</v>
      </c>
      <c r="G36" s="66" t="s">
        <v>319</v>
      </c>
      <c r="H36" s="63" t="s">
        <v>155</v>
      </c>
      <c r="I36" s="63">
        <v>0</v>
      </c>
      <c r="J36" s="66" t="s">
        <v>320</v>
      </c>
      <c r="K36" s="76"/>
      <c r="L36" s="76">
        <v>1.5</v>
      </c>
      <c r="M36" s="76">
        <v>2</v>
      </c>
      <c r="N36" s="76">
        <v>2</v>
      </c>
      <c r="O36" s="76"/>
      <c r="P36" s="75">
        <f t="shared" si="1"/>
        <v>1.5</v>
      </c>
      <c r="Q36" s="75">
        <f t="shared" si="2"/>
        <v>1.8333333333333333</v>
      </c>
      <c r="R36" s="75">
        <f t="shared" si="3"/>
        <v>2</v>
      </c>
      <c r="S36" s="87">
        <f t="shared" si="4"/>
        <v>0.1818181818181818</v>
      </c>
      <c r="T36" s="91"/>
      <c r="U36" s="75">
        <f t="shared" si="5"/>
        <v>1.8333333333333333</v>
      </c>
      <c r="V36" s="89"/>
      <c r="W36" s="93"/>
    </row>
    <row r="37" spans="2:23" s="49" customFormat="1" ht="21" customHeight="1" x14ac:dyDescent="0.15">
      <c r="B37" s="64">
        <f t="shared" ca="1" si="0"/>
        <v>29</v>
      </c>
      <c r="C37" s="173" t="s">
        <v>316</v>
      </c>
      <c r="D37" s="172" t="s">
        <v>317</v>
      </c>
      <c r="E37" s="176" t="s">
        <v>318</v>
      </c>
      <c r="F37" s="177" t="s">
        <v>153</v>
      </c>
      <c r="G37" s="66" t="s">
        <v>319</v>
      </c>
      <c r="H37" s="63" t="s">
        <v>155</v>
      </c>
      <c r="I37" s="63">
        <v>0</v>
      </c>
      <c r="J37" s="66" t="s">
        <v>320</v>
      </c>
      <c r="K37" s="76"/>
      <c r="L37" s="76">
        <v>4.2</v>
      </c>
      <c r="M37" s="76">
        <v>7</v>
      </c>
      <c r="N37" s="76">
        <v>5</v>
      </c>
      <c r="O37" s="76"/>
      <c r="P37" s="75">
        <f t="shared" si="1"/>
        <v>4.2</v>
      </c>
      <c r="Q37" s="75">
        <f t="shared" si="2"/>
        <v>5.3999999999999995</v>
      </c>
      <c r="R37" s="75">
        <f t="shared" si="3"/>
        <v>7</v>
      </c>
      <c r="S37" s="87">
        <f t="shared" si="4"/>
        <v>0.29629629629629645</v>
      </c>
      <c r="T37" s="91"/>
      <c r="U37" s="75">
        <f t="shared" si="5"/>
        <v>5.3999999999999995</v>
      </c>
      <c r="V37" s="89"/>
      <c r="W37" s="93"/>
    </row>
    <row r="38" spans="2:23" s="49" customFormat="1" ht="21" customHeight="1" x14ac:dyDescent="0.15">
      <c r="B38" s="64"/>
      <c r="C38" s="186"/>
      <c r="D38" s="184"/>
      <c r="E38" s="176"/>
      <c r="F38" s="177"/>
      <c r="G38" s="66"/>
      <c r="H38" s="63"/>
      <c r="I38" s="63"/>
      <c r="J38" s="66"/>
      <c r="K38" s="76"/>
      <c r="L38" s="76"/>
      <c r="M38" s="76"/>
      <c r="N38" s="76"/>
      <c r="O38" s="76"/>
      <c r="P38" s="75"/>
      <c r="Q38" s="75"/>
      <c r="R38" s="75"/>
      <c r="S38" s="87"/>
      <c r="T38" s="91"/>
      <c r="U38" s="75"/>
      <c r="V38" s="89"/>
      <c r="W38" s="93"/>
    </row>
    <row r="39" spans="2:23" s="49" customFormat="1" ht="21" customHeight="1" x14ac:dyDescent="0.15">
      <c r="B39" s="64"/>
      <c r="C39" s="182"/>
      <c r="D39" s="183"/>
      <c r="E39" s="176"/>
      <c r="F39" s="177"/>
      <c r="G39" s="66"/>
      <c r="H39" s="63"/>
      <c r="I39" s="63"/>
      <c r="J39" s="66"/>
      <c r="K39" s="76"/>
      <c r="L39" s="188"/>
      <c r="M39" s="188"/>
      <c r="N39" s="188"/>
      <c r="O39" s="76"/>
      <c r="P39" s="75"/>
      <c r="Q39" s="75"/>
      <c r="R39" s="75"/>
      <c r="S39" s="87"/>
      <c r="T39" s="91"/>
      <c r="U39" s="75"/>
      <c r="V39" s="89"/>
      <c r="W39" s="93"/>
    </row>
    <row r="40" spans="2:23" s="49" customFormat="1" ht="21" customHeight="1" x14ac:dyDescent="0.15">
      <c r="B40" s="64"/>
      <c r="C40" s="182"/>
      <c r="D40" s="185"/>
      <c r="E40" s="176"/>
      <c r="F40" s="177"/>
      <c r="G40" s="66"/>
      <c r="H40" s="63"/>
      <c r="I40" s="63"/>
      <c r="J40" s="66"/>
      <c r="K40" s="76"/>
      <c r="L40" s="188"/>
      <c r="M40" s="188"/>
      <c r="N40" s="188"/>
      <c r="O40" s="76"/>
      <c r="P40" s="75"/>
      <c r="Q40" s="75"/>
      <c r="R40" s="75"/>
      <c r="S40" s="87"/>
      <c r="T40" s="91"/>
      <c r="U40" s="75"/>
      <c r="V40" s="89"/>
      <c r="W40" s="93"/>
    </row>
    <row r="41" spans="2:23" s="49" customFormat="1" ht="21" customHeight="1" x14ac:dyDescent="0.15">
      <c r="B41" s="64"/>
      <c r="C41" s="182"/>
      <c r="D41" s="185"/>
      <c r="E41" s="176"/>
      <c r="F41" s="177"/>
      <c r="G41" s="66"/>
      <c r="H41" s="63"/>
      <c r="I41" s="63"/>
      <c r="J41" s="66"/>
      <c r="K41" s="76"/>
      <c r="L41" s="188"/>
      <c r="M41" s="188"/>
      <c r="N41" s="188"/>
      <c r="O41" s="76"/>
      <c r="P41" s="75"/>
      <c r="Q41" s="75"/>
      <c r="R41" s="75"/>
      <c r="S41" s="87"/>
      <c r="T41" s="91"/>
      <c r="U41" s="75"/>
      <c r="V41" s="89"/>
      <c r="W41" s="93"/>
    </row>
    <row r="42" spans="2:23" s="50" customFormat="1" ht="21" customHeight="1" x14ac:dyDescent="0.15">
      <c r="B42" s="64"/>
      <c r="C42" s="182"/>
      <c r="D42" s="185"/>
      <c r="E42" s="176"/>
      <c r="F42" s="177"/>
      <c r="G42" s="66"/>
      <c r="H42" s="63"/>
      <c r="I42" s="63"/>
      <c r="J42" s="66"/>
      <c r="K42" s="76"/>
      <c r="L42" s="188"/>
      <c r="M42" s="188"/>
      <c r="N42" s="188"/>
      <c r="O42" s="76"/>
      <c r="P42" s="75"/>
      <c r="Q42" s="75"/>
      <c r="R42" s="75"/>
      <c r="S42" s="87"/>
      <c r="T42" s="91"/>
      <c r="U42" s="75"/>
      <c r="V42" s="89"/>
      <c r="W42" s="93"/>
    </row>
    <row r="43" spans="2:23" s="50" customFormat="1" ht="21" customHeight="1" x14ac:dyDescent="0.15">
      <c r="B43" s="64"/>
      <c r="C43" s="182"/>
      <c r="D43" s="185"/>
      <c r="E43" s="176"/>
      <c r="F43" s="177"/>
      <c r="G43" s="66"/>
      <c r="H43" s="63"/>
      <c r="I43" s="63"/>
      <c r="J43" s="66"/>
      <c r="K43" s="76"/>
      <c r="L43" s="188"/>
      <c r="M43" s="188"/>
      <c r="N43" s="188"/>
      <c r="O43" s="76"/>
      <c r="P43" s="75"/>
      <c r="Q43" s="75"/>
      <c r="R43" s="75"/>
      <c r="S43" s="87"/>
      <c r="T43" s="91"/>
      <c r="U43" s="75"/>
      <c r="V43" s="89"/>
      <c r="W43" s="93"/>
    </row>
    <row r="44" spans="2:23" s="50" customFormat="1" ht="21" customHeight="1" x14ac:dyDescent="0.15">
      <c r="B44" s="64"/>
      <c r="C44" s="182"/>
      <c r="D44" s="185"/>
      <c r="E44" s="176"/>
      <c r="F44" s="177"/>
      <c r="G44" s="66"/>
      <c r="H44" s="63"/>
      <c r="I44" s="63"/>
      <c r="J44" s="66"/>
      <c r="K44" s="76"/>
      <c r="L44" s="188"/>
      <c r="M44" s="188"/>
      <c r="N44" s="188"/>
      <c r="O44" s="76"/>
      <c r="P44" s="75"/>
      <c r="Q44" s="75"/>
      <c r="R44" s="75"/>
      <c r="S44" s="87"/>
      <c r="T44" s="91"/>
      <c r="U44" s="75"/>
      <c r="V44" s="89"/>
      <c r="W44" s="93"/>
    </row>
    <row r="45" spans="2:23" s="50" customFormat="1" ht="21" customHeight="1" x14ac:dyDescent="0.15">
      <c r="B45" s="64"/>
      <c r="C45" s="182"/>
      <c r="D45" s="185"/>
      <c r="E45" s="176"/>
      <c r="F45" s="177"/>
      <c r="G45" s="66"/>
      <c r="H45" s="63"/>
      <c r="I45" s="63"/>
      <c r="J45" s="66"/>
      <c r="K45" s="76"/>
      <c r="L45" s="188"/>
      <c r="M45" s="188"/>
      <c r="N45" s="188"/>
      <c r="O45" s="76"/>
      <c r="P45" s="75"/>
      <c r="Q45" s="75"/>
      <c r="R45" s="75"/>
      <c r="S45" s="87"/>
      <c r="T45" s="91"/>
      <c r="U45" s="75"/>
      <c r="V45" s="89"/>
      <c r="W45" s="93"/>
    </row>
    <row r="46" spans="2:23" s="50" customFormat="1" ht="21" customHeight="1" x14ac:dyDescent="0.15">
      <c r="B46" s="64"/>
      <c r="C46" s="182"/>
      <c r="D46" s="185"/>
      <c r="E46" s="176"/>
      <c r="F46" s="177"/>
      <c r="G46" s="66"/>
      <c r="H46" s="63"/>
      <c r="I46" s="63"/>
      <c r="J46" s="66"/>
      <c r="K46" s="76"/>
      <c r="L46" s="188"/>
      <c r="M46" s="188"/>
      <c r="N46" s="188"/>
      <c r="O46" s="76"/>
      <c r="P46" s="75"/>
      <c r="Q46" s="75"/>
      <c r="R46" s="75"/>
      <c r="S46" s="87"/>
      <c r="T46" s="91"/>
      <c r="U46" s="75"/>
      <c r="V46" s="89"/>
      <c r="W46" s="93"/>
    </row>
    <row r="47" spans="2:23" s="50" customFormat="1" ht="21" customHeight="1" x14ac:dyDescent="0.15">
      <c r="B47" s="64"/>
      <c r="C47" s="182"/>
      <c r="D47" s="185"/>
      <c r="E47" s="176"/>
      <c r="F47" s="177"/>
      <c r="G47" s="66"/>
      <c r="H47" s="63"/>
      <c r="I47" s="63"/>
      <c r="J47" s="66"/>
      <c r="K47" s="76"/>
      <c r="L47" s="188"/>
      <c r="M47" s="188"/>
      <c r="N47" s="188"/>
      <c r="O47" s="76"/>
      <c r="P47" s="75"/>
      <c r="Q47" s="75"/>
      <c r="R47" s="75"/>
      <c r="S47" s="87"/>
      <c r="T47" s="91"/>
      <c r="U47" s="75"/>
      <c r="V47" s="89"/>
      <c r="W47" s="93"/>
    </row>
    <row r="48" spans="2:23" s="50" customFormat="1" ht="21" customHeight="1" x14ac:dyDescent="0.15">
      <c r="B48" s="64"/>
      <c r="C48" s="182"/>
      <c r="D48" s="181"/>
      <c r="E48" s="176"/>
      <c r="F48" s="177"/>
      <c r="G48" s="66"/>
      <c r="H48" s="63"/>
      <c r="I48" s="63"/>
      <c r="J48" s="66"/>
      <c r="K48" s="76"/>
      <c r="L48" s="188"/>
      <c r="M48" s="188"/>
      <c r="N48" s="188"/>
      <c r="O48" s="76"/>
      <c r="P48" s="75"/>
      <c r="Q48" s="75"/>
      <c r="R48" s="75"/>
      <c r="S48" s="87"/>
      <c r="T48" s="91"/>
      <c r="U48" s="75"/>
      <c r="V48" s="89"/>
      <c r="W48" s="93"/>
    </row>
    <row r="49" spans="2:23" s="50" customFormat="1" ht="21" customHeight="1" x14ac:dyDescent="0.15">
      <c r="B49" s="64" t="str">
        <f t="shared" ca="1" si="0"/>
        <v>-</v>
      </c>
      <c r="C49" s="173"/>
      <c r="D49" s="175"/>
      <c r="E49" s="68"/>
      <c r="F49" s="177"/>
      <c r="G49" s="66"/>
      <c r="H49" s="63"/>
      <c r="I49" s="63"/>
      <c r="J49" s="66"/>
      <c r="K49" s="76"/>
      <c r="L49" s="76"/>
      <c r="M49" s="76"/>
      <c r="N49" s="76"/>
      <c r="O49" s="76"/>
      <c r="P49" s="75" t="str">
        <f t="shared" si="1"/>
        <v/>
      </c>
      <c r="Q49" s="75" t="str">
        <f t="shared" si="2"/>
        <v/>
      </c>
      <c r="R49" s="75" t="str">
        <f t="shared" si="3"/>
        <v/>
      </c>
      <c r="S49" s="87" t="str">
        <f t="shared" si="4"/>
        <v/>
      </c>
      <c r="T49" s="91"/>
      <c r="U49" s="75" t="str">
        <f t="shared" si="5"/>
        <v/>
      </c>
      <c r="V49" s="89"/>
      <c r="W49" s="93"/>
    </row>
    <row r="50" spans="2:23" s="50" customFormat="1" ht="21" customHeight="1" x14ac:dyDescent="0.15">
      <c r="B50" s="64" t="str">
        <f t="shared" ca="1" si="0"/>
        <v>-</v>
      </c>
      <c r="C50" s="173"/>
      <c r="D50" s="175"/>
      <c r="E50" s="68"/>
      <c r="F50" s="177"/>
      <c r="G50" s="66"/>
      <c r="H50" s="63"/>
      <c r="I50" s="63"/>
      <c r="J50" s="66"/>
      <c r="K50" s="76"/>
      <c r="L50" s="76"/>
      <c r="M50" s="76"/>
      <c r="N50" s="76"/>
      <c r="O50" s="76"/>
      <c r="P50" s="75" t="str">
        <f t="shared" si="1"/>
        <v/>
      </c>
      <c r="Q50" s="75" t="str">
        <f t="shared" si="2"/>
        <v/>
      </c>
      <c r="R50" s="75" t="str">
        <f t="shared" si="3"/>
        <v/>
      </c>
      <c r="S50" s="87" t="str">
        <f t="shared" si="4"/>
        <v/>
      </c>
      <c r="T50" s="91"/>
      <c r="U50" s="75" t="str">
        <f t="shared" si="5"/>
        <v/>
      </c>
      <c r="V50" s="89"/>
      <c r="W50" s="93"/>
    </row>
    <row r="51" spans="2:23" s="50" customFormat="1" ht="21" customHeight="1" x14ac:dyDescent="0.15">
      <c r="B51" s="64" t="str">
        <f t="shared" ca="1" si="0"/>
        <v>-</v>
      </c>
      <c r="C51" s="173"/>
      <c r="D51" s="175"/>
      <c r="E51" s="68"/>
      <c r="F51" s="177"/>
      <c r="G51" s="66"/>
      <c r="H51" s="63"/>
      <c r="I51" s="63"/>
      <c r="J51" s="66"/>
      <c r="K51" s="76"/>
      <c r="L51" s="76"/>
      <c r="M51" s="76"/>
      <c r="N51" s="76"/>
      <c r="O51" s="76"/>
      <c r="P51" s="75" t="str">
        <f t="shared" si="1"/>
        <v/>
      </c>
      <c r="Q51" s="75" t="str">
        <f t="shared" si="2"/>
        <v/>
      </c>
      <c r="R51" s="75" t="str">
        <f t="shared" si="3"/>
        <v/>
      </c>
      <c r="S51" s="87" t="str">
        <f t="shared" si="4"/>
        <v/>
      </c>
      <c r="T51" s="91"/>
      <c r="U51" s="75" t="str">
        <f t="shared" si="5"/>
        <v/>
      </c>
      <c r="V51" s="89"/>
      <c r="W51" s="93"/>
    </row>
    <row r="52" spans="2:23" s="50" customFormat="1" ht="21" customHeight="1" x14ac:dyDescent="0.15">
      <c r="B52" s="64" t="str">
        <f t="shared" ca="1" si="0"/>
        <v>-</v>
      </c>
      <c r="C52" s="173"/>
      <c r="D52" s="175"/>
      <c r="E52" s="68"/>
      <c r="F52" s="177"/>
      <c r="G52" s="66"/>
      <c r="H52" s="63"/>
      <c r="I52" s="63"/>
      <c r="J52" s="66"/>
      <c r="K52" s="76"/>
      <c r="L52" s="76"/>
      <c r="M52" s="76"/>
      <c r="N52" s="76"/>
      <c r="O52" s="76"/>
      <c r="P52" s="75" t="str">
        <f t="shared" si="1"/>
        <v/>
      </c>
      <c r="Q52" s="75" t="str">
        <f t="shared" si="2"/>
        <v/>
      </c>
      <c r="R52" s="75" t="str">
        <f t="shared" si="3"/>
        <v/>
      </c>
      <c r="S52" s="87" t="str">
        <f t="shared" si="4"/>
        <v/>
      </c>
      <c r="T52" s="91"/>
      <c r="U52" s="75" t="str">
        <f t="shared" si="5"/>
        <v/>
      </c>
      <c r="V52" s="89"/>
      <c r="W52" s="93"/>
    </row>
    <row r="53" spans="2:23" s="50" customFormat="1" ht="21" customHeight="1" x14ac:dyDescent="0.15">
      <c r="B53" s="64" t="str">
        <f t="shared" ca="1" si="0"/>
        <v>-</v>
      </c>
      <c r="C53" s="173"/>
      <c r="D53" s="175"/>
      <c r="E53" s="68"/>
      <c r="F53" s="177"/>
      <c r="G53" s="66"/>
      <c r="H53" s="63"/>
      <c r="I53" s="63"/>
      <c r="J53" s="66"/>
      <c r="K53" s="76"/>
      <c r="L53" s="76"/>
      <c r="M53" s="76"/>
      <c r="N53" s="76"/>
      <c r="O53" s="76"/>
      <c r="P53" s="75" t="str">
        <f t="shared" si="1"/>
        <v/>
      </c>
      <c r="Q53" s="75" t="str">
        <f t="shared" si="2"/>
        <v/>
      </c>
      <c r="R53" s="75" t="str">
        <f t="shared" si="3"/>
        <v/>
      </c>
      <c r="S53" s="87" t="str">
        <f t="shared" si="4"/>
        <v/>
      </c>
      <c r="T53" s="91"/>
      <c r="U53" s="75" t="str">
        <f t="shared" si="5"/>
        <v/>
      </c>
      <c r="V53" s="89"/>
      <c r="W53" s="93"/>
    </row>
    <row r="54" spans="2:23" s="50" customFormat="1" ht="21" customHeight="1" x14ac:dyDescent="0.15">
      <c r="B54" s="64" t="str">
        <f t="shared" ca="1" si="0"/>
        <v>-</v>
      </c>
      <c r="C54" s="173"/>
      <c r="D54" s="175"/>
      <c r="E54" s="68"/>
      <c r="F54" s="177"/>
      <c r="G54" s="66"/>
      <c r="H54" s="63"/>
      <c r="I54" s="63"/>
      <c r="J54" s="66"/>
      <c r="K54" s="76"/>
      <c r="L54" s="76"/>
      <c r="M54" s="76"/>
      <c r="N54" s="76"/>
      <c r="O54" s="76"/>
      <c r="P54" s="75" t="str">
        <f t="shared" si="1"/>
        <v/>
      </c>
      <c r="Q54" s="75" t="str">
        <f t="shared" si="2"/>
        <v/>
      </c>
      <c r="R54" s="75" t="str">
        <f t="shared" si="3"/>
        <v/>
      </c>
      <c r="S54" s="87" t="str">
        <f t="shared" si="4"/>
        <v/>
      </c>
      <c r="T54" s="91"/>
      <c r="U54" s="75" t="str">
        <f t="shared" si="5"/>
        <v/>
      </c>
      <c r="V54" s="89"/>
      <c r="W54" s="93"/>
    </row>
    <row r="55" spans="2:23" s="50" customFormat="1" ht="21" customHeight="1" x14ac:dyDescent="0.15">
      <c r="B55" s="64" t="str">
        <f t="shared" ca="1" si="0"/>
        <v>-</v>
      </c>
      <c r="C55" s="173"/>
      <c r="D55" s="175"/>
      <c r="E55" s="68"/>
      <c r="F55" s="177"/>
      <c r="G55" s="66"/>
      <c r="H55" s="63"/>
      <c r="I55" s="63"/>
      <c r="J55" s="66"/>
      <c r="K55" s="76"/>
      <c r="L55" s="76"/>
      <c r="M55" s="76"/>
      <c r="N55" s="76"/>
      <c r="O55" s="76"/>
      <c r="P55" s="75" t="str">
        <f t="shared" si="1"/>
        <v/>
      </c>
      <c r="Q55" s="75" t="str">
        <f t="shared" si="2"/>
        <v/>
      </c>
      <c r="R55" s="75" t="str">
        <f t="shared" si="3"/>
        <v/>
      </c>
      <c r="S55" s="87" t="str">
        <f t="shared" si="4"/>
        <v/>
      </c>
      <c r="T55" s="91"/>
      <c r="U55" s="75" t="str">
        <f t="shared" si="5"/>
        <v/>
      </c>
      <c r="V55" s="89"/>
      <c r="W55" s="93"/>
    </row>
    <row r="56" spans="2:23" s="50" customFormat="1" ht="21" customHeight="1" x14ac:dyDescent="0.15">
      <c r="B56" s="64" t="str">
        <f t="shared" ca="1" si="0"/>
        <v>-</v>
      </c>
      <c r="C56" s="173"/>
      <c r="D56" s="175"/>
      <c r="E56" s="68"/>
      <c r="F56" s="177"/>
      <c r="G56" s="66"/>
      <c r="H56" s="63"/>
      <c r="I56" s="63"/>
      <c r="J56" s="66"/>
      <c r="K56" s="76"/>
      <c r="L56" s="76"/>
      <c r="M56" s="76"/>
      <c r="N56" s="76"/>
      <c r="O56" s="76"/>
      <c r="P56" s="75" t="str">
        <f t="shared" si="1"/>
        <v/>
      </c>
      <c r="Q56" s="75" t="str">
        <f t="shared" si="2"/>
        <v/>
      </c>
      <c r="R56" s="75" t="str">
        <f t="shared" si="3"/>
        <v/>
      </c>
      <c r="S56" s="87" t="str">
        <f t="shared" si="4"/>
        <v/>
      </c>
      <c r="T56" s="91"/>
      <c r="U56" s="75" t="str">
        <f t="shared" si="5"/>
        <v/>
      </c>
      <c r="V56" s="89"/>
      <c r="W56" s="93"/>
    </row>
    <row r="57" spans="2:23" s="50" customFormat="1" ht="21" customHeight="1" x14ac:dyDescent="0.15">
      <c r="B57" s="64" t="str">
        <f t="shared" ca="1" si="0"/>
        <v>-</v>
      </c>
      <c r="C57" s="173"/>
      <c r="D57" s="175"/>
      <c r="E57" s="68"/>
      <c r="F57" s="177"/>
      <c r="G57" s="66"/>
      <c r="H57" s="63"/>
      <c r="I57" s="63"/>
      <c r="J57" s="66"/>
      <c r="K57" s="76"/>
      <c r="L57" s="76"/>
      <c r="M57" s="76"/>
      <c r="N57" s="76"/>
      <c r="O57" s="76"/>
      <c r="P57" s="75" t="str">
        <f t="shared" si="1"/>
        <v/>
      </c>
      <c r="Q57" s="75" t="str">
        <f t="shared" si="2"/>
        <v/>
      </c>
      <c r="R57" s="75" t="str">
        <f t="shared" si="3"/>
        <v/>
      </c>
      <c r="S57" s="87" t="str">
        <f t="shared" si="4"/>
        <v/>
      </c>
      <c r="T57" s="91"/>
      <c r="U57" s="75" t="str">
        <f t="shared" si="5"/>
        <v/>
      </c>
      <c r="V57" s="89"/>
      <c r="W57" s="93"/>
    </row>
    <row r="58" spans="2:23" s="50" customFormat="1" ht="21" customHeight="1" x14ac:dyDescent="0.15">
      <c r="B58" s="64" t="str">
        <f t="shared" ca="1" si="0"/>
        <v>-</v>
      </c>
      <c r="C58" s="173"/>
      <c r="D58" s="175"/>
      <c r="E58" s="68"/>
      <c r="F58" s="65"/>
      <c r="G58" s="66"/>
      <c r="H58" s="63"/>
      <c r="I58" s="63"/>
      <c r="J58" s="66"/>
      <c r="K58" s="76"/>
      <c r="L58" s="76"/>
      <c r="M58" s="76"/>
      <c r="N58" s="76"/>
      <c r="O58" s="76"/>
      <c r="P58" s="75" t="str">
        <f t="shared" si="1"/>
        <v/>
      </c>
      <c r="Q58" s="75" t="str">
        <f t="shared" si="2"/>
        <v/>
      </c>
      <c r="R58" s="75" t="str">
        <f t="shared" si="3"/>
        <v/>
      </c>
      <c r="S58" s="87" t="str">
        <f t="shared" si="4"/>
        <v/>
      </c>
      <c r="T58" s="91"/>
      <c r="U58" s="75" t="str">
        <f t="shared" si="5"/>
        <v/>
      </c>
      <c r="V58" s="89"/>
      <c r="W58" s="93"/>
    </row>
    <row r="59" spans="2:23" s="50" customFormat="1" ht="21" customHeight="1" x14ac:dyDescent="0.15">
      <c r="B59" s="64" t="str">
        <f t="shared" ca="1" si="0"/>
        <v>-</v>
      </c>
      <c r="C59" s="173"/>
      <c r="D59" s="175"/>
      <c r="E59" s="68"/>
      <c r="F59" s="65"/>
      <c r="G59" s="66"/>
      <c r="H59" s="63"/>
      <c r="I59" s="63"/>
      <c r="J59" s="66"/>
      <c r="K59" s="76"/>
      <c r="L59" s="76"/>
      <c r="M59" s="76"/>
      <c r="N59" s="76"/>
      <c r="O59" s="76"/>
      <c r="P59" s="75" t="str">
        <f t="shared" si="1"/>
        <v/>
      </c>
      <c r="Q59" s="75" t="str">
        <f t="shared" si="2"/>
        <v/>
      </c>
      <c r="R59" s="75" t="str">
        <f t="shared" si="3"/>
        <v/>
      </c>
      <c r="S59" s="87" t="str">
        <f t="shared" si="4"/>
        <v/>
      </c>
      <c r="T59" s="91"/>
      <c r="U59" s="75" t="str">
        <f t="shared" si="5"/>
        <v/>
      </c>
      <c r="V59" s="89"/>
      <c r="W59" s="93"/>
    </row>
    <row r="60" spans="2:23" s="50" customFormat="1" ht="21" customHeight="1" x14ac:dyDescent="0.15">
      <c r="B60" s="64" t="str">
        <f t="shared" ca="1" si="0"/>
        <v>-</v>
      </c>
      <c r="C60" s="173"/>
      <c r="D60" s="175"/>
      <c r="E60" s="68"/>
      <c r="F60" s="65"/>
      <c r="G60" s="66"/>
      <c r="H60" s="63"/>
      <c r="I60" s="63"/>
      <c r="J60" s="66"/>
      <c r="K60" s="76"/>
      <c r="L60" s="76"/>
      <c r="M60" s="76"/>
      <c r="N60" s="76"/>
      <c r="O60" s="76"/>
      <c r="P60" s="75" t="str">
        <f t="shared" si="1"/>
        <v/>
      </c>
      <c r="Q60" s="75" t="str">
        <f t="shared" si="2"/>
        <v/>
      </c>
      <c r="R60" s="75" t="str">
        <f t="shared" si="3"/>
        <v/>
      </c>
      <c r="S60" s="87" t="str">
        <f t="shared" si="4"/>
        <v/>
      </c>
      <c r="T60" s="91"/>
      <c r="U60" s="75" t="str">
        <f t="shared" si="5"/>
        <v/>
      </c>
      <c r="V60" s="89"/>
      <c r="W60" s="93"/>
    </row>
    <row r="61" spans="2:23" s="50" customFormat="1" ht="21" customHeight="1" x14ac:dyDescent="0.15">
      <c r="B61" s="64" t="str">
        <f t="shared" ca="1" si="0"/>
        <v>-</v>
      </c>
      <c r="C61" s="173"/>
      <c r="D61" s="175"/>
      <c r="E61" s="68"/>
      <c r="F61" s="65"/>
      <c r="G61" s="66"/>
      <c r="H61" s="63"/>
      <c r="I61" s="63"/>
      <c r="J61" s="66"/>
      <c r="K61" s="76"/>
      <c r="L61" s="76"/>
      <c r="M61" s="76"/>
      <c r="N61" s="76"/>
      <c r="O61" s="76"/>
      <c r="P61" s="75" t="str">
        <f t="shared" si="1"/>
        <v/>
      </c>
      <c r="Q61" s="75" t="str">
        <f t="shared" si="2"/>
        <v/>
      </c>
      <c r="R61" s="75" t="str">
        <f t="shared" si="3"/>
        <v/>
      </c>
      <c r="S61" s="87" t="str">
        <f t="shared" si="4"/>
        <v/>
      </c>
      <c r="T61" s="91"/>
      <c r="U61" s="75" t="str">
        <f t="shared" si="5"/>
        <v/>
      </c>
      <c r="V61" s="89"/>
      <c r="W61" s="93"/>
    </row>
    <row r="62" spans="2:23" s="50" customFormat="1" ht="21" customHeight="1" x14ac:dyDescent="0.15">
      <c r="B62" s="64" t="str">
        <f t="shared" ca="1" si="0"/>
        <v>-</v>
      </c>
      <c r="C62" s="173"/>
      <c r="D62" s="66"/>
      <c r="E62" s="68"/>
      <c r="F62" s="65"/>
      <c r="G62" s="66"/>
      <c r="H62" s="63"/>
      <c r="I62" s="63"/>
      <c r="J62" s="66"/>
      <c r="K62" s="76"/>
      <c r="L62" s="76"/>
      <c r="M62" s="76"/>
      <c r="N62" s="76"/>
      <c r="O62" s="76"/>
      <c r="P62" s="75" t="str">
        <f t="shared" si="1"/>
        <v/>
      </c>
      <c r="Q62" s="75" t="str">
        <f t="shared" si="2"/>
        <v/>
      </c>
      <c r="R62" s="75" t="str">
        <f t="shared" si="3"/>
        <v/>
      </c>
      <c r="S62" s="87" t="str">
        <f t="shared" si="4"/>
        <v/>
      </c>
      <c r="T62" s="91"/>
      <c r="U62" s="75" t="str">
        <f t="shared" si="5"/>
        <v/>
      </c>
      <c r="V62" s="89"/>
      <c r="W62" s="93"/>
    </row>
    <row r="63" spans="2:23" s="50" customFormat="1" ht="21" customHeight="1" x14ac:dyDescent="0.15">
      <c r="B63" s="64" t="str">
        <f t="shared" ca="1" si="0"/>
        <v>-</v>
      </c>
      <c r="C63" s="173"/>
      <c r="D63" s="66"/>
      <c r="E63" s="68"/>
      <c r="F63" s="65"/>
      <c r="G63" s="66"/>
      <c r="H63" s="63"/>
      <c r="I63" s="63"/>
      <c r="J63" s="66"/>
      <c r="K63" s="76"/>
      <c r="L63" s="76"/>
      <c r="M63" s="76"/>
      <c r="N63" s="76"/>
      <c r="O63" s="76"/>
      <c r="P63" s="75" t="str">
        <f t="shared" si="1"/>
        <v/>
      </c>
      <c r="Q63" s="75" t="str">
        <f t="shared" si="2"/>
        <v/>
      </c>
      <c r="R63" s="75" t="str">
        <f t="shared" si="3"/>
        <v/>
      </c>
      <c r="S63" s="87" t="str">
        <f t="shared" si="4"/>
        <v/>
      </c>
      <c r="T63" s="91"/>
      <c r="U63" s="75" t="str">
        <f t="shared" si="5"/>
        <v/>
      </c>
      <c r="V63" s="89"/>
      <c r="W63" s="93"/>
    </row>
    <row r="64" spans="2:23" s="50" customFormat="1" ht="21" customHeight="1" x14ac:dyDescent="0.15">
      <c r="B64" s="64" t="str">
        <f t="shared" ca="1" si="0"/>
        <v>-</v>
      </c>
      <c r="C64" s="173"/>
      <c r="D64" s="175"/>
      <c r="E64" s="68"/>
      <c r="F64" s="65"/>
      <c r="G64" s="66"/>
      <c r="H64" s="63"/>
      <c r="I64" s="63"/>
      <c r="J64" s="66"/>
      <c r="K64" s="76"/>
      <c r="L64" s="76"/>
      <c r="M64" s="76"/>
      <c r="N64" s="76"/>
      <c r="O64" s="76"/>
      <c r="P64" s="75" t="str">
        <f t="shared" si="1"/>
        <v/>
      </c>
      <c r="Q64" s="75" t="str">
        <f t="shared" si="2"/>
        <v/>
      </c>
      <c r="R64" s="75" t="str">
        <f t="shared" si="3"/>
        <v/>
      </c>
      <c r="S64" s="87" t="str">
        <f t="shared" si="4"/>
        <v/>
      </c>
      <c r="T64" s="91"/>
      <c r="U64" s="75" t="str">
        <f t="shared" si="5"/>
        <v/>
      </c>
      <c r="V64" s="89"/>
      <c r="W64" s="93"/>
    </row>
    <row r="65" spans="2:23" s="50" customFormat="1" ht="21" customHeight="1" x14ac:dyDescent="0.15">
      <c r="B65" s="64" t="str">
        <f t="shared" ca="1" si="0"/>
        <v>-</v>
      </c>
      <c r="C65" s="173"/>
      <c r="D65" s="175"/>
      <c r="E65" s="68"/>
      <c r="F65" s="65"/>
      <c r="G65" s="66"/>
      <c r="H65" s="63"/>
      <c r="I65" s="63"/>
      <c r="J65" s="66"/>
      <c r="K65" s="76"/>
      <c r="L65" s="76"/>
      <c r="M65" s="76"/>
      <c r="N65" s="76"/>
      <c r="O65" s="76"/>
      <c r="P65" s="75" t="str">
        <f t="shared" si="1"/>
        <v/>
      </c>
      <c r="Q65" s="75" t="str">
        <f t="shared" si="2"/>
        <v/>
      </c>
      <c r="R65" s="75" t="str">
        <f t="shared" si="3"/>
        <v/>
      </c>
      <c r="S65" s="87" t="str">
        <f t="shared" si="4"/>
        <v/>
      </c>
      <c r="T65" s="91"/>
      <c r="U65" s="75" t="str">
        <f t="shared" si="5"/>
        <v/>
      </c>
      <c r="V65" s="89"/>
      <c r="W65" s="93"/>
    </row>
    <row r="66" spans="2:23" s="50" customFormat="1" ht="21" customHeight="1" x14ac:dyDescent="0.15">
      <c r="B66" s="64" t="str">
        <f t="shared" ca="1" si="0"/>
        <v>-</v>
      </c>
      <c r="C66" s="173"/>
      <c r="D66" s="175"/>
      <c r="E66" s="68"/>
      <c r="F66" s="65"/>
      <c r="G66" s="66"/>
      <c r="H66" s="63"/>
      <c r="I66" s="63"/>
      <c r="J66" s="66"/>
      <c r="K66" s="76"/>
      <c r="L66" s="76"/>
      <c r="M66" s="76"/>
      <c r="N66" s="76"/>
      <c r="O66" s="76"/>
      <c r="P66" s="75" t="str">
        <f t="shared" si="1"/>
        <v/>
      </c>
      <c r="Q66" s="75" t="str">
        <f t="shared" si="2"/>
        <v/>
      </c>
      <c r="R66" s="75" t="str">
        <f t="shared" si="3"/>
        <v/>
      </c>
      <c r="S66" s="87" t="str">
        <f t="shared" si="4"/>
        <v/>
      </c>
      <c r="T66" s="91"/>
      <c r="U66" s="75" t="str">
        <f t="shared" si="5"/>
        <v/>
      </c>
      <c r="V66" s="89"/>
      <c r="W66" s="93"/>
    </row>
    <row r="67" spans="2:23" s="50" customFormat="1" ht="21" customHeight="1" x14ac:dyDescent="0.15">
      <c r="B67" s="64" t="str">
        <f t="shared" ca="1" si="0"/>
        <v>-</v>
      </c>
      <c r="C67" s="67"/>
      <c r="D67" s="66"/>
      <c r="E67" s="68"/>
      <c r="F67" s="65"/>
      <c r="G67" s="66"/>
      <c r="H67" s="63"/>
      <c r="I67" s="63"/>
      <c r="J67" s="66"/>
      <c r="K67" s="76"/>
      <c r="L67" s="76"/>
      <c r="M67" s="76"/>
      <c r="N67" s="76"/>
      <c r="O67" s="76"/>
      <c r="P67" s="75" t="str">
        <f t="shared" si="1"/>
        <v/>
      </c>
      <c r="Q67" s="75" t="str">
        <f t="shared" si="2"/>
        <v/>
      </c>
      <c r="R67" s="75" t="str">
        <f t="shared" si="3"/>
        <v/>
      </c>
      <c r="S67" s="87" t="str">
        <f t="shared" si="4"/>
        <v/>
      </c>
      <c r="T67" s="91"/>
      <c r="U67" s="75" t="str">
        <f t="shared" si="5"/>
        <v/>
      </c>
      <c r="V67" s="89"/>
      <c r="W67" s="93"/>
    </row>
    <row r="68" spans="2:23" s="50" customFormat="1" ht="21" customHeight="1" x14ac:dyDescent="0.15">
      <c r="B68" s="64" t="str">
        <f t="shared" ca="1" si="0"/>
        <v>-</v>
      </c>
      <c r="C68" s="67"/>
      <c r="D68" s="66"/>
      <c r="E68" s="68"/>
      <c r="F68" s="65"/>
      <c r="G68" s="66"/>
      <c r="H68" s="63"/>
      <c r="I68" s="63"/>
      <c r="J68" s="66"/>
      <c r="K68" s="76"/>
      <c r="L68" s="76"/>
      <c r="M68" s="76"/>
      <c r="N68" s="76"/>
      <c r="O68" s="76"/>
      <c r="P68" s="75" t="str">
        <f t="shared" si="1"/>
        <v/>
      </c>
      <c r="Q68" s="75" t="str">
        <f t="shared" si="2"/>
        <v/>
      </c>
      <c r="R68" s="75" t="str">
        <f t="shared" si="3"/>
        <v/>
      </c>
      <c r="S68" s="87" t="str">
        <f t="shared" si="4"/>
        <v/>
      </c>
      <c r="T68" s="91"/>
      <c r="U68" s="75" t="str">
        <f t="shared" si="5"/>
        <v/>
      </c>
      <c r="V68" s="89"/>
      <c r="W68" s="93"/>
    </row>
    <row r="69" spans="2:23" s="50" customFormat="1" ht="21" customHeight="1" x14ac:dyDescent="0.15">
      <c r="B69" s="64" t="str">
        <f t="shared" ca="1" si="0"/>
        <v>-</v>
      </c>
      <c r="C69" s="67"/>
      <c r="D69" s="66"/>
      <c r="E69" s="68"/>
      <c r="F69" s="65"/>
      <c r="G69" s="66"/>
      <c r="H69" s="63"/>
      <c r="I69" s="63"/>
      <c r="J69" s="66"/>
      <c r="K69" s="76"/>
      <c r="L69" s="76"/>
      <c r="M69" s="76"/>
      <c r="N69" s="76"/>
      <c r="O69" s="76"/>
      <c r="P69" s="75" t="str">
        <f t="shared" si="1"/>
        <v/>
      </c>
      <c r="Q69" s="75" t="str">
        <f t="shared" si="2"/>
        <v/>
      </c>
      <c r="R69" s="75" t="str">
        <f t="shared" si="3"/>
        <v/>
      </c>
      <c r="S69" s="87" t="str">
        <f t="shared" si="4"/>
        <v/>
      </c>
      <c r="T69" s="91"/>
      <c r="U69" s="75" t="str">
        <f t="shared" si="5"/>
        <v/>
      </c>
      <c r="V69" s="89"/>
      <c r="W69" s="93"/>
    </row>
    <row r="70" spans="2:23" s="50" customFormat="1" ht="21" customHeight="1" x14ac:dyDescent="0.15">
      <c r="B70" s="64" t="str">
        <f t="shared" ca="1" si="0"/>
        <v>-</v>
      </c>
      <c r="C70" s="67"/>
      <c r="D70" s="66"/>
      <c r="E70" s="68"/>
      <c r="F70" s="65"/>
      <c r="G70" s="66"/>
      <c r="H70" s="63"/>
      <c r="I70" s="63"/>
      <c r="J70" s="66"/>
      <c r="K70" s="76"/>
      <c r="L70" s="76"/>
      <c r="M70" s="99"/>
      <c r="N70" s="99"/>
      <c r="O70" s="99"/>
      <c r="P70" s="75" t="str">
        <f t="shared" si="1"/>
        <v/>
      </c>
      <c r="Q70" s="75" t="str">
        <f t="shared" si="2"/>
        <v/>
      </c>
      <c r="R70" s="75" t="str">
        <f t="shared" si="3"/>
        <v/>
      </c>
      <c r="S70" s="87" t="str">
        <f t="shared" si="4"/>
        <v/>
      </c>
      <c r="T70" s="104"/>
      <c r="U70" s="105" t="str">
        <f t="shared" si="5"/>
        <v/>
      </c>
      <c r="V70" s="106"/>
      <c r="W70" s="107"/>
    </row>
    <row r="71" spans="2:23" ht="21" customHeight="1" x14ac:dyDescent="0.15">
      <c r="B71" s="64" t="str">
        <f t="shared" ref="B71:B74" ca="1" si="7">IF(ISBLANK(D71),"-",COUNT(OFFSET(B$6,0,0,ROW()-ROW(B$6)))+1)</f>
        <v>-</v>
      </c>
      <c r="C71" s="67"/>
      <c r="D71" s="66"/>
      <c r="E71" s="68"/>
      <c r="F71" s="65"/>
      <c r="G71" s="66"/>
      <c r="H71" s="63"/>
      <c r="I71" s="63"/>
      <c r="J71" s="66"/>
      <c r="K71" s="76"/>
      <c r="L71" s="76"/>
      <c r="M71" s="100"/>
      <c r="N71" s="100"/>
      <c r="O71" s="100"/>
      <c r="P71" s="75" t="str">
        <f t="shared" si="1"/>
        <v/>
      </c>
      <c r="Q71" s="75" t="str">
        <f t="shared" si="2"/>
        <v/>
      </c>
      <c r="R71" s="75" t="str">
        <f t="shared" si="3"/>
        <v/>
      </c>
      <c r="S71" s="87" t="str">
        <f t="shared" si="4"/>
        <v/>
      </c>
      <c r="T71" s="108"/>
      <c r="U71" s="109" t="str">
        <f t="shared" si="5"/>
        <v/>
      </c>
      <c r="V71" s="110"/>
      <c r="W71" s="111"/>
    </row>
    <row r="72" spans="2:23" ht="21" customHeight="1" x14ac:dyDescent="0.15">
      <c r="B72" s="64" t="str">
        <f t="shared" ca="1" si="7"/>
        <v>-</v>
      </c>
      <c r="C72" s="67"/>
      <c r="D72" s="66"/>
      <c r="E72" s="68"/>
      <c r="F72" s="65"/>
      <c r="G72" s="66"/>
      <c r="H72" s="63"/>
      <c r="I72" s="63"/>
      <c r="J72" s="66"/>
      <c r="K72" s="76"/>
      <c r="L72" s="76"/>
      <c r="M72" s="100"/>
      <c r="N72" s="100"/>
      <c r="O72" s="100"/>
      <c r="P72" s="75" t="str">
        <f t="shared" ref="P72:P74" si="8">IF(OR(ISNUMBER(K72),ISNUMBER(L72),ISNUMBER(M72),ISNUMBER(N72),ISNUMBER(O72)),MIN(K72:O72),"")</f>
        <v/>
      </c>
      <c r="Q72" s="75" t="str">
        <f t="shared" ref="Q72:Q74" si="9">IF(OR(ISNUMBER(K72),ISNUMBER(L72),ISNUMBER(M72),ISNUMBER(N72),ISNUMBER(O72)),AVERAGE(K72:O72),"")</f>
        <v/>
      </c>
      <c r="R72" s="75" t="str">
        <f t="shared" ref="R72:R74" si="10">IF(OR(ISNUMBER(K72),ISNUMBER(L72),ISNUMBER(M72),ISNUMBER(N72),ISNUMBER(O72)),MAX(K72:O72),"")</f>
        <v/>
      </c>
      <c r="S72" s="87" t="str">
        <f t="shared" ref="S72:S74" si="11">IF(AND(ISNUMBER(Q72),Q72&lt;&gt;0),MAX(Q72-P72,R72-Q72)/Q72,"")</f>
        <v/>
      </c>
      <c r="T72" s="108"/>
      <c r="U72" s="75" t="str">
        <f t="shared" ref="U72:U74" si="12">IF(T72="N","",Q72)</f>
        <v/>
      </c>
      <c r="V72" s="89"/>
      <c r="W72" s="111"/>
    </row>
    <row r="73" spans="2:23" ht="21" customHeight="1" x14ac:dyDescent="0.15">
      <c r="B73" s="64" t="str">
        <f t="shared" ca="1" si="7"/>
        <v>-</v>
      </c>
      <c r="C73" s="67"/>
      <c r="D73" s="66"/>
      <c r="E73" s="68"/>
      <c r="F73" s="65"/>
      <c r="G73" s="66"/>
      <c r="H73" s="66"/>
      <c r="I73" s="63"/>
      <c r="J73" s="66"/>
      <c r="K73" s="76"/>
      <c r="L73" s="76"/>
      <c r="M73" s="100"/>
      <c r="N73" s="100"/>
      <c r="O73" s="100"/>
      <c r="P73" s="75" t="str">
        <f t="shared" si="8"/>
        <v/>
      </c>
      <c r="Q73" s="75" t="str">
        <f t="shared" si="9"/>
        <v/>
      </c>
      <c r="R73" s="75" t="str">
        <f t="shared" si="10"/>
        <v/>
      </c>
      <c r="S73" s="87" t="str">
        <f t="shared" si="11"/>
        <v/>
      </c>
      <c r="T73" s="108"/>
      <c r="U73" s="75" t="str">
        <f t="shared" si="12"/>
        <v/>
      </c>
      <c r="V73" s="89"/>
      <c r="W73" s="111"/>
    </row>
    <row r="74" spans="2:23" ht="21" customHeight="1" x14ac:dyDescent="0.15">
      <c r="B74" s="64" t="str">
        <f t="shared" ca="1" si="7"/>
        <v>-</v>
      </c>
      <c r="C74" s="94"/>
      <c r="D74" s="95"/>
      <c r="E74" s="68"/>
      <c r="F74" s="96"/>
      <c r="G74" s="95"/>
      <c r="H74" s="97"/>
      <c r="I74" s="63"/>
      <c r="J74" s="95"/>
      <c r="K74" s="101"/>
      <c r="L74" s="101"/>
      <c r="M74" s="102"/>
      <c r="N74" s="102"/>
      <c r="O74" s="102"/>
      <c r="P74" s="103" t="str">
        <f t="shared" si="8"/>
        <v/>
      </c>
      <c r="Q74" s="103" t="str">
        <f t="shared" si="9"/>
        <v/>
      </c>
      <c r="R74" s="103" t="str">
        <f t="shared" si="10"/>
        <v/>
      </c>
      <c r="S74" s="112" t="str">
        <f t="shared" si="11"/>
        <v/>
      </c>
      <c r="T74" s="108"/>
      <c r="U74" s="103" t="str">
        <f t="shared" si="12"/>
        <v/>
      </c>
      <c r="V74" s="113"/>
      <c r="W74" s="114"/>
    </row>
    <row r="75" spans="2:23" ht="21" customHeight="1" x14ac:dyDescent="0.15"/>
    <row r="76" spans="2:23" ht="21" customHeight="1" x14ac:dyDescent="0.15"/>
    <row r="77" spans="2:23" ht="21" customHeight="1" x14ac:dyDescent="0.15"/>
    <row r="78" spans="2:23" ht="21" customHeight="1" x14ac:dyDescent="0.15"/>
    <row r="79" spans="2:23" ht="21" customHeight="1" x14ac:dyDescent="0.15"/>
    <row r="80" spans="2:23" ht="21" customHeight="1" x14ac:dyDescent="0.15"/>
    <row r="81" spans="6:6" ht="21" customHeight="1" x14ac:dyDescent="0.15"/>
    <row r="82" spans="6:6" ht="21" customHeight="1" x14ac:dyDescent="0.15"/>
    <row r="83" spans="6:6" ht="21" customHeight="1" x14ac:dyDescent="0.15"/>
    <row r="84" spans="6:6" ht="21" customHeight="1" x14ac:dyDescent="0.15"/>
    <row r="85" spans="6:6" ht="21" customHeight="1" x14ac:dyDescent="0.15"/>
    <row r="86" spans="6:6" ht="21" customHeight="1" x14ac:dyDescent="0.15"/>
    <row r="87" spans="6:6" ht="21" customHeight="1" x14ac:dyDescent="0.15">
      <c r="F87" s="98"/>
    </row>
  </sheetData>
  <mergeCells count="10">
    <mergeCell ref="C5:D5"/>
    <mergeCell ref="G5:J5"/>
    <mergeCell ref="K5:S5"/>
    <mergeCell ref="B2:D2"/>
    <mergeCell ref="C3:J3"/>
    <mergeCell ref="L3:S3"/>
    <mergeCell ref="C4:J4"/>
    <mergeCell ref="L4:M4"/>
    <mergeCell ref="N4:O4"/>
    <mergeCell ref="P4:S4"/>
  </mergeCells>
  <phoneticPr fontId="33" type="noConversion"/>
  <dataValidations count="7">
    <dataValidation type="list" allowBlank="1" showInputMessage="1" showErrorMessage="1" sqref="T7:T70">
      <formula1>"Y,N"</formula1>
    </dataValidation>
    <dataValidation type="list" allowBlank="1" showInputMessage="1" showErrorMessage="1" sqref="J7:J74">
      <formula1>"高,中,低"</formula1>
    </dataValidation>
    <dataValidation type="list" allowBlank="1" showInputMessage="1" showErrorMessage="1" sqref="I7:I74">
      <formula1>"0,10,20,30,40,50,60,70,80,90,100"</formula1>
    </dataValidation>
    <dataValidation type="list" allowBlank="1" showInputMessage="1" showErrorMessage="1" sqref="H7:H74">
      <formula1>"有,无"</formula1>
    </dataValidation>
    <dataValidation type="list" allowBlank="1" showInputMessage="1" showErrorMessage="1" prompt="功能需求项内容=功能需求编号+功能需求内容描述_x000a__x000a_非功能需求项=非功能需求属性+内容描述" sqref="F7:F74">
      <formula1>"软件业务,3D建模,U3D,Bug修复,其他"</formula1>
    </dataValidation>
    <dataValidation allowBlank="1" showInputMessage="1" showErrorMessage="1" prompt="功能需求项内容=功能需求编号+功能需求内容描述_x000a__x000a_非功能需求项=非功能需求属性+内容描述" sqref="D38:D61 D7:D8 D64:D66 D23:D25 E7:E74"/>
    <dataValidation allowBlank="1" showInputMessage="1" showErrorMessage="1" promptTitle="标准差判断" prompt="一般应小于期望值的40%，若超出，则需要重新估算。" sqref="C6"/>
  </dataValidations>
  <pageMargins left="0.75" right="0.75" top="1" bottom="1" header="0.5" footer="0.5"/>
  <pageSetup paperSize="9" orientation="landscape"/>
  <headerFooter alignWithMargins="0">
    <oddHeader>&amp;L样式编号：WW-SW-PP-TM-01&amp;C&lt;请键入项目名称&gt;项目估算表&amp;R版本：&lt;请键入版本号&gt;</oddHeader>
    <oddFooter>&amp;L&amp;G&amp;R&amp;"黑体,常规"第&amp;P页 共&amp;N页</oddFooter>
  </headerFooter>
  <legacy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3"/>
  <sheetViews>
    <sheetView showGridLines="0" zoomScaleNormal="100" workbookViewId="0">
      <selection activeCell="L10" sqref="L10"/>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9" ht="21" customHeight="1" x14ac:dyDescent="0.15">
      <c r="B1" s="271" t="s">
        <v>156</v>
      </c>
      <c r="C1" s="271"/>
    </row>
    <row r="2" spans="2:9" ht="81" customHeight="1" x14ac:dyDescent="0.15">
      <c r="B2" s="272" t="s">
        <v>348</v>
      </c>
      <c r="C2" s="261"/>
      <c r="D2" s="261"/>
      <c r="E2" s="261"/>
      <c r="F2" s="261"/>
      <c r="G2" s="261"/>
      <c r="H2" s="13"/>
    </row>
    <row r="3" spans="2:9" ht="33" customHeight="1" x14ac:dyDescent="0.15">
      <c r="B3" s="167" t="s">
        <v>157</v>
      </c>
      <c r="C3" s="19" t="s">
        <v>349</v>
      </c>
      <c r="D3" s="167" t="s">
        <v>158</v>
      </c>
      <c r="E3" s="194">
        <v>43225</v>
      </c>
      <c r="F3" s="132"/>
      <c r="G3" s="132"/>
      <c r="H3" s="132"/>
      <c r="I3" s="132"/>
    </row>
    <row r="4" spans="2:9" ht="30.75" customHeight="1" x14ac:dyDescent="0.15">
      <c r="B4" s="167" t="s">
        <v>159</v>
      </c>
      <c r="C4" s="21">
        <v>43224</v>
      </c>
      <c r="D4" s="167" t="s">
        <v>160</v>
      </c>
      <c r="E4" s="22">
        <f>SUMIF(预算估算表1!$E7:$E274,"迭代一",预算估算表1!$U7:$U274)</f>
        <v>97.766666666666666</v>
      </c>
      <c r="F4" s="170" t="s">
        <v>161</v>
      </c>
      <c r="G4" s="24">
        <f>SUMIF(预算估算表!$E7:$E274,"迭代二",预算估算表1!$U7:$U274)</f>
        <v>0</v>
      </c>
      <c r="H4" s="170" t="s">
        <v>162</v>
      </c>
      <c r="I4" s="24">
        <f>SUMIF(预算估算表!$E7:$E274,"迭代三",预算估算表1!$U7:$U274)</f>
        <v>0</v>
      </c>
    </row>
    <row r="5" spans="2:9" ht="32.25" customHeight="1" x14ac:dyDescent="0.15">
      <c r="B5" s="167" t="s">
        <v>163</v>
      </c>
      <c r="C5" s="21">
        <v>43294</v>
      </c>
      <c r="D5" s="170" t="s">
        <v>164</v>
      </c>
      <c r="E5" s="25">
        <f>预算估算表1!C5</f>
        <v>97.766666666666666</v>
      </c>
      <c r="F5" s="166"/>
      <c r="G5" s="170" t="s">
        <v>165</v>
      </c>
      <c r="H5" s="265" t="s">
        <v>166</v>
      </c>
      <c r="I5" s="265"/>
    </row>
    <row r="6" spans="2:9" ht="35.1" customHeight="1" x14ac:dyDescent="0.15">
      <c r="B6" s="167" t="s">
        <v>167</v>
      </c>
      <c r="C6" s="26">
        <f>预算估算表1!C5/((C17*SUM(E17:F17))+C20*SUM(E20:F20)+C23*SUM(E23:F23))</f>
        <v>205.82456140350877</v>
      </c>
      <c r="D6" s="167" t="s">
        <v>168</v>
      </c>
      <c r="E6" s="26">
        <f>IF(C6=0,"-",C6/21.75)</f>
        <v>9.4631982254486786</v>
      </c>
      <c r="F6" s="167" t="s">
        <v>169</v>
      </c>
      <c r="G6" s="27">
        <v>0.88</v>
      </c>
      <c r="H6" s="263">
        <v>0.75</v>
      </c>
      <c r="I6" s="263"/>
    </row>
    <row r="7" spans="2:9" ht="33" customHeight="1" x14ac:dyDescent="0.15">
      <c r="B7" s="167" t="s">
        <v>170</v>
      </c>
      <c r="C7" s="26">
        <f>C11*G7</f>
        <v>11.69457735247209</v>
      </c>
      <c r="D7" s="167" t="s">
        <v>168</v>
      </c>
      <c r="E7" s="26">
        <f>IF(C7=0,"-",C7/21.75)</f>
        <v>0.53768171735503856</v>
      </c>
      <c r="F7" s="167" t="s">
        <v>171</v>
      </c>
      <c r="G7" s="27">
        <v>0.05</v>
      </c>
      <c r="H7" s="263">
        <v>0.1</v>
      </c>
      <c r="I7" s="263"/>
    </row>
    <row r="8" spans="2:9" ht="36" customHeight="1" x14ac:dyDescent="0.15">
      <c r="B8" s="167" t="s">
        <v>172</v>
      </c>
      <c r="C8" s="26">
        <f>C11*G8</f>
        <v>4.6778309409888355</v>
      </c>
      <c r="D8" s="167" t="s">
        <v>168</v>
      </c>
      <c r="E8" s="26">
        <f>IF(C8=0,"-",C8/21.75)</f>
        <v>0.21507268694201542</v>
      </c>
      <c r="F8" s="167" t="s">
        <v>173</v>
      </c>
      <c r="G8" s="27">
        <v>0.02</v>
      </c>
      <c r="H8" s="263">
        <v>0.05</v>
      </c>
      <c r="I8" s="263"/>
    </row>
    <row r="9" spans="2:9" ht="35.1" customHeight="1" x14ac:dyDescent="0.15">
      <c r="B9" s="167" t="s">
        <v>174</v>
      </c>
      <c r="C9" s="26">
        <f>C11*G9</f>
        <v>7.0167464114832532</v>
      </c>
      <c r="D9" s="167" t="s">
        <v>168</v>
      </c>
      <c r="E9" s="26">
        <f>IF(C9=0,"-",C9/21.75)</f>
        <v>0.32260903041302313</v>
      </c>
      <c r="F9" s="167" t="s">
        <v>175</v>
      </c>
      <c r="G9" s="27">
        <v>0.03</v>
      </c>
      <c r="H9" s="263">
        <v>0.05</v>
      </c>
      <c r="I9" s="263"/>
    </row>
    <row r="10" spans="2:9" ht="33" customHeight="1" x14ac:dyDescent="0.15">
      <c r="B10" s="167" t="s">
        <v>176</v>
      </c>
      <c r="C10" s="26">
        <f>C11*G10</f>
        <v>4.6778309409888141</v>
      </c>
      <c r="D10" s="167" t="s">
        <v>168</v>
      </c>
      <c r="E10" s="26">
        <f>IF(C10=0,"-",C10/21.75)</f>
        <v>0.21507268694201445</v>
      </c>
      <c r="F10" s="167" t="s">
        <v>177</v>
      </c>
      <c r="G10" s="28">
        <f>1-SUM(G6:G9)</f>
        <v>1.9999999999999907E-2</v>
      </c>
      <c r="H10" s="263">
        <v>0.05</v>
      </c>
      <c r="I10" s="263"/>
    </row>
    <row r="11" spans="2:9" ht="32.1" customHeight="1" x14ac:dyDescent="0.15">
      <c r="B11" s="167" t="s">
        <v>178</v>
      </c>
      <c r="C11" s="26">
        <f>C6/G6</f>
        <v>233.89154704944178</v>
      </c>
      <c r="D11" s="167" t="s">
        <v>168</v>
      </c>
      <c r="E11" s="26">
        <f>IF(C11=0,"-",(C11/21.75))</f>
        <v>10.753634347100771</v>
      </c>
      <c r="G11" s="29"/>
      <c r="H11" s="10"/>
    </row>
    <row r="12" spans="2:9" s="17" customFormat="1" ht="21" customHeight="1" x14ac:dyDescent="0.15">
      <c r="B12" s="260" t="s">
        <v>179</v>
      </c>
      <c r="C12" s="260"/>
      <c r="H12" s="30"/>
    </row>
    <row r="13" spans="2:9" s="17" customFormat="1" ht="33.950000000000003" customHeight="1" x14ac:dyDescent="0.15">
      <c r="B13" s="264" t="s">
        <v>180</v>
      </c>
      <c r="C13" s="264"/>
      <c r="D13" s="264"/>
      <c r="E13" s="264"/>
      <c r="F13" s="264"/>
      <c r="H13" s="30"/>
    </row>
    <row r="14" spans="2:9" ht="21" customHeight="1" x14ac:dyDescent="0.15">
      <c r="B14" s="265" t="s">
        <v>181</v>
      </c>
      <c r="C14" s="265"/>
      <c r="D14" s="265"/>
      <c r="E14" s="265"/>
      <c r="F14" s="265"/>
      <c r="G14" s="265"/>
      <c r="H14" s="265"/>
    </row>
    <row r="15" spans="2:9" ht="18.95" customHeight="1" x14ac:dyDescent="0.15">
      <c r="B15" s="167" t="s">
        <v>182</v>
      </c>
      <c r="C15" s="31" t="s">
        <v>183</v>
      </c>
      <c r="D15" s="32" t="s">
        <v>184</v>
      </c>
      <c r="E15" s="32" t="s">
        <v>185</v>
      </c>
      <c r="F15" s="32" t="s">
        <v>186</v>
      </c>
      <c r="G15" s="31" t="s">
        <v>187</v>
      </c>
      <c r="H15" s="31" t="s">
        <v>188</v>
      </c>
    </row>
    <row r="16" spans="2:9" ht="18.95" customHeight="1" x14ac:dyDescent="0.15">
      <c r="B16" s="33">
        <f>C11*B17</f>
        <v>7.0167464114832532</v>
      </c>
      <c r="C16" s="34">
        <f>C11*C17</f>
        <v>222.19696969696969</v>
      </c>
      <c r="D16" s="33">
        <f>C16*D17</f>
        <v>33.329545454545453</v>
      </c>
      <c r="E16" s="33">
        <f>C16*E17</f>
        <v>44.439393939393938</v>
      </c>
      <c r="F16" s="33">
        <f>C16*F17</f>
        <v>66.659090909090907</v>
      </c>
      <c r="G16" s="34">
        <f>C16*G17</f>
        <v>77.768939393939405</v>
      </c>
      <c r="H16" s="35">
        <f>C11*H17</f>
        <v>4.6778309409888399</v>
      </c>
    </row>
    <row r="17" spans="2:9" ht="15" customHeight="1" x14ac:dyDescent="0.15">
      <c r="B17" s="266">
        <v>0.03</v>
      </c>
      <c r="C17" s="190">
        <v>0.95</v>
      </c>
      <c r="D17" s="180">
        <v>0.15</v>
      </c>
      <c r="E17" s="187">
        <v>0.2</v>
      </c>
      <c r="F17" s="187">
        <v>0.3</v>
      </c>
      <c r="G17" s="37">
        <f>1-SUM(D17:F17)</f>
        <v>0.35000000000000009</v>
      </c>
      <c r="H17" s="268">
        <f>1-SUM(B17,C17,C20,C23)</f>
        <v>2.0000000000000018E-2</v>
      </c>
    </row>
    <row r="18" spans="2:9" ht="18.95" customHeight="1" x14ac:dyDescent="0.15">
      <c r="B18" s="267"/>
      <c r="C18" s="32" t="s">
        <v>189</v>
      </c>
      <c r="D18" s="32" t="s">
        <v>190</v>
      </c>
      <c r="E18" s="32" t="s">
        <v>191</v>
      </c>
      <c r="F18" s="32" t="s">
        <v>192</v>
      </c>
      <c r="G18" s="32" t="s">
        <v>193</v>
      </c>
      <c r="H18" s="269"/>
    </row>
    <row r="19" spans="2:9" ht="18.95" customHeight="1" x14ac:dyDescent="0.15">
      <c r="B19" s="267"/>
      <c r="C19" s="34">
        <f>C11*C20</f>
        <v>0</v>
      </c>
      <c r="D19" s="34">
        <f>C19*D20</f>
        <v>0</v>
      </c>
      <c r="E19" s="34">
        <f>C19*E20</f>
        <v>0</v>
      </c>
      <c r="F19" s="34">
        <f>C19*F20</f>
        <v>0</v>
      </c>
      <c r="G19" s="34">
        <f>C19*G20</f>
        <v>0</v>
      </c>
      <c r="H19" s="269"/>
    </row>
    <row r="20" spans="2:9" ht="18" customHeight="1" x14ac:dyDescent="0.15">
      <c r="B20" s="267"/>
      <c r="C20" s="168">
        <v>0</v>
      </c>
      <c r="D20" s="168">
        <v>0</v>
      </c>
      <c r="E20" s="168">
        <v>0</v>
      </c>
      <c r="F20" s="168">
        <v>0</v>
      </c>
      <c r="G20" s="37">
        <f>1-SUM(D20:F20)</f>
        <v>1</v>
      </c>
      <c r="H20" s="269"/>
    </row>
    <row r="21" spans="2:9" ht="18.95" customHeight="1" x14ac:dyDescent="0.15">
      <c r="B21" s="267"/>
      <c r="C21" s="32" t="s">
        <v>194</v>
      </c>
      <c r="D21" s="32" t="s">
        <v>195</v>
      </c>
      <c r="E21" s="32" t="s">
        <v>196</v>
      </c>
      <c r="F21" s="32" t="s">
        <v>197</v>
      </c>
      <c r="G21" s="32" t="s">
        <v>198</v>
      </c>
      <c r="H21" s="269"/>
    </row>
    <row r="22" spans="2:9" s="163" customFormat="1" ht="18.95" customHeight="1" x14ac:dyDescent="0.15">
      <c r="B22" s="267"/>
      <c r="C22" s="34">
        <f>C11*C23</f>
        <v>0</v>
      </c>
      <c r="D22" s="34">
        <f>C22*D23</f>
        <v>0</v>
      </c>
      <c r="E22" s="34">
        <f>C22*E23</f>
        <v>0</v>
      </c>
      <c r="F22" s="34">
        <f>C22*F23</f>
        <v>0</v>
      </c>
      <c r="G22" s="34">
        <f>C22*G23</f>
        <v>0</v>
      </c>
      <c r="H22" s="269"/>
    </row>
    <row r="23" spans="2:9" ht="17.100000000000001" customHeight="1" x14ac:dyDescent="0.15">
      <c r="B23" s="267"/>
      <c r="C23" s="168">
        <v>0</v>
      </c>
      <c r="D23" s="168">
        <v>0</v>
      </c>
      <c r="E23" s="168">
        <v>0</v>
      </c>
      <c r="F23" s="168">
        <v>0</v>
      </c>
      <c r="G23" s="37">
        <f>1-SUM(D23:F23)</f>
        <v>1</v>
      </c>
      <c r="H23" s="270"/>
    </row>
    <row r="24" spans="2:9" ht="27" customHeight="1" x14ac:dyDescent="0.15">
      <c r="B24" s="260" t="s">
        <v>199</v>
      </c>
      <c r="C24" s="260"/>
      <c r="D24" s="38"/>
      <c r="E24" s="38"/>
      <c r="F24" s="38"/>
      <c r="G24" s="38"/>
      <c r="H24" s="38"/>
      <c r="I24" s="38"/>
    </row>
    <row r="25" spans="2:9" ht="27" customHeight="1" x14ac:dyDescent="0.15">
      <c r="B25" s="167" t="s">
        <v>200</v>
      </c>
      <c r="C25" s="39">
        <f>SUM(C27:C43)</f>
        <v>205.82456140350877</v>
      </c>
      <c r="D25" s="39">
        <f>SUM(D27:D43)</f>
        <v>61.46</v>
      </c>
      <c r="E25" s="39" t="e">
        <f>SUM(E27:E43)</f>
        <v>#DIV/0!</v>
      </c>
      <c r="F25" s="39" t="e">
        <f>SUM(F27:F43)</f>
        <v>#DIV/0!</v>
      </c>
      <c r="G25" s="40"/>
      <c r="H25" s="40"/>
      <c r="I25" s="40"/>
    </row>
    <row r="26" spans="2:9" ht="36.6" customHeight="1" x14ac:dyDescent="0.15">
      <c r="B26" s="169" t="s">
        <v>201</v>
      </c>
      <c r="C26" s="167" t="s">
        <v>202</v>
      </c>
      <c r="D26" s="167" t="s">
        <v>203</v>
      </c>
      <c r="E26" s="167" t="s">
        <v>204</v>
      </c>
      <c r="F26" s="167" t="s">
        <v>205</v>
      </c>
      <c r="G26" s="167" t="s">
        <v>206</v>
      </c>
      <c r="H26" s="167" t="s">
        <v>207</v>
      </c>
      <c r="I26" s="167" t="s">
        <v>114</v>
      </c>
    </row>
    <row r="27" spans="2:9" s="17" customFormat="1" ht="27" customHeight="1" x14ac:dyDescent="0.15">
      <c r="B27" s="167" t="s">
        <v>182</v>
      </c>
      <c r="C27" s="39">
        <f>IF(C6=0,"-",C6*B17)</f>
        <v>6.1747368421052631</v>
      </c>
      <c r="D27" s="39">
        <f>I46</f>
        <v>3.6</v>
      </c>
      <c r="E27" s="39">
        <f t="shared" ref="E27:E32" si="0">IF(ISBLANK(D27),"-",C27*(1/(1-$G$10))/D27)</f>
        <v>1.750208855472013</v>
      </c>
      <c r="F27" s="39">
        <f>E27*30/21.75</f>
        <v>2.4140811799613973</v>
      </c>
      <c r="G27" s="42">
        <v>43224</v>
      </c>
      <c r="H27" s="43">
        <f>IF(INT(E27)-E27,WORKDAY(G27,E27,'附录-节假日'!$A$2:$A$35),WORKDAY(G27,E27-1,'附录-节假日'!$A$2:$A$35))</f>
        <v>43227</v>
      </c>
      <c r="I27" s="46"/>
    </row>
    <row r="28" spans="2:9" s="17" customFormat="1" ht="27" customHeight="1" x14ac:dyDescent="0.15">
      <c r="B28" s="247" t="s">
        <v>116</v>
      </c>
      <c r="C28" s="248"/>
      <c r="D28" s="248"/>
      <c r="E28" s="248"/>
      <c r="F28" s="249"/>
      <c r="G28" s="43">
        <f>MIN(G29:G32)</f>
        <v>43224</v>
      </c>
      <c r="H28" s="43">
        <f>MAX(H29:H32)</f>
        <v>43285</v>
      </c>
      <c r="I28" s="46"/>
    </row>
    <row r="29" spans="2:9" s="17" customFormat="1" ht="27" customHeight="1" x14ac:dyDescent="0.15">
      <c r="B29" s="167" t="s">
        <v>184</v>
      </c>
      <c r="C29" s="39">
        <f>C6*C17*D17</f>
        <v>29.33</v>
      </c>
      <c r="D29" s="39">
        <f t="shared" ref="D29:D32" si="1">I47</f>
        <v>3.25</v>
      </c>
      <c r="E29" s="39">
        <f t="shared" si="0"/>
        <v>9.2087912087912063</v>
      </c>
      <c r="F29" s="39">
        <f t="shared" ref="F29:F42" si="2">E29*30/21.75</f>
        <v>12.701780977643043</v>
      </c>
      <c r="G29" s="44">
        <v>43224</v>
      </c>
      <c r="H29" s="43">
        <f>IF(INT(E29)-E29,WORKDAY(G29,E29,'附录-节假日'!$A$2:$A$35),WORKDAY(G29,E29-1,'附录-节假日'!$A$2:$A$35))</f>
        <v>43237</v>
      </c>
      <c r="I29" s="46"/>
    </row>
    <row r="30" spans="2:9" s="17" customFormat="1" ht="27" customHeight="1" x14ac:dyDescent="0.15">
      <c r="B30" s="167" t="s">
        <v>185</v>
      </c>
      <c r="C30" s="39">
        <f>C6*C17*E17</f>
        <v>39.106666666666669</v>
      </c>
      <c r="D30" s="39">
        <f t="shared" si="1"/>
        <v>3.85</v>
      </c>
      <c r="E30" s="39">
        <f t="shared" si="0"/>
        <v>10.364873222016078</v>
      </c>
      <c r="F30" s="39">
        <f t="shared" si="2"/>
        <v>14.296376857953209</v>
      </c>
      <c r="G30" s="44">
        <v>43234</v>
      </c>
      <c r="H30" s="43">
        <f>IF(INT(E30)-E30,WORKDAY(G30,E30,'附录-节假日'!$A$2:$A$35),WORKDAY(G30,E30-1,'附录-节假日'!$A$2:$A$35))</f>
        <v>43248</v>
      </c>
      <c r="I30" s="46"/>
    </row>
    <row r="31" spans="2:9" s="17" customFormat="1" ht="27" customHeight="1" x14ac:dyDescent="0.15">
      <c r="B31" s="167" t="s">
        <v>186</v>
      </c>
      <c r="C31" s="39">
        <f>C6*C17*F17</f>
        <v>58.66</v>
      </c>
      <c r="D31" s="39">
        <f t="shared" si="1"/>
        <v>5.6</v>
      </c>
      <c r="E31" s="39">
        <f t="shared" si="0"/>
        <v>10.68877551020408</v>
      </c>
      <c r="F31" s="39">
        <f t="shared" si="2"/>
        <v>14.743138634764248</v>
      </c>
      <c r="G31" s="44">
        <v>43252</v>
      </c>
      <c r="H31" s="43">
        <f>IF(INT(E31)-E31,WORKDAY(G31,E31,'附录-节假日'!$A$2:$A$35),WORKDAY(G31,E31-1,'附录-节假日'!$A$2:$A$35))</f>
        <v>43266</v>
      </c>
      <c r="I31" s="46"/>
    </row>
    <row r="32" spans="2:9" s="17" customFormat="1" ht="27" customHeight="1" x14ac:dyDescent="0.15">
      <c r="B32" s="167" t="s">
        <v>187</v>
      </c>
      <c r="C32" s="39">
        <f>C6*C17*G17</f>
        <v>68.436666666666682</v>
      </c>
      <c r="D32" s="39">
        <f t="shared" si="1"/>
        <v>5.7</v>
      </c>
      <c r="E32" s="39">
        <f t="shared" si="0"/>
        <v>12.251461988304092</v>
      </c>
      <c r="F32" s="39">
        <f t="shared" si="2"/>
        <v>16.898568259729782</v>
      </c>
      <c r="G32" s="44">
        <v>43269</v>
      </c>
      <c r="H32" s="43">
        <f>IF(INT(E32)-E32,WORKDAY(G32,E32,'附录-节假日'!$A$2:$A$35),WORKDAY(G32,E32-1,'附录-节假日'!$A$2:$A$35))</f>
        <v>43285</v>
      </c>
      <c r="I32" s="46"/>
    </row>
    <row r="33" spans="2:11" s="17" customFormat="1" ht="27" hidden="1" customHeight="1" x14ac:dyDescent="0.15">
      <c r="B33" s="247" t="s">
        <v>117</v>
      </c>
      <c r="C33" s="248"/>
      <c r="D33" s="248"/>
      <c r="E33" s="248"/>
      <c r="F33" s="249"/>
      <c r="G33" s="43">
        <f>MIN(G34:G37)</f>
        <v>43285</v>
      </c>
      <c r="H33" s="43" t="e">
        <f>MAX(H34:H37)</f>
        <v>#DIV/0!</v>
      </c>
      <c r="I33" s="46"/>
    </row>
    <row r="34" spans="2:11" s="17" customFormat="1" ht="27" hidden="1" customHeight="1" x14ac:dyDescent="0.15">
      <c r="B34" s="167" t="s">
        <v>190</v>
      </c>
      <c r="C34" s="39">
        <f>C6*C20*D20</f>
        <v>0</v>
      </c>
      <c r="D34" s="39">
        <f t="shared" ref="D34:D37" si="3">I51</f>
        <v>0</v>
      </c>
      <c r="E34" s="39" t="e">
        <f t="shared" ref="E34:E42" si="4">IF(ISBLANK(D34),"-",C34*(1/(1-$G$10))/D34)</f>
        <v>#DIV/0!</v>
      </c>
      <c r="F34" s="39" t="e">
        <f t="shared" si="2"/>
        <v>#DIV/0!</v>
      </c>
      <c r="G34" s="44"/>
      <c r="H34" s="43" t="e">
        <f>IF(INT(E34)-E34,WORKDAY(G34,E34,'附录-节假日'!$A$2:$A$35),WORKDAY(G34,E34-1,'附录-节假日'!$A$2:$A$35))</f>
        <v>#DIV/0!</v>
      </c>
      <c r="I34" s="46"/>
    </row>
    <row r="35" spans="2:11" s="17" customFormat="1" ht="27" hidden="1" customHeight="1" x14ac:dyDescent="0.15">
      <c r="B35" s="167" t="s">
        <v>191</v>
      </c>
      <c r="C35" s="39">
        <f>C6*C20*E20</f>
        <v>0</v>
      </c>
      <c r="D35" s="39">
        <f>I52</f>
        <v>0.82000000000000006</v>
      </c>
      <c r="E35" s="39">
        <f t="shared" si="4"/>
        <v>0</v>
      </c>
      <c r="F35" s="39">
        <f t="shared" si="2"/>
        <v>0</v>
      </c>
      <c r="G35" s="44">
        <v>43285</v>
      </c>
      <c r="H35" s="43">
        <f>IF(INT(E35)-E35,WORKDAY(G35,E35,'附录-节假日'!$A$2:$A$35),WORKDAY(G35,E35-1,'附录-节假日'!$A$2:$A$35))</f>
        <v>43284</v>
      </c>
      <c r="I35" s="46"/>
    </row>
    <row r="36" spans="2:11" s="17" customFormat="1" ht="27" hidden="1" customHeight="1" x14ac:dyDescent="0.15">
      <c r="B36" s="167" t="s">
        <v>192</v>
      </c>
      <c r="C36" s="39">
        <f>C6*C20*F20</f>
        <v>0</v>
      </c>
      <c r="D36" s="39">
        <f t="shared" si="3"/>
        <v>2.0499999999999998</v>
      </c>
      <c r="E36" s="39">
        <f t="shared" si="4"/>
        <v>0</v>
      </c>
      <c r="F36" s="39">
        <f t="shared" si="2"/>
        <v>0</v>
      </c>
      <c r="G36" s="44">
        <v>43325</v>
      </c>
      <c r="H36" s="43">
        <f>IF(INT(E36)-E36,WORKDAY(G36,E36,'附录-节假日'!$A$2:$A$35),WORKDAY(G36,E36-1,'附录-节假日'!$A$2:$A$35))</f>
        <v>43322</v>
      </c>
      <c r="I36" s="46"/>
    </row>
    <row r="37" spans="2:11" s="17" customFormat="1" ht="27" hidden="1" customHeight="1" x14ac:dyDescent="0.15">
      <c r="B37" s="167" t="s">
        <v>193</v>
      </c>
      <c r="C37" s="39">
        <f>C6*C20*G20</f>
        <v>0</v>
      </c>
      <c r="D37" s="39">
        <f t="shared" si="3"/>
        <v>2.5499999999999998</v>
      </c>
      <c r="E37" s="39">
        <f t="shared" si="4"/>
        <v>0</v>
      </c>
      <c r="F37" s="39">
        <f t="shared" si="2"/>
        <v>0</v>
      </c>
      <c r="G37" s="44">
        <v>43340</v>
      </c>
      <c r="H37" s="43">
        <f>IF(INT(E37)-E37,WORKDAY(G37,E37,'附录-节假日'!$A$2:$A$35),WORKDAY(G37,E37-1,'附录-节假日'!$A$2:$A$35))</f>
        <v>43339</v>
      </c>
      <c r="I37" s="46"/>
    </row>
    <row r="38" spans="2:11" s="17" customFormat="1" ht="27" hidden="1" customHeight="1" x14ac:dyDescent="0.15">
      <c r="B38" s="247" t="s">
        <v>118</v>
      </c>
      <c r="C38" s="248"/>
      <c r="D38" s="248"/>
      <c r="E38" s="248"/>
      <c r="F38" s="249"/>
      <c r="G38" s="43">
        <f>MIN(G39:G42)</f>
        <v>0</v>
      </c>
      <c r="H38" s="43" t="e">
        <f>MAX(H39:H42)</f>
        <v>#NUM!</v>
      </c>
      <c r="I38" s="46"/>
    </row>
    <row r="39" spans="2:11" s="17" customFormat="1" ht="27" hidden="1" customHeight="1" x14ac:dyDescent="0.15">
      <c r="B39" s="167" t="s">
        <v>195</v>
      </c>
      <c r="C39" s="39">
        <f>C6*C23*D23</f>
        <v>0</v>
      </c>
      <c r="D39" s="39">
        <f t="shared" ref="D39:D42" si="5">I55</f>
        <v>12.85</v>
      </c>
      <c r="E39" s="39">
        <f t="shared" si="4"/>
        <v>0</v>
      </c>
      <c r="F39" s="39">
        <f t="shared" si="2"/>
        <v>0</v>
      </c>
      <c r="G39" s="44"/>
      <c r="H39" s="43" t="e">
        <f>IF(INT(E39)-E39,WORKDAY(G39,E39,'附录-节假日'!$A$2:$A$35),WORKDAY(G39,E39-1,'附录-节假日'!$A$2:$A$35))</f>
        <v>#NUM!</v>
      </c>
      <c r="I39" s="46"/>
    </row>
    <row r="40" spans="2:11" s="17" customFormat="1" ht="27" hidden="1" customHeight="1" x14ac:dyDescent="0.15">
      <c r="B40" s="167" t="s">
        <v>196</v>
      </c>
      <c r="C40" s="39">
        <f>C6*C23*E23</f>
        <v>0</v>
      </c>
      <c r="D40" s="39">
        <f t="shared" si="5"/>
        <v>3.85</v>
      </c>
      <c r="E40" s="39">
        <f t="shared" si="4"/>
        <v>0</v>
      </c>
      <c r="F40" s="39">
        <f t="shared" si="2"/>
        <v>0</v>
      </c>
      <c r="G40" s="44"/>
      <c r="H40" s="43" t="e">
        <f>IF(INT(E40)-E40,WORKDAY(G40,E40,'附录-节假日'!$A$2:$A$35),WORKDAY(G40,E40-1,'附录-节假日'!$A$2:$A$35))</f>
        <v>#NUM!</v>
      </c>
      <c r="I40" s="46"/>
    </row>
    <row r="41" spans="2:11" s="17" customFormat="1" ht="27" hidden="1" customHeight="1" x14ac:dyDescent="0.15">
      <c r="B41" s="167" t="s">
        <v>197</v>
      </c>
      <c r="C41" s="39">
        <f>C6*C23*F23</f>
        <v>0</v>
      </c>
      <c r="D41" s="39">
        <f t="shared" si="5"/>
        <v>12.85</v>
      </c>
      <c r="E41" s="39">
        <f t="shared" si="4"/>
        <v>0</v>
      </c>
      <c r="F41" s="39">
        <f t="shared" si="2"/>
        <v>0</v>
      </c>
      <c r="G41" s="44"/>
      <c r="H41" s="43" t="e">
        <f>IF(INT(E41)-E41,WORKDAY(G41,E41,'附录-节假日'!$A$2:$A$35),WORKDAY(G41,E41-1,'附录-节假日'!$A$2:$A$35))</f>
        <v>#NUM!</v>
      </c>
      <c r="I41" s="46"/>
    </row>
    <row r="42" spans="2:11" s="17" customFormat="1" ht="27" hidden="1" customHeight="1" x14ac:dyDescent="0.15">
      <c r="B42" s="167" t="s">
        <v>198</v>
      </c>
      <c r="C42" s="39">
        <f>C6*C23*G23</f>
        <v>0</v>
      </c>
      <c r="D42" s="39">
        <f t="shared" si="5"/>
        <v>3.85</v>
      </c>
      <c r="E42" s="39">
        <f t="shared" si="4"/>
        <v>0</v>
      </c>
      <c r="F42" s="39">
        <f t="shared" si="2"/>
        <v>0</v>
      </c>
      <c r="G42" s="44"/>
      <c r="H42" s="43" t="e">
        <f>IF(INT(E42)-E42,WORKDAY(G42,E42,'附录-节假日'!$A$2:$A$35),WORKDAY(G42,E42-1,'附录-节假日'!$A$2:$A$35))</f>
        <v>#NUM!</v>
      </c>
      <c r="I42" s="46"/>
    </row>
    <row r="43" spans="2:11" ht="27" customHeight="1" x14ac:dyDescent="0.15">
      <c r="B43" s="167" t="s">
        <v>188</v>
      </c>
      <c r="C43" s="39">
        <f>C6*H17</f>
        <v>4.1164912280701786</v>
      </c>
      <c r="D43" s="39">
        <f>I59</f>
        <v>0.64000000000000012</v>
      </c>
      <c r="E43" s="39">
        <f>IF(ISBLANK(D43),"-",C43*(1/(1-G10))/D43)</f>
        <v>6.5632832080200529</v>
      </c>
      <c r="F43" s="39">
        <f>E43*30/21.75</f>
        <v>9.0528044248552462</v>
      </c>
      <c r="G43" s="44">
        <v>43286</v>
      </c>
      <c r="H43" s="43">
        <f>IF(INT(E43)-E43,WORKDAY(G43,E43,'附录-节假日'!$A$2:$A$32),WORKDAY(G43,E43-1,'附录-节假日'!$A$2:$A$32))</f>
        <v>43294</v>
      </c>
      <c r="I43" s="46"/>
    </row>
    <row r="44" spans="2:11" ht="27" customHeight="1" x14ac:dyDescent="0.15">
      <c r="B44" s="163"/>
      <c r="C44" s="163"/>
      <c r="D44" s="163"/>
      <c r="E44" s="163"/>
      <c r="F44" s="163"/>
      <c r="G44" s="163"/>
      <c r="H44" s="163"/>
      <c r="I44" s="163"/>
    </row>
    <row r="45" spans="2:11" ht="35.25" customHeight="1" x14ac:dyDescent="0.15">
      <c r="B45" s="167" t="s">
        <v>208</v>
      </c>
      <c r="C45" s="167" t="s">
        <v>209</v>
      </c>
      <c r="D45" s="167" t="s">
        <v>210</v>
      </c>
      <c r="E45" s="167" t="s">
        <v>211</v>
      </c>
      <c r="F45" s="167" t="s">
        <v>212</v>
      </c>
      <c r="G45" s="167" t="s">
        <v>213</v>
      </c>
      <c r="H45" s="167" t="s">
        <v>214</v>
      </c>
      <c r="I45" s="167" t="s">
        <v>215</v>
      </c>
      <c r="J45" s="247" t="s">
        <v>216</v>
      </c>
      <c r="K45" s="249"/>
    </row>
    <row r="46" spans="2:11" ht="27" customHeight="1" x14ac:dyDescent="0.15">
      <c r="B46" s="167" t="s">
        <v>182</v>
      </c>
      <c r="C46" s="162">
        <v>1</v>
      </c>
      <c r="D46" s="162">
        <v>0</v>
      </c>
      <c r="E46" s="162">
        <v>2</v>
      </c>
      <c r="F46" s="162">
        <v>0</v>
      </c>
      <c r="G46" s="162">
        <v>0</v>
      </c>
      <c r="H46" s="162">
        <v>0</v>
      </c>
      <c r="I46" s="39">
        <f t="shared" ref="I46:I58" si="6">C46*1.6+D46*1.25+E46*1+F46*0.8+G46*0.7+H46*0.5</f>
        <v>3.6</v>
      </c>
      <c r="J46" s="262" t="s">
        <v>347</v>
      </c>
      <c r="K46" s="259"/>
    </row>
    <row r="47" spans="2:11" ht="27" customHeight="1" x14ac:dyDescent="0.15">
      <c r="B47" s="167" t="s">
        <v>184</v>
      </c>
      <c r="C47" s="162">
        <v>0</v>
      </c>
      <c r="D47" s="162">
        <v>1</v>
      </c>
      <c r="E47" s="162">
        <v>2</v>
      </c>
      <c r="F47" s="162">
        <v>0</v>
      </c>
      <c r="G47" s="162">
        <v>0</v>
      </c>
      <c r="H47" s="162">
        <v>0</v>
      </c>
      <c r="I47" s="39">
        <f t="shared" si="6"/>
        <v>3.25</v>
      </c>
      <c r="J47" s="47" t="s">
        <v>218</v>
      </c>
      <c r="K47" s="48"/>
    </row>
    <row r="48" spans="2:11" ht="27" customHeight="1" x14ac:dyDescent="0.15">
      <c r="B48" s="167" t="s">
        <v>185</v>
      </c>
      <c r="C48" s="162">
        <v>1</v>
      </c>
      <c r="D48" s="162">
        <v>1</v>
      </c>
      <c r="E48" s="162">
        <v>1</v>
      </c>
      <c r="F48" s="162">
        <v>0</v>
      </c>
      <c r="G48" s="162">
        <v>0</v>
      </c>
      <c r="H48" s="162">
        <v>0</v>
      </c>
      <c r="I48" s="39">
        <f t="shared" si="6"/>
        <v>3.85</v>
      </c>
      <c r="J48" s="258" t="s">
        <v>219</v>
      </c>
      <c r="K48" s="259"/>
    </row>
    <row r="49" spans="2:11" ht="27" customHeight="1" x14ac:dyDescent="0.15">
      <c r="B49" s="167" t="s">
        <v>186</v>
      </c>
      <c r="C49" s="162">
        <v>1</v>
      </c>
      <c r="D49" s="162">
        <v>2</v>
      </c>
      <c r="E49" s="162">
        <v>1.5</v>
      </c>
      <c r="F49" s="162">
        <v>0</v>
      </c>
      <c r="G49" s="162">
        <v>0</v>
      </c>
      <c r="H49" s="162">
        <v>0</v>
      </c>
      <c r="I49" s="39">
        <f t="shared" si="6"/>
        <v>5.6</v>
      </c>
      <c r="J49" s="258" t="s">
        <v>220</v>
      </c>
      <c r="K49" s="259"/>
    </row>
    <row r="50" spans="2:11" ht="27" customHeight="1" x14ac:dyDescent="0.15">
      <c r="B50" s="167" t="s">
        <v>187</v>
      </c>
      <c r="C50" s="162">
        <v>2</v>
      </c>
      <c r="D50" s="162">
        <v>2</v>
      </c>
      <c r="E50" s="162">
        <v>0</v>
      </c>
      <c r="F50" s="162">
        <v>0</v>
      </c>
      <c r="G50" s="162">
        <v>0</v>
      </c>
      <c r="H50" s="162">
        <v>0</v>
      </c>
      <c r="I50" s="39">
        <f t="shared" si="6"/>
        <v>5.7</v>
      </c>
      <c r="J50" s="262" t="s">
        <v>346</v>
      </c>
      <c r="K50" s="259"/>
    </row>
    <row r="51" spans="2:11" ht="27" customHeight="1" x14ac:dyDescent="0.15">
      <c r="B51" s="167" t="s">
        <v>190</v>
      </c>
      <c r="C51" s="162">
        <v>0</v>
      </c>
      <c r="D51" s="162">
        <v>0</v>
      </c>
      <c r="E51" s="162">
        <v>0</v>
      </c>
      <c r="F51" s="162">
        <v>0</v>
      </c>
      <c r="G51" s="162">
        <v>0</v>
      </c>
      <c r="H51" s="162">
        <v>0</v>
      </c>
      <c r="I51" s="39">
        <f t="shared" si="6"/>
        <v>0</v>
      </c>
      <c r="J51" s="47" t="s">
        <v>218</v>
      </c>
      <c r="K51" s="48"/>
    </row>
    <row r="52" spans="2:11" ht="27" customHeight="1" x14ac:dyDescent="0.15">
      <c r="B52" s="167" t="s">
        <v>191</v>
      </c>
      <c r="C52" s="162">
        <v>0</v>
      </c>
      <c r="D52" s="162">
        <v>0</v>
      </c>
      <c r="E52" s="162">
        <v>0</v>
      </c>
      <c r="F52" s="162">
        <v>0</v>
      </c>
      <c r="G52" s="162">
        <v>1.1000000000000001</v>
      </c>
      <c r="H52" s="195">
        <v>0.1</v>
      </c>
      <c r="I52" s="39">
        <f t="shared" si="6"/>
        <v>0.82000000000000006</v>
      </c>
      <c r="J52" s="258" t="s">
        <v>219</v>
      </c>
      <c r="K52" s="259"/>
    </row>
    <row r="53" spans="2:11" ht="27" customHeight="1" x14ac:dyDescent="0.15">
      <c r="B53" s="167" t="s">
        <v>192</v>
      </c>
      <c r="C53" s="162">
        <v>0.5</v>
      </c>
      <c r="D53" s="162">
        <v>1</v>
      </c>
      <c r="E53" s="162">
        <v>0</v>
      </c>
      <c r="F53" s="162">
        <v>0</v>
      </c>
      <c r="G53" s="162">
        <v>0</v>
      </c>
      <c r="H53" s="162">
        <v>0</v>
      </c>
      <c r="I53" s="39">
        <f t="shared" si="6"/>
        <v>2.0499999999999998</v>
      </c>
      <c r="J53" s="258" t="s">
        <v>220</v>
      </c>
      <c r="K53" s="259"/>
    </row>
    <row r="54" spans="2:11" ht="27" customHeight="1" x14ac:dyDescent="0.15">
      <c r="B54" s="167" t="s">
        <v>193</v>
      </c>
      <c r="C54" s="162">
        <v>0</v>
      </c>
      <c r="D54" s="162">
        <v>1</v>
      </c>
      <c r="E54" s="162">
        <v>1.3</v>
      </c>
      <c r="F54" s="162">
        <v>0</v>
      </c>
      <c r="G54" s="162">
        <v>0</v>
      </c>
      <c r="H54" s="162">
        <v>0</v>
      </c>
      <c r="I54" s="39">
        <f t="shared" si="6"/>
        <v>2.5499999999999998</v>
      </c>
      <c r="J54" s="258" t="s">
        <v>221</v>
      </c>
      <c r="K54" s="259"/>
    </row>
    <row r="55" spans="2:11" ht="27" hidden="1" customHeight="1" x14ac:dyDescent="0.15">
      <c r="B55" s="167" t="s">
        <v>195</v>
      </c>
      <c r="C55" s="162">
        <v>1</v>
      </c>
      <c r="D55" s="162">
        <v>1</v>
      </c>
      <c r="E55" s="162">
        <v>10</v>
      </c>
      <c r="F55" s="162">
        <v>0</v>
      </c>
      <c r="G55" s="162">
        <v>0</v>
      </c>
      <c r="H55" s="162">
        <v>0</v>
      </c>
      <c r="I55" s="39">
        <f t="shared" si="6"/>
        <v>12.85</v>
      </c>
      <c r="J55" s="47" t="s">
        <v>218</v>
      </c>
      <c r="K55" s="48"/>
    </row>
    <row r="56" spans="2:11" ht="27" hidden="1" customHeight="1" x14ac:dyDescent="0.15">
      <c r="B56" s="167" t="s">
        <v>196</v>
      </c>
      <c r="C56" s="162">
        <v>1</v>
      </c>
      <c r="D56" s="162">
        <v>1</v>
      </c>
      <c r="E56" s="162">
        <v>1</v>
      </c>
      <c r="F56" s="162">
        <v>0</v>
      </c>
      <c r="G56" s="162">
        <v>0</v>
      </c>
      <c r="H56" s="162">
        <v>0</v>
      </c>
      <c r="I56" s="39">
        <f t="shared" si="6"/>
        <v>3.85</v>
      </c>
      <c r="J56" s="258" t="s">
        <v>219</v>
      </c>
      <c r="K56" s="259"/>
    </row>
    <row r="57" spans="2:11" ht="27" hidden="1" customHeight="1" x14ac:dyDescent="0.15">
      <c r="B57" s="167" t="s">
        <v>197</v>
      </c>
      <c r="C57" s="162">
        <v>1</v>
      </c>
      <c r="D57" s="162">
        <v>1</v>
      </c>
      <c r="E57" s="162">
        <v>10</v>
      </c>
      <c r="F57" s="162">
        <v>0</v>
      </c>
      <c r="G57" s="162">
        <v>0</v>
      </c>
      <c r="H57" s="162">
        <v>0</v>
      </c>
      <c r="I57" s="39">
        <f t="shared" si="6"/>
        <v>12.85</v>
      </c>
      <c r="J57" s="258" t="s">
        <v>220</v>
      </c>
      <c r="K57" s="259"/>
    </row>
    <row r="58" spans="2:11" ht="27" hidden="1" customHeight="1" x14ac:dyDescent="0.15">
      <c r="B58" s="167" t="s">
        <v>198</v>
      </c>
      <c r="C58" s="162">
        <v>1</v>
      </c>
      <c r="D58" s="162">
        <v>1</v>
      </c>
      <c r="E58" s="162">
        <v>1</v>
      </c>
      <c r="F58" s="162">
        <v>0</v>
      </c>
      <c r="G58" s="162">
        <v>0</v>
      </c>
      <c r="H58" s="162">
        <v>0</v>
      </c>
      <c r="I58" s="39">
        <f t="shared" si="6"/>
        <v>3.85</v>
      </c>
      <c r="J58" s="258" t="s">
        <v>221</v>
      </c>
      <c r="K58" s="259"/>
    </row>
    <row r="59" spans="2:11" ht="27" customHeight="1" x14ac:dyDescent="0.15">
      <c r="B59" s="167" t="s">
        <v>188</v>
      </c>
      <c r="C59" s="162">
        <v>0.4</v>
      </c>
      <c r="D59" s="162">
        <v>0</v>
      </c>
      <c r="E59" s="162">
        <v>0</v>
      </c>
      <c r="F59" s="162">
        <v>0</v>
      </c>
      <c r="G59" s="162">
        <v>0</v>
      </c>
      <c r="H59" s="162">
        <v>0</v>
      </c>
      <c r="I59" s="39">
        <f>C59*1.6+D59*1.25+E59*1+F59*0.8+G59*0.7+H59*0.5</f>
        <v>0.64000000000000012</v>
      </c>
      <c r="J59" s="258" t="s">
        <v>217</v>
      </c>
      <c r="K59" s="259"/>
    </row>
    <row r="60" spans="2:11" ht="27" customHeight="1" x14ac:dyDescent="0.15">
      <c r="B60" s="260" t="s">
        <v>222</v>
      </c>
      <c r="C60" s="260"/>
      <c r="D60" s="17"/>
      <c r="E60" s="17"/>
      <c r="F60" s="17"/>
      <c r="G60" s="17"/>
      <c r="H60" s="30"/>
      <c r="I60" s="17"/>
    </row>
    <row r="61" spans="2:11" ht="51.6" customHeight="1" x14ac:dyDescent="0.15">
      <c r="B61" s="261" t="s">
        <v>223</v>
      </c>
      <c r="C61" s="261"/>
      <c r="D61" s="261"/>
      <c r="E61" s="261"/>
      <c r="F61" s="17"/>
      <c r="G61" s="17"/>
      <c r="H61" s="30"/>
      <c r="I61" s="17"/>
    </row>
    <row r="62" spans="2:11" ht="27" customHeight="1" x14ac:dyDescent="0.15">
      <c r="B62" s="256" t="s">
        <v>224</v>
      </c>
      <c r="C62" s="247" t="s">
        <v>225</v>
      </c>
      <c r="D62" s="249"/>
      <c r="E62" s="256" t="s">
        <v>226</v>
      </c>
      <c r="F62" s="256" t="s">
        <v>227</v>
      </c>
      <c r="G62" s="256" t="s">
        <v>228</v>
      </c>
      <c r="H62" s="256" t="s">
        <v>229</v>
      </c>
    </row>
    <row r="63" spans="2:11" ht="27" customHeight="1" x14ac:dyDescent="0.15">
      <c r="B63" s="257"/>
      <c r="C63" s="167" t="s">
        <v>225</v>
      </c>
      <c r="D63" s="167" t="s">
        <v>230</v>
      </c>
      <c r="E63" s="257"/>
      <c r="F63" s="257"/>
      <c r="G63" s="257"/>
      <c r="H63" s="257"/>
    </row>
    <row r="64" spans="2:11" ht="27" customHeight="1" x14ac:dyDescent="0.15">
      <c r="B64" s="167" t="s">
        <v>231</v>
      </c>
      <c r="C64" s="16">
        <v>4</v>
      </c>
      <c r="D64" s="39">
        <f>IF(ISERROR($H64*D65),"-",$H64*D65)</f>
        <v>2</v>
      </c>
      <c r="E64" s="39">
        <f>IF(ISERROR($H64*E65),"-",$H64*E65)</f>
        <v>1</v>
      </c>
      <c r="F64" s="39">
        <f>IF(ISERROR($H64*F65),"-",$H64*F65)</f>
        <v>3</v>
      </c>
      <c r="G64" s="39">
        <f>H64*G65</f>
        <v>1</v>
      </c>
      <c r="H64" s="39">
        <f>C64/C65</f>
        <v>10</v>
      </c>
    </row>
    <row r="65" spans="2:8" ht="27" customHeight="1" x14ac:dyDescent="0.15">
      <c r="B65" s="167"/>
      <c r="C65" s="189">
        <v>0.4</v>
      </c>
      <c r="D65" s="189">
        <v>0.2</v>
      </c>
      <c r="E65" s="189">
        <v>0.1</v>
      </c>
      <c r="F65" s="189">
        <v>0.3</v>
      </c>
      <c r="G65" s="189">
        <v>0.1</v>
      </c>
      <c r="H65" s="10"/>
    </row>
    <row r="66" spans="2:8" ht="27" customHeight="1" x14ac:dyDescent="0.15">
      <c r="B66" s="13"/>
      <c r="C66" s="247" t="s">
        <v>232</v>
      </c>
      <c r="D66" s="248"/>
      <c r="E66" s="248"/>
      <c r="F66" s="248"/>
      <c r="G66" s="249"/>
      <c r="H66" s="10"/>
    </row>
    <row r="67" spans="2:8" ht="27" customHeight="1" x14ac:dyDescent="0.15">
      <c r="H67" s="10"/>
    </row>
    <row r="68" spans="2:8" ht="27" customHeight="1" x14ac:dyDescent="0.15">
      <c r="B68" s="250" t="s">
        <v>233</v>
      </c>
      <c r="C68" s="251"/>
      <c r="D68" s="251"/>
      <c r="E68" s="251"/>
      <c r="F68" s="251"/>
      <c r="G68" s="251"/>
      <c r="H68" s="252"/>
    </row>
    <row r="69" spans="2:8" ht="27" customHeight="1" x14ac:dyDescent="0.15">
      <c r="B69" s="253"/>
      <c r="C69" s="254"/>
      <c r="D69" s="254"/>
      <c r="E69" s="254"/>
      <c r="F69" s="254"/>
      <c r="G69" s="254"/>
      <c r="H69" s="255"/>
    </row>
    <row r="70" spans="2:8" x14ac:dyDescent="0.15">
      <c r="H70" s="10"/>
    </row>
    <row r="71" spans="2:8" x14ac:dyDescent="0.15">
      <c r="H71" s="10"/>
    </row>
    <row r="72" spans="2:8" x14ac:dyDescent="0.15">
      <c r="H72" s="10"/>
    </row>
    <row r="73" spans="2:8" x14ac:dyDescent="0.15">
      <c r="H73" s="10"/>
    </row>
  </sheetData>
  <mergeCells count="39">
    <mergeCell ref="H8:I8"/>
    <mergeCell ref="B1:C1"/>
    <mergeCell ref="B2:G2"/>
    <mergeCell ref="H5:I5"/>
    <mergeCell ref="H6:I6"/>
    <mergeCell ref="H7:I7"/>
    <mergeCell ref="J46:K46"/>
    <mergeCell ref="H9:I9"/>
    <mergeCell ref="H10:I10"/>
    <mergeCell ref="B12:C12"/>
    <mergeCell ref="B13:F13"/>
    <mergeCell ref="B14:H14"/>
    <mergeCell ref="B17:B23"/>
    <mergeCell ref="H17:H23"/>
    <mergeCell ref="B24:C24"/>
    <mergeCell ref="B28:F28"/>
    <mergeCell ref="B33:F33"/>
    <mergeCell ref="B38:F38"/>
    <mergeCell ref="J45:K45"/>
    <mergeCell ref="B61:E61"/>
    <mergeCell ref="J48:K48"/>
    <mergeCell ref="J49:K49"/>
    <mergeCell ref="J50:K50"/>
    <mergeCell ref="J52:K52"/>
    <mergeCell ref="J53:K53"/>
    <mergeCell ref="J54:K54"/>
    <mergeCell ref="J56:K56"/>
    <mergeCell ref="J57:K57"/>
    <mergeCell ref="J58:K58"/>
    <mergeCell ref="J59:K59"/>
    <mergeCell ref="B60:C60"/>
    <mergeCell ref="C66:G66"/>
    <mergeCell ref="B68:H69"/>
    <mergeCell ref="B62:B63"/>
    <mergeCell ref="C62:D62"/>
    <mergeCell ref="E62:E63"/>
    <mergeCell ref="F62:F63"/>
    <mergeCell ref="G62:G63"/>
    <mergeCell ref="H62:H63"/>
  </mergeCells>
  <phoneticPr fontId="33" type="noConversion"/>
  <dataValidations count="2">
    <dataValidation allowBlank="1" showInputMessage="1" showErrorMessage="1" prompt="估算规模是“开发工作量估算”sheet中列出的需求项总数。" sqref="C62:C63"/>
    <dataValidation allowBlank="1" showInputMessage="1" showErrorMessage="1" prompt="开发工程师数量如为常数，则以开发工作量/计划工期，得到工期。" sqref="C64"/>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W87"/>
  <sheetViews>
    <sheetView workbookViewId="0">
      <selection activeCell="C5" sqref="C5:D5"/>
    </sheetView>
  </sheetViews>
  <sheetFormatPr defaultRowHeight="12" x14ac:dyDescent="0.15"/>
  <cols>
    <col min="1" max="1" width="3" style="1" customWidth="1"/>
    <col min="2" max="2" width="14.140625" style="1" customWidth="1"/>
    <col min="3" max="3" width="30.140625" style="51" customWidth="1"/>
    <col min="4" max="4" width="29"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2" customWidth="1"/>
    <col min="20" max="20" width="17.85546875" style="1" customWidth="1"/>
    <col min="21" max="22" width="9.140625" style="1"/>
    <col min="23" max="23" width="14.7109375" style="1" customWidth="1"/>
    <col min="24" max="16384" width="9.140625" style="1"/>
  </cols>
  <sheetData>
    <row r="1" spans="2:23" ht="21" customHeight="1" x14ac:dyDescent="0.15">
      <c r="B1" s="53" t="s">
        <v>123</v>
      </c>
    </row>
    <row r="2" spans="2:23" ht="90" customHeight="1" x14ac:dyDescent="0.15">
      <c r="B2" s="237" t="s">
        <v>124</v>
      </c>
      <c r="C2" s="237"/>
      <c r="D2" s="237"/>
      <c r="E2" s="54"/>
      <c r="F2" s="54"/>
      <c r="G2" s="54"/>
      <c r="H2" s="54"/>
      <c r="I2" s="69"/>
      <c r="K2" s="70"/>
      <c r="L2" s="70"/>
      <c r="M2" s="70"/>
      <c r="N2" s="71"/>
      <c r="O2" s="71"/>
      <c r="P2" s="71"/>
      <c r="Q2" s="71"/>
      <c r="R2" s="71"/>
      <c r="S2" s="71"/>
    </row>
    <row r="3" spans="2:23" s="17" customFormat="1" ht="30" customHeight="1" x14ac:dyDescent="0.15">
      <c r="B3" s="55" t="s">
        <v>125</v>
      </c>
      <c r="C3" s="221" t="s">
        <v>126</v>
      </c>
      <c r="D3" s="238"/>
      <c r="E3" s="238"/>
      <c r="F3" s="238"/>
      <c r="G3" s="238"/>
      <c r="H3" s="238"/>
      <c r="I3" s="238"/>
      <c r="J3" s="222"/>
      <c r="K3" s="60" t="s">
        <v>127</v>
      </c>
      <c r="L3" s="239" t="s">
        <v>128</v>
      </c>
      <c r="M3" s="240"/>
      <c r="N3" s="240"/>
      <c r="O3" s="240"/>
      <c r="P3" s="240"/>
      <c r="Q3" s="240"/>
      <c r="R3" s="240"/>
      <c r="S3" s="240"/>
      <c r="T3" s="77"/>
      <c r="U3" s="78"/>
      <c r="V3" s="78"/>
      <c r="W3" s="79"/>
    </row>
    <row r="4" spans="2:23" s="17" customFormat="1" ht="27" customHeight="1" x14ac:dyDescent="0.15">
      <c r="B4" s="55" t="s">
        <v>129</v>
      </c>
      <c r="C4" s="241" t="s">
        <v>130</v>
      </c>
      <c r="D4" s="242"/>
      <c r="E4" s="242"/>
      <c r="F4" s="242"/>
      <c r="G4" s="242"/>
      <c r="H4" s="242"/>
      <c r="I4" s="242"/>
      <c r="J4" s="242"/>
      <c r="K4" s="72" t="s">
        <v>131</v>
      </c>
      <c r="L4" s="243">
        <f>G5/C5*100%</f>
        <v>0</v>
      </c>
      <c r="M4" s="244"/>
      <c r="N4" s="245" t="s">
        <v>132</v>
      </c>
      <c r="O4" s="246"/>
      <c r="P4" s="232">
        <f>技术复杂度评估表!E1</f>
        <v>0.8899999999999999</v>
      </c>
      <c r="Q4" s="233"/>
      <c r="R4" s="233"/>
      <c r="S4" s="234"/>
      <c r="T4" s="80"/>
      <c r="U4" s="81"/>
      <c r="V4" s="81"/>
      <c r="W4" s="82"/>
    </row>
    <row r="5" spans="2:23" s="17" customFormat="1" ht="40.5" customHeight="1" x14ac:dyDescent="0.15">
      <c r="B5" s="56" t="s">
        <v>133</v>
      </c>
      <c r="C5" s="232">
        <f>SUM(U7:U74)</f>
        <v>142</v>
      </c>
      <c r="D5" s="233"/>
      <c r="E5" s="57"/>
      <c r="F5" s="39" t="s">
        <v>134</v>
      </c>
      <c r="G5" s="233">
        <f>SUM(V7:V74)</f>
        <v>0</v>
      </c>
      <c r="H5" s="233"/>
      <c r="I5" s="233"/>
      <c r="J5" s="234"/>
      <c r="K5" s="235" t="s">
        <v>135</v>
      </c>
      <c r="L5" s="236"/>
      <c r="M5" s="236"/>
      <c r="N5" s="236"/>
      <c r="O5" s="236"/>
      <c r="P5" s="236"/>
      <c r="Q5" s="236"/>
      <c r="R5" s="236"/>
      <c r="S5" s="236"/>
      <c r="T5" s="83"/>
      <c r="U5" s="84"/>
      <c r="V5" s="84"/>
      <c r="W5" s="85"/>
    </row>
    <row r="6" spans="2:23" s="17" customFormat="1" ht="27" customHeight="1" x14ac:dyDescent="0.15">
      <c r="B6" s="56" t="s">
        <v>72</v>
      </c>
      <c r="C6" s="58" t="s">
        <v>136</v>
      </c>
      <c r="D6" s="56" t="s">
        <v>137</v>
      </c>
      <c r="E6" s="56" t="s">
        <v>138</v>
      </c>
      <c r="F6" s="56" t="s">
        <v>139</v>
      </c>
      <c r="G6" s="59" t="s">
        <v>140</v>
      </c>
      <c r="H6" s="60" t="s">
        <v>141</v>
      </c>
      <c r="I6" s="60" t="s">
        <v>142</v>
      </c>
      <c r="J6" s="73" t="s">
        <v>143</v>
      </c>
      <c r="K6" s="73" t="s">
        <v>321</v>
      </c>
      <c r="L6" s="73" t="s">
        <v>322</v>
      </c>
      <c r="M6" s="73" t="s">
        <v>323</v>
      </c>
      <c r="N6" s="73" t="s">
        <v>324</v>
      </c>
      <c r="O6" s="73" t="s">
        <v>144</v>
      </c>
      <c r="P6" s="73" t="s">
        <v>145</v>
      </c>
      <c r="Q6" s="73" t="s">
        <v>146</v>
      </c>
      <c r="R6" s="73" t="s">
        <v>147</v>
      </c>
      <c r="S6" s="73" t="s">
        <v>148</v>
      </c>
      <c r="T6" s="73" t="s">
        <v>149</v>
      </c>
      <c r="U6" s="73" t="s">
        <v>150</v>
      </c>
      <c r="V6" s="86" t="s">
        <v>151</v>
      </c>
      <c r="W6" s="59" t="s">
        <v>152</v>
      </c>
    </row>
    <row r="7" spans="2:23" s="49" customFormat="1" ht="21" customHeight="1" x14ac:dyDescent="0.15">
      <c r="B7" s="61" t="str">
        <f t="shared" ref="B7:B38" ca="1" si="0">IF(ISBLANK(D7),"-",COUNT(OFFSET(B$6,0,0,ROW()-ROW(B$6)))+1)</f>
        <v>-</v>
      </c>
      <c r="C7" s="171" t="s">
        <v>260</v>
      </c>
      <c r="D7" s="172"/>
      <c r="E7" s="176" t="s">
        <v>318</v>
      </c>
      <c r="F7" s="176"/>
      <c r="G7" s="62"/>
      <c r="H7" s="63"/>
      <c r="I7" s="63"/>
      <c r="J7" s="62"/>
      <c r="K7" s="74"/>
      <c r="L7" s="74"/>
      <c r="M7" s="74"/>
      <c r="N7" s="74"/>
      <c r="O7" s="74"/>
      <c r="P7" s="75" t="str">
        <f>IF(OR(ISNUMBER(K7),ISNUMBER(L7),ISNUMBER(M7),ISNUMBER(N7),ISNUMBER(O7)),MIN(K7:O7),"")</f>
        <v/>
      </c>
      <c r="Q7" s="75" t="str">
        <f>IF(OR(ISNUMBER(K7),ISNUMBER(L7),ISNUMBER(M7),ISNUMBER(N7),ISNUMBER(O7)),AVERAGE(K7:O7),"")</f>
        <v/>
      </c>
      <c r="R7" s="75" t="str">
        <f>IF(OR(ISNUMBER(K7),ISNUMBER(L7),ISNUMBER(M7),ISNUMBER(N7),ISNUMBER(O7)),MAX(K7:O7),"")</f>
        <v/>
      </c>
      <c r="S7" s="87" t="str">
        <f>IF(AND(ISNUMBER(Q7),Q7&lt;&gt;0),MAX(Q7-P7,R7-Q7)/Q7,"")</f>
        <v/>
      </c>
      <c r="T7" s="88" t="s">
        <v>154</v>
      </c>
      <c r="U7" s="75" t="str">
        <f>IF(T7="N","",Q7)</f>
        <v/>
      </c>
      <c r="V7" s="89" t="str">
        <f>IF(I7="","",I7*U7/100)</f>
        <v/>
      </c>
      <c r="W7" s="90"/>
    </row>
    <row r="8" spans="2:23" s="49" customFormat="1" ht="21" customHeight="1" x14ac:dyDescent="0.15">
      <c r="B8" s="64">
        <f t="shared" ca="1" si="0"/>
        <v>1</v>
      </c>
      <c r="C8" s="173" t="s">
        <v>261</v>
      </c>
      <c r="D8" s="172" t="s">
        <v>262</v>
      </c>
      <c r="E8" s="176" t="s">
        <v>318</v>
      </c>
      <c r="F8" s="176" t="s">
        <v>153</v>
      </c>
      <c r="G8" s="62" t="s">
        <v>319</v>
      </c>
      <c r="H8" s="63" t="s">
        <v>155</v>
      </c>
      <c r="I8" s="63">
        <v>0</v>
      </c>
      <c r="J8" s="62" t="s">
        <v>320</v>
      </c>
      <c r="K8" s="74">
        <v>0.5</v>
      </c>
      <c r="L8" s="74">
        <v>0.3</v>
      </c>
      <c r="M8" s="74">
        <v>0.4</v>
      </c>
      <c r="N8" s="74">
        <v>0.5</v>
      </c>
      <c r="O8" s="76"/>
      <c r="P8" s="75">
        <f t="shared" ref="P8:P37" si="1">IF(OR(ISNUMBER(K8),ISNUMBER(L8),ISNUMBER(M8),ISNUMBER(N8),ISNUMBER(O8)),MIN(K8:O8),"")</f>
        <v>0.3</v>
      </c>
      <c r="Q8" s="75">
        <f t="shared" ref="Q8:Q37" si="2">IF(OR(ISNUMBER(K8),ISNUMBER(L8),ISNUMBER(M8),ISNUMBER(N8),ISNUMBER(O8)),AVERAGE(K8:O8),"")</f>
        <v>0.42500000000000004</v>
      </c>
      <c r="R8" s="75">
        <f t="shared" ref="R8:R37" si="3">IF(OR(ISNUMBER(K8),ISNUMBER(L8),ISNUMBER(M8),ISNUMBER(N8),ISNUMBER(O8)),MAX(K8:O8),"")</f>
        <v>0.5</v>
      </c>
      <c r="S8" s="87">
        <f t="shared" ref="S8:S71" si="4">IF(AND(ISNUMBER(Q8),Q8&lt;&gt;0),MAX(Q8-P8,R8-Q8)/Q8,"")</f>
        <v>0.29411764705882365</v>
      </c>
      <c r="T8" s="91" t="s">
        <v>154</v>
      </c>
      <c r="U8" s="75">
        <f t="shared" ref="U8:U71" si="5">IF(T8="N","",Q8)</f>
        <v>0.42500000000000004</v>
      </c>
      <c r="V8" s="89">
        <f t="shared" ref="V8:V16" si="6">IF(I8="","",I8*U8/100)</f>
        <v>0</v>
      </c>
      <c r="W8" s="92"/>
    </row>
    <row r="9" spans="2:23" s="49" customFormat="1" ht="21" customHeight="1" x14ac:dyDescent="0.15">
      <c r="B9" s="64">
        <f t="shared" ca="1" si="0"/>
        <v>2</v>
      </c>
      <c r="C9" s="173" t="s">
        <v>263</v>
      </c>
      <c r="D9" s="172" t="s">
        <v>264</v>
      </c>
      <c r="E9" s="176" t="s">
        <v>318</v>
      </c>
      <c r="F9" s="177" t="s">
        <v>153</v>
      </c>
      <c r="G9" s="66" t="s">
        <v>319</v>
      </c>
      <c r="H9" s="63" t="s">
        <v>155</v>
      </c>
      <c r="I9" s="63">
        <v>0</v>
      </c>
      <c r="J9" s="66" t="s">
        <v>320</v>
      </c>
      <c r="K9" s="76">
        <v>3</v>
      </c>
      <c r="L9" s="76">
        <v>4</v>
      </c>
      <c r="M9" s="76">
        <v>2.5</v>
      </c>
      <c r="N9" s="76">
        <v>4</v>
      </c>
      <c r="O9" s="76"/>
      <c r="P9" s="75">
        <f t="shared" si="1"/>
        <v>2.5</v>
      </c>
      <c r="Q9" s="75">
        <f t="shared" si="2"/>
        <v>3.375</v>
      </c>
      <c r="R9" s="75">
        <f t="shared" si="3"/>
        <v>4</v>
      </c>
      <c r="S9" s="87">
        <f t="shared" si="4"/>
        <v>0.25925925925925924</v>
      </c>
      <c r="T9" s="91" t="s">
        <v>154</v>
      </c>
      <c r="U9" s="75">
        <f t="shared" si="5"/>
        <v>3.375</v>
      </c>
      <c r="V9" s="89">
        <f t="shared" si="6"/>
        <v>0</v>
      </c>
      <c r="W9" s="93"/>
    </row>
    <row r="10" spans="2:23" s="49" customFormat="1" ht="21" customHeight="1" x14ac:dyDescent="0.15">
      <c r="B10" s="64">
        <f t="shared" ca="1" si="0"/>
        <v>3</v>
      </c>
      <c r="C10" s="173" t="s">
        <v>265</v>
      </c>
      <c r="D10" s="172" t="s">
        <v>266</v>
      </c>
      <c r="E10" s="176" t="s">
        <v>318</v>
      </c>
      <c r="F10" s="177" t="s">
        <v>153</v>
      </c>
      <c r="G10" s="66" t="s">
        <v>319</v>
      </c>
      <c r="H10" s="63" t="s">
        <v>155</v>
      </c>
      <c r="I10" s="63">
        <v>0</v>
      </c>
      <c r="J10" s="66" t="s">
        <v>320</v>
      </c>
      <c r="K10" s="76">
        <v>4</v>
      </c>
      <c r="L10" s="76">
        <v>4</v>
      </c>
      <c r="M10" s="76">
        <v>3</v>
      </c>
      <c r="N10" s="76">
        <v>4</v>
      </c>
      <c r="O10" s="76"/>
      <c r="P10" s="75">
        <f t="shared" si="1"/>
        <v>3</v>
      </c>
      <c r="Q10" s="75">
        <f t="shared" si="2"/>
        <v>3.75</v>
      </c>
      <c r="R10" s="75">
        <f t="shared" si="3"/>
        <v>4</v>
      </c>
      <c r="S10" s="87">
        <f t="shared" si="4"/>
        <v>0.2</v>
      </c>
      <c r="T10" s="91" t="s">
        <v>154</v>
      </c>
      <c r="U10" s="75">
        <f t="shared" si="5"/>
        <v>3.75</v>
      </c>
      <c r="V10" s="89">
        <f t="shared" si="6"/>
        <v>0</v>
      </c>
      <c r="W10" s="93"/>
    </row>
    <row r="11" spans="2:23" s="49" customFormat="1" ht="21" customHeight="1" x14ac:dyDescent="0.15">
      <c r="B11" s="64">
        <f t="shared" ca="1" si="0"/>
        <v>4</v>
      </c>
      <c r="C11" s="173" t="s">
        <v>267</v>
      </c>
      <c r="D11" s="172" t="s">
        <v>268</v>
      </c>
      <c r="E11" s="176" t="s">
        <v>318</v>
      </c>
      <c r="F11" s="177" t="s">
        <v>153</v>
      </c>
      <c r="G11" s="66" t="s">
        <v>319</v>
      </c>
      <c r="H11" s="63" t="s">
        <v>155</v>
      </c>
      <c r="I11" s="63">
        <v>0</v>
      </c>
      <c r="J11" s="66" t="s">
        <v>320</v>
      </c>
      <c r="K11" s="76">
        <v>1.5</v>
      </c>
      <c r="L11" s="76">
        <v>2</v>
      </c>
      <c r="M11" s="76">
        <v>1.2</v>
      </c>
      <c r="N11" s="76">
        <v>1.5</v>
      </c>
      <c r="O11" s="76"/>
      <c r="P11" s="75">
        <f t="shared" si="1"/>
        <v>1.2</v>
      </c>
      <c r="Q11" s="75">
        <f t="shared" si="2"/>
        <v>1.55</v>
      </c>
      <c r="R11" s="75">
        <f t="shared" si="3"/>
        <v>2</v>
      </c>
      <c r="S11" s="87">
        <f t="shared" si="4"/>
        <v>0.29032258064516125</v>
      </c>
      <c r="T11" s="91" t="s">
        <v>154</v>
      </c>
      <c r="U11" s="75">
        <f t="shared" si="5"/>
        <v>1.55</v>
      </c>
      <c r="V11" s="89">
        <f t="shared" si="6"/>
        <v>0</v>
      </c>
      <c r="W11" s="93"/>
    </row>
    <row r="12" spans="2:23" s="49" customFormat="1" ht="21" customHeight="1" x14ac:dyDescent="0.15">
      <c r="B12" s="64">
        <f t="shared" ca="1" si="0"/>
        <v>5</v>
      </c>
      <c r="C12" s="173" t="s">
        <v>269</v>
      </c>
      <c r="D12" s="172" t="s">
        <v>270</v>
      </c>
      <c r="E12" s="176" t="s">
        <v>318</v>
      </c>
      <c r="F12" s="177" t="s">
        <v>153</v>
      </c>
      <c r="G12" s="66" t="s">
        <v>319</v>
      </c>
      <c r="H12" s="63" t="s">
        <v>155</v>
      </c>
      <c r="I12" s="63">
        <v>0</v>
      </c>
      <c r="J12" s="66" t="s">
        <v>320</v>
      </c>
      <c r="K12" s="76">
        <v>1.5</v>
      </c>
      <c r="L12" s="76">
        <v>1.5</v>
      </c>
      <c r="M12" s="76">
        <v>2</v>
      </c>
      <c r="N12" s="76">
        <v>2</v>
      </c>
      <c r="O12" s="76"/>
      <c r="P12" s="75">
        <f t="shared" si="1"/>
        <v>1.5</v>
      </c>
      <c r="Q12" s="75">
        <f t="shared" si="2"/>
        <v>1.75</v>
      </c>
      <c r="R12" s="75">
        <f t="shared" si="3"/>
        <v>2</v>
      </c>
      <c r="S12" s="87">
        <f t="shared" si="4"/>
        <v>0.14285714285714285</v>
      </c>
      <c r="T12" s="91" t="s">
        <v>154</v>
      </c>
      <c r="U12" s="75">
        <f t="shared" si="5"/>
        <v>1.75</v>
      </c>
      <c r="V12" s="89">
        <f t="shared" si="6"/>
        <v>0</v>
      </c>
      <c r="W12" s="93"/>
    </row>
    <row r="13" spans="2:23" s="49" customFormat="1" ht="21" customHeight="1" x14ac:dyDescent="0.15">
      <c r="B13" s="64">
        <f t="shared" ca="1" si="0"/>
        <v>6</v>
      </c>
      <c r="C13" s="173" t="s">
        <v>271</v>
      </c>
      <c r="D13" s="172" t="s">
        <v>272</v>
      </c>
      <c r="E13" s="176" t="s">
        <v>318</v>
      </c>
      <c r="F13" s="177" t="s">
        <v>153</v>
      </c>
      <c r="G13" s="66" t="s">
        <v>319</v>
      </c>
      <c r="H13" s="63" t="s">
        <v>155</v>
      </c>
      <c r="I13" s="63">
        <v>0</v>
      </c>
      <c r="J13" s="66" t="s">
        <v>320</v>
      </c>
      <c r="K13" s="76">
        <v>5</v>
      </c>
      <c r="L13" s="76">
        <v>4</v>
      </c>
      <c r="M13" s="76">
        <v>5</v>
      </c>
      <c r="N13" s="76">
        <v>5</v>
      </c>
      <c r="O13" s="76"/>
      <c r="P13" s="75">
        <f t="shared" si="1"/>
        <v>4</v>
      </c>
      <c r="Q13" s="75">
        <f t="shared" si="2"/>
        <v>4.75</v>
      </c>
      <c r="R13" s="75">
        <f t="shared" si="3"/>
        <v>5</v>
      </c>
      <c r="S13" s="87">
        <f t="shared" si="4"/>
        <v>0.15789473684210525</v>
      </c>
      <c r="T13" s="91" t="s">
        <v>154</v>
      </c>
      <c r="U13" s="75">
        <f t="shared" si="5"/>
        <v>4.75</v>
      </c>
      <c r="V13" s="89">
        <f t="shared" si="6"/>
        <v>0</v>
      </c>
      <c r="W13" s="93"/>
    </row>
    <row r="14" spans="2:23" s="49" customFormat="1" ht="21" customHeight="1" x14ac:dyDescent="0.15">
      <c r="B14" s="64">
        <f t="shared" ca="1" si="0"/>
        <v>7</v>
      </c>
      <c r="C14" s="173" t="s">
        <v>273</v>
      </c>
      <c r="D14" s="172" t="s">
        <v>274</v>
      </c>
      <c r="E14" s="176" t="s">
        <v>318</v>
      </c>
      <c r="F14" s="177" t="s">
        <v>153</v>
      </c>
      <c r="G14" s="66" t="s">
        <v>319</v>
      </c>
      <c r="H14" s="63" t="s">
        <v>155</v>
      </c>
      <c r="I14" s="63">
        <v>0</v>
      </c>
      <c r="J14" s="66" t="s">
        <v>320</v>
      </c>
      <c r="K14" s="76">
        <v>2</v>
      </c>
      <c r="L14" s="76">
        <v>2</v>
      </c>
      <c r="M14" s="76">
        <v>2</v>
      </c>
      <c r="N14" s="76">
        <v>2</v>
      </c>
      <c r="O14" s="76"/>
      <c r="P14" s="75">
        <f t="shared" si="1"/>
        <v>2</v>
      </c>
      <c r="Q14" s="75">
        <f t="shared" si="2"/>
        <v>2</v>
      </c>
      <c r="R14" s="75">
        <f t="shared" si="3"/>
        <v>2</v>
      </c>
      <c r="S14" s="87">
        <f t="shared" si="4"/>
        <v>0</v>
      </c>
      <c r="T14" s="91" t="s">
        <v>154</v>
      </c>
      <c r="U14" s="75">
        <f t="shared" si="5"/>
        <v>2</v>
      </c>
      <c r="V14" s="89">
        <f t="shared" si="6"/>
        <v>0</v>
      </c>
      <c r="W14" s="93"/>
    </row>
    <row r="15" spans="2:23" s="49" customFormat="1" ht="21" customHeight="1" x14ac:dyDescent="0.15">
      <c r="B15" s="64">
        <f t="shared" ca="1" si="0"/>
        <v>8</v>
      </c>
      <c r="C15" s="173" t="s">
        <v>275</v>
      </c>
      <c r="D15" s="172" t="s">
        <v>276</v>
      </c>
      <c r="E15" s="176" t="s">
        <v>318</v>
      </c>
      <c r="F15" s="177" t="s">
        <v>153</v>
      </c>
      <c r="G15" s="66" t="s">
        <v>319</v>
      </c>
      <c r="H15" s="63" t="s">
        <v>155</v>
      </c>
      <c r="I15" s="63">
        <v>0</v>
      </c>
      <c r="J15" s="66" t="s">
        <v>320</v>
      </c>
      <c r="K15" s="76">
        <v>4</v>
      </c>
      <c r="L15" s="76">
        <v>3</v>
      </c>
      <c r="M15" s="76">
        <v>5</v>
      </c>
      <c r="N15" s="76">
        <v>5</v>
      </c>
      <c r="O15" s="76"/>
      <c r="P15" s="75">
        <f t="shared" si="1"/>
        <v>3</v>
      </c>
      <c r="Q15" s="75">
        <f t="shared" si="2"/>
        <v>4.25</v>
      </c>
      <c r="R15" s="75">
        <f t="shared" si="3"/>
        <v>5</v>
      </c>
      <c r="S15" s="87">
        <f t="shared" si="4"/>
        <v>0.29411764705882354</v>
      </c>
      <c r="T15" s="91" t="s">
        <v>154</v>
      </c>
      <c r="U15" s="75">
        <f t="shared" si="5"/>
        <v>4.25</v>
      </c>
      <c r="V15" s="89">
        <f t="shared" si="6"/>
        <v>0</v>
      </c>
      <c r="W15" s="93"/>
    </row>
    <row r="16" spans="2:23" s="49" customFormat="1" ht="21" customHeight="1" x14ac:dyDescent="0.15">
      <c r="B16" s="64">
        <f t="shared" ca="1" si="0"/>
        <v>9</v>
      </c>
      <c r="C16" s="173" t="s">
        <v>277</v>
      </c>
      <c r="D16" s="172" t="s">
        <v>278</v>
      </c>
      <c r="E16" s="176" t="s">
        <v>318</v>
      </c>
      <c r="F16" s="177" t="s">
        <v>153</v>
      </c>
      <c r="G16" s="66" t="s">
        <v>319</v>
      </c>
      <c r="H16" s="63" t="s">
        <v>155</v>
      </c>
      <c r="I16" s="63">
        <v>0</v>
      </c>
      <c r="J16" s="66" t="s">
        <v>320</v>
      </c>
      <c r="K16" s="76">
        <v>7</v>
      </c>
      <c r="L16" s="76">
        <v>7</v>
      </c>
      <c r="M16" s="76">
        <v>7</v>
      </c>
      <c r="N16" s="76">
        <v>8</v>
      </c>
      <c r="O16" s="76"/>
      <c r="P16" s="75">
        <f t="shared" si="1"/>
        <v>7</v>
      </c>
      <c r="Q16" s="75">
        <f t="shared" si="2"/>
        <v>7.25</v>
      </c>
      <c r="R16" s="75">
        <f t="shared" si="3"/>
        <v>8</v>
      </c>
      <c r="S16" s="87">
        <f t="shared" si="4"/>
        <v>0.10344827586206896</v>
      </c>
      <c r="T16" s="91" t="s">
        <v>154</v>
      </c>
      <c r="U16" s="75">
        <f t="shared" si="5"/>
        <v>7.25</v>
      </c>
      <c r="V16" s="89">
        <f t="shared" si="6"/>
        <v>0</v>
      </c>
      <c r="W16" s="93"/>
    </row>
    <row r="17" spans="2:23" s="49" customFormat="1" ht="21" customHeight="1" x14ac:dyDescent="0.15">
      <c r="B17" s="64">
        <f t="shared" ca="1" si="0"/>
        <v>10</v>
      </c>
      <c r="C17" s="173" t="s">
        <v>279</v>
      </c>
      <c r="D17" s="172" t="s">
        <v>280</v>
      </c>
      <c r="E17" s="176" t="s">
        <v>318</v>
      </c>
      <c r="F17" s="177" t="s">
        <v>153</v>
      </c>
      <c r="G17" s="66" t="s">
        <v>319</v>
      </c>
      <c r="H17" s="63" t="s">
        <v>155</v>
      </c>
      <c r="I17" s="63">
        <v>0</v>
      </c>
      <c r="J17" s="66" t="s">
        <v>320</v>
      </c>
      <c r="K17" s="76">
        <v>5</v>
      </c>
      <c r="L17" s="76">
        <v>4.5</v>
      </c>
      <c r="M17" s="76">
        <v>6</v>
      </c>
      <c r="N17" s="76">
        <v>5</v>
      </c>
      <c r="O17" s="76"/>
      <c r="P17" s="75">
        <f t="shared" si="1"/>
        <v>4.5</v>
      </c>
      <c r="Q17" s="75">
        <f t="shared" si="2"/>
        <v>5.125</v>
      </c>
      <c r="R17" s="75">
        <f t="shared" si="3"/>
        <v>6</v>
      </c>
      <c r="S17" s="87">
        <f t="shared" si="4"/>
        <v>0.17073170731707318</v>
      </c>
      <c r="T17" s="91" t="s">
        <v>154</v>
      </c>
      <c r="U17" s="75">
        <f t="shared" si="5"/>
        <v>5.125</v>
      </c>
      <c r="V17" s="89"/>
      <c r="W17" s="93"/>
    </row>
    <row r="18" spans="2:23" s="49" customFormat="1" ht="21" customHeight="1" x14ac:dyDescent="0.15">
      <c r="B18" s="64">
        <f t="shared" ca="1" si="0"/>
        <v>11</v>
      </c>
      <c r="C18" s="173" t="s">
        <v>281</v>
      </c>
      <c r="D18" s="172" t="s">
        <v>282</v>
      </c>
      <c r="E18" s="176" t="s">
        <v>318</v>
      </c>
      <c r="F18" s="177" t="s">
        <v>153</v>
      </c>
      <c r="G18" s="66" t="s">
        <v>319</v>
      </c>
      <c r="H18" s="63" t="s">
        <v>155</v>
      </c>
      <c r="I18" s="63">
        <v>0</v>
      </c>
      <c r="J18" s="66" t="s">
        <v>320</v>
      </c>
      <c r="K18" s="76">
        <v>4.5</v>
      </c>
      <c r="L18" s="76">
        <v>4</v>
      </c>
      <c r="M18" s="76">
        <v>2.8</v>
      </c>
      <c r="N18" s="76">
        <v>4</v>
      </c>
      <c r="O18" s="76"/>
      <c r="P18" s="75">
        <f t="shared" si="1"/>
        <v>2.8</v>
      </c>
      <c r="Q18" s="75">
        <f t="shared" si="2"/>
        <v>3.8250000000000002</v>
      </c>
      <c r="R18" s="75">
        <f t="shared" si="3"/>
        <v>4.5</v>
      </c>
      <c r="S18" s="87">
        <f t="shared" si="4"/>
        <v>0.26797385620915043</v>
      </c>
      <c r="T18" s="91" t="s">
        <v>154</v>
      </c>
      <c r="U18" s="75">
        <f t="shared" si="5"/>
        <v>3.8250000000000002</v>
      </c>
      <c r="V18" s="89"/>
      <c r="W18" s="93"/>
    </row>
    <row r="19" spans="2:23" s="49" customFormat="1" ht="21" customHeight="1" x14ac:dyDescent="0.15">
      <c r="B19" s="64">
        <f t="shared" ca="1" si="0"/>
        <v>12</v>
      </c>
      <c r="C19" s="173" t="s">
        <v>283</v>
      </c>
      <c r="D19" s="172" t="s">
        <v>284</v>
      </c>
      <c r="E19" s="176" t="s">
        <v>318</v>
      </c>
      <c r="F19" s="177" t="s">
        <v>153</v>
      </c>
      <c r="G19" s="66" t="s">
        <v>319</v>
      </c>
      <c r="H19" s="63" t="s">
        <v>155</v>
      </c>
      <c r="I19" s="63">
        <v>0</v>
      </c>
      <c r="J19" s="66" t="s">
        <v>320</v>
      </c>
      <c r="K19" s="76">
        <v>2.5</v>
      </c>
      <c r="L19" s="76">
        <v>2.5</v>
      </c>
      <c r="M19" s="76">
        <v>2.5</v>
      </c>
      <c r="N19" s="76">
        <v>2.5</v>
      </c>
      <c r="O19" s="76"/>
      <c r="P19" s="75">
        <f t="shared" si="1"/>
        <v>2.5</v>
      </c>
      <c r="Q19" s="75">
        <f t="shared" si="2"/>
        <v>2.5</v>
      </c>
      <c r="R19" s="75">
        <f t="shared" si="3"/>
        <v>2.5</v>
      </c>
      <c r="S19" s="87">
        <f t="shared" si="4"/>
        <v>0</v>
      </c>
      <c r="T19" s="91"/>
      <c r="U19" s="75">
        <f t="shared" si="5"/>
        <v>2.5</v>
      </c>
      <c r="V19" s="89"/>
      <c r="W19" s="93"/>
    </row>
    <row r="20" spans="2:23" s="49" customFormat="1" ht="21" customHeight="1" x14ac:dyDescent="0.15">
      <c r="B20" s="64">
        <f t="shared" ca="1" si="0"/>
        <v>13</v>
      </c>
      <c r="C20" s="173" t="s">
        <v>285</v>
      </c>
      <c r="D20" s="172" t="s">
        <v>286</v>
      </c>
      <c r="E20" s="176" t="s">
        <v>318</v>
      </c>
      <c r="F20" s="177" t="s">
        <v>153</v>
      </c>
      <c r="G20" s="66" t="s">
        <v>319</v>
      </c>
      <c r="H20" s="63" t="s">
        <v>155</v>
      </c>
      <c r="I20" s="63">
        <v>0</v>
      </c>
      <c r="J20" s="66" t="s">
        <v>320</v>
      </c>
      <c r="K20" s="76">
        <v>2</v>
      </c>
      <c r="L20" s="76">
        <v>2.5</v>
      </c>
      <c r="M20" s="76">
        <v>2</v>
      </c>
      <c r="N20" s="76">
        <v>2</v>
      </c>
      <c r="O20" s="76"/>
      <c r="P20" s="75">
        <f t="shared" si="1"/>
        <v>2</v>
      </c>
      <c r="Q20" s="75">
        <f t="shared" si="2"/>
        <v>2.125</v>
      </c>
      <c r="R20" s="75">
        <f t="shared" si="3"/>
        <v>2.5</v>
      </c>
      <c r="S20" s="87">
        <f t="shared" si="4"/>
        <v>0.17647058823529413</v>
      </c>
      <c r="T20" s="91"/>
      <c r="U20" s="75">
        <f t="shared" si="5"/>
        <v>2.125</v>
      </c>
      <c r="V20" s="89"/>
      <c r="W20" s="93"/>
    </row>
    <row r="21" spans="2:23" s="49" customFormat="1" ht="21" customHeight="1" x14ac:dyDescent="0.15">
      <c r="B21" s="64">
        <f t="shared" ca="1" si="0"/>
        <v>14</v>
      </c>
      <c r="C21" s="173" t="s">
        <v>287</v>
      </c>
      <c r="D21" s="172" t="s">
        <v>288</v>
      </c>
      <c r="E21" s="176" t="s">
        <v>318</v>
      </c>
      <c r="F21" s="177" t="s">
        <v>153</v>
      </c>
      <c r="G21" s="66" t="s">
        <v>319</v>
      </c>
      <c r="H21" s="63" t="s">
        <v>155</v>
      </c>
      <c r="I21" s="63">
        <v>0</v>
      </c>
      <c r="J21" s="66" t="s">
        <v>320</v>
      </c>
      <c r="K21" s="76">
        <v>1</v>
      </c>
      <c r="L21" s="76">
        <v>1</v>
      </c>
      <c r="M21" s="76">
        <v>1</v>
      </c>
      <c r="N21" s="76">
        <v>1</v>
      </c>
      <c r="O21" s="76"/>
      <c r="P21" s="75">
        <f t="shared" si="1"/>
        <v>1</v>
      </c>
      <c r="Q21" s="75">
        <f t="shared" si="2"/>
        <v>1</v>
      </c>
      <c r="R21" s="75">
        <f t="shared" si="3"/>
        <v>1</v>
      </c>
      <c r="S21" s="87">
        <f t="shared" si="4"/>
        <v>0</v>
      </c>
      <c r="T21" s="91"/>
      <c r="U21" s="75">
        <f t="shared" si="5"/>
        <v>1</v>
      </c>
      <c r="V21" s="89"/>
      <c r="W21" s="93"/>
    </row>
    <row r="22" spans="2:23" s="49" customFormat="1" ht="21" customHeight="1" x14ac:dyDescent="0.15">
      <c r="B22" s="64">
        <f t="shared" ca="1" si="0"/>
        <v>15</v>
      </c>
      <c r="C22" s="173" t="s">
        <v>289</v>
      </c>
      <c r="D22" s="172" t="s">
        <v>290</v>
      </c>
      <c r="E22" s="176" t="s">
        <v>318</v>
      </c>
      <c r="F22" s="177" t="s">
        <v>153</v>
      </c>
      <c r="G22" s="66" t="s">
        <v>319</v>
      </c>
      <c r="H22" s="63" t="s">
        <v>155</v>
      </c>
      <c r="I22" s="63">
        <v>0</v>
      </c>
      <c r="J22" s="66" t="s">
        <v>320</v>
      </c>
      <c r="K22" s="76">
        <v>8</v>
      </c>
      <c r="L22" s="76">
        <v>7</v>
      </c>
      <c r="M22" s="76">
        <v>7.5</v>
      </c>
      <c r="N22" s="76">
        <v>8</v>
      </c>
      <c r="O22" s="76"/>
      <c r="P22" s="75">
        <f t="shared" si="1"/>
        <v>7</v>
      </c>
      <c r="Q22" s="75">
        <f t="shared" si="2"/>
        <v>7.625</v>
      </c>
      <c r="R22" s="75">
        <f t="shared" si="3"/>
        <v>8</v>
      </c>
      <c r="S22" s="87">
        <f t="shared" si="4"/>
        <v>8.1967213114754092E-2</v>
      </c>
      <c r="T22" s="91"/>
      <c r="U22" s="75">
        <f t="shared" si="5"/>
        <v>7.625</v>
      </c>
      <c r="V22" s="89"/>
      <c r="W22" s="93"/>
    </row>
    <row r="23" spans="2:23" s="49" customFormat="1" ht="21" customHeight="1" x14ac:dyDescent="0.15">
      <c r="B23" s="64">
        <f t="shared" ca="1" si="0"/>
        <v>16</v>
      </c>
      <c r="C23" s="173" t="s">
        <v>291</v>
      </c>
      <c r="D23" s="172" t="s">
        <v>292</v>
      </c>
      <c r="E23" s="176" t="s">
        <v>318</v>
      </c>
      <c r="F23" s="177" t="s">
        <v>153</v>
      </c>
      <c r="G23" s="66" t="s">
        <v>319</v>
      </c>
      <c r="H23" s="63" t="s">
        <v>155</v>
      </c>
      <c r="I23" s="63">
        <v>0</v>
      </c>
      <c r="J23" s="66" t="s">
        <v>320</v>
      </c>
      <c r="K23" s="76">
        <v>2</v>
      </c>
      <c r="L23" s="76">
        <v>2.5</v>
      </c>
      <c r="M23" s="76">
        <v>2</v>
      </c>
      <c r="N23" s="76">
        <v>2</v>
      </c>
      <c r="O23" s="76"/>
      <c r="P23" s="75">
        <f t="shared" si="1"/>
        <v>2</v>
      </c>
      <c r="Q23" s="75">
        <f t="shared" si="2"/>
        <v>2.125</v>
      </c>
      <c r="R23" s="75">
        <f t="shared" si="3"/>
        <v>2.5</v>
      </c>
      <c r="S23" s="87">
        <f t="shared" si="4"/>
        <v>0.17647058823529413</v>
      </c>
      <c r="T23" s="91"/>
      <c r="U23" s="75">
        <f t="shared" si="5"/>
        <v>2.125</v>
      </c>
      <c r="V23" s="89"/>
      <c r="W23" s="93"/>
    </row>
    <row r="24" spans="2:23" s="49" customFormat="1" ht="21" customHeight="1" x14ac:dyDescent="0.15">
      <c r="B24" s="64">
        <f t="shared" ca="1" si="0"/>
        <v>17</v>
      </c>
      <c r="C24" s="173" t="s">
        <v>293</v>
      </c>
      <c r="D24" s="172" t="s">
        <v>294</v>
      </c>
      <c r="E24" s="176" t="s">
        <v>318</v>
      </c>
      <c r="F24" s="177" t="s">
        <v>153</v>
      </c>
      <c r="G24" s="66" t="s">
        <v>319</v>
      </c>
      <c r="H24" s="63" t="s">
        <v>155</v>
      </c>
      <c r="I24" s="63">
        <v>0</v>
      </c>
      <c r="J24" s="66" t="s">
        <v>320</v>
      </c>
      <c r="K24" s="76">
        <v>0.4</v>
      </c>
      <c r="L24" s="76">
        <v>0.5</v>
      </c>
      <c r="M24" s="76">
        <v>0.5</v>
      </c>
      <c r="N24" s="76">
        <v>0.5</v>
      </c>
      <c r="O24" s="76"/>
      <c r="P24" s="75">
        <f t="shared" si="1"/>
        <v>0.4</v>
      </c>
      <c r="Q24" s="75">
        <f t="shared" si="2"/>
        <v>0.47499999999999998</v>
      </c>
      <c r="R24" s="75">
        <f t="shared" si="3"/>
        <v>0.5</v>
      </c>
      <c r="S24" s="87">
        <f t="shared" si="4"/>
        <v>0.15789473684210517</v>
      </c>
      <c r="T24" s="91"/>
      <c r="U24" s="75">
        <f t="shared" si="5"/>
        <v>0.47499999999999998</v>
      </c>
      <c r="V24" s="89"/>
      <c r="W24" s="93"/>
    </row>
    <row r="25" spans="2:23" s="49" customFormat="1" ht="21" customHeight="1" x14ac:dyDescent="0.15">
      <c r="B25" s="64">
        <f t="shared" ca="1" si="0"/>
        <v>18</v>
      </c>
      <c r="C25" s="173" t="s">
        <v>295</v>
      </c>
      <c r="D25" s="172" t="s">
        <v>295</v>
      </c>
      <c r="E25" s="176" t="s">
        <v>318</v>
      </c>
      <c r="F25" s="177" t="s">
        <v>153</v>
      </c>
      <c r="G25" s="66" t="s">
        <v>319</v>
      </c>
      <c r="H25" s="63" t="s">
        <v>155</v>
      </c>
      <c r="I25" s="63">
        <v>0</v>
      </c>
      <c r="J25" s="66" t="s">
        <v>320</v>
      </c>
      <c r="K25" s="76">
        <v>5</v>
      </c>
      <c r="L25" s="76">
        <v>6</v>
      </c>
      <c r="M25" s="76">
        <v>5</v>
      </c>
      <c r="N25" s="76">
        <v>6</v>
      </c>
      <c r="O25" s="76"/>
      <c r="P25" s="75">
        <f t="shared" si="1"/>
        <v>5</v>
      </c>
      <c r="Q25" s="75">
        <f t="shared" si="2"/>
        <v>5.5</v>
      </c>
      <c r="R25" s="75">
        <f t="shared" si="3"/>
        <v>6</v>
      </c>
      <c r="S25" s="87">
        <f t="shared" si="4"/>
        <v>9.0909090909090912E-2</v>
      </c>
      <c r="T25" s="91"/>
      <c r="U25" s="75">
        <f t="shared" si="5"/>
        <v>5.5</v>
      </c>
      <c r="V25" s="89"/>
      <c r="W25" s="93"/>
    </row>
    <row r="26" spans="2:23" s="49" customFormat="1" ht="21" customHeight="1" x14ac:dyDescent="0.15">
      <c r="B26" s="64" t="str">
        <f t="shared" ca="1" si="0"/>
        <v>-</v>
      </c>
      <c r="C26" s="174" t="s">
        <v>344</v>
      </c>
      <c r="D26" s="172"/>
      <c r="E26" s="176" t="s">
        <v>318</v>
      </c>
      <c r="F26" s="177"/>
      <c r="G26" s="178"/>
      <c r="H26" s="179"/>
      <c r="I26" s="179"/>
      <c r="J26" s="178"/>
      <c r="K26" s="76"/>
      <c r="L26" s="76"/>
      <c r="M26" s="76"/>
      <c r="N26" s="76"/>
      <c r="O26" s="76"/>
      <c r="P26" s="75" t="str">
        <f t="shared" si="1"/>
        <v/>
      </c>
      <c r="Q26" s="75" t="str">
        <f t="shared" si="2"/>
        <v/>
      </c>
      <c r="R26" s="75" t="str">
        <f t="shared" si="3"/>
        <v/>
      </c>
      <c r="S26" s="87" t="str">
        <f t="shared" si="4"/>
        <v/>
      </c>
      <c r="T26" s="91"/>
      <c r="U26" s="75" t="str">
        <f t="shared" si="5"/>
        <v/>
      </c>
      <c r="V26" s="89"/>
      <c r="W26" s="93"/>
    </row>
    <row r="27" spans="2:23" s="49" customFormat="1" ht="21" customHeight="1" x14ac:dyDescent="0.15">
      <c r="B27" s="64">
        <f t="shared" ca="1" si="0"/>
        <v>19</v>
      </c>
      <c r="C27" s="173" t="s">
        <v>296</v>
      </c>
      <c r="D27" s="172" t="s">
        <v>297</v>
      </c>
      <c r="E27" s="176" t="s">
        <v>318</v>
      </c>
      <c r="F27" s="177" t="s">
        <v>153</v>
      </c>
      <c r="G27" s="66" t="s">
        <v>319</v>
      </c>
      <c r="H27" s="63" t="s">
        <v>155</v>
      </c>
      <c r="I27" s="63">
        <v>0</v>
      </c>
      <c r="J27" s="66" t="s">
        <v>320</v>
      </c>
      <c r="K27" s="76"/>
      <c r="L27" s="76">
        <v>3.5</v>
      </c>
      <c r="M27" s="76">
        <v>3</v>
      </c>
      <c r="N27" s="76">
        <v>4</v>
      </c>
      <c r="O27" s="76"/>
      <c r="P27" s="75">
        <f t="shared" si="1"/>
        <v>3</v>
      </c>
      <c r="Q27" s="75">
        <f t="shared" si="2"/>
        <v>3.5</v>
      </c>
      <c r="R27" s="75">
        <f t="shared" si="3"/>
        <v>4</v>
      </c>
      <c r="S27" s="87">
        <f t="shared" si="4"/>
        <v>0.14285714285714285</v>
      </c>
      <c r="T27" s="91"/>
      <c r="U27" s="75">
        <f t="shared" si="5"/>
        <v>3.5</v>
      </c>
      <c r="V27" s="89"/>
      <c r="W27" s="93"/>
    </row>
    <row r="28" spans="2:23" s="49" customFormat="1" ht="21" customHeight="1" x14ac:dyDescent="0.15">
      <c r="B28" s="64">
        <f t="shared" ca="1" si="0"/>
        <v>20</v>
      </c>
      <c r="C28" s="173" t="s">
        <v>298</v>
      </c>
      <c r="D28" s="172" t="s">
        <v>299</v>
      </c>
      <c r="E28" s="176" t="s">
        <v>318</v>
      </c>
      <c r="F28" s="177" t="s">
        <v>153</v>
      </c>
      <c r="G28" s="66" t="s">
        <v>319</v>
      </c>
      <c r="H28" s="63" t="s">
        <v>155</v>
      </c>
      <c r="I28" s="63">
        <v>0</v>
      </c>
      <c r="J28" s="66" t="s">
        <v>320</v>
      </c>
      <c r="K28" s="76"/>
      <c r="L28" s="76">
        <v>4</v>
      </c>
      <c r="M28" s="76">
        <v>4</v>
      </c>
      <c r="N28" s="76">
        <v>4.2</v>
      </c>
      <c r="O28" s="76"/>
      <c r="P28" s="75">
        <f t="shared" si="1"/>
        <v>4</v>
      </c>
      <c r="Q28" s="75">
        <f t="shared" si="2"/>
        <v>4.0666666666666664</v>
      </c>
      <c r="R28" s="75">
        <f t="shared" si="3"/>
        <v>4.2</v>
      </c>
      <c r="S28" s="87">
        <f t="shared" si="4"/>
        <v>3.2786885245901745E-2</v>
      </c>
      <c r="T28" s="91"/>
      <c r="U28" s="75">
        <f t="shared" si="5"/>
        <v>4.0666666666666664</v>
      </c>
      <c r="V28" s="89"/>
      <c r="W28" s="93"/>
    </row>
    <row r="29" spans="2:23" s="49" customFormat="1" ht="21" customHeight="1" x14ac:dyDescent="0.15">
      <c r="B29" s="64">
        <f t="shared" ca="1" si="0"/>
        <v>21</v>
      </c>
      <c r="C29" s="173" t="s">
        <v>300</v>
      </c>
      <c r="D29" s="172" t="s">
        <v>301</v>
      </c>
      <c r="E29" s="176" t="s">
        <v>318</v>
      </c>
      <c r="F29" s="177" t="s">
        <v>153</v>
      </c>
      <c r="G29" s="66" t="s">
        <v>319</v>
      </c>
      <c r="H29" s="63" t="s">
        <v>155</v>
      </c>
      <c r="I29" s="63">
        <v>0</v>
      </c>
      <c r="J29" s="66" t="s">
        <v>320</v>
      </c>
      <c r="K29" s="76"/>
      <c r="L29" s="76">
        <v>3.1</v>
      </c>
      <c r="M29" s="76">
        <v>3.5</v>
      </c>
      <c r="N29" s="76">
        <v>5</v>
      </c>
      <c r="O29" s="76"/>
      <c r="P29" s="75">
        <f t="shared" si="1"/>
        <v>3.1</v>
      </c>
      <c r="Q29" s="75">
        <f t="shared" si="2"/>
        <v>3.8666666666666667</v>
      </c>
      <c r="R29" s="75">
        <f t="shared" si="3"/>
        <v>5</v>
      </c>
      <c r="S29" s="87">
        <f t="shared" si="4"/>
        <v>0.29310344827586204</v>
      </c>
      <c r="T29" s="91"/>
      <c r="U29" s="75">
        <f t="shared" si="5"/>
        <v>3.8666666666666667</v>
      </c>
      <c r="V29" s="89"/>
      <c r="W29" s="93"/>
    </row>
    <row r="30" spans="2:23" s="49" customFormat="1" ht="21" customHeight="1" x14ac:dyDescent="0.15">
      <c r="B30" s="64">
        <f t="shared" ca="1" si="0"/>
        <v>22</v>
      </c>
      <c r="C30" s="173" t="s">
        <v>302</v>
      </c>
      <c r="D30" s="172" t="s">
        <v>303</v>
      </c>
      <c r="E30" s="176" t="s">
        <v>318</v>
      </c>
      <c r="F30" s="177" t="s">
        <v>153</v>
      </c>
      <c r="G30" s="66" t="s">
        <v>319</v>
      </c>
      <c r="H30" s="63" t="s">
        <v>155</v>
      </c>
      <c r="I30" s="63">
        <v>0</v>
      </c>
      <c r="J30" s="66" t="s">
        <v>320</v>
      </c>
      <c r="K30" s="76"/>
      <c r="L30" s="76">
        <v>2</v>
      </c>
      <c r="M30" s="76">
        <v>1.5</v>
      </c>
      <c r="N30" s="76">
        <v>2</v>
      </c>
      <c r="O30" s="76"/>
      <c r="P30" s="75">
        <f t="shared" si="1"/>
        <v>1.5</v>
      </c>
      <c r="Q30" s="75">
        <f t="shared" si="2"/>
        <v>1.8333333333333333</v>
      </c>
      <c r="R30" s="75">
        <f t="shared" si="3"/>
        <v>2</v>
      </c>
      <c r="S30" s="87">
        <f t="shared" si="4"/>
        <v>0.1818181818181818</v>
      </c>
      <c r="T30" s="91"/>
      <c r="U30" s="75">
        <f t="shared" si="5"/>
        <v>1.8333333333333333</v>
      </c>
      <c r="V30" s="89"/>
      <c r="W30" s="93"/>
    </row>
    <row r="31" spans="2:23" s="49" customFormat="1" ht="21" customHeight="1" x14ac:dyDescent="0.15">
      <c r="B31" s="64">
        <f t="shared" ca="1" si="0"/>
        <v>23</v>
      </c>
      <c r="C31" s="173" t="s">
        <v>304</v>
      </c>
      <c r="D31" s="172" t="s">
        <v>305</v>
      </c>
      <c r="E31" s="176" t="s">
        <v>318</v>
      </c>
      <c r="F31" s="177" t="s">
        <v>153</v>
      </c>
      <c r="G31" s="66" t="s">
        <v>319</v>
      </c>
      <c r="H31" s="63" t="s">
        <v>155</v>
      </c>
      <c r="I31" s="63">
        <v>0</v>
      </c>
      <c r="J31" s="66" t="s">
        <v>320</v>
      </c>
      <c r="K31" s="76"/>
      <c r="L31" s="76">
        <v>3</v>
      </c>
      <c r="M31" s="76">
        <v>2.5</v>
      </c>
      <c r="N31" s="76">
        <v>4</v>
      </c>
      <c r="O31" s="76"/>
      <c r="P31" s="75">
        <f t="shared" si="1"/>
        <v>2.5</v>
      </c>
      <c r="Q31" s="75">
        <f t="shared" si="2"/>
        <v>3.1666666666666665</v>
      </c>
      <c r="R31" s="75">
        <f t="shared" si="3"/>
        <v>4</v>
      </c>
      <c r="S31" s="87">
        <f t="shared" si="4"/>
        <v>0.26315789473684215</v>
      </c>
      <c r="T31" s="91"/>
      <c r="U31" s="75">
        <f t="shared" si="5"/>
        <v>3.1666666666666665</v>
      </c>
      <c r="V31" s="89"/>
      <c r="W31" s="93"/>
    </row>
    <row r="32" spans="2:23" s="49" customFormat="1" ht="21" customHeight="1" x14ac:dyDescent="0.15">
      <c r="B32" s="64">
        <f t="shared" ca="1" si="0"/>
        <v>24</v>
      </c>
      <c r="C32" s="173" t="s">
        <v>306</v>
      </c>
      <c r="D32" s="172" t="s">
        <v>307</v>
      </c>
      <c r="E32" s="176" t="s">
        <v>318</v>
      </c>
      <c r="F32" s="177" t="s">
        <v>153</v>
      </c>
      <c r="G32" s="66" t="s">
        <v>319</v>
      </c>
      <c r="H32" s="63" t="s">
        <v>155</v>
      </c>
      <c r="I32" s="63">
        <v>0</v>
      </c>
      <c r="J32" s="66" t="s">
        <v>320</v>
      </c>
      <c r="K32" s="76"/>
      <c r="L32" s="76">
        <v>3</v>
      </c>
      <c r="M32" s="76">
        <v>3.6</v>
      </c>
      <c r="N32" s="76">
        <v>5</v>
      </c>
      <c r="O32" s="76"/>
      <c r="P32" s="75">
        <f t="shared" si="1"/>
        <v>3</v>
      </c>
      <c r="Q32" s="75">
        <f t="shared" si="2"/>
        <v>3.8666666666666667</v>
      </c>
      <c r="R32" s="75">
        <f t="shared" si="3"/>
        <v>5</v>
      </c>
      <c r="S32" s="87">
        <f t="shared" si="4"/>
        <v>0.29310344827586204</v>
      </c>
      <c r="T32" s="91"/>
      <c r="U32" s="75">
        <f t="shared" si="5"/>
        <v>3.8666666666666667</v>
      </c>
      <c r="V32" s="89"/>
      <c r="W32" s="93"/>
    </row>
    <row r="33" spans="2:23" s="49" customFormat="1" ht="21" customHeight="1" x14ac:dyDescent="0.15">
      <c r="B33" s="64">
        <f t="shared" ca="1" si="0"/>
        <v>25</v>
      </c>
      <c r="C33" s="173" t="s">
        <v>308</v>
      </c>
      <c r="D33" s="172" t="s">
        <v>309</v>
      </c>
      <c r="E33" s="176" t="s">
        <v>318</v>
      </c>
      <c r="F33" s="177" t="s">
        <v>153</v>
      </c>
      <c r="G33" s="66" t="s">
        <v>319</v>
      </c>
      <c r="H33" s="63" t="s">
        <v>155</v>
      </c>
      <c r="I33" s="63">
        <v>0</v>
      </c>
      <c r="J33" s="66" t="s">
        <v>320</v>
      </c>
      <c r="K33" s="76"/>
      <c r="L33" s="76">
        <v>4</v>
      </c>
      <c r="M33" s="76">
        <v>6</v>
      </c>
      <c r="N33" s="76">
        <v>7</v>
      </c>
      <c r="O33" s="76"/>
      <c r="P33" s="75">
        <f t="shared" si="1"/>
        <v>4</v>
      </c>
      <c r="Q33" s="75">
        <f t="shared" si="2"/>
        <v>5.666666666666667</v>
      </c>
      <c r="R33" s="75">
        <f t="shared" si="3"/>
        <v>7</v>
      </c>
      <c r="S33" s="87">
        <f t="shared" si="4"/>
        <v>0.29411764705882354</v>
      </c>
      <c r="T33" s="91"/>
      <c r="U33" s="75">
        <f t="shared" si="5"/>
        <v>5.666666666666667</v>
      </c>
      <c r="V33" s="89"/>
      <c r="W33" s="93"/>
    </row>
    <row r="34" spans="2:23" s="49" customFormat="1" ht="21" customHeight="1" x14ac:dyDescent="0.15">
      <c r="B34" s="64">
        <f t="shared" ca="1" si="0"/>
        <v>26</v>
      </c>
      <c r="C34" s="173" t="s">
        <v>310</v>
      </c>
      <c r="D34" s="172" t="s">
        <v>311</v>
      </c>
      <c r="E34" s="176" t="s">
        <v>318</v>
      </c>
      <c r="F34" s="177" t="s">
        <v>153</v>
      </c>
      <c r="G34" s="66" t="s">
        <v>319</v>
      </c>
      <c r="H34" s="63" t="s">
        <v>155</v>
      </c>
      <c r="I34" s="63">
        <v>0</v>
      </c>
      <c r="J34" s="66" t="s">
        <v>320</v>
      </c>
      <c r="K34" s="76"/>
      <c r="L34" s="76">
        <v>2</v>
      </c>
      <c r="M34" s="76">
        <v>2</v>
      </c>
      <c r="N34" s="76">
        <v>2</v>
      </c>
      <c r="O34" s="76"/>
      <c r="P34" s="75">
        <f t="shared" si="1"/>
        <v>2</v>
      </c>
      <c r="Q34" s="75">
        <f t="shared" si="2"/>
        <v>2</v>
      </c>
      <c r="R34" s="75">
        <f t="shared" si="3"/>
        <v>2</v>
      </c>
      <c r="S34" s="87">
        <f t="shared" si="4"/>
        <v>0</v>
      </c>
      <c r="T34" s="91"/>
      <c r="U34" s="75">
        <f t="shared" si="5"/>
        <v>2</v>
      </c>
      <c r="V34" s="89"/>
      <c r="W34" s="93"/>
    </row>
    <row r="35" spans="2:23" s="49" customFormat="1" ht="21" customHeight="1" x14ac:dyDescent="0.15">
      <c r="B35" s="64">
        <f t="shared" ca="1" si="0"/>
        <v>27</v>
      </c>
      <c r="C35" s="173" t="s">
        <v>312</v>
      </c>
      <c r="D35" s="172" t="s">
        <v>313</v>
      </c>
      <c r="E35" s="176" t="s">
        <v>318</v>
      </c>
      <c r="F35" s="177" t="s">
        <v>153</v>
      </c>
      <c r="G35" s="66" t="s">
        <v>319</v>
      </c>
      <c r="H35" s="63" t="s">
        <v>155</v>
      </c>
      <c r="I35" s="63">
        <v>0</v>
      </c>
      <c r="J35" s="66" t="s">
        <v>320</v>
      </c>
      <c r="K35" s="76"/>
      <c r="L35" s="76">
        <v>2.5</v>
      </c>
      <c r="M35" s="76">
        <v>3</v>
      </c>
      <c r="N35" s="76">
        <v>4</v>
      </c>
      <c r="O35" s="76"/>
      <c r="P35" s="75">
        <f t="shared" si="1"/>
        <v>2.5</v>
      </c>
      <c r="Q35" s="75">
        <f t="shared" si="2"/>
        <v>3.1666666666666665</v>
      </c>
      <c r="R35" s="75">
        <f t="shared" si="3"/>
        <v>4</v>
      </c>
      <c r="S35" s="87">
        <f t="shared" si="4"/>
        <v>0.26315789473684215</v>
      </c>
      <c r="T35" s="91"/>
      <c r="U35" s="75">
        <f t="shared" si="5"/>
        <v>3.1666666666666665</v>
      </c>
      <c r="V35" s="89"/>
      <c r="W35" s="93"/>
    </row>
    <row r="36" spans="2:23" s="49" customFormat="1" ht="21" customHeight="1" x14ac:dyDescent="0.15">
      <c r="B36" s="64">
        <f t="shared" ca="1" si="0"/>
        <v>28</v>
      </c>
      <c r="C36" s="173" t="s">
        <v>314</v>
      </c>
      <c r="D36" s="172" t="s">
        <v>315</v>
      </c>
      <c r="E36" s="176" t="s">
        <v>318</v>
      </c>
      <c r="F36" s="177" t="s">
        <v>153</v>
      </c>
      <c r="G36" s="66" t="s">
        <v>319</v>
      </c>
      <c r="H36" s="63" t="s">
        <v>155</v>
      </c>
      <c r="I36" s="63">
        <v>0</v>
      </c>
      <c r="J36" s="66" t="s">
        <v>320</v>
      </c>
      <c r="K36" s="76"/>
      <c r="L36" s="76">
        <v>1.5</v>
      </c>
      <c r="M36" s="76">
        <v>2</v>
      </c>
      <c r="N36" s="76">
        <v>2</v>
      </c>
      <c r="O36" s="76"/>
      <c r="P36" s="75">
        <f t="shared" si="1"/>
        <v>1.5</v>
      </c>
      <c r="Q36" s="75">
        <f t="shared" si="2"/>
        <v>1.8333333333333333</v>
      </c>
      <c r="R36" s="75">
        <f t="shared" si="3"/>
        <v>2</v>
      </c>
      <c r="S36" s="87">
        <f t="shared" si="4"/>
        <v>0.1818181818181818</v>
      </c>
      <c r="T36" s="91"/>
      <c r="U36" s="75">
        <f t="shared" si="5"/>
        <v>1.8333333333333333</v>
      </c>
      <c r="V36" s="89"/>
      <c r="W36" s="93"/>
    </row>
    <row r="37" spans="2:23" s="49" customFormat="1" ht="21" customHeight="1" x14ac:dyDescent="0.15">
      <c r="B37" s="64">
        <f t="shared" ca="1" si="0"/>
        <v>29</v>
      </c>
      <c r="C37" s="173" t="s">
        <v>316</v>
      </c>
      <c r="D37" s="172" t="s">
        <v>317</v>
      </c>
      <c r="E37" s="176" t="s">
        <v>318</v>
      </c>
      <c r="F37" s="177" t="s">
        <v>153</v>
      </c>
      <c r="G37" s="66" t="s">
        <v>319</v>
      </c>
      <c r="H37" s="63" t="s">
        <v>155</v>
      </c>
      <c r="I37" s="63">
        <v>0</v>
      </c>
      <c r="J37" s="66" t="s">
        <v>320</v>
      </c>
      <c r="K37" s="76"/>
      <c r="L37" s="76">
        <v>4.2</v>
      </c>
      <c r="M37" s="76">
        <v>7</v>
      </c>
      <c r="N37" s="76">
        <v>5</v>
      </c>
      <c r="O37" s="76"/>
      <c r="P37" s="75">
        <f t="shared" si="1"/>
        <v>4.2</v>
      </c>
      <c r="Q37" s="75">
        <f t="shared" si="2"/>
        <v>5.3999999999999995</v>
      </c>
      <c r="R37" s="75">
        <f t="shared" si="3"/>
        <v>7</v>
      </c>
      <c r="S37" s="87">
        <f t="shared" si="4"/>
        <v>0.29629629629629645</v>
      </c>
      <c r="T37" s="91"/>
      <c r="U37" s="75">
        <f t="shared" si="5"/>
        <v>5.3999999999999995</v>
      </c>
      <c r="V37" s="89"/>
      <c r="W37" s="93"/>
    </row>
    <row r="38" spans="2:23" s="49" customFormat="1" ht="21" customHeight="1" x14ac:dyDescent="0.15">
      <c r="B38" s="64" t="str">
        <f t="shared" ca="1" si="0"/>
        <v>-</v>
      </c>
      <c r="C38" s="186" t="s">
        <v>343</v>
      </c>
      <c r="D38" s="184"/>
      <c r="E38" s="176" t="s">
        <v>345</v>
      </c>
      <c r="F38" s="177" t="s">
        <v>153</v>
      </c>
      <c r="G38" s="66" t="s">
        <v>319</v>
      </c>
      <c r="H38" s="63" t="s">
        <v>155</v>
      </c>
      <c r="I38" s="63">
        <v>1</v>
      </c>
      <c r="J38" s="66" t="s">
        <v>320</v>
      </c>
      <c r="K38" s="76"/>
      <c r="L38" s="76"/>
      <c r="M38" s="76"/>
      <c r="N38" s="76"/>
      <c r="O38" s="76"/>
      <c r="P38" s="75" t="str">
        <f t="shared" ref="P38:P74" si="7">IF(OR(ISNUMBER(K38),ISNUMBER(L38),ISNUMBER(M38),ISNUMBER(N38),ISNUMBER(O38)),MIN(K38:O38),"")</f>
        <v/>
      </c>
      <c r="Q38" s="75" t="str">
        <f t="shared" ref="Q38:Q74" si="8">IF(OR(ISNUMBER(K38),ISNUMBER(L38),ISNUMBER(M38),ISNUMBER(N38),ISNUMBER(O38)),AVERAGE(K38:O38),"")</f>
        <v/>
      </c>
      <c r="R38" s="75" t="str">
        <f t="shared" ref="R38:R74" si="9">IF(OR(ISNUMBER(K38),ISNUMBER(L38),ISNUMBER(M38),ISNUMBER(N38),ISNUMBER(O38)),MAX(K38:O38),"")</f>
        <v/>
      </c>
      <c r="S38" s="87" t="str">
        <f t="shared" si="4"/>
        <v/>
      </c>
      <c r="T38" s="91"/>
      <c r="U38" s="75" t="str">
        <f t="shared" si="5"/>
        <v/>
      </c>
      <c r="V38" s="89"/>
      <c r="W38" s="93"/>
    </row>
    <row r="39" spans="2:23" s="49" customFormat="1" ht="21" customHeight="1" x14ac:dyDescent="0.15">
      <c r="B39" s="64">
        <f t="shared" ref="B39:B74" ca="1" si="10">IF(ISBLANK(D39),"-",COUNT(OFFSET(B$6,0,0,ROW()-ROW(B$6)))+1)</f>
        <v>30</v>
      </c>
      <c r="C39" s="182" t="s">
        <v>325</v>
      </c>
      <c r="D39" s="183" t="s">
        <v>326</v>
      </c>
      <c r="E39" s="176" t="s">
        <v>345</v>
      </c>
      <c r="F39" s="177" t="s">
        <v>153</v>
      </c>
      <c r="G39" s="66" t="s">
        <v>319</v>
      </c>
      <c r="H39" s="63" t="s">
        <v>155</v>
      </c>
      <c r="I39" s="63">
        <v>2</v>
      </c>
      <c r="J39" s="66" t="s">
        <v>320</v>
      </c>
      <c r="K39" s="76"/>
      <c r="L39" s="188">
        <v>1.5</v>
      </c>
      <c r="M39" s="188">
        <v>1</v>
      </c>
      <c r="N39" s="188">
        <v>1.5</v>
      </c>
      <c r="O39" s="76"/>
      <c r="P39" s="75">
        <f t="shared" si="7"/>
        <v>1</v>
      </c>
      <c r="Q39" s="75">
        <f t="shared" si="8"/>
        <v>1.3333333333333333</v>
      </c>
      <c r="R39" s="75">
        <f t="shared" si="9"/>
        <v>1.5</v>
      </c>
      <c r="S39" s="87">
        <f t="shared" si="4"/>
        <v>0.24999999999999994</v>
      </c>
      <c r="T39" s="91"/>
      <c r="U39" s="75">
        <f t="shared" si="5"/>
        <v>1.3333333333333333</v>
      </c>
      <c r="V39" s="89"/>
      <c r="W39" s="93"/>
    </row>
    <row r="40" spans="2:23" s="49" customFormat="1" ht="21" customHeight="1" x14ac:dyDescent="0.15">
      <c r="B40" s="64">
        <f t="shared" ca="1" si="10"/>
        <v>31</v>
      </c>
      <c r="C40" s="182" t="s">
        <v>327</v>
      </c>
      <c r="D40" s="185" t="s">
        <v>328</v>
      </c>
      <c r="E40" s="176" t="s">
        <v>345</v>
      </c>
      <c r="F40" s="177" t="s">
        <v>153</v>
      </c>
      <c r="G40" s="66" t="s">
        <v>319</v>
      </c>
      <c r="H40" s="63" t="s">
        <v>155</v>
      </c>
      <c r="I40" s="63">
        <v>3</v>
      </c>
      <c r="J40" s="66" t="s">
        <v>320</v>
      </c>
      <c r="K40" s="76"/>
      <c r="L40" s="188">
        <v>2</v>
      </c>
      <c r="M40" s="188">
        <v>2.5</v>
      </c>
      <c r="N40" s="188">
        <v>2</v>
      </c>
      <c r="O40" s="76"/>
      <c r="P40" s="75">
        <f t="shared" si="7"/>
        <v>2</v>
      </c>
      <c r="Q40" s="75">
        <f t="shared" si="8"/>
        <v>2.1666666666666665</v>
      </c>
      <c r="R40" s="75">
        <f t="shared" si="9"/>
        <v>2.5</v>
      </c>
      <c r="S40" s="87">
        <f t="shared" si="4"/>
        <v>0.15384615384615394</v>
      </c>
      <c r="T40" s="91"/>
      <c r="U40" s="75">
        <f t="shared" si="5"/>
        <v>2.1666666666666665</v>
      </c>
      <c r="V40" s="89"/>
      <c r="W40" s="93"/>
    </row>
    <row r="41" spans="2:23" s="49" customFormat="1" ht="21" customHeight="1" x14ac:dyDescent="0.15">
      <c r="B41" s="64">
        <f t="shared" ca="1" si="10"/>
        <v>32</v>
      </c>
      <c r="C41" s="182" t="s">
        <v>329</v>
      </c>
      <c r="D41" s="185" t="s">
        <v>330</v>
      </c>
      <c r="E41" s="176" t="s">
        <v>345</v>
      </c>
      <c r="F41" s="177" t="s">
        <v>153</v>
      </c>
      <c r="G41" s="66" t="s">
        <v>319</v>
      </c>
      <c r="H41" s="63" t="s">
        <v>155</v>
      </c>
      <c r="I41" s="63">
        <v>4</v>
      </c>
      <c r="J41" s="66" t="s">
        <v>320</v>
      </c>
      <c r="K41" s="76"/>
      <c r="L41" s="188">
        <v>2</v>
      </c>
      <c r="M41" s="188">
        <v>1.5</v>
      </c>
      <c r="N41" s="188">
        <v>2</v>
      </c>
      <c r="O41" s="76"/>
      <c r="P41" s="75">
        <f t="shared" si="7"/>
        <v>1.5</v>
      </c>
      <c r="Q41" s="75">
        <f t="shared" si="8"/>
        <v>1.8333333333333333</v>
      </c>
      <c r="R41" s="75">
        <f t="shared" si="9"/>
        <v>2</v>
      </c>
      <c r="S41" s="87">
        <f t="shared" si="4"/>
        <v>0.1818181818181818</v>
      </c>
      <c r="T41" s="91"/>
      <c r="U41" s="75">
        <f t="shared" si="5"/>
        <v>1.8333333333333333</v>
      </c>
      <c r="V41" s="89"/>
      <c r="W41" s="93"/>
    </row>
    <row r="42" spans="2:23" s="50" customFormat="1" ht="21" customHeight="1" x14ac:dyDescent="0.15">
      <c r="B42" s="64">
        <f t="shared" ca="1" si="10"/>
        <v>33</v>
      </c>
      <c r="C42" s="182" t="s">
        <v>331</v>
      </c>
      <c r="D42" s="185" t="s">
        <v>332</v>
      </c>
      <c r="E42" s="176" t="s">
        <v>345</v>
      </c>
      <c r="F42" s="177" t="s">
        <v>153</v>
      </c>
      <c r="G42" s="66" t="s">
        <v>319</v>
      </c>
      <c r="H42" s="63" t="s">
        <v>155</v>
      </c>
      <c r="I42" s="63">
        <v>5</v>
      </c>
      <c r="J42" s="66" t="s">
        <v>320</v>
      </c>
      <c r="K42" s="76"/>
      <c r="L42" s="188">
        <v>3.5</v>
      </c>
      <c r="M42" s="188">
        <v>4.5</v>
      </c>
      <c r="N42" s="188">
        <v>4</v>
      </c>
      <c r="O42" s="76"/>
      <c r="P42" s="75">
        <f t="shared" si="7"/>
        <v>3.5</v>
      </c>
      <c r="Q42" s="75">
        <f t="shared" si="8"/>
        <v>4</v>
      </c>
      <c r="R42" s="75">
        <f t="shared" si="9"/>
        <v>4.5</v>
      </c>
      <c r="S42" s="87">
        <f t="shared" si="4"/>
        <v>0.125</v>
      </c>
      <c r="T42" s="91"/>
      <c r="U42" s="75">
        <f t="shared" si="5"/>
        <v>4</v>
      </c>
      <c r="V42" s="89"/>
      <c r="W42" s="93"/>
    </row>
    <row r="43" spans="2:23" s="50" customFormat="1" ht="21" customHeight="1" x14ac:dyDescent="0.15">
      <c r="B43" s="64">
        <f t="shared" ca="1" si="10"/>
        <v>34</v>
      </c>
      <c r="C43" s="182" t="s">
        <v>333</v>
      </c>
      <c r="D43" s="185" t="s">
        <v>334</v>
      </c>
      <c r="E43" s="176" t="s">
        <v>345</v>
      </c>
      <c r="F43" s="177" t="s">
        <v>153</v>
      </c>
      <c r="G43" s="66" t="s">
        <v>319</v>
      </c>
      <c r="H43" s="63" t="s">
        <v>155</v>
      </c>
      <c r="I43" s="63">
        <v>6</v>
      </c>
      <c r="J43" s="66" t="s">
        <v>320</v>
      </c>
      <c r="K43" s="76"/>
      <c r="L43" s="188">
        <v>3.5</v>
      </c>
      <c r="M43" s="188">
        <v>4.5</v>
      </c>
      <c r="N43" s="188">
        <v>3.5</v>
      </c>
      <c r="O43" s="76"/>
      <c r="P43" s="75">
        <f t="shared" si="7"/>
        <v>3.5</v>
      </c>
      <c r="Q43" s="75">
        <f t="shared" si="8"/>
        <v>3.8333333333333335</v>
      </c>
      <c r="R43" s="75">
        <f t="shared" si="9"/>
        <v>4.5</v>
      </c>
      <c r="S43" s="87">
        <f t="shared" si="4"/>
        <v>0.17391304347826084</v>
      </c>
      <c r="T43" s="91"/>
      <c r="U43" s="75">
        <f t="shared" si="5"/>
        <v>3.8333333333333335</v>
      </c>
      <c r="V43" s="89"/>
      <c r="W43" s="93"/>
    </row>
    <row r="44" spans="2:23" s="50" customFormat="1" ht="21" customHeight="1" x14ac:dyDescent="0.15">
      <c r="B44" s="64">
        <f t="shared" ca="1" si="10"/>
        <v>35</v>
      </c>
      <c r="C44" s="182" t="s">
        <v>335</v>
      </c>
      <c r="D44" s="185" t="s">
        <v>336</v>
      </c>
      <c r="E44" s="176" t="s">
        <v>345</v>
      </c>
      <c r="F44" s="177" t="s">
        <v>153</v>
      </c>
      <c r="G44" s="66" t="s">
        <v>319</v>
      </c>
      <c r="H44" s="63" t="s">
        <v>155</v>
      </c>
      <c r="I44" s="63">
        <v>7</v>
      </c>
      <c r="J44" s="66" t="s">
        <v>320</v>
      </c>
      <c r="K44" s="76"/>
      <c r="L44" s="188">
        <v>4</v>
      </c>
      <c r="M44" s="188">
        <v>4</v>
      </c>
      <c r="N44" s="188">
        <v>4</v>
      </c>
      <c r="O44" s="76"/>
      <c r="P44" s="75">
        <f t="shared" si="7"/>
        <v>4</v>
      </c>
      <c r="Q44" s="75">
        <f t="shared" si="8"/>
        <v>4</v>
      </c>
      <c r="R44" s="75">
        <f t="shared" si="9"/>
        <v>4</v>
      </c>
      <c r="S44" s="87">
        <f t="shared" si="4"/>
        <v>0</v>
      </c>
      <c r="T44" s="91"/>
      <c r="U44" s="75">
        <f t="shared" si="5"/>
        <v>4</v>
      </c>
      <c r="V44" s="89"/>
      <c r="W44" s="93"/>
    </row>
    <row r="45" spans="2:23" s="50" customFormat="1" ht="21" customHeight="1" x14ac:dyDescent="0.15">
      <c r="B45" s="64">
        <f t="shared" ca="1" si="10"/>
        <v>36</v>
      </c>
      <c r="C45" s="182" t="s">
        <v>337</v>
      </c>
      <c r="D45" s="185" t="s">
        <v>338</v>
      </c>
      <c r="E45" s="176" t="s">
        <v>345</v>
      </c>
      <c r="F45" s="177" t="s">
        <v>153</v>
      </c>
      <c r="G45" s="66" t="s">
        <v>319</v>
      </c>
      <c r="H45" s="63" t="s">
        <v>155</v>
      </c>
      <c r="I45" s="63">
        <v>8</v>
      </c>
      <c r="J45" s="66" t="s">
        <v>320</v>
      </c>
      <c r="K45" s="76"/>
      <c r="L45" s="188">
        <v>1</v>
      </c>
      <c r="M45" s="188">
        <v>0.8</v>
      </c>
      <c r="N45" s="188">
        <v>1</v>
      </c>
      <c r="O45" s="76"/>
      <c r="P45" s="75">
        <f t="shared" si="7"/>
        <v>0.8</v>
      </c>
      <c r="Q45" s="75">
        <f t="shared" si="8"/>
        <v>0.93333333333333324</v>
      </c>
      <c r="R45" s="75">
        <f t="shared" si="9"/>
        <v>1</v>
      </c>
      <c r="S45" s="87">
        <f t="shared" si="4"/>
        <v>0.14285714285714271</v>
      </c>
      <c r="T45" s="91"/>
      <c r="U45" s="75">
        <f t="shared" si="5"/>
        <v>0.93333333333333324</v>
      </c>
      <c r="V45" s="89"/>
      <c r="W45" s="93"/>
    </row>
    <row r="46" spans="2:23" s="50" customFormat="1" ht="21" customHeight="1" x14ac:dyDescent="0.15">
      <c r="B46" s="64">
        <f t="shared" ca="1" si="10"/>
        <v>37</v>
      </c>
      <c r="C46" s="182" t="s">
        <v>339</v>
      </c>
      <c r="D46" s="185" t="s">
        <v>340</v>
      </c>
      <c r="E46" s="176" t="s">
        <v>345</v>
      </c>
      <c r="F46" s="177" t="s">
        <v>153</v>
      </c>
      <c r="G46" s="66" t="s">
        <v>319</v>
      </c>
      <c r="H46" s="63" t="s">
        <v>155</v>
      </c>
      <c r="I46" s="63">
        <v>9</v>
      </c>
      <c r="J46" s="66" t="s">
        <v>320</v>
      </c>
      <c r="K46" s="76"/>
      <c r="L46" s="188">
        <v>4</v>
      </c>
      <c r="M46" s="188">
        <v>3</v>
      </c>
      <c r="N46" s="188">
        <v>4</v>
      </c>
      <c r="O46" s="76"/>
      <c r="P46" s="75">
        <f t="shared" si="7"/>
        <v>3</v>
      </c>
      <c r="Q46" s="75">
        <f t="shared" si="8"/>
        <v>3.6666666666666665</v>
      </c>
      <c r="R46" s="75">
        <f t="shared" si="9"/>
        <v>4</v>
      </c>
      <c r="S46" s="87">
        <f t="shared" si="4"/>
        <v>0.1818181818181818</v>
      </c>
      <c r="T46" s="91"/>
      <c r="U46" s="75">
        <f t="shared" si="5"/>
        <v>3.6666666666666665</v>
      </c>
      <c r="V46" s="89"/>
      <c r="W46" s="93"/>
    </row>
    <row r="47" spans="2:23" s="50" customFormat="1" ht="21" customHeight="1" x14ac:dyDescent="0.15">
      <c r="B47" s="64">
        <f t="shared" ca="1" si="10"/>
        <v>38</v>
      </c>
      <c r="C47" s="182" t="s">
        <v>339</v>
      </c>
      <c r="D47" s="185" t="s">
        <v>341</v>
      </c>
      <c r="E47" s="176" t="s">
        <v>345</v>
      </c>
      <c r="F47" s="177" t="s">
        <v>153</v>
      </c>
      <c r="G47" s="66" t="s">
        <v>319</v>
      </c>
      <c r="H47" s="63" t="s">
        <v>155</v>
      </c>
      <c r="I47" s="63">
        <v>10</v>
      </c>
      <c r="J47" s="66" t="s">
        <v>320</v>
      </c>
      <c r="K47" s="76"/>
      <c r="L47" s="188">
        <v>0.5</v>
      </c>
      <c r="M47" s="188">
        <v>0.5</v>
      </c>
      <c r="N47" s="188">
        <v>0.5</v>
      </c>
      <c r="O47" s="76"/>
      <c r="P47" s="75">
        <f t="shared" si="7"/>
        <v>0.5</v>
      </c>
      <c r="Q47" s="75">
        <f t="shared" si="8"/>
        <v>0.5</v>
      </c>
      <c r="R47" s="75">
        <f t="shared" si="9"/>
        <v>0.5</v>
      </c>
      <c r="S47" s="87">
        <f t="shared" si="4"/>
        <v>0</v>
      </c>
      <c r="T47" s="91"/>
      <c r="U47" s="75">
        <f t="shared" si="5"/>
        <v>0.5</v>
      </c>
      <c r="V47" s="89"/>
      <c r="W47" s="93"/>
    </row>
    <row r="48" spans="2:23" s="50" customFormat="1" ht="21" customHeight="1" x14ac:dyDescent="0.15">
      <c r="B48" s="64">
        <f t="shared" ca="1" si="10"/>
        <v>39</v>
      </c>
      <c r="C48" s="182" t="s">
        <v>342</v>
      </c>
      <c r="D48" s="181" t="s">
        <v>342</v>
      </c>
      <c r="E48" s="176" t="s">
        <v>345</v>
      </c>
      <c r="F48" s="177" t="s">
        <v>153</v>
      </c>
      <c r="G48" s="66" t="s">
        <v>319</v>
      </c>
      <c r="H48" s="63" t="s">
        <v>155</v>
      </c>
      <c r="I48" s="63">
        <v>11</v>
      </c>
      <c r="J48" s="66" t="s">
        <v>320</v>
      </c>
      <c r="K48" s="76"/>
      <c r="L48" s="188">
        <v>21.5</v>
      </c>
      <c r="M48" s="188">
        <v>21.9</v>
      </c>
      <c r="N48" s="188">
        <v>22.5</v>
      </c>
      <c r="O48" s="76"/>
      <c r="P48" s="75">
        <f t="shared" si="7"/>
        <v>21.5</v>
      </c>
      <c r="Q48" s="75">
        <f t="shared" si="8"/>
        <v>21.966666666666669</v>
      </c>
      <c r="R48" s="75">
        <f t="shared" si="9"/>
        <v>22.5</v>
      </c>
      <c r="S48" s="87">
        <f t="shared" si="4"/>
        <v>2.4279210925644827E-2</v>
      </c>
      <c r="T48" s="91"/>
      <c r="U48" s="75">
        <f t="shared" si="5"/>
        <v>21.966666666666669</v>
      </c>
      <c r="V48" s="89"/>
      <c r="W48" s="93"/>
    </row>
    <row r="49" spans="2:23" s="50" customFormat="1" ht="21" customHeight="1" x14ac:dyDescent="0.15">
      <c r="B49" s="64" t="str">
        <f t="shared" ca="1" si="10"/>
        <v>-</v>
      </c>
      <c r="C49" s="173"/>
      <c r="D49" s="175"/>
      <c r="E49" s="68"/>
      <c r="F49" s="177"/>
      <c r="G49" s="66"/>
      <c r="H49" s="63"/>
      <c r="I49" s="63"/>
      <c r="J49" s="66"/>
      <c r="K49" s="76"/>
      <c r="L49" s="76"/>
      <c r="M49" s="76"/>
      <c r="N49" s="76"/>
      <c r="O49" s="76"/>
      <c r="P49" s="75" t="str">
        <f t="shared" si="7"/>
        <v/>
      </c>
      <c r="Q49" s="75" t="str">
        <f t="shared" si="8"/>
        <v/>
      </c>
      <c r="R49" s="75" t="str">
        <f t="shared" si="9"/>
        <v/>
      </c>
      <c r="S49" s="87" t="str">
        <f t="shared" si="4"/>
        <v/>
      </c>
      <c r="T49" s="91"/>
      <c r="U49" s="75" t="str">
        <f t="shared" si="5"/>
        <v/>
      </c>
      <c r="V49" s="89"/>
      <c r="W49" s="93"/>
    </row>
    <row r="50" spans="2:23" s="50" customFormat="1" ht="21" customHeight="1" x14ac:dyDescent="0.15">
      <c r="B50" s="64" t="str">
        <f t="shared" ca="1" si="10"/>
        <v>-</v>
      </c>
      <c r="C50" s="173"/>
      <c r="D50" s="175"/>
      <c r="E50" s="68"/>
      <c r="F50" s="177"/>
      <c r="G50" s="66"/>
      <c r="H50" s="63"/>
      <c r="I50" s="63"/>
      <c r="J50" s="66"/>
      <c r="K50" s="76"/>
      <c r="L50" s="76"/>
      <c r="M50" s="76"/>
      <c r="N50" s="76"/>
      <c r="O50" s="76"/>
      <c r="P50" s="75" t="str">
        <f t="shared" si="7"/>
        <v/>
      </c>
      <c r="Q50" s="75" t="str">
        <f t="shared" si="8"/>
        <v/>
      </c>
      <c r="R50" s="75" t="str">
        <f t="shared" si="9"/>
        <v/>
      </c>
      <c r="S50" s="87" t="str">
        <f t="shared" si="4"/>
        <v/>
      </c>
      <c r="T50" s="91"/>
      <c r="U50" s="75" t="str">
        <f t="shared" si="5"/>
        <v/>
      </c>
      <c r="V50" s="89"/>
      <c r="W50" s="93"/>
    </row>
    <row r="51" spans="2:23" s="50" customFormat="1" ht="21" customHeight="1" x14ac:dyDescent="0.15">
      <c r="B51" s="64" t="str">
        <f t="shared" ca="1" si="10"/>
        <v>-</v>
      </c>
      <c r="C51" s="173"/>
      <c r="D51" s="175"/>
      <c r="E51" s="68"/>
      <c r="F51" s="177"/>
      <c r="G51" s="66"/>
      <c r="H51" s="63"/>
      <c r="I51" s="63"/>
      <c r="J51" s="66"/>
      <c r="K51" s="76"/>
      <c r="L51" s="76"/>
      <c r="M51" s="76"/>
      <c r="N51" s="76"/>
      <c r="O51" s="76"/>
      <c r="P51" s="75" t="str">
        <f t="shared" si="7"/>
        <v/>
      </c>
      <c r="Q51" s="75" t="str">
        <f t="shared" si="8"/>
        <v/>
      </c>
      <c r="R51" s="75" t="str">
        <f t="shared" si="9"/>
        <v/>
      </c>
      <c r="S51" s="87" t="str">
        <f t="shared" si="4"/>
        <v/>
      </c>
      <c r="T51" s="91"/>
      <c r="U51" s="75" t="str">
        <f t="shared" si="5"/>
        <v/>
      </c>
      <c r="V51" s="89"/>
      <c r="W51" s="93"/>
    </row>
    <row r="52" spans="2:23" s="50" customFormat="1" ht="21" customHeight="1" x14ac:dyDescent="0.15">
      <c r="B52" s="64" t="str">
        <f t="shared" ca="1" si="10"/>
        <v>-</v>
      </c>
      <c r="C52" s="173"/>
      <c r="D52" s="175"/>
      <c r="E52" s="68"/>
      <c r="F52" s="177"/>
      <c r="G52" s="66"/>
      <c r="H52" s="63"/>
      <c r="I52" s="63"/>
      <c r="J52" s="66"/>
      <c r="K52" s="76"/>
      <c r="L52" s="76"/>
      <c r="M52" s="76"/>
      <c r="N52" s="76"/>
      <c r="O52" s="76"/>
      <c r="P52" s="75" t="str">
        <f t="shared" si="7"/>
        <v/>
      </c>
      <c r="Q52" s="75" t="str">
        <f t="shared" si="8"/>
        <v/>
      </c>
      <c r="R52" s="75" t="str">
        <f t="shared" si="9"/>
        <v/>
      </c>
      <c r="S52" s="87" t="str">
        <f t="shared" si="4"/>
        <v/>
      </c>
      <c r="T52" s="91"/>
      <c r="U52" s="75" t="str">
        <f t="shared" si="5"/>
        <v/>
      </c>
      <c r="V52" s="89"/>
      <c r="W52" s="93"/>
    </row>
    <row r="53" spans="2:23" s="50" customFormat="1" ht="21" customHeight="1" x14ac:dyDescent="0.15">
      <c r="B53" s="64" t="str">
        <f t="shared" ca="1" si="10"/>
        <v>-</v>
      </c>
      <c r="C53" s="173"/>
      <c r="D53" s="175"/>
      <c r="E53" s="68"/>
      <c r="F53" s="177"/>
      <c r="G53" s="66"/>
      <c r="H53" s="63"/>
      <c r="I53" s="63"/>
      <c r="J53" s="66"/>
      <c r="K53" s="76"/>
      <c r="L53" s="76"/>
      <c r="M53" s="76"/>
      <c r="N53" s="76"/>
      <c r="O53" s="76"/>
      <c r="P53" s="75" t="str">
        <f t="shared" si="7"/>
        <v/>
      </c>
      <c r="Q53" s="75" t="str">
        <f t="shared" si="8"/>
        <v/>
      </c>
      <c r="R53" s="75" t="str">
        <f t="shared" si="9"/>
        <v/>
      </c>
      <c r="S53" s="87" t="str">
        <f t="shared" si="4"/>
        <v/>
      </c>
      <c r="T53" s="91"/>
      <c r="U53" s="75" t="str">
        <f t="shared" si="5"/>
        <v/>
      </c>
      <c r="V53" s="89"/>
      <c r="W53" s="93"/>
    </row>
    <row r="54" spans="2:23" s="50" customFormat="1" ht="21" customHeight="1" x14ac:dyDescent="0.15">
      <c r="B54" s="64" t="str">
        <f t="shared" ca="1" si="10"/>
        <v>-</v>
      </c>
      <c r="C54" s="173"/>
      <c r="D54" s="175"/>
      <c r="E54" s="68"/>
      <c r="F54" s="177"/>
      <c r="G54" s="66"/>
      <c r="H54" s="63"/>
      <c r="I54" s="63"/>
      <c r="J54" s="66"/>
      <c r="K54" s="76"/>
      <c r="L54" s="76"/>
      <c r="M54" s="76"/>
      <c r="N54" s="76"/>
      <c r="O54" s="76"/>
      <c r="P54" s="75" t="str">
        <f t="shared" si="7"/>
        <v/>
      </c>
      <c r="Q54" s="75" t="str">
        <f t="shared" si="8"/>
        <v/>
      </c>
      <c r="R54" s="75" t="str">
        <f t="shared" si="9"/>
        <v/>
      </c>
      <c r="S54" s="87" t="str">
        <f t="shared" si="4"/>
        <v/>
      </c>
      <c r="T54" s="91"/>
      <c r="U54" s="75" t="str">
        <f t="shared" si="5"/>
        <v/>
      </c>
      <c r="V54" s="89"/>
      <c r="W54" s="93"/>
    </row>
    <row r="55" spans="2:23" s="50" customFormat="1" ht="21" customHeight="1" x14ac:dyDescent="0.15">
      <c r="B55" s="64" t="str">
        <f t="shared" ca="1" si="10"/>
        <v>-</v>
      </c>
      <c r="C55" s="173"/>
      <c r="D55" s="175"/>
      <c r="E55" s="68"/>
      <c r="F55" s="177"/>
      <c r="G55" s="66"/>
      <c r="H55" s="63"/>
      <c r="I55" s="63"/>
      <c r="J55" s="66"/>
      <c r="K55" s="76"/>
      <c r="L55" s="76"/>
      <c r="M55" s="76"/>
      <c r="N55" s="76"/>
      <c r="O55" s="76"/>
      <c r="P55" s="75" t="str">
        <f t="shared" si="7"/>
        <v/>
      </c>
      <c r="Q55" s="75" t="str">
        <f t="shared" si="8"/>
        <v/>
      </c>
      <c r="R55" s="75" t="str">
        <f t="shared" si="9"/>
        <v/>
      </c>
      <c r="S55" s="87" t="str">
        <f t="shared" si="4"/>
        <v/>
      </c>
      <c r="T55" s="91"/>
      <c r="U55" s="75" t="str">
        <f t="shared" si="5"/>
        <v/>
      </c>
      <c r="V55" s="89"/>
      <c r="W55" s="93"/>
    </row>
    <row r="56" spans="2:23" s="50" customFormat="1" ht="21" customHeight="1" x14ac:dyDescent="0.15">
      <c r="B56" s="64" t="str">
        <f t="shared" ca="1" si="10"/>
        <v>-</v>
      </c>
      <c r="C56" s="173"/>
      <c r="D56" s="175"/>
      <c r="E56" s="68"/>
      <c r="F56" s="177"/>
      <c r="G56" s="66"/>
      <c r="H56" s="63"/>
      <c r="I56" s="63"/>
      <c r="J56" s="66"/>
      <c r="K56" s="76"/>
      <c r="L56" s="76"/>
      <c r="M56" s="76"/>
      <c r="N56" s="76"/>
      <c r="O56" s="76"/>
      <c r="P56" s="75" t="str">
        <f t="shared" si="7"/>
        <v/>
      </c>
      <c r="Q56" s="75" t="str">
        <f t="shared" si="8"/>
        <v/>
      </c>
      <c r="R56" s="75" t="str">
        <f t="shared" si="9"/>
        <v/>
      </c>
      <c r="S56" s="87" t="str">
        <f t="shared" si="4"/>
        <v/>
      </c>
      <c r="T56" s="91"/>
      <c r="U56" s="75" t="str">
        <f t="shared" si="5"/>
        <v/>
      </c>
      <c r="V56" s="89"/>
      <c r="W56" s="93"/>
    </row>
    <row r="57" spans="2:23" s="50" customFormat="1" ht="21" customHeight="1" x14ac:dyDescent="0.15">
      <c r="B57" s="64" t="str">
        <f t="shared" ca="1" si="10"/>
        <v>-</v>
      </c>
      <c r="C57" s="173"/>
      <c r="D57" s="175"/>
      <c r="E57" s="68"/>
      <c r="F57" s="177"/>
      <c r="G57" s="66"/>
      <c r="H57" s="63"/>
      <c r="I57" s="63"/>
      <c r="J57" s="66"/>
      <c r="K57" s="76"/>
      <c r="L57" s="76"/>
      <c r="M57" s="76"/>
      <c r="N57" s="76"/>
      <c r="O57" s="76"/>
      <c r="P57" s="75" t="str">
        <f t="shared" si="7"/>
        <v/>
      </c>
      <c r="Q57" s="75" t="str">
        <f t="shared" si="8"/>
        <v/>
      </c>
      <c r="R57" s="75" t="str">
        <f t="shared" si="9"/>
        <v/>
      </c>
      <c r="S57" s="87" t="str">
        <f t="shared" si="4"/>
        <v/>
      </c>
      <c r="T57" s="91"/>
      <c r="U57" s="75" t="str">
        <f t="shared" si="5"/>
        <v/>
      </c>
      <c r="V57" s="89"/>
      <c r="W57" s="93"/>
    </row>
    <row r="58" spans="2:23" s="50" customFormat="1" ht="21" customHeight="1" x14ac:dyDescent="0.15">
      <c r="B58" s="64" t="str">
        <f t="shared" ca="1" si="10"/>
        <v>-</v>
      </c>
      <c r="C58" s="173"/>
      <c r="D58" s="175"/>
      <c r="E58" s="68"/>
      <c r="F58" s="65"/>
      <c r="G58" s="66"/>
      <c r="H58" s="63"/>
      <c r="I58" s="63"/>
      <c r="J58" s="66"/>
      <c r="K58" s="76"/>
      <c r="L58" s="76"/>
      <c r="M58" s="76"/>
      <c r="N58" s="76"/>
      <c r="O58" s="76"/>
      <c r="P58" s="75" t="str">
        <f t="shared" si="7"/>
        <v/>
      </c>
      <c r="Q58" s="75" t="str">
        <f t="shared" si="8"/>
        <v/>
      </c>
      <c r="R58" s="75" t="str">
        <f t="shared" si="9"/>
        <v/>
      </c>
      <c r="S58" s="87" t="str">
        <f t="shared" si="4"/>
        <v/>
      </c>
      <c r="T58" s="91"/>
      <c r="U58" s="75" t="str">
        <f t="shared" si="5"/>
        <v/>
      </c>
      <c r="V58" s="89"/>
      <c r="W58" s="93"/>
    </row>
    <row r="59" spans="2:23" s="50" customFormat="1" ht="21" customHeight="1" x14ac:dyDescent="0.15">
      <c r="B59" s="64" t="str">
        <f t="shared" ca="1" si="10"/>
        <v>-</v>
      </c>
      <c r="C59" s="173"/>
      <c r="D59" s="175"/>
      <c r="E59" s="68"/>
      <c r="F59" s="65"/>
      <c r="G59" s="66"/>
      <c r="H59" s="63"/>
      <c r="I59" s="63"/>
      <c r="J59" s="66"/>
      <c r="K59" s="76"/>
      <c r="L59" s="76"/>
      <c r="M59" s="76"/>
      <c r="N59" s="76"/>
      <c r="O59" s="76"/>
      <c r="P59" s="75" t="str">
        <f t="shared" si="7"/>
        <v/>
      </c>
      <c r="Q59" s="75" t="str">
        <f t="shared" si="8"/>
        <v/>
      </c>
      <c r="R59" s="75" t="str">
        <f t="shared" si="9"/>
        <v/>
      </c>
      <c r="S59" s="87" t="str">
        <f t="shared" si="4"/>
        <v/>
      </c>
      <c r="T59" s="91"/>
      <c r="U59" s="75" t="str">
        <f t="shared" si="5"/>
        <v/>
      </c>
      <c r="V59" s="89"/>
      <c r="W59" s="93"/>
    </row>
    <row r="60" spans="2:23" s="50" customFormat="1" ht="21" customHeight="1" x14ac:dyDescent="0.15">
      <c r="B60" s="64" t="str">
        <f t="shared" ca="1" si="10"/>
        <v>-</v>
      </c>
      <c r="C60" s="173"/>
      <c r="D60" s="175"/>
      <c r="E60" s="68"/>
      <c r="F60" s="65"/>
      <c r="G60" s="66"/>
      <c r="H60" s="63"/>
      <c r="I60" s="63"/>
      <c r="J60" s="66"/>
      <c r="K60" s="76"/>
      <c r="L60" s="76"/>
      <c r="M60" s="76"/>
      <c r="N60" s="76"/>
      <c r="O60" s="76"/>
      <c r="P60" s="75" t="str">
        <f t="shared" si="7"/>
        <v/>
      </c>
      <c r="Q60" s="75" t="str">
        <f t="shared" si="8"/>
        <v/>
      </c>
      <c r="R60" s="75" t="str">
        <f t="shared" si="9"/>
        <v/>
      </c>
      <c r="S60" s="87" t="str">
        <f t="shared" si="4"/>
        <v/>
      </c>
      <c r="T60" s="91"/>
      <c r="U60" s="75" t="str">
        <f t="shared" si="5"/>
        <v/>
      </c>
      <c r="V60" s="89"/>
      <c r="W60" s="93"/>
    </row>
    <row r="61" spans="2:23" s="50" customFormat="1" ht="21" customHeight="1" x14ac:dyDescent="0.15">
      <c r="B61" s="64" t="str">
        <f t="shared" ca="1" si="10"/>
        <v>-</v>
      </c>
      <c r="C61" s="173"/>
      <c r="D61" s="175"/>
      <c r="E61" s="68"/>
      <c r="F61" s="65"/>
      <c r="G61" s="66"/>
      <c r="H61" s="63"/>
      <c r="I61" s="63"/>
      <c r="J61" s="66"/>
      <c r="K61" s="76"/>
      <c r="L61" s="76"/>
      <c r="M61" s="76"/>
      <c r="N61" s="76"/>
      <c r="O61" s="76"/>
      <c r="P61" s="75" t="str">
        <f t="shared" si="7"/>
        <v/>
      </c>
      <c r="Q61" s="75" t="str">
        <f t="shared" si="8"/>
        <v/>
      </c>
      <c r="R61" s="75" t="str">
        <f t="shared" si="9"/>
        <v/>
      </c>
      <c r="S61" s="87" t="str">
        <f t="shared" si="4"/>
        <v/>
      </c>
      <c r="T61" s="91"/>
      <c r="U61" s="75" t="str">
        <f t="shared" si="5"/>
        <v/>
      </c>
      <c r="V61" s="89"/>
      <c r="W61" s="93"/>
    </row>
    <row r="62" spans="2:23" s="50" customFormat="1" ht="21" customHeight="1" x14ac:dyDescent="0.15">
      <c r="B62" s="64" t="str">
        <f t="shared" ca="1" si="10"/>
        <v>-</v>
      </c>
      <c r="C62" s="173"/>
      <c r="D62" s="66"/>
      <c r="E62" s="68"/>
      <c r="F62" s="65"/>
      <c r="G62" s="66"/>
      <c r="H62" s="63"/>
      <c r="I62" s="63"/>
      <c r="J62" s="66"/>
      <c r="K62" s="76"/>
      <c r="L62" s="76"/>
      <c r="M62" s="76"/>
      <c r="N62" s="76"/>
      <c r="O62" s="76"/>
      <c r="P62" s="75" t="str">
        <f t="shared" si="7"/>
        <v/>
      </c>
      <c r="Q62" s="75" t="str">
        <f t="shared" si="8"/>
        <v/>
      </c>
      <c r="R62" s="75" t="str">
        <f t="shared" si="9"/>
        <v/>
      </c>
      <c r="S62" s="87" t="str">
        <f t="shared" si="4"/>
        <v/>
      </c>
      <c r="T62" s="91"/>
      <c r="U62" s="75" t="str">
        <f t="shared" si="5"/>
        <v/>
      </c>
      <c r="V62" s="89"/>
      <c r="W62" s="93"/>
    </row>
    <row r="63" spans="2:23" s="50" customFormat="1" ht="21" customHeight="1" x14ac:dyDescent="0.15">
      <c r="B63" s="64" t="str">
        <f t="shared" ca="1" si="10"/>
        <v>-</v>
      </c>
      <c r="C63" s="173"/>
      <c r="D63" s="66"/>
      <c r="E63" s="68"/>
      <c r="F63" s="65"/>
      <c r="G63" s="66"/>
      <c r="H63" s="63"/>
      <c r="I63" s="63"/>
      <c r="J63" s="66"/>
      <c r="K63" s="76"/>
      <c r="L63" s="76"/>
      <c r="M63" s="76"/>
      <c r="N63" s="76"/>
      <c r="O63" s="76"/>
      <c r="P63" s="75" t="str">
        <f t="shared" si="7"/>
        <v/>
      </c>
      <c r="Q63" s="75" t="str">
        <f t="shared" si="8"/>
        <v/>
      </c>
      <c r="R63" s="75" t="str">
        <f t="shared" si="9"/>
        <v/>
      </c>
      <c r="S63" s="87" t="str">
        <f t="shared" si="4"/>
        <v/>
      </c>
      <c r="T63" s="91"/>
      <c r="U63" s="75" t="str">
        <f t="shared" si="5"/>
        <v/>
      </c>
      <c r="V63" s="89"/>
      <c r="W63" s="93"/>
    </row>
    <row r="64" spans="2:23" s="50" customFormat="1" ht="21" customHeight="1" x14ac:dyDescent="0.15">
      <c r="B64" s="64" t="str">
        <f t="shared" ca="1" si="10"/>
        <v>-</v>
      </c>
      <c r="C64" s="173"/>
      <c r="D64" s="175"/>
      <c r="E64" s="68"/>
      <c r="F64" s="65"/>
      <c r="G64" s="66"/>
      <c r="H64" s="63"/>
      <c r="I64" s="63"/>
      <c r="J64" s="66"/>
      <c r="K64" s="76"/>
      <c r="L64" s="76"/>
      <c r="M64" s="76"/>
      <c r="N64" s="76"/>
      <c r="O64" s="76"/>
      <c r="P64" s="75" t="str">
        <f t="shared" si="7"/>
        <v/>
      </c>
      <c r="Q64" s="75" t="str">
        <f t="shared" si="8"/>
        <v/>
      </c>
      <c r="R64" s="75" t="str">
        <f t="shared" si="9"/>
        <v/>
      </c>
      <c r="S64" s="87" t="str">
        <f t="shared" si="4"/>
        <v/>
      </c>
      <c r="T64" s="91"/>
      <c r="U64" s="75" t="str">
        <f t="shared" si="5"/>
        <v/>
      </c>
      <c r="V64" s="89"/>
      <c r="W64" s="93"/>
    </row>
    <row r="65" spans="2:23" s="50" customFormat="1" ht="21" customHeight="1" x14ac:dyDescent="0.15">
      <c r="B65" s="64" t="str">
        <f t="shared" ca="1" si="10"/>
        <v>-</v>
      </c>
      <c r="C65" s="173"/>
      <c r="D65" s="175"/>
      <c r="E65" s="68"/>
      <c r="F65" s="65"/>
      <c r="G65" s="66"/>
      <c r="H65" s="63"/>
      <c r="I65" s="63"/>
      <c r="J65" s="66"/>
      <c r="K65" s="76"/>
      <c r="L65" s="76"/>
      <c r="M65" s="76"/>
      <c r="N65" s="76"/>
      <c r="O65" s="76"/>
      <c r="P65" s="75" t="str">
        <f t="shared" si="7"/>
        <v/>
      </c>
      <c r="Q65" s="75" t="str">
        <f t="shared" si="8"/>
        <v/>
      </c>
      <c r="R65" s="75" t="str">
        <f t="shared" si="9"/>
        <v/>
      </c>
      <c r="S65" s="87" t="str">
        <f t="shared" si="4"/>
        <v/>
      </c>
      <c r="T65" s="91"/>
      <c r="U65" s="75" t="str">
        <f t="shared" si="5"/>
        <v/>
      </c>
      <c r="V65" s="89"/>
      <c r="W65" s="93"/>
    </row>
    <row r="66" spans="2:23" s="50" customFormat="1" ht="21" customHeight="1" x14ac:dyDescent="0.15">
      <c r="B66" s="64" t="str">
        <f t="shared" ca="1" si="10"/>
        <v>-</v>
      </c>
      <c r="C66" s="173"/>
      <c r="D66" s="175"/>
      <c r="E66" s="68"/>
      <c r="F66" s="65"/>
      <c r="G66" s="66"/>
      <c r="H66" s="63"/>
      <c r="I66" s="63"/>
      <c r="J66" s="66"/>
      <c r="K66" s="76"/>
      <c r="L66" s="76"/>
      <c r="M66" s="76"/>
      <c r="N66" s="76"/>
      <c r="O66" s="76"/>
      <c r="P66" s="75" t="str">
        <f t="shared" si="7"/>
        <v/>
      </c>
      <c r="Q66" s="75" t="str">
        <f t="shared" si="8"/>
        <v/>
      </c>
      <c r="R66" s="75" t="str">
        <f t="shared" si="9"/>
        <v/>
      </c>
      <c r="S66" s="87" t="str">
        <f t="shared" si="4"/>
        <v/>
      </c>
      <c r="T66" s="91"/>
      <c r="U66" s="75" t="str">
        <f t="shared" si="5"/>
        <v/>
      </c>
      <c r="V66" s="89"/>
      <c r="W66" s="93"/>
    </row>
    <row r="67" spans="2:23" s="50" customFormat="1" ht="21" customHeight="1" x14ac:dyDescent="0.15">
      <c r="B67" s="64" t="str">
        <f t="shared" ca="1" si="10"/>
        <v>-</v>
      </c>
      <c r="C67" s="67"/>
      <c r="D67" s="66"/>
      <c r="E67" s="68"/>
      <c r="F67" s="65"/>
      <c r="G67" s="66"/>
      <c r="H67" s="63"/>
      <c r="I67" s="63"/>
      <c r="J67" s="66"/>
      <c r="K67" s="76"/>
      <c r="L67" s="76"/>
      <c r="M67" s="76"/>
      <c r="N67" s="76"/>
      <c r="O67" s="76"/>
      <c r="P67" s="75" t="str">
        <f t="shared" si="7"/>
        <v/>
      </c>
      <c r="Q67" s="75" t="str">
        <f t="shared" si="8"/>
        <v/>
      </c>
      <c r="R67" s="75" t="str">
        <f t="shared" si="9"/>
        <v/>
      </c>
      <c r="S67" s="87" t="str">
        <f t="shared" si="4"/>
        <v/>
      </c>
      <c r="T67" s="91"/>
      <c r="U67" s="75" t="str">
        <f t="shared" si="5"/>
        <v/>
      </c>
      <c r="V67" s="89"/>
      <c r="W67" s="93"/>
    </row>
    <row r="68" spans="2:23" s="50" customFormat="1" ht="21" customHeight="1" x14ac:dyDescent="0.15">
      <c r="B68" s="64" t="str">
        <f t="shared" ca="1" si="10"/>
        <v>-</v>
      </c>
      <c r="C68" s="67"/>
      <c r="D68" s="66"/>
      <c r="E68" s="68"/>
      <c r="F68" s="65"/>
      <c r="G68" s="66"/>
      <c r="H68" s="63"/>
      <c r="I68" s="63"/>
      <c r="J68" s="66"/>
      <c r="K68" s="76"/>
      <c r="L68" s="76"/>
      <c r="M68" s="76"/>
      <c r="N68" s="76"/>
      <c r="O68" s="76"/>
      <c r="P68" s="75" t="str">
        <f t="shared" si="7"/>
        <v/>
      </c>
      <c r="Q68" s="75" t="str">
        <f t="shared" si="8"/>
        <v/>
      </c>
      <c r="R68" s="75" t="str">
        <f t="shared" si="9"/>
        <v/>
      </c>
      <c r="S68" s="87" t="str">
        <f t="shared" si="4"/>
        <v/>
      </c>
      <c r="T68" s="91"/>
      <c r="U68" s="75" t="str">
        <f t="shared" si="5"/>
        <v/>
      </c>
      <c r="V68" s="89"/>
      <c r="W68" s="93"/>
    </row>
    <row r="69" spans="2:23" s="50" customFormat="1" ht="21" customHeight="1" x14ac:dyDescent="0.15">
      <c r="B69" s="64" t="str">
        <f t="shared" ca="1" si="10"/>
        <v>-</v>
      </c>
      <c r="C69" s="67"/>
      <c r="D69" s="66"/>
      <c r="E69" s="68"/>
      <c r="F69" s="65"/>
      <c r="G69" s="66"/>
      <c r="H69" s="63"/>
      <c r="I69" s="63"/>
      <c r="J69" s="66"/>
      <c r="K69" s="76"/>
      <c r="L69" s="76"/>
      <c r="M69" s="76"/>
      <c r="N69" s="76"/>
      <c r="O69" s="76"/>
      <c r="P69" s="75" t="str">
        <f t="shared" si="7"/>
        <v/>
      </c>
      <c r="Q69" s="75" t="str">
        <f t="shared" si="8"/>
        <v/>
      </c>
      <c r="R69" s="75" t="str">
        <f t="shared" si="9"/>
        <v/>
      </c>
      <c r="S69" s="87" t="str">
        <f t="shared" si="4"/>
        <v/>
      </c>
      <c r="T69" s="91"/>
      <c r="U69" s="75" t="str">
        <f t="shared" si="5"/>
        <v/>
      </c>
      <c r="V69" s="89"/>
      <c r="W69" s="93"/>
    </row>
    <row r="70" spans="2:23" s="50" customFormat="1" ht="21" customHeight="1" x14ac:dyDescent="0.15">
      <c r="B70" s="64" t="str">
        <f t="shared" ca="1" si="10"/>
        <v>-</v>
      </c>
      <c r="C70" s="67"/>
      <c r="D70" s="66"/>
      <c r="E70" s="68"/>
      <c r="F70" s="65"/>
      <c r="G70" s="66"/>
      <c r="H70" s="63"/>
      <c r="I70" s="63"/>
      <c r="J70" s="66"/>
      <c r="K70" s="76"/>
      <c r="L70" s="76"/>
      <c r="M70" s="99"/>
      <c r="N70" s="99"/>
      <c r="O70" s="99"/>
      <c r="P70" s="75" t="str">
        <f t="shared" si="7"/>
        <v/>
      </c>
      <c r="Q70" s="75" t="str">
        <f t="shared" si="8"/>
        <v/>
      </c>
      <c r="R70" s="75" t="str">
        <f t="shared" si="9"/>
        <v/>
      </c>
      <c r="S70" s="87" t="str">
        <f t="shared" si="4"/>
        <v/>
      </c>
      <c r="T70" s="104"/>
      <c r="U70" s="105" t="str">
        <f t="shared" si="5"/>
        <v/>
      </c>
      <c r="V70" s="106"/>
      <c r="W70" s="107"/>
    </row>
    <row r="71" spans="2:23" ht="21" customHeight="1" x14ac:dyDescent="0.15">
      <c r="B71" s="64" t="str">
        <f t="shared" ca="1" si="10"/>
        <v>-</v>
      </c>
      <c r="C71" s="67"/>
      <c r="D71" s="66"/>
      <c r="E71" s="68"/>
      <c r="F71" s="65"/>
      <c r="G71" s="66"/>
      <c r="H71" s="63"/>
      <c r="I71" s="63"/>
      <c r="J71" s="66"/>
      <c r="K71" s="76"/>
      <c r="L71" s="76"/>
      <c r="M71" s="100"/>
      <c r="N71" s="100"/>
      <c r="O71" s="100"/>
      <c r="P71" s="75" t="str">
        <f t="shared" si="7"/>
        <v/>
      </c>
      <c r="Q71" s="75" t="str">
        <f t="shared" si="8"/>
        <v/>
      </c>
      <c r="R71" s="75" t="str">
        <f t="shared" si="9"/>
        <v/>
      </c>
      <c r="S71" s="87" t="str">
        <f t="shared" si="4"/>
        <v/>
      </c>
      <c r="T71" s="108"/>
      <c r="U71" s="109" t="str">
        <f t="shared" si="5"/>
        <v/>
      </c>
      <c r="V71" s="110"/>
      <c r="W71" s="111"/>
    </row>
    <row r="72" spans="2:23" ht="21" customHeight="1" x14ac:dyDescent="0.15">
      <c r="B72" s="64" t="str">
        <f t="shared" ca="1" si="10"/>
        <v>-</v>
      </c>
      <c r="C72" s="67"/>
      <c r="D72" s="66"/>
      <c r="E72" s="68"/>
      <c r="F72" s="65"/>
      <c r="G72" s="66"/>
      <c r="H72" s="63"/>
      <c r="I72" s="63"/>
      <c r="J72" s="66"/>
      <c r="K72" s="76"/>
      <c r="L72" s="76"/>
      <c r="M72" s="100"/>
      <c r="N72" s="100"/>
      <c r="O72" s="100"/>
      <c r="P72" s="75" t="str">
        <f t="shared" si="7"/>
        <v/>
      </c>
      <c r="Q72" s="75" t="str">
        <f t="shared" si="8"/>
        <v/>
      </c>
      <c r="R72" s="75" t="str">
        <f t="shared" si="9"/>
        <v/>
      </c>
      <c r="S72" s="87" t="str">
        <f t="shared" ref="S72:S74" si="11">IF(AND(ISNUMBER(Q72),Q72&lt;&gt;0),MAX(Q72-P72,R72-Q72)/Q72,"")</f>
        <v/>
      </c>
      <c r="T72" s="108"/>
      <c r="U72" s="75" t="str">
        <f t="shared" ref="U72:U74" si="12">IF(T72="N","",Q72)</f>
        <v/>
      </c>
      <c r="V72" s="89"/>
      <c r="W72" s="111"/>
    </row>
    <row r="73" spans="2:23" ht="21" customHeight="1" x14ac:dyDescent="0.15">
      <c r="B73" s="64" t="str">
        <f t="shared" ca="1" si="10"/>
        <v>-</v>
      </c>
      <c r="C73" s="67"/>
      <c r="D73" s="66"/>
      <c r="E73" s="68"/>
      <c r="F73" s="65"/>
      <c r="G73" s="66"/>
      <c r="H73" s="66"/>
      <c r="I73" s="63"/>
      <c r="J73" s="66"/>
      <c r="K73" s="76"/>
      <c r="L73" s="76"/>
      <c r="M73" s="100"/>
      <c r="N73" s="100"/>
      <c r="O73" s="100"/>
      <c r="P73" s="75" t="str">
        <f t="shared" si="7"/>
        <v/>
      </c>
      <c r="Q73" s="75" t="str">
        <f t="shared" si="8"/>
        <v/>
      </c>
      <c r="R73" s="75" t="str">
        <f t="shared" si="9"/>
        <v/>
      </c>
      <c r="S73" s="87" t="str">
        <f t="shared" si="11"/>
        <v/>
      </c>
      <c r="T73" s="108"/>
      <c r="U73" s="75" t="str">
        <f t="shared" si="12"/>
        <v/>
      </c>
      <c r="V73" s="89"/>
      <c r="W73" s="111"/>
    </row>
    <row r="74" spans="2:23" ht="21" customHeight="1" x14ac:dyDescent="0.15">
      <c r="B74" s="64" t="str">
        <f t="shared" ca="1" si="10"/>
        <v>-</v>
      </c>
      <c r="C74" s="94"/>
      <c r="D74" s="95"/>
      <c r="E74" s="68"/>
      <c r="F74" s="96"/>
      <c r="G74" s="95"/>
      <c r="H74" s="97"/>
      <c r="I74" s="63"/>
      <c r="J74" s="95"/>
      <c r="K74" s="101"/>
      <c r="L74" s="101"/>
      <c r="M74" s="102"/>
      <c r="N74" s="102"/>
      <c r="O74" s="102"/>
      <c r="P74" s="103" t="str">
        <f t="shared" si="7"/>
        <v/>
      </c>
      <c r="Q74" s="103" t="str">
        <f t="shared" si="8"/>
        <v/>
      </c>
      <c r="R74" s="103" t="str">
        <f t="shared" si="9"/>
        <v/>
      </c>
      <c r="S74" s="112" t="str">
        <f t="shared" si="11"/>
        <v/>
      </c>
      <c r="T74" s="108"/>
      <c r="U74" s="103" t="str">
        <f t="shared" si="12"/>
        <v/>
      </c>
      <c r="V74" s="113"/>
      <c r="W74" s="114"/>
    </row>
    <row r="75" spans="2:23" ht="21" customHeight="1" x14ac:dyDescent="0.15"/>
    <row r="76" spans="2:23" ht="21" customHeight="1" x14ac:dyDescent="0.15"/>
    <row r="77" spans="2:23" ht="21" customHeight="1" x14ac:dyDescent="0.15"/>
    <row r="78" spans="2:23" ht="21" customHeight="1" x14ac:dyDescent="0.15"/>
    <row r="79" spans="2:23" ht="21" customHeight="1" x14ac:dyDescent="0.15"/>
    <row r="80" spans="2:23" ht="21" customHeight="1" x14ac:dyDescent="0.15"/>
    <row r="81" spans="6:6" ht="21" customHeight="1" x14ac:dyDescent="0.15"/>
    <row r="82" spans="6:6" ht="21" customHeight="1" x14ac:dyDescent="0.15"/>
    <row r="83" spans="6:6" ht="21" customHeight="1" x14ac:dyDescent="0.15"/>
    <row r="84" spans="6:6" ht="21" customHeight="1" x14ac:dyDescent="0.15"/>
    <row r="85" spans="6:6" ht="21" customHeight="1" x14ac:dyDescent="0.15"/>
    <row r="86" spans="6:6" ht="21" customHeight="1" x14ac:dyDescent="0.15"/>
    <row r="87" spans="6:6" ht="21" customHeight="1" x14ac:dyDescent="0.15">
      <c r="F87" s="98"/>
    </row>
  </sheetData>
  <mergeCells count="10">
    <mergeCell ref="C5:D5"/>
    <mergeCell ref="G5:J5"/>
    <mergeCell ref="K5:S5"/>
    <mergeCell ref="B2:D2"/>
    <mergeCell ref="C3:J3"/>
    <mergeCell ref="L3:S3"/>
    <mergeCell ref="C4:J4"/>
    <mergeCell ref="L4:M4"/>
    <mergeCell ref="N4:O4"/>
    <mergeCell ref="P4:S4"/>
  </mergeCells>
  <phoneticPr fontId="30" type="noConversion"/>
  <dataValidations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38:D61 D7:D8 D64:D66 D23:D25 E7:E74"/>
    <dataValidation type="list" allowBlank="1" showInputMessage="1" showErrorMessage="1" prompt="功能需求项内容=功能需求编号+功能需求内容描述_x000a__x000a_非功能需求项=非功能需求属性+内容描述" sqref="F7:F74">
      <formula1>"软件业务,3D建模,U3D,Bug修复,其他"</formula1>
    </dataValidation>
    <dataValidation type="list" allowBlank="1" showInputMessage="1" showErrorMessage="1" sqref="H7:H74">
      <formula1>"有,无"</formula1>
    </dataValidation>
    <dataValidation type="list" allowBlank="1" showInputMessage="1" showErrorMessage="1" sqref="I7:I74">
      <formula1>"0,10,20,30,40,50,60,70,80,90,100"</formula1>
    </dataValidation>
    <dataValidation type="list" allowBlank="1" showInputMessage="1" showErrorMessage="1" sqref="J7:J74">
      <formula1>"高,中,低"</formula1>
    </dataValidation>
    <dataValidation type="list" allowBlank="1" showInputMessage="1" showErrorMessage="1" sqref="T7:T70">
      <formula1>"Y,N"</formula1>
    </dataValidation>
  </dataValidations>
  <pageMargins left="0.75" right="0.75" top="1" bottom="1" header="0.5" footer="0.5"/>
  <pageSetup paperSize="9" orientation="landscape"/>
  <headerFooter alignWithMargins="0">
    <oddHeader>&amp;L样式编号：WW-SW-PP-TM-01&amp;C&lt;请键入项目名称&gt;项目估算表&amp;R版本：&lt;请键入版本号&gt;</oddHeader>
    <oddFooter>&amp;L&amp;G&amp;R&amp;"黑体,常规"第&amp;P页 共&amp;N页</oddFooter>
  </headerFooter>
  <legacyDrawing r:id="rId1"/>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3"/>
  <sheetViews>
    <sheetView showGridLines="0" tabSelected="1" zoomScaleNormal="100" workbookViewId="0">
      <selection activeCell="I12" sqref="I12"/>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9" ht="21" customHeight="1" x14ac:dyDescent="0.15">
      <c r="B1" s="271" t="s">
        <v>156</v>
      </c>
      <c r="C1" s="271"/>
    </row>
    <row r="2" spans="2:9" ht="81" customHeight="1" x14ac:dyDescent="0.15">
      <c r="B2" s="272" t="s">
        <v>348</v>
      </c>
      <c r="C2" s="261"/>
      <c r="D2" s="261"/>
      <c r="E2" s="261"/>
      <c r="F2" s="261"/>
      <c r="G2" s="261"/>
      <c r="H2" s="13"/>
    </row>
    <row r="3" spans="2:9" ht="33" customHeight="1" x14ac:dyDescent="0.15">
      <c r="B3" s="18" t="s">
        <v>157</v>
      </c>
      <c r="C3" s="19" t="s">
        <v>349</v>
      </c>
      <c r="D3" s="18" t="s">
        <v>158</v>
      </c>
      <c r="E3" s="194">
        <v>43230</v>
      </c>
      <c r="F3" s="20"/>
      <c r="G3" s="20"/>
      <c r="H3" s="20"/>
      <c r="I3" s="20"/>
    </row>
    <row r="4" spans="2:9" ht="30.75" customHeight="1" x14ac:dyDescent="0.15">
      <c r="B4" s="18" t="s">
        <v>159</v>
      </c>
      <c r="C4" s="21">
        <v>43224</v>
      </c>
      <c r="D4" s="18" t="s">
        <v>160</v>
      </c>
      <c r="E4" s="22">
        <f>SUMIF(预算估算表!$E7:$E274,"迭代一",预算估算表!$U7:$U274)</f>
        <v>97.766666666666666</v>
      </c>
      <c r="F4" s="23" t="s">
        <v>161</v>
      </c>
      <c r="G4" s="24">
        <f>SUMIF(预算估算表!$E7:$E274,"迭代二",预算估算表!$U7:$U274)</f>
        <v>44.233333333333334</v>
      </c>
      <c r="H4" s="23" t="s">
        <v>162</v>
      </c>
      <c r="I4" s="24">
        <f>SUMIF(预算估算表!$E7:$E274,"迭代三",预算估算表!$U7:$U274)</f>
        <v>0</v>
      </c>
    </row>
    <row r="5" spans="2:9" ht="32.25" customHeight="1" x14ac:dyDescent="0.15">
      <c r="B5" s="18" t="s">
        <v>163</v>
      </c>
      <c r="C5" s="21">
        <v>43363</v>
      </c>
      <c r="D5" s="23" t="s">
        <v>164</v>
      </c>
      <c r="E5" s="25">
        <f>预算估算表!C5</f>
        <v>142</v>
      </c>
      <c r="F5" s="12"/>
      <c r="G5" s="23" t="s">
        <v>165</v>
      </c>
      <c r="H5" s="265" t="s">
        <v>166</v>
      </c>
      <c r="I5" s="265"/>
    </row>
    <row r="6" spans="2:9" ht="35.1" customHeight="1" x14ac:dyDescent="0.15">
      <c r="B6" s="18" t="s">
        <v>167</v>
      </c>
      <c r="C6" s="26">
        <f>预算估算表!C5/((C17*SUM(E17:F17))+C20*SUM(E20:F20)+C23*SUM(E23:F23))</f>
        <v>264.18604651162786</v>
      </c>
      <c r="D6" s="18" t="s">
        <v>168</v>
      </c>
      <c r="E6" s="26">
        <f>IF(C6=0,"-",C6/21.75)</f>
        <v>12.146484897086339</v>
      </c>
      <c r="F6" s="18" t="s">
        <v>169</v>
      </c>
      <c r="G6" s="27">
        <v>0.91300000000000003</v>
      </c>
      <c r="H6" s="263">
        <v>0.75</v>
      </c>
      <c r="I6" s="263"/>
    </row>
    <row r="7" spans="2:9" ht="33" customHeight="1" x14ac:dyDescent="0.15">
      <c r="B7" s="18" t="s">
        <v>170</v>
      </c>
      <c r="C7" s="26">
        <f>C11*G7</f>
        <v>11.574416057464529</v>
      </c>
      <c r="D7" s="18" t="s">
        <v>168</v>
      </c>
      <c r="E7" s="26">
        <f>IF(C7=0,"-",C7/21.75)</f>
        <v>0.53215706011331165</v>
      </c>
      <c r="F7" s="18" t="s">
        <v>171</v>
      </c>
      <c r="G7" s="27">
        <v>0.04</v>
      </c>
      <c r="H7" s="263">
        <v>0.1</v>
      </c>
      <c r="I7" s="263"/>
    </row>
    <row r="8" spans="2:9" ht="36" customHeight="1" x14ac:dyDescent="0.15">
      <c r="B8" s="18" t="s">
        <v>172</v>
      </c>
      <c r="C8" s="26">
        <f>C11*G8</f>
        <v>5.7872080287322643</v>
      </c>
      <c r="D8" s="18" t="s">
        <v>168</v>
      </c>
      <c r="E8" s="26">
        <f>IF(C8=0,"-",C8/21.75)</f>
        <v>0.26607853005665583</v>
      </c>
      <c r="F8" s="18" t="s">
        <v>173</v>
      </c>
      <c r="G8" s="27">
        <v>0.02</v>
      </c>
      <c r="H8" s="263">
        <v>0.05</v>
      </c>
      <c r="I8" s="263"/>
    </row>
    <row r="9" spans="2:9" ht="35.1" customHeight="1" x14ac:dyDescent="0.15">
      <c r="B9" s="18" t="s">
        <v>174</v>
      </c>
      <c r="C9" s="26">
        <f>C11*G9</f>
        <v>5.7872080287322643</v>
      </c>
      <c r="D9" s="18" t="s">
        <v>168</v>
      </c>
      <c r="E9" s="26">
        <f>IF(C9=0,"-",C9/21.75)</f>
        <v>0.26607853005665583</v>
      </c>
      <c r="F9" s="18" t="s">
        <v>175</v>
      </c>
      <c r="G9" s="27">
        <v>0.02</v>
      </c>
      <c r="H9" s="263">
        <v>0.05</v>
      </c>
      <c r="I9" s="263"/>
    </row>
    <row r="10" spans="2:9" ht="33" customHeight="1" x14ac:dyDescent="0.15">
      <c r="B10" s="18" t="s">
        <v>176</v>
      </c>
      <c r="C10" s="26">
        <f>C11*G10</f>
        <v>2.0255228100562621</v>
      </c>
      <c r="D10" s="18" t="s">
        <v>168</v>
      </c>
      <c r="E10" s="26">
        <f>IF(C10=0,"-",C10/21.75)</f>
        <v>9.3127485519828149E-2</v>
      </c>
      <c r="F10" s="18" t="s">
        <v>177</v>
      </c>
      <c r="G10" s="28">
        <f>1-SUM(G6:G9)</f>
        <v>6.9999999999998952E-3</v>
      </c>
      <c r="H10" s="263">
        <v>0.05</v>
      </c>
      <c r="I10" s="263"/>
    </row>
    <row r="11" spans="2:9" ht="32.1" customHeight="1" x14ac:dyDescent="0.15">
      <c r="B11" s="18" t="s">
        <v>178</v>
      </c>
      <c r="C11" s="26">
        <f>C6/G6</f>
        <v>289.36040143661319</v>
      </c>
      <c r="D11" s="18" t="s">
        <v>168</v>
      </c>
      <c r="E11" s="26">
        <f>IF(C11=0,"-",(C11/21.75))</f>
        <v>13.303926502832791</v>
      </c>
      <c r="G11" s="29"/>
      <c r="H11" s="10"/>
    </row>
    <row r="12" spans="2:9" s="17" customFormat="1" ht="21" customHeight="1" x14ac:dyDescent="0.15">
      <c r="B12" s="260" t="s">
        <v>179</v>
      </c>
      <c r="C12" s="260"/>
      <c r="H12" s="30"/>
    </row>
    <row r="13" spans="2:9" s="17" customFormat="1" ht="33.950000000000003" customHeight="1" x14ac:dyDescent="0.15">
      <c r="B13" s="264" t="s">
        <v>350</v>
      </c>
      <c r="C13" s="264"/>
      <c r="D13" s="264"/>
      <c r="E13" s="264"/>
      <c r="F13" s="264"/>
      <c r="H13" s="30"/>
    </row>
    <row r="14" spans="2:9" ht="21" customHeight="1" x14ac:dyDescent="0.15">
      <c r="B14" s="265" t="s">
        <v>181</v>
      </c>
      <c r="C14" s="265"/>
      <c r="D14" s="265"/>
      <c r="E14" s="265"/>
      <c r="F14" s="265"/>
      <c r="G14" s="265"/>
      <c r="H14" s="265"/>
    </row>
    <row r="15" spans="2:9" ht="18.95" customHeight="1" x14ac:dyDescent="0.15">
      <c r="B15" s="18" t="s">
        <v>182</v>
      </c>
      <c r="C15" s="31" t="s">
        <v>183</v>
      </c>
      <c r="D15" s="32" t="s">
        <v>184</v>
      </c>
      <c r="E15" s="32" t="s">
        <v>185</v>
      </c>
      <c r="F15" s="32" t="s">
        <v>186</v>
      </c>
      <c r="G15" s="31" t="s">
        <v>187</v>
      </c>
      <c r="H15" s="31" t="s">
        <v>188</v>
      </c>
    </row>
    <row r="16" spans="2:9" ht="18.95" customHeight="1" x14ac:dyDescent="0.15">
      <c r="B16" s="33">
        <f>C11*B17</f>
        <v>8.6808120430983955</v>
      </c>
      <c r="C16" s="34">
        <f>C11*C17</f>
        <v>188.08426093379859</v>
      </c>
      <c r="D16" s="33">
        <f>C16*D17</f>
        <v>18.808426093379861</v>
      </c>
      <c r="E16" s="33">
        <f>C16*E17</f>
        <v>47.021065233449647</v>
      </c>
      <c r="F16" s="33">
        <f>C16*F17</f>
        <v>56.425278280139572</v>
      </c>
      <c r="G16" s="34">
        <f>C16*G17</f>
        <v>65.829491326829526</v>
      </c>
      <c r="H16" s="35">
        <f>C11*H17</f>
        <v>5.7872080287322687</v>
      </c>
    </row>
    <row r="17" spans="2:9" ht="15" customHeight="1" x14ac:dyDescent="0.15">
      <c r="B17" s="266">
        <v>0.03</v>
      </c>
      <c r="C17" s="190">
        <v>0.65</v>
      </c>
      <c r="D17" s="180">
        <v>0.1</v>
      </c>
      <c r="E17" s="187">
        <v>0.25</v>
      </c>
      <c r="F17" s="187">
        <v>0.3</v>
      </c>
      <c r="G17" s="37">
        <f>1-SUM(D17:F17)</f>
        <v>0.35000000000000009</v>
      </c>
      <c r="H17" s="268">
        <f>1-SUM(B17,C17,C20,C23)</f>
        <v>2.0000000000000018E-2</v>
      </c>
    </row>
    <row r="18" spans="2:9" ht="18.95" customHeight="1" x14ac:dyDescent="0.15">
      <c r="B18" s="267"/>
      <c r="C18" s="32" t="s">
        <v>189</v>
      </c>
      <c r="D18" s="32" t="s">
        <v>190</v>
      </c>
      <c r="E18" s="32" t="s">
        <v>191</v>
      </c>
      <c r="F18" s="32" t="s">
        <v>192</v>
      </c>
      <c r="G18" s="32" t="s">
        <v>193</v>
      </c>
      <c r="H18" s="269"/>
    </row>
    <row r="19" spans="2:9" ht="18.95" customHeight="1" x14ac:dyDescent="0.15">
      <c r="B19" s="267"/>
      <c r="C19" s="34">
        <f>C11*C20</f>
        <v>86.808120430983948</v>
      </c>
      <c r="D19" s="34">
        <f>C19*D20</f>
        <v>0</v>
      </c>
      <c r="E19" s="34">
        <f>C19*E20</f>
        <v>26.042436129295183</v>
      </c>
      <c r="F19" s="34">
        <f>C19*F20</f>
        <v>26.042436129295183</v>
      </c>
      <c r="G19" s="34">
        <f>C19*G20</f>
        <v>34.723248172393582</v>
      </c>
      <c r="H19" s="269"/>
    </row>
    <row r="20" spans="2:9" ht="18" customHeight="1" x14ac:dyDescent="0.15">
      <c r="B20" s="267"/>
      <c r="C20" s="191">
        <v>0.3</v>
      </c>
      <c r="D20" s="192">
        <v>0</v>
      </c>
      <c r="E20" s="193">
        <v>0.3</v>
      </c>
      <c r="F20" s="193">
        <v>0.3</v>
      </c>
      <c r="G20" s="37">
        <f>1-SUM(D20:F20)</f>
        <v>0.4</v>
      </c>
      <c r="H20" s="269"/>
    </row>
    <row r="21" spans="2:9" ht="18.95" customHeight="1" x14ac:dyDescent="0.15">
      <c r="B21" s="267"/>
      <c r="C21" s="32" t="s">
        <v>194</v>
      </c>
      <c r="D21" s="32" t="s">
        <v>195</v>
      </c>
      <c r="E21" s="32" t="s">
        <v>196</v>
      </c>
      <c r="F21" s="32" t="s">
        <v>197</v>
      </c>
      <c r="G21" s="32" t="s">
        <v>198</v>
      </c>
      <c r="H21" s="269"/>
    </row>
    <row r="22" spans="2:9" customFormat="1" ht="18.95" customHeight="1" x14ac:dyDescent="0.15">
      <c r="B22" s="267"/>
      <c r="C22" s="34">
        <f>C11*C23</f>
        <v>0</v>
      </c>
      <c r="D22" s="34">
        <f>C22*D23</f>
        <v>0</v>
      </c>
      <c r="E22" s="34">
        <f>C22*E23</f>
        <v>0</v>
      </c>
      <c r="F22" s="34">
        <f>C22*F23</f>
        <v>0</v>
      </c>
      <c r="G22" s="34">
        <f>C22*G23</f>
        <v>0</v>
      </c>
      <c r="H22" s="269"/>
    </row>
    <row r="23" spans="2:9" ht="17.100000000000001" customHeight="1" x14ac:dyDescent="0.15">
      <c r="B23" s="267"/>
      <c r="C23" s="36">
        <v>0</v>
      </c>
      <c r="D23" s="36">
        <v>0</v>
      </c>
      <c r="E23" s="36">
        <v>0</v>
      </c>
      <c r="F23" s="36">
        <v>0</v>
      </c>
      <c r="G23" s="37">
        <f>1-SUM(D23:F23)</f>
        <v>1</v>
      </c>
      <c r="H23" s="270"/>
    </row>
    <row r="24" spans="2:9" ht="27" customHeight="1" x14ac:dyDescent="0.15">
      <c r="B24" s="260" t="s">
        <v>199</v>
      </c>
      <c r="C24" s="260"/>
      <c r="D24" s="38"/>
      <c r="E24" s="38"/>
      <c r="F24" s="38"/>
      <c r="G24" s="38"/>
      <c r="H24" s="38"/>
      <c r="I24" s="38"/>
    </row>
    <row r="25" spans="2:9" ht="27" customHeight="1" x14ac:dyDescent="0.15">
      <c r="B25" s="18" t="s">
        <v>200</v>
      </c>
      <c r="C25" s="39">
        <f>SUM(C27:C43)</f>
        <v>264.18604651162786</v>
      </c>
      <c r="D25" s="39">
        <f>SUM(D27:D43)</f>
        <v>60.525000000000006</v>
      </c>
      <c r="E25" s="39" t="e">
        <f>SUM(E27:E43)</f>
        <v>#DIV/0!</v>
      </c>
      <c r="F25" s="39" t="e">
        <f>SUM(F27:F43)</f>
        <v>#DIV/0!</v>
      </c>
      <c r="G25" s="40"/>
      <c r="H25" s="40"/>
      <c r="I25" s="40"/>
    </row>
    <row r="26" spans="2:9" ht="36.6" customHeight="1" x14ac:dyDescent="0.15">
      <c r="B26" s="41" t="s">
        <v>201</v>
      </c>
      <c r="C26" s="18" t="s">
        <v>202</v>
      </c>
      <c r="D26" s="18" t="s">
        <v>203</v>
      </c>
      <c r="E26" s="18" t="s">
        <v>204</v>
      </c>
      <c r="F26" s="18" t="s">
        <v>205</v>
      </c>
      <c r="G26" s="18" t="s">
        <v>206</v>
      </c>
      <c r="H26" s="18" t="s">
        <v>207</v>
      </c>
      <c r="I26" s="18" t="s">
        <v>114</v>
      </c>
    </row>
    <row r="27" spans="2:9" s="17" customFormat="1" ht="27" customHeight="1" x14ac:dyDescent="0.15">
      <c r="B27" s="18" t="s">
        <v>182</v>
      </c>
      <c r="C27" s="39">
        <f>IF(C6=0,"-",C6*B17)</f>
        <v>7.9255813953488357</v>
      </c>
      <c r="D27" s="39">
        <f>I46</f>
        <v>3.6</v>
      </c>
      <c r="E27" s="39">
        <f t="shared" ref="E27:E32" si="0">IF(ISBLANK(D27),"-",C27*(1/(1-$G$10))/D27)</f>
        <v>2.2170698767340369</v>
      </c>
      <c r="F27" s="39">
        <f>E27*30/21.75</f>
        <v>3.0580274161848786</v>
      </c>
      <c r="G27" s="42">
        <v>43224</v>
      </c>
      <c r="H27" s="43">
        <f>IF(INT(E27)-E27,WORKDAY(G27,E27,'附录-节假日'!$A$2:$A$35),WORKDAY(G27,E27-1,'附录-节假日'!$A$2:$A$35))</f>
        <v>43228</v>
      </c>
      <c r="I27" s="46"/>
    </row>
    <row r="28" spans="2:9" s="17" customFormat="1" ht="27" customHeight="1" x14ac:dyDescent="0.15">
      <c r="B28" s="247" t="s">
        <v>116</v>
      </c>
      <c r="C28" s="248"/>
      <c r="D28" s="248"/>
      <c r="E28" s="248"/>
      <c r="F28" s="249"/>
      <c r="G28" s="43">
        <f>MIN(G29:G32)</f>
        <v>43224</v>
      </c>
      <c r="H28" s="43">
        <f>MAX(H29:H32)</f>
        <v>43284</v>
      </c>
      <c r="I28" s="46"/>
    </row>
    <row r="29" spans="2:9" s="17" customFormat="1" ht="27" customHeight="1" x14ac:dyDescent="0.15">
      <c r="B29" s="18" t="s">
        <v>184</v>
      </c>
      <c r="C29" s="39">
        <f>C6*C17*D17</f>
        <v>17.172093023255812</v>
      </c>
      <c r="D29" s="39">
        <f t="shared" ref="D29:D32" si="1">I47</f>
        <v>3.25</v>
      </c>
      <c r="E29" s="39">
        <f t="shared" si="0"/>
        <v>5.3209677041616894</v>
      </c>
      <c r="F29" s="39">
        <f t="shared" ref="F29:F34" si="2">E29*30/21.75</f>
        <v>7.3392657988437096</v>
      </c>
      <c r="G29" s="44">
        <v>43224</v>
      </c>
      <c r="H29" s="43">
        <f>IF(INT(E29)-E29,WORKDAY(G29,E29,'附录-节假日'!$A$2:$A$35),WORKDAY(G29,E29-1,'附录-节假日'!$A$2:$A$35))</f>
        <v>43231</v>
      </c>
      <c r="I29" s="46"/>
    </row>
    <row r="30" spans="2:9" s="17" customFormat="1" ht="27" customHeight="1" x14ac:dyDescent="0.15">
      <c r="B30" s="18" t="s">
        <v>185</v>
      </c>
      <c r="C30" s="39">
        <f>C6*C17*E17</f>
        <v>42.930232558139529</v>
      </c>
      <c r="D30" s="39">
        <f t="shared" si="1"/>
        <v>3.15</v>
      </c>
      <c r="E30" s="39">
        <f t="shared" si="0"/>
        <v>13.724718284544039</v>
      </c>
      <c r="F30" s="39">
        <f t="shared" si="2"/>
        <v>18.930645909715913</v>
      </c>
      <c r="G30" s="44">
        <v>43234</v>
      </c>
      <c r="H30" s="43">
        <f>IF(INT(E30)-E30,WORKDAY(G30,E30,'附录-节假日'!$A$2:$A$35),WORKDAY(G30,E30-1,'附录-节假日'!$A$2:$A$35))</f>
        <v>43251</v>
      </c>
      <c r="I30" s="46"/>
    </row>
    <row r="31" spans="2:9" s="17" customFormat="1" ht="27" customHeight="1" x14ac:dyDescent="0.15">
      <c r="B31" s="18" t="s">
        <v>186</v>
      </c>
      <c r="C31" s="39">
        <f>C6*C17*F17</f>
        <v>51.516279069767435</v>
      </c>
      <c r="D31" s="39">
        <f t="shared" si="1"/>
        <v>5.0999999999999996</v>
      </c>
      <c r="E31" s="39">
        <f t="shared" si="0"/>
        <v>10.172438257956172</v>
      </c>
      <c r="F31" s="39">
        <f t="shared" si="2"/>
        <v>14.030949321318857</v>
      </c>
      <c r="G31" s="44">
        <v>43252</v>
      </c>
      <c r="H31" s="43">
        <f>IF(INT(E31)-E31,WORKDAY(G31,E31,'附录-节假日'!$A$2:$A$35),WORKDAY(G31,E31-1,'附录-节假日'!$A$2:$A$35))</f>
        <v>43266</v>
      </c>
      <c r="I31" s="46"/>
    </row>
    <row r="32" spans="2:9" s="17" customFormat="1" ht="27" customHeight="1" x14ac:dyDescent="0.15">
      <c r="B32" s="18" t="s">
        <v>187</v>
      </c>
      <c r="C32" s="39">
        <f>C6*C17*G17</f>
        <v>60.102325581395355</v>
      </c>
      <c r="D32" s="39">
        <f t="shared" si="1"/>
        <v>5.0750000000000002</v>
      </c>
      <c r="E32" s="39">
        <f t="shared" si="0"/>
        <v>11.926306923121031</v>
      </c>
      <c r="F32" s="39">
        <f t="shared" si="2"/>
        <v>16.4500785146497</v>
      </c>
      <c r="G32" s="44">
        <v>43269</v>
      </c>
      <c r="H32" s="43">
        <f>IF(INT(E32)-E32,WORKDAY(G32,E32,'附录-节假日'!$A$2:$A$35),WORKDAY(G32,E32-1,'附录-节假日'!$A$2:$A$35))</f>
        <v>43284</v>
      </c>
      <c r="I32" s="46"/>
    </row>
    <row r="33" spans="2:11" s="17" customFormat="1" ht="27" customHeight="1" x14ac:dyDescent="0.15">
      <c r="B33" s="247" t="s">
        <v>117</v>
      </c>
      <c r="C33" s="248"/>
      <c r="D33" s="248"/>
      <c r="E33" s="248"/>
      <c r="F33" s="249"/>
      <c r="G33" s="43">
        <f>MIN(G34:G37)</f>
        <v>43285</v>
      </c>
      <c r="H33" s="43" t="e">
        <f>MAX(H34:H37)</f>
        <v>#DIV/0!</v>
      </c>
      <c r="I33" s="46"/>
    </row>
    <row r="34" spans="2:11" s="17" customFormat="1" ht="27" customHeight="1" x14ac:dyDescent="0.15">
      <c r="B34" s="18" t="s">
        <v>190</v>
      </c>
      <c r="C34" s="39">
        <f>C6*C20*D20</f>
        <v>0</v>
      </c>
      <c r="D34" s="39">
        <f t="shared" ref="D34:D37" si="3">I51</f>
        <v>0</v>
      </c>
      <c r="E34" s="39" t="e">
        <f t="shared" ref="E34:E42" si="4">IF(ISBLANK(D34),"-",C34*(1/(1-$G$10))/D34)</f>
        <v>#DIV/0!</v>
      </c>
      <c r="F34" s="39" t="e">
        <f t="shared" si="2"/>
        <v>#DIV/0!</v>
      </c>
      <c r="G34" s="44"/>
      <c r="H34" s="43" t="e">
        <f>IF(INT(E34)-E34,WORKDAY(G34,E34,'附录-节假日'!$A$2:$A$35),WORKDAY(G34,E34-1,'附录-节假日'!$A$2:$A$35))</f>
        <v>#DIV/0!</v>
      </c>
      <c r="I34" s="46"/>
    </row>
    <row r="35" spans="2:11" s="17" customFormat="1" ht="27" customHeight="1" x14ac:dyDescent="0.15">
      <c r="B35" s="18" t="s">
        <v>191</v>
      </c>
      <c r="C35" s="39">
        <f>C6*C20*E20</f>
        <v>23.776744186046507</v>
      </c>
      <c r="D35" s="39">
        <f>I52</f>
        <v>0.875</v>
      </c>
      <c r="E35" s="39">
        <f t="shared" si="4"/>
        <v>27.364976764260113</v>
      </c>
      <c r="F35" s="39">
        <f t="shared" ref="F35:F42" si="5">E35*30/21.75</f>
        <v>37.744795536910502</v>
      </c>
      <c r="G35" s="44">
        <v>43285</v>
      </c>
      <c r="H35" s="43">
        <f>IF(INT(E35)-E35,WORKDAY(G35,E35,'附录-节假日'!$A$2:$A$35),WORKDAY(G35,E35-1,'附录-节假日'!$A$2:$A$35))</f>
        <v>43322</v>
      </c>
      <c r="I35" s="46"/>
    </row>
    <row r="36" spans="2:11" s="17" customFormat="1" ht="27" customHeight="1" x14ac:dyDescent="0.15">
      <c r="B36" s="18" t="s">
        <v>192</v>
      </c>
      <c r="C36" s="39">
        <f>C6*C20*F20</f>
        <v>23.776744186046507</v>
      </c>
      <c r="D36" s="39">
        <f t="shared" si="3"/>
        <v>2.2999999999999998</v>
      </c>
      <c r="E36" s="39">
        <f t="shared" si="4"/>
        <v>10.410588986403305</v>
      </c>
      <c r="F36" s="39">
        <f t="shared" si="5"/>
        <v>14.359433084694214</v>
      </c>
      <c r="G36" s="44">
        <v>43325</v>
      </c>
      <c r="H36" s="43">
        <f>IF(INT(E36)-E36,WORKDAY(G36,E36,'附录-节假日'!$A$2:$A$35),WORKDAY(G36,E36-1,'附录-节假日'!$A$2:$A$35))</f>
        <v>43339</v>
      </c>
      <c r="I36" s="46"/>
    </row>
    <row r="37" spans="2:11" s="17" customFormat="1" ht="27" customHeight="1" x14ac:dyDescent="0.15">
      <c r="B37" s="18" t="s">
        <v>193</v>
      </c>
      <c r="C37" s="39">
        <f>C6*C20*G20</f>
        <v>31.702325581395343</v>
      </c>
      <c r="D37" s="39">
        <f t="shared" si="3"/>
        <v>2.75</v>
      </c>
      <c r="E37" s="39">
        <f t="shared" si="4"/>
        <v>11.60938408180732</v>
      </c>
      <c r="F37" s="39">
        <f t="shared" si="5"/>
        <v>16.012943561113545</v>
      </c>
      <c r="G37" s="44">
        <v>43340</v>
      </c>
      <c r="H37" s="43">
        <f>IF(INT(E37)-E37,WORKDAY(G37,E37,'附录-节假日'!$A$2:$A$35),WORKDAY(G37,E37-1,'附录-节假日'!$A$2:$A$35))</f>
        <v>43355</v>
      </c>
      <c r="I37" s="46"/>
    </row>
    <row r="38" spans="2:11" s="17" customFormat="1" ht="27" hidden="1" customHeight="1" x14ac:dyDescent="0.15">
      <c r="B38" s="247" t="s">
        <v>118</v>
      </c>
      <c r="C38" s="248"/>
      <c r="D38" s="248"/>
      <c r="E38" s="248"/>
      <c r="F38" s="249"/>
      <c r="G38" s="43">
        <f>MIN(G39:G42)</f>
        <v>0</v>
      </c>
      <c r="H38" s="43" t="e">
        <f>MAX(H39:H42)</f>
        <v>#NUM!</v>
      </c>
      <c r="I38" s="46"/>
    </row>
    <row r="39" spans="2:11" s="17" customFormat="1" ht="27" hidden="1" customHeight="1" x14ac:dyDescent="0.15">
      <c r="B39" s="18" t="s">
        <v>195</v>
      </c>
      <c r="C39" s="39">
        <f>C6*C23*D23</f>
        <v>0</v>
      </c>
      <c r="D39" s="39">
        <f t="shared" ref="D39:D42" si="6">I55</f>
        <v>12.85</v>
      </c>
      <c r="E39" s="39">
        <f t="shared" si="4"/>
        <v>0</v>
      </c>
      <c r="F39" s="39">
        <f t="shared" si="5"/>
        <v>0</v>
      </c>
      <c r="G39" s="44"/>
      <c r="H39" s="43" t="e">
        <f>IF(INT(E39)-E39,WORKDAY(G39,E39,'附录-节假日'!$A$2:$A$35),WORKDAY(G39,E39-1,'附录-节假日'!$A$2:$A$35))</f>
        <v>#NUM!</v>
      </c>
      <c r="I39" s="46"/>
    </row>
    <row r="40" spans="2:11" s="17" customFormat="1" ht="27" hidden="1" customHeight="1" x14ac:dyDescent="0.15">
      <c r="B40" s="18" t="s">
        <v>196</v>
      </c>
      <c r="C40" s="39">
        <f>C6*C23*E23</f>
        <v>0</v>
      </c>
      <c r="D40" s="39">
        <f t="shared" si="6"/>
        <v>3.85</v>
      </c>
      <c r="E40" s="39">
        <f t="shared" si="4"/>
        <v>0</v>
      </c>
      <c r="F40" s="39">
        <f t="shared" si="5"/>
        <v>0</v>
      </c>
      <c r="G40" s="44"/>
      <c r="H40" s="43" t="e">
        <f>IF(INT(E40)-E40,WORKDAY(G40,E40,'附录-节假日'!$A$2:$A$35),WORKDAY(G40,E40-1,'附录-节假日'!$A$2:$A$35))</f>
        <v>#NUM!</v>
      </c>
      <c r="I40" s="46"/>
    </row>
    <row r="41" spans="2:11" s="17" customFormat="1" ht="27" hidden="1" customHeight="1" x14ac:dyDescent="0.15">
      <c r="B41" s="18" t="s">
        <v>197</v>
      </c>
      <c r="C41" s="39">
        <f>C6*C23*F23</f>
        <v>0</v>
      </c>
      <c r="D41" s="39">
        <f t="shared" si="6"/>
        <v>12.85</v>
      </c>
      <c r="E41" s="39">
        <f t="shared" si="4"/>
        <v>0</v>
      </c>
      <c r="F41" s="39">
        <f t="shared" si="5"/>
        <v>0</v>
      </c>
      <c r="G41" s="44"/>
      <c r="H41" s="43" t="e">
        <f>IF(INT(E41)-E41,WORKDAY(G41,E41,'附录-节假日'!$A$2:$A$35),WORKDAY(G41,E41-1,'附录-节假日'!$A$2:$A$35))</f>
        <v>#NUM!</v>
      </c>
      <c r="I41" s="46"/>
    </row>
    <row r="42" spans="2:11" s="17" customFormat="1" ht="27" hidden="1" customHeight="1" x14ac:dyDescent="0.15">
      <c r="B42" s="18" t="s">
        <v>198</v>
      </c>
      <c r="C42" s="39">
        <f>C6*C23*G23</f>
        <v>0</v>
      </c>
      <c r="D42" s="39">
        <f t="shared" si="6"/>
        <v>3.85</v>
      </c>
      <c r="E42" s="39">
        <f t="shared" si="4"/>
        <v>0</v>
      </c>
      <c r="F42" s="39">
        <f t="shared" si="5"/>
        <v>0</v>
      </c>
      <c r="G42" s="44"/>
      <c r="H42" s="43" t="e">
        <f>IF(INT(E42)-E42,WORKDAY(G42,E42,'附录-节假日'!$A$2:$A$35),WORKDAY(G42,E42-1,'附录-节假日'!$A$2:$A$35))</f>
        <v>#NUM!</v>
      </c>
      <c r="I42" s="46"/>
    </row>
    <row r="43" spans="2:11" ht="27" customHeight="1" x14ac:dyDescent="0.15">
      <c r="B43" s="18" t="s">
        <v>188</v>
      </c>
      <c r="C43" s="39">
        <f>C6*H17</f>
        <v>5.2837209302325618</v>
      </c>
      <c r="D43" s="39">
        <f>I59</f>
        <v>1.0249999999999999</v>
      </c>
      <c r="E43" s="39">
        <f>IF(ISBLANK(D43),"-",C43*(1/(1-G10))/D43)</f>
        <v>5.1911880040601899</v>
      </c>
      <c r="F43" s="39">
        <f>E43*30/21.75</f>
        <v>7.1602593159450887</v>
      </c>
      <c r="G43" s="44">
        <v>43356</v>
      </c>
      <c r="H43" s="43">
        <f>IF(INT(E43)-E43,WORKDAY(G43,E43,'附录-节假日'!$A$2:$A$32),WORKDAY(G43,E43-1,'附录-节假日'!$A$2:$A$32))</f>
        <v>43363</v>
      </c>
      <c r="I43" s="46"/>
    </row>
    <row r="44" spans="2:11" ht="27" customHeight="1" x14ac:dyDescent="0.15">
      <c r="B44"/>
      <c r="C44"/>
      <c r="D44"/>
      <c r="E44"/>
      <c r="F44"/>
      <c r="G44"/>
      <c r="H44"/>
      <c r="I44"/>
    </row>
    <row r="45" spans="2:11" ht="35.25" customHeight="1" x14ac:dyDescent="0.15">
      <c r="B45" s="18" t="s">
        <v>208</v>
      </c>
      <c r="C45" s="18" t="s">
        <v>209</v>
      </c>
      <c r="D45" s="18" t="s">
        <v>210</v>
      </c>
      <c r="E45" s="18" t="s">
        <v>211</v>
      </c>
      <c r="F45" s="18" t="s">
        <v>212</v>
      </c>
      <c r="G45" s="18" t="s">
        <v>213</v>
      </c>
      <c r="H45" s="18" t="s">
        <v>214</v>
      </c>
      <c r="I45" s="18" t="s">
        <v>215</v>
      </c>
      <c r="J45" s="247" t="s">
        <v>216</v>
      </c>
      <c r="K45" s="249"/>
    </row>
    <row r="46" spans="2:11" ht="27" customHeight="1" x14ac:dyDescent="0.15">
      <c r="B46" s="18" t="s">
        <v>182</v>
      </c>
      <c r="C46" s="45">
        <v>1</v>
      </c>
      <c r="D46" s="45">
        <v>0</v>
      </c>
      <c r="E46" s="45">
        <v>2</v>
      </c>
      <c r="F46" s="45">
        <v>0</v>
      </c>
      <c r="G46" s="45">
        <v>0</v>
      </c>
      <c r="H46" s="45">
        <v>0</v>
      </c>
      <c r="I46" s="39">
        <f t="shared" ref="I46:I48" si="7">C46*1.6+D46*1.25+E46*1+F46*0.8+G46*0.7+H46*0.5</f>
        <v>3.6</v>
      </c>
      <c r="J46" s="262" t="s">
        <v>347</v>
      </c>
      <c r="K46" s="259"/>
    </row>
    <row r="47" spans="2:11" ht="27" customHeight="1" x14ac:dyDescent="0.15">
      <c r="B47" s="18" t="s">
        <v>184</v>
      </c>
      <c r="C47" s="45">
        <v>0</v>
      </c>
      <c r="D47" s="45">
        <v>1</v>
      </c>
      <c r="E47" s="45">
        <v>2</v>
      </c>
      <c r="F47" s="45">
        <v>0</v>
      </c>
      <c r="G47" s="45">
        <v>0</v>
      </c>
      <c r="H47" s="45">
        <v>0</v>
      </c>
      <c r="I47" s="39">
        <f t="shared" si="7"/>
        <v>3.25</v>
      </c>
      <c r="J47" s="47" t="s">
        <v>218</v>
      </c>
      <c r="K47" s="48"/>
    </row>
    <row r="48" spans="2:11" ht="27" customHeight="1" x14ac:dyDescent="0.15">
      <c r="B48" s="18" t="s">
        <v>185</v>
      </c>
      <c r="C48" s="45">
        <v>1</v>
      </c>
      <c r="D48" s="45">
        <v>1</v>
      </c>
      <c r="E48" s="45">
        <v>0.3</v>
      </c>
      <c r="F48" s="45">
        <v>0</v>
      </c>
      <c r="G48" s="45">
        <v>0</v>
      </c>
      <c r="H48" s="45">
        <v>0</v>
      </c>
      <c r="I48" s="39">
        <f t="shared" si="7"/>
        <v>3.15</v>
      </c>
      <c r="J48" s="258" t="s">
        <v>219</v>
      </c>
      <c r="K48" s="259"/>
    </row>
    <row r="49" spans="2:11" ht="27" customHeight="1" x14ac:dyDescent="0.15">
      <c r="B49" s="18" t="s">
        <v>186</v>
      </c>
      <c r="C49" s="45">
        <v>1</v>
      </c>
      <c r="D49" s="45">
        <v>2</v>
      </c>
      <c r="E49" s="45">
        <v>1</v>
      </c>
      <c r="F49" s="45">
        <v>0</v>
      </c>
      <c r="G49" s="45">
        <v>0</v>
      </c>
      <c r="H49" s="45">
        <v>0</v>
      </c>
      <c r="I49" s="39">
        <f t="shared" ref="I49:I58" si="8">C49*1.6+D49*1.25+E49*1+F49*0.8+G49*0.7+H49*0.5</f>
        <v>5.0999999999999996</v>
      </c>
      <c r="J49" s="258" t="s">
        <v>220</v>
      </c>
      <c r="K49" s="259"/>
    </row>
    <row r="50" spans="2:11" ht="27" customHeight="1" x14ac:dyDescent="0.15">
      <c r="B50" s="18" t="s">
        <v>187</v>
      </c>
      <c r="C50" s="45">
        <v>2</v>
      </c>
      <c r="D50" s="45">
        <v>1.5</v>
      </c>
      <c r="E50" s="45">
        <v>0</v>
      </c>
      <c r="F50" s="45">
        <v>0</v>
      </c>
      <c r="G50" s="45">
        <v>0</v>
      </c>
      <c r="H50" s="45">
        <v>0</v>
      </c>
      <c r="I50" s="39">
        <f t="shared" si="8"/>
        <v>5.0750000000000002</v>
      </c>
      <c r="J50" s="262" t="s">
        <v>346</v>
      </c>
      <c r="K50" s="259"/>
    </row>
    <row r="51" spans="2:11" ht="27" customHeight="1" x14ac:dyDescent="0.15">
      <c r="B51" s="18" t="s">
        <v>190</v>
      </c>
      <c r="C51" s="45">
        <v>0</v>
      </c>
      <c r="D51" s="45">
        <v>0</v>
      </c>
      <c r="E51" s="45">
        <v>0</v>
      </c>
      <c r="F51" s="45">
        <v>0</v>
      </c>
      <c r="G51" s="45">
        <v>0</v>
      </c>
      <c r="H51" s="45">
        <v>0</v>
      </c>
      <c r="I51" s="39">
        <f t="shared" si="8"/>
        <v>0</v>
      </c>
      <c r="J51" s="47" t="s">
        <v>218</v>
      </c>
      <c r="K51" s="48"/>
    </row>
    <row r="52" spans="2:11" ht="27" customHeight="1" x14ac:dyDescent="0.15">
      <c r="B52" s="18" t="s">
        <v>191</v>
      </c>
      <c r="C52" s="45">
        <v>0</v>
      </c>
      <c r="D52" s="45">
        <v>0</v>
      </c>
      <c r="E52" s="45">
        <v>0</v>
      </c>
      <c r="F52" s="45">
        <v>0</v>
      </c>
      <c r="G52" s="45">
        <v>0</v>
      </c>
      <c r="H52" s="195">
        <v>1.75</v>
      </c>
      <c r="I52" s="39">
        <f t="shared" si="8"/>
        <v>0.875</v>
      </c>
      <c r="J52" s="262" t="s">
        <v>351</v>
      </c>
      <c r="K52" s="259"/>
    </row>
    <row r="53" spans="2:11" ht="27" customHeight="1" x14ac:dyDescent="0.15">
      <c r="B53" s="18" t="s">
        <v>192</v>
      </c>
      <c r="C53" s="45">
        <v>0.5</v>
      </c>
      <c r="D53" s="45">
        <v>1.2</v>
      </c>
      <c r="E53" s="45">
        <v>0</v>
      </c>
      <c r="F53" s="45">
        <v>0</v>
      </c>
      <c r="G53" s="45">
        <v>0</v>
      </c>
      <c r="H53" s="45">
        <v>0</v>
      </c>
      <c r="I53" s="39">
        <f t="shared" si="8"/>
        <v>2.2999999999999998</v>
      </c>
      <c r="J53" s="258" t="s">
        <v>220</v>
      </c>
      <c r="K53" s="259"/>
    </row>
    <row r="54" spans="2:11" ht="27" customHeight="1" x14ac:dyDescent="0.15">
      <c r="B54" s="18" t="s">
        <v>193</v>
      </c>
      <c r="C54" s="45">
        <v>0</v>
      </c>
      <c r="D54" s="45">
        <v>1</v>
      </c>
      <c r="E54" s="45">
        <v>1.5</v>
      </c>
      <c r="F54" s="45">
        <v>0</v>
      </c>
      <c r="G54" s="45">
        <v>0</v>
      </c>
      <c r="H54" s="45">
        <v>0</v>
      </c>
      <c r="I54" s="39">
        <f t="shared" si="8"/>
        <v>2.75</v>
      </c>
      <c r="J54" s="258" t="s">
        <v>221</v>
      </c>
      <c r="K54" s="259"/>
    </row>
    <row r="55" spans="2:11" ht="27" hidden="1" customHeight="1" x14ac:dyDescent="0.15">
      <c r="B55" s="18" t="s">
        <v>195</v>
      </c>
      <c r="C55" s="45">
        <v>1</v>
      </c>
      <c r="D55" s="45">
        <v>1</v>
      </c>
      <c r="E55" s="45">
        <v>10</v>
      </c>
      <c r="F55" s="45">
        <v>0</v>
      </c>
      <c r="G55" s="45">
        <v>0</v>
      </c>
      <c r="H55" s="45">
        <v>0</v>
      </c>
      <c r="I55" s="39">
        <f t="shared" si="8"/>
        <v>12.85</v>
      </c>
      <c r="J55" s="47" t="s">
        <v>218</v>
      </c>
      <c r="K55" s="48"/>
    </row>
    <row r="56" spans="2:11" ht="27" hidden="1" customHeight="1" x14ac:dyDescent="0.15">
      <c r="B56" s="18" t="s">
        <v>196</v>
      </c>
      <c r="C56" s="45">
        <v>1</v>
      </c>
      <c r="D56" s="45">
        <v>1</v>
      </c>
      <c r="E56" s="45">
        <v>1</v>
      </c>
      <c r="F56" s="45">
        <v>0</v>
      </c>
      <c r="G56" s="45">
        <v>0</v>
      </c>
      <c r="H56" s="45">
        <v>0</v>
      </c>
      <c r="I56" s="39">
        <f t="shared" si="8"/>
        <v>3.85</v>
      </c>
      <c r="J56" s="258" t="s">
        <v>219</v>
      </c>
      <c r="K56" s="259"/>
    </row>
    <row r="57" spans="2:11" ht="27" hidden="1" customHeight="1" x14ac:dyDescent="0.15">
      <c r="B57" s="18" t="s">
        <v>197</v>
      </c>
      <c r="C57" s="45">
        <v>1</v>
      </c>
      <c r="D57" s="45">
        <v>1</v>
      </c>
      <c r="E57" s="45">
        <v>10</v>
      </c>
      <c r="F57" s="45">
        <v>0</v>
      </c>
      <c r="G57" s="45">
        <v>0</v>
      </c>
      <c r="H57" s="45">
        <v>0</v>
      </c>
      <c r="I57" s="39">
        <f t="shared" si="8"/>
        <v>12.85</v>
      </c>
      <c r="J57" s="258" t="s">
        <v>220</v>
      </c>
      <c r="K57" s="259"/>
    </row>
    <row r="58" spans="2:11" ht="27" hidden="1" customHeight="1" x14ac:dyDescent="0.15">
      <c r="B58" s="18" t="s">
        <v>198</v>
      </c>
      <c r="C58" s="45">
        <v>1</v>
      </c>
      <c r="D58" s="45">
        <v>1</v>
      </c>
      <c r="E58" s="45">
        <v>1</v>
      </c>
      <c r="F58" s="45">
        <v>0</v>
      </c>
      <c r="G58" s="45">
        <v>0</v>
      </c>
      <c r="H58" s="45">
        <v>0</v>
      </c>
      <c r="I58" s="39">
        <f t="shared" si="8"/>
        <v>3.85</v>
      </c>
      <c r="J58" s="258" t="s">
        <v>221</v>
      </c>
      <c r="K58" s="259"/>
    </row>
    <row r="59" spans="2:11" ht="27" customHeight="1" x14ac:dyDescent="0.15">
      <c r="B59" s="18" t="s">
        <v>188</v>
      </c>
      <c r="C59" s="45">
        <v>0</v>
      </c>
      <c r="D59" s="45">
        <v>0.5</v>
      </c>
      <c r="E59" s="45">
        <v>0.4</v>
      </c>
      <c r="F59" s="45">
        <v>0</v>
      </c>
      <c r="G59" s="45">
        <v>0</v>
      </c>
      <c r="H59" s="45">
        <v>0</v>
      </c>
      <c r="I59" s="39">
        <f>C59*1.6+D59*1.25+E59*1+F59*0.8+G59*0.7+H59*0.5</f>
        <v>1.0249999999999999</v>
      </c>
      <c r="J59" s="262" t="s">
        <v>352</v>
      </c>
      <c r="K59" s="259"/>
    </row>
    <row r="60" spans="2:11" ht="27" customHeight="1" x14ac:dyDescent="0.15">
      <c r="B60" s="260" t="s">
        <v>222</v>
      </c>
      <c r="C60" s="260"/>
      <c r="D60" s="17"/>
      <c r="E60" s="17"/>
      <c r="F60" s="17"/>
      <c r="G60" s="17"/>
      <c r="H60" s="30"/>
      <c r="I60" s="17"/>
    </row>
    <row r="61" spans="2:11" ht="51.6" customHeight="1" x14ac:dyDescent="0.15">
      <c r="B61" s="261" t="s">
        <v>223</v>
      </c>
      <c r="C61" s="261"/>
      <c r="D61" s="261"/>
      <c r="E61" s="261"/>
      <c r="F61" s="17"/>
      <c r="G61" s="17"/>
      <c r="H61" s="30"/>
      <c r="I61" s="17"/>
    </row>
    <row r="62" spans="2:11" ht="27" customHeight="1" x14ac:dyDescent="0.15">
      <c r="B62" s="256" t="s">
        <v>224</v>
      </c>
      <c r="C62" s="247" t="s">
        <v>225</v>
      </c>
      <c r="D62" s="249"/>
      <c r="E62" s="256" t="s">
        <v>226</v>
      </c>
      <c r="F62" s="256" t="s">
        <v>227</v>
      </c>
      <c r="G62" s="256" t="s">
        <v>228</v>
      </c>
      <c r="H62" s="256" t="s">
        <v>229</v>
      </c>
    </row>
    <row r="63" spans="2:11" ht="27" customHeight="1" x14ac:dyDescent="0.15">
      <c r="B63" s="257"/>
      <c r="C63" s="18" t="s">
        <v>225</v>
      </c>
      <c r="D63" s="18" t="s">
        <v>230</v>
      </c>
      <c r="E63" s="257"/>
      <c r="F63" s="257"/>
      <c r="G63" s="257"/>
      <c r="H63" s="257"/>
    </row>
    <row r="64" spans="2:11" ht="27" customHeight="1" x14ac:dyDescent="0.15">
      <c r="B64" s="18" t="s">
        <v>231</v>
      </c>
      <c r="C64" s="16">
        <v>4</v>
      </c>
      <c r="D64" s="39">
        <f>IF(ISERROR($H64*D65),"-",$H64*D65)</f>
        <v>2</v>
      </c>
      <c r="E64" s="39">
        <f>IF(ISERROR($H64*E65),"-",$H64*E65)</f>
        <v>1</v>
      </c>
      <c r="F64" s="39">
        <f>IF(ISERROR($H64*F65),"-",$H64*F65)</f>
        <v>3</v>
      </c>
      <c r="G64" s="39">
        <f>H64*G65</f>
        <v>1</v>
      </c>
      <c r="H64" s="39">
        <f>C64/C65</f>
        <v>10</v>
      </c>
    </row>
    <row r="65" spans="2:8" ht="27" customHeight="1" x14ac:dyDescent="0.15">
      <c r="B65" s="18"/>
      <c r="C65" s="189">
        <v>0.4</v>
      </c>
      <c r="D65" s="189">
        <v>0.2</v>
      </c>
      <c r="E65" s="189">
        <v>0.1</v>
      </c>
      <c r="F65" s="189">
        <v>0.3</v>
      </c>
      <c r="G65" s="189">
        <v>0.1</v>
      </c>
      <c r="H65" s="10"/>
    </row>
    <row r="66" spans="2:8" ht="27" customHeight="1" x14ac:dyDescent="0.15">
      <c r="B66" s="13"/>
      <c r="C66" s="247" t="s">
        <v>232</v>
      </c>
      <c r="D66" s="248"/>
      <c r="E66" s="248"/>
      <c r="F66" s="248"/>
      <c r="G66" s="249"/>
      <c r="H66" s="10"/>
    </row>
    <row r="67" spans="2:8" ht="27" customHeight="1" x14ac:dyDescent="0.15">
      <c r="H67" s="10"/>
    </row>
    <row r="68" spans="2:8" ht="27" customHeight="1" x14ac:dyDescent="0.15">
      <c r="B68" s="250" t="s">
        <v>233</v>
      </c>
      <c r="C68" s="251"/>
      <c r="D68" s="251"/>
      <c r="E68" s="251"/>
      <c r="F68" s="251"/>
      <c r="G68" s="251"/>
      <c r="H68" s="252"/>
    </row>
    <row r="69" spans="2:8" ht="27" customHeight="1" x14ac:dyDescent="0.15">
      <c r="B69" s="253"/>
      <c r="C69" s="254"/>
      <c r="D69" s="254"/>
      <c r="E69" s="254"/>
      <c r="F69" s="254"/>
      <c r="G69" s="254"/>
      <c r="H69" s="255"/>
    </row>
    <row r="70" spans="2:8" x14ac:dyDescent="0.15">
      <c r="H70" s="10"/>
    </row>
    <row r="71" spans="2:8" x14ac:dyDescent="0.15">
      <c r="H71" s="10"/>
    </row>
    <row r="72" spans="2:8" x14ac:dyDescent="0.15">
      <c r="H72" s="10"/>
    </row>
    <row r="73" spans="2:8" x14ac:dyDescent="0.15">
      <c r="H73" s="10"/>
    </row>
  </sheetData>
  <mergeCells count="39">
    <mergeCell ref="B68:H69"/>
    <mergeCell ref="C66:G66"/>
    <mergeCell ref="B17:B23"/>
    <mergeCell ref="B62:B63"/>
    <mergeCell ref="E62:E63"/>
    <mergeCell ref="F62:F63"/>
    <mergeCell ref="G62:G63"/>
    <mergeCell ref="J58:K58"/>
    <mergeCell ref="J59:K59"/>
    <mergeCell ref="B60:C60"/>
    <mergeCell ref="B61:E61"/>
    <mergeCell ref="C62:D62"/>
    <mergeCell ref="H62:H63"/>
    <mergeCell ref="J52:K52"/>
    <mergeCell ref="J53:K53"/>
    <mergeCell ref="J54:K54"/>
    <mergeCell ref="J56:K56"/>
    <mergeCell ref="J57:K57"/>
    <mergeCell ref="J45:K45"/>
    <mergeCell ref="J46:K46"/>
    <mergeCell ref="J48:K48"/>
    <mergeCell ref="J49:K49"/>
    <mergeCell ref="J50:K50"/>
    <mergeCell ref="B14:H14"/>
    <mergeCell ref="B24:C24"/>
    <mergeCell ref="B28:F28"/>
    <mergeCell ref="B33:F33"/>
    <mergeCell ref="B38:F38"/>
    <mergeCell ref="H17:H23"/>
    <mergeCell ref="H8:I8"/>
    <mergeCell ref="H9:I9"/>
    <mergeCell ref="H10:I10"/>
    <mergeCell ref="B12:C12"/>
    <mergeCell ref="B13:F13"/>
    <mergeCell ref="B1:C1"/>
    <mergeCell ref="B2:G2"/>
    <mergeCell ref="H5:I5"/>
    <mergeCell ref="H6:I6"/>
    <mergeCell ref="H7:I7"/>
  </mergeCells>
  <phoneticPr fontId="30" type="noConversion"/>
  <dataValidations count="2">
    <dataValidation allowBlank="1" showInputMessage="1" showErrorMessage="1" prompt="开发工程师数量如为常数，则以开发工作量/计划工期，得到工期。" sqref="C64"/>
    <dataValidation allowBlank="1" showInputMessage="1" showErrorMessage="1" prompt="估算规模是“开发工作量估算”sheet中列出的需求项总数。" sqref="C62:C63"/>
  </dataValidations>
  <pageMargins left="0.69930555555555596" right="0.69930555555555596" top="0.75" bottom="0.75" header="0.3" footer="0.3"/>
  <pageSetup paperSize="9" orientation="portrait"/>
  <ignoredErrors>
    <ignoredError sqref="G38" formulaRange="1"/>
    <ignoredError sqref="H38 H33 H28"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showGridLines="0" workbookViewId="0">
      <selection activeCell="H16" sqref="H16"/>
    </sheetView>
  </sheetViews>
  <sheetFormatPr defaultColWidth="9" defaultRowHeight="12" x14ac:dyDescent="0.15"/>
  <cols>
    <col min="2" max="2" width="10.85546875" customWidth="1"/>
    <col min="3" max="3" width="18" customWidth="1"/>
  </cols>
  <sheetData>
    <row r="1" spans="2:13" s="10" customFormat="1" ht="21" customHeight="1" x14ac:dyDescent="0.15">
      <c r="B1" s="271" t="s">
        <v>234</v>
      </c>
      <c r="C1" s="271"/>
      <c r="H1" s="11"/>
    </row>
    <row r="2" spans="2:13" s="10" customFormat="1" ht="33.75" customHeight="1" x14ac:dyDescent="0.15">
      <c r="B2" s="261" t="s">
        <v>235</v>
      </c>
      <c r="C2" s="261"/>
      <c r="D2" s="261"/>
      <c r="E2" s="261"/>
      <c r="F2" s="261"/>
      <c r="G2" s="261"/>
      <c r="H2" s="13"/>
    </row>
    <row r="3" spans="2:13" ht="15" customHeight="1" x14ac:dyDescent="0.15">
      <c r="B3" s="14" t="s">
        <v>236</v>
      </c>
      <c r="C3" s="14" t="s">
        <v>237</v>
      </c>
      <c r="D3" s="274" t="s">
        <v>114</v>
      </c>
      <c r="E3" s="275"/>
      <c r="F3" s="275"/>
      <c r="G3" s="275"/>
      <c r="H3" s="275"/>
      <c r="I3" s="275"/>
      <c r="J3" s="275"/>
      <c r="K3" s="275"/>
      <c r="L3" s="276"/>
    </row>
    <row r="4" spans="2:13" ht="15" customHeight="1" x14ac:dyDescent="0.15">
      <c r="B4" s="15" t="s">
        <v>238</v>
      </c>
      <c r="C4" s="16">
        <v>1.6</v>
      </c>
      <c r="D4" s="258" t="s">
        <v>239</v>
      </c>
      <c r="E4" s="273"/>
      <c r="F4" s="273"/>
      <c r="G4" s="273"/>
      <c r="H4" s="273"/>
      <c r="I4" s="273"/>
      <c r="J4" s="273"/>
      <c r="K4" s="273"/>
      <c r="L4" s="273"/>
      <c r="M4" s="259"/>
    </row>
    <row r="5" spans="2:13" ht="15" customHeight="1" x14ac:dyDescent="0.15">
      <c r="B5" s="15" t="s">
        <v>240</v>
      </c>
      <c r="C5" s="16">
        <v>1.25</v>
      </c>
      <c r="D5" s="258" t="s">
        <v>241</v>
      </c>
      <c r="E5" s="273"/>
      <c r="F5" s="273"/>
      <c r="G5" s="273"/>
      <c r="H5" s="273"/>
      <c r="I5" s="273"/>
      <c r="J5" s="273"/>
      <c r="K5" s="273"/>
      <c r="L5" s="273"/>
      <c r="M5" s="259"/>
    </row>
    <row r="6" spans="2:13" ht="15" customHeight="1" x14ac:dyDescent="0.15">
      <c r="B6" s="15" t="s">
        <v>242</v>
      </c>
      <c r="C6" s="16">
        <v>1</v>
      </c>
      <c r="D6" s="258" t="s">
        <v>243</v>
      </c>
      <c r="E6" s="273"/>
      <c r="F6" s="273"/>
      <c r="G6" s="273"/>
      <c r="H6" s="273"/>
      <c r="I6" s="273"/>
      <c r="J6" s="273"/>
      <c r="K6" s="273"/>
      <c r="L6" s="273"/>
      <c r="M6" s="259"/>
    </row>
    <row r="7" spans="2:13" ht="15" customHeight="1" x14ac:dyDescent="0.15">
      <c r="B7" s="15" t="s">
        <v>244</v>
      </c>
      <c r="C7" s="16">
        <v>0.8</v>
      </c>
      <c r="D7" s="258" t="s">
        <v>245</v>
      </c>
      <c r="E7" s="273"/>
      <c r="F7" s="273"/>
      <c r="G7" s="273"/>
      <c r="H7" s="273"/>
      <c r="I7" s="273"/>
      <c r="J7" s="273"/>
      <c r="K7" s="273"/>
      <c r="L7" s="273"/>
      <c r="M7" s="259"/>
    </row>
    <row r="8" spans="2:13" ht="15" customHeight="1" x14ac:dyDescent="0.15">
      <c r="B8" s="15" t="s">
        <v>246</v>
      </c>
      <c r="C8" s="16">
        <v>0.7</v>
      </c>
      <c r="D8" s="258" t="s">
        <v>247</v>
      </c>
      <c r="E8" s="273"/>
      <c r="F8" s="273"/>
      <c r="G8" s="273"/>
      <c r="H8" s="273"/>
      <c r="I8" s="273"/>
      <c r="J8" s="273"/>
      <c r="K8" s="273"/>
      <c r="L8" s="273"/>
      <c r="M8" s="259"/>
    </row>
    <row r="9" spans="2:13" ht="15" customHeight="1" x14ac:dyDescent="0.15">
      <c r="B9" s="15" t="s">
        <v>248</v>
      </c>
      <c r="C9" s="16">
        <v>0.5</v>
      </c>
      <c r="D9" s="258" t="s">
        <v>249</v>
      </c>
      <c r="E9" s="273"/>
      <c r="F9" s="273"/>
      <c r="G9" s="273"/>
      <c r="H9" s="273"/>
      <c r="I9" s="273"/>
      <c r="J9" s="273"/>
      <c r="K9" s="273"/>
      <c r="L9" s="273"/>
      <c r="M9" s="259"/>
    </row>
  </sheetData>
  <mergeCells count="9">
    <mergeCell ref="D6:M6"/>
    <mergeCell ref="D7:M7"/>
    <mergeCell ref="D8:M8"/>
    <mergeCell ref="D9:M9"/>
    <mergeCell ref="B1:C1"/>
    <mergeCell ref="B2:G2"/>
    <mergeCell ref="D3:L3"/>
    <mergeCell ref="D4:M4"/>
    <mergeCell ref="D5:M5"/>
  </mergeCells>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封面</vt:lpstr>
      <vt:lpstr>估算说明</vt:lpstr>
      <vt:lpstr>技术复杂度评估表</vt:lpstr>
      <vt:lpstr>量级估算-OK</vt:lpstr>
      <vt:lpstr>预算估算表1</vt:lpstr>
      <vt:lpstr>预算估算总体估算与计划1</vt:lpstr>
      <vt:lpstr>预算估算表</vt:lpstr>
      <vt:lpstr>预算估算总体估算与计划</vt:lpstr>
      <vt:lpstr>人员评估系数表</vt:lpstr>
      <vt:lpstr>附录-节假日</vt:lpstr>
    </vt:vector>
  </TitlesOfParts>
  <Company>gsww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齐仁丽</cp:lastModifiedBy>
  <cp:lastPrinted>2007-03-14T02:42:00Z</cp:lastPrinted>
  <dcterms:created xsi:type="dcterms:W3CDTF">2006-09-23T03:40:00Z</dcterms:created>
  <dcterms:modified xsi:type="dcterms:W3CDTF">2018-10-30T02:25:17Z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